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chart6.xml" ContentType="application/vnd.openxmlformats-officedocument.drawingml.chart+xml"/>
  <Override PartName="/xl/theme/themeOverride3.xml" ContentType="application/vnd.openxmlformats-officedocument.themeOverride+xml"/>
  <Override PartName="/xl/charts/chart7.xml" ContentType="application/vnd.openxmlformats-officedocument.drawingml.chart+xml"/>
  <Override PartName="/xl/charts/chart8.xml" ContentType="application/vnd.openxmlformats-officedocument.drawingml.chart+xml"/>
  <Override PartName="/xl/theme/themeOverride4.xml" ContentType="application/vnd.openxmlformats-officedocument.themeOverrid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drawings/drawing7.xml" ContentType="application/vnd.openxmlformats-officedocument.drawingml.chartshapes+xml"/>
  <Override PartName="/xl/charts/chart15.xml" ContentType="application/vnd.openxmlformats-officedocument.drawingml.chart+xml"/>
  <Override PartName="/xl/charts/chart16.xml" ContentType="application/vnd.openxmlformats-officedocument.drawingml.chart+xml"/>
  <Override PartName="/xl/theme/themeOverride8.xml" ContentType="application/vnd.openxmlformats-officedocument.themeOverride+xml"/>
  <Override PartName="/xl/drawings/drawing8.xml" ContentType="application/vnd.openxmlformats-officedocument.drawing+xml"/>
  <Override PartName="/xl/slicers/slicer4.xml" ContentType="application/vnd.ms-excel.slicer+xml"/>
  <Override PartName="/xl/comments1.xml" ContentType="application/vnd.openxmlformats-officedocument.spreadsheetml.comments+xml"/>
  <Override PartName="/xl/drawings/drawing9.xml" ContentType="application/vnd.openxmlformats-officedocument.drawing+xml"/>
  <Override PartName="/xl/slicers/slicer5.xml" ContentType="application/vnd.ms-excel.slicer+xml"/>
  <Override PartName="/xl/comments2.xml" ContentType="application/vnd.openxmlformats-officedocument.spreadsheetml.comments+xml"/>
  <Override PartName="/xl/drawings/drawing10.xml" ContentType="application/vnd.openxmlformats-officedocument.drawing+xml"/>
  <Override PartName="/xl/slicers/slicer6.xml" ContentType="application/vnd.ms-excel.slicer+xml"/>
  <Override PartName="/xl/comments3.xml" ContentType="application/vnd.openxmlformats-officedocument.spreadsheetml.comments+xml"/>
  <Override PartName="/xl/drawings/drawing11.xml" ContentType="application/vnd.openxmlformats-officedocument.drawing+xml"/>
  <Override PartName="/xl/slicers/slicer7.xml" ContentType="application/vnd.ms-excel.slicer+xml"/>
  <Override PartName="/xl/drawings/drawing12.xml" ContentType="application/vnd.openxmlformats-officedocument.drawing+xml"/>
  <Override PartName="/xl/slicers/slicer8.xml" ContentType="application/vnd.ms-excel.slicer+xml"/>
  <Override PartName="/xl/drawings/drawing13.xml" ContentType="application/vnd.openxmlformats-officedocument.drawing+xml"/>
  <Override PartName="/xl/slicers/slicer9.xml" ContentType="application/vnd.ms-excel.slicer+xml"/>
  <Override PartName="/xl/comments4.xml" ContentType="application/vnd.openxmlformats-officedocument.spreadsheetml.comments+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9.xml" ContentType="application/vnd.openxmlformats-officedocument.themeOverrid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style13.xml" ContentType="application/vnd.ms-office.chartstyle+xml"/>
  <Override PartName="/xl/charts/colors13.xml" ContentType="application/vnd.ms-office.chartcolorstyle+xml"/>
  <Override PartName="/xl/charts/chart2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0.xml" ContentType="application/vnd.openxmlformats-officedocument.themeOverride+xml"/>
  <Override PartName="/xl/charts/chart24.xml" ContentType="application/vnd.openxmlformats-officedocument.drawingml.chart+xml"/>
  <Override PartName="/xl/theme/themeOverride11.xml" ContentType="application/vnd.openxmlformats-officedocument.themeOverride+xml"/>
  <Override PartName="/xl/charts/chart25.xml" ContentType="application/vnd.openxmlformats-officedocument.drawingml.chart+xml"/>
  <Override PartName="/xl/theme/themeOverride12.xml" ContentType="application/vnd.openxmlformats-officedocument.themeOverride+xml"/>
  <Override PartName="/xl/charts/chart26.xml" ContentType="application/vnd.openxmlformats-officedocument.drawingml.chart+xml"/>
  <Override PartName="/xl/theme/themeOverride13.xml" ContentType="application/vnd.openxmlformats-officedocument.themeOverride+xml"/>
  <Override PartName="/xl/charts/chart27.xml" ContentType="application/vnd.openxmlformats-officedocument.drawingml.chart+xml"/>
  <Override PartName="/xl/charts/chart28.xml" ContentType="application/vnd.openxmlformats-officedocument.drawingml.chart+xml"/>
  <Override PartName="/xl/theme/themeOverride14.xml" ContentType="application/vnd.openxmlformats-officedocument.themeOverride+xml"/>
  <Override PartName="/xl/drawings/drawing14.xml" ContentType="application/vnd.openxmlformats-officedocument.drawing+xml"/>
  <Override PartName="/xl/slicers/slicer10.xml" ContentType="application/vnd.ms-excel.slicer+xml"/>
  <Override PartName="/xl/comments5.xml" ContentType="application/vnd.openxmlformats-officedocument.spreadsheetml.comments+xml"/>
  <Override PartName="/xl/drawings/drawing15.xml" ContentType="application/vnd.openxmlformats-officedocument.drawing+xml"/>
  <Override PartName="/xl/slicers/slicer11.xml" ContentType="application/vnd.ms-excel.slicer+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slicers/slicer12.xml" ContentType="application/vnd.ms-excel.slicer+xml"/>
  <Override PartName="/xl/drawings/drawing20.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tg-my.sharepoint.com/personal/danhhd_duytanrecycling_com/Documents/Work/Others/2024/36. Dự án Flakes to Preform Project/Gửi/"/>
    </mc:Choice>
  </mc:AlternateContent>
  <xr:revisionPtr revIDLastSave="49" documentId="8_{72F0B153-94C8-492D-BDF2-467634B037C0}" xr6:coauthVersionLast="47" xr6:coauthVersionMax="47" xr10:uidLastSave="{83081176-3D96-4A49-A316-F76CD1E18240}"/>
  <bookViews>
    <workbookView xWindow="-120" yWindow="-120" windowWidth="29040" windowHeight="15720" tabRatio="896" firstSheet="10" activeTab="10" xr2:uid="{D0130A2E-B49E-43EB-B307-311849FDBF36}"/>
  </bookViews>
  <sheets>
    <sheet name="Timeline" sheetId="8" state="hidden" r:id="rId1"/>
    <sheet name="&gt;&gt;PowerPoint" sheetId="58" state="hidden" r:id="rId2"/>
    <sheet name="Trình bày giả định" sheetId="56" state="hidden" r:id="rId3"/>
    <sheet name="W1-Trình bày" sheetId="55" state="hidden" r:id="rId4"/>
    <sheet name="USD.Tấn" sheetId="59" state="hidden" r:id="rId5"/>
    <sheet name="VND.Phôi" sheetId="60" state="hidden" r:id="rId6"/>
    <sheet name="Sheet3" sheetId="62" state="hidden" r:id="rId7"/>
    <sheet name="Sheet4" sheetId="63" state="hidden" r:id="rId8"/>
    <sheet name="||" sheetId="57" state="hidden" r:id="rId9"/>
    <sheet name="Summary-cũ" sheetId="53" state="hidden" r:id="rId10"/>
    <sheet name="Summary" sheetId="54" r:id="rId11"/>
    <sheet name="Cover Page" sheetId="38" r:id="rId12"/>
    <sheet name="W1" sheetId="1" r:id="rId13"/>
    <sheet name="W2" sheetId="7" r:id="rId14"/>
    <sheet name="W3" sheetId="39" r:id="rId15"/>
    <sheet name="W4" sheetId="34" state="hidden" r:id="rId16"/>
    <sheet name="W5" sheetId="31" r:id="rId17"/>
    <sheet name="W6 - Operating cost" sheetId="10" state="hidden" r:id="rId18"/>
    <sheet name="W6 - Preform cost" sheetId="11" state="hidden" r:id="rId19"/>
    <sheet name="W6 - Early Termination" sheetId="43" state="hidden" r:id="rId20"/>
    <sheet name="1st Quote" sheetId="46" state="hidden" r:id="rId21"/>
    <sheet name="2nd Quote" sheetId="50" state="hidden" r:id="rId22"/>
    <sheet name="So sánh" sheetId="48" state="hidden" r:id="rId23"/>
    <sheet name="&gt;A. Vũ" sheetId="20" state="hidden" r:id="rId24"/>
    <sheet name="CAPEX" sheetId="47" state="hidden" r:id="rId25"/>
    <sheet name="SX" sheetId="19" state="hidden" r:id="rId26"/>
    <sheet name="&gt;Chị Tâm" sheetId="3" state="hidden" r:id="rId27"/>
    <sheet name="Thông tin" sheetId="2" state="hidden" r:id="rId28"/>
    <sheet name="Sơ đồ" sheetId="4" state="hidden" r:id="rId29"/>
    <sheet name="Lãi vay" sheetId="41" state="hidden" r:id="rId30"/>
    <sheet name="Dylan-Note" sheetId="49" state="hidden" r:id="rId31"/>
    <sheet name="Milestone" sheetId="52" state="hidden" r:id="rId32"/>
    <sheet name="MD" sheetId="40" state="hidden" r:id="rId33"/>
    <sheet name="Sheet1" sheetId="42" state="hidden" r:id="rId34"/>
    <sheet name="Họp Hảo" sheetId="44" state="hidden" r:id="rId35"/>
  </sheets>
  <definedNames>
    <definedName name="_" localSheetId="16" hidden="1">#REF!</definedName>
    <definedName name="_" hidden="1">#REF!</definedName>
    <definedName name="__" hidden="1">#REF!</definedName>
    <definedName name="______a1" localSheetId="16" hidden="1">{"cashflow",#N/A,FALSE,"CASHFLOW "}</definedName>
    <definedName name="______a1" hidden="1">{"cashflow",#N/A,FALSE,"CASHFLOW "}</definedName>
    <definedName name="______a10" localSheetId="16" hidden="1">{"sales",#N/A,FALSE,"SALES"}</definedName>
    <definedName name="______a10" hidden="1">{"sales",#N/A,FALSE,"SALES"}</definedName>
    <definedName name="______a2" localSheetId="16" hidden="1">{"hilight1",#N/A,FALSE,"HILIGHT1"}</definedName>
    <definedName name="______a2" hidden="1">{"hilight1",#N/A,FALSE,"HILIGHT1"}</definedName>
    <definedName name="______a3" localSheetId="16" hidden="1">{"hilight2",#N/A,FALSE,"HILIGHT2"}</definedName>
    <definedName name="______a3" hidden="1">{"hilight2",#N/A,FALSE,"HILIGHT2"}</definedName>
    <definedName name="______a4" localSheetId="16" hidden="1">{"hilight3",#N/A,FALSE,"HILIGHT3"}</definedName>
    <definedName name="______a4" hidden="1">{"hilight3",#N/A,FALSE,"HILIGHT3"}</definedName>
    <definedName name="______a5" localSheetId="16" hidden="1">{"income",#N/A,FALSE,"INCOME"}</definedName>
    <definedName name="______a5" hidden="1">{"income",#N/A,FALSE,"INCOME"}</definedName>
    <definedName name="______a6" localSheetId="16" hidden="1">{"index",#N/A,FALSE,"INDEX"}</definedName>
    <definedName name="______a6" hidden="1">{"index",#N/A,FALSE,"INDEX"}</definedName>
    <definedName name="______a7" localSheetId="16" hidden="1">{"PRINT_EST",#N/A,FALSE,"ESTMON"}</definedName>
    <definedName name="______a7" hidden="1">{"PRINT_EST",#N/A,FALSE,"ESTMON"}</definedName>
    <definedName name="______a8" localSheetId="16" hidden="1">{"revsale",#N/A,FALSE,"REV-ยุพดี"}</definedName>
    <definedName name="______a8" hidden="1">{"revsale",#N/A,FALSE,"REV-ยุพดี"}</definedName>
    <definedName name="______a9" localSheetId="16" hidden="1">{"revable",#N/A,FALSE,"REVABLE"}</definedName>
    <definedName name="______a9" hidden="1">{"revable",#N/A,FALSE,"REVABLE"}</definedName>
    <definedName name="_____a1" localSheetId="16" hidden="1">{"cashflow",#N/A,FALSE,"CASHFLOW "}</definedName>
    <definedName name="_____a1" hidden="1">{"cashflow",#N/A,FALSE,"CASHFLOW "}</definedName>
    <definedName name="_____a10" localSheetId="16" hidden="1">{"sales",#N/A,FALSE,"SALES"}</definedName>
    <definedName name="_____a10" hidden="1">{"sales",#N/A,FALSE,"SALES"}</definedName>
    <definedName name="_____a2" localSheetId="16" hidden="1">{"hilight1",#N/A,FALSE,"HILIGHT1"}</definedName>
    <definedName name="_____a2" hidden="1">{"hilight1",#N/A,FALSE,"HILIGHT1"}</definedName>
    <definedName name="_____a3" localSheetId="16" hidden="1">{"hilight2",#N/A,FALSE,"HILIGHT2"}</definedName>
    <definedName name="_____a3" hidden="1">{"hilight2",#N/A,FALSE,"HILIGHT2"}</definedName>
    <definedName name="_____a4" localSheetId="16" hidden="1">{"hilight3",#N/A,FALSE,"HILIGHT3"}</definedName>
    <definedName name="_____a4" hidden="1">{"hilight3",#N/A,FALSE,"HILIGHT3"}</definedName>
    <definedName name="_____a5" localSheetId="16" hidden="1">{"income",#N/A,FALSE,"INCOME"}</definedName>
    <definedName name="_____a5" hidden="1">{"income",#N/A,FALSE,"INCOME"}</definedName>
    <definedName name="_____a6" localSheetId="16" hidden="1">{"index",#N/A,FALSE,"INDEX"}</definedName>
    <definedName name="_____a6" hidden="1">{"index",#N/A,FALSE,"INDEX"}</definedName>
    <definedName name="_____a7" localSheetId="16" hidden="1">{"PRINT_EST",#N/A,FALSE,"ESTMON"}</definedName>
    <definedName name="_____a7" hidden="1">{"PRINT_EST",#N/A,FALSE,"ESTMON"}</definedName>
    <definedName name="_____a8" localSheetId="16" hidden="1">{"revsale",#N/A,FALSE,"REV-ยุพดี"}</definedName>
    <definedName name="_____a8" hidden="1">{"revsale",#N/A,FALSE,"REV-ยุพดี"}</definedName>
    <definedName name="_____a9" localSheetId="16" hidden="1">{"revable",#N/A,FALSE,"REVABLE"}</definedName>
    <definedName name="_____a9" hidden="1">{"revable",#N/A,FALSE,"REVABLE"}</definedName>
    <definedName name="____a1" localSheetId="16" hidden="1">{"cashflow",#N/A,FALSE,"CASHFLOW "}</definedName>
    <definedName name="____a1" hidden="1">{"cashflow",#N/A,FALSE,"CASHFLOW "}</definedName>
    <definedName name="____a10" localSheetId="16" hidden="1">{"sales",#N/A,FALSE,"SALES"}</definedName>
    <definedName name="____a10" hidden="1">{"sales",#N/A,FALSE,"SALES"}</definedName>
    <definedName name="____a2" localSheetId="16" hidden="1">{"hilight1",#N/A,FALSE,"HILIGHT1"}</definedName>
    <definedName name="____a2" hidden="1">{"hilight1",#N/A,FALSE,"HILIGHT1"}</definedName>
    <definedName name="____a3" localSheetId="16" hidden="1">{"hilight2",#N/A,FALSE,"HILIGHT2"}</definedName>
    <definedName name="____a3" hidden="1">{"hilight2",#N/A,FALSE,"HILIGHT2"}</definedName>
    <definedName name="____a4" localSheetId="16" hidden="1">{"hilight3",#N/A,FALSE,"HILIGHT3"}</definedName>
    <definedName name="____a4" hidden="1">{"hilight3",#N/A,FALSE,"HILIGHT3"}</definedName>
    <definedName name="____a5" localSheetId="16" hidden="1">{"income",#N/A,FALSE,"INCOME"}</definedName>
    <definedName name="____a5" hidden="1">{"income",#N/A,FALSE,"INCOME"}</definedName>
    <definedName name="____a6" localSheetId="16" hidden="1">{"index",#N/A,FALSE,"INDEX"}</definedName>
    <definedName name="____a6" hidden="1">{"index",#N/A,FALSE,"INDEX"}</definedName>
    <definedName name="____a7" localSheetId="16" hidden="1">{"PRINT_EST",#N/A,FALSE,"ESTMON"}</definedName>
    <definedName name="____a7" hidden="1">{"PRINT_EST",#N/A,FALSE,"ESTMON"}</definedName>
    <definedName name="____a8" localSheetId="16" hidden="1">{"revsale",#N/A,FALSE,"REV-ยุพดี"}</definedName>
    <definedName name="____a8" hidden="1">{"revsale",#N/A,FALSE,"REV-ยุพดี"}</definedName>
    <definedName name="____a9" localSheetId="16" hidden="1">{"revable",#N/A,FALSE,"REVABLE"}</definedName>
    <definedName name="____a9" hidden="1">{"revable",#N/A,FALSE,"REVABLE"}</definedName>
    <definedName name="___a1" localSheetId="16" hidden="1">{"cashflow",#N/A,FALSE,"CASHFLOW "}</definedName>
    <definedName name="___a1" hidden="1">{"cashflow",#N/A,FALSE,"CASHFLOW "}</definedName>
    <definedName name="___a10" localSheetId="16" hidden="1">{"sales",#N/A,FALSE,"SALES"}</definedName>
    <definedName name="___a10" hidden="1">{"sales",#N/A,FALSE,"SALES"}</definedName>
    <definedName name="___a2" localSheetId="16" hidden="1">{"hilight1",#N/A,FALSE,"HILIGHT1"}</definedName>
    <definedName name="___a2" hidden="1">{"hilight1",#N/A,FALSE,"HILIGHT1"}</definedName>
    <definedName name="___a3" localSheetId="16" hidden="1">{"hilight2",#N/A,FALSE,"HILIGHT2"}</definedName>
    <definedName name="___a3" hidden="1">{"hilight2",#N/A,FALSE,"HILIGHT2"}</definedName>
    <definedName name="___a4" localSheetId="16" hidden="1">{"hilight3",#N/A,FALSE,"HILIGHT3"}</definedName>
    <definedName name="___a4" hidden="1">{"hilight3",#N/A,FALSE,"HILIGHT3"}</definedName>
    <definedName name="___a5" localSheetId="16" hidden="1">{"income",#N/A,FALSE,"INCOME"}</definedName>
    <definedName name="___a5" hidden="1">{"income",#N/A,FALSE,"INCOME"}</definedName>
    <definedName name="___a6" localSheetId="16" hidden="1">{"index",#N/A,FALSE,"INDEX"}</definedName>
    <definedName name="___a6" hidden="1">{"index",#N/A,FALSE,"INDEX"}</definedName>
    <definedName name="___a7" localSheetId="16" hidden="1">{"PRINT_EST",#N/A,FALSE,"ESTMON"}</definedName>
    <definedName name="___a7" hidden="1">{"PRINT_EST",#N/A,FALSE,"ESTMON"}</definedName>
    <definedName name="___a8" localSheetId="16" hidden="1">{"revsale",#N/A,FALSE,"REV-ยุพดี"}</definedName>
    <definedName name="___a8" hidden="1">{"revsale",#N/A,FALSE,"REV-ยุพดี"}</definedName>
    <definedName name="___a9" localSheetId="16" hidden="1">{"revable",#N/A,FALSE,"REVABLE"}</definedName>
    <definedName name="___a9" hidden="1">{"revable",#N/A,FALSE,"REVABLE"}</definedName>
    <definedName name="__a1" localSheetId="16" hidden="1">{"cashflow",#N/A,FALSE,"CASHFLOW "}</definedName>
    <definedName name="__a1" hidden="1">{"cashflow",#N/A,FALSE,"CASHFLOW "}</definedName>
    <definedName name="__a10" localSheetId="16" hidden="1">{"sales",#N/A,FALSE,"SALES"}</definedName>
    <definedName name="__a10" hidden="1">{"sales",#N/A,FALSE,"SALES"}</definedName>
    <definedName name="__a2" localSheetId="16" hidden="1">{"hilight1",#N/A,FALSE,"HILIGHT1"}</definedName>
    <definedName name="__a2" hidden="1">{"hilight1",#N/A,FALSE,"HILIGHT1"}</definedName>
    <definedName name="__a3" localSheetId="16" hidden="1">{"hilight2",#N/A,FALSE,"HILIGHT2"}</definedName>
    <definedName name="__a3" hidden="1">{"hilight2",#N/A,FALSE,"HILIGHT2"}</definedName>
    <definedName name="__a4" localSheetId="16" hidden="1">{"hilight3",#N/A,FALSE,"HILIGHT3"}</definedName>
    <definedName name="__a4" hidden="1">{"hilight3",#N/A,FALSE,"HILIGHT3"}</definedName>
    <definedName name="__a5" localSheetId="16" hidden="1">{"income",#N/A,FALSE,"INCOME"}</definedName>
    <definedName name="__a5" hidden="1">{"income",#N/A,FALSE,"INCOME"}</definedName>
    <definedName name="__a6" localSheetId="16" hidden="1">{"index",#N/A,FALSE,"INDEX"}</definedName>
    <definedName name="__a6" hidden="1">{"index",#N/A,FALSE,"INDEX"}</definedName>
    <definedName name="__a7" localSheetId="16" hidden="1">{"PRINT_EST",#N/A,FALSE,"ESTMON"}</definedName>
    <definedName name="__a7" hidden="1">{"PRINT_EST",#N/A,FALSE,"ESTMON"}</definedName>
    <definedName name="__a8" localSheetId="16" hidden="1">{"revsale",#N/A,FALSE,"REV-ยุพดี"}</definedName>
    <definedName name="__a8" hidden="1">{"revsale",#N/A,FALSE,"REV-ยุพดี"}</definedName>
    <definedName name="__a9" localSheetId="16" hidden="1">{"revable",#N/A,FALSE,"REVABLE"}</definedName>
    <definedName name="__a9" hidden="1">{"revable",#N/A,FALSE,"REVABLE"}</definedName>
    <definedName name="__FOH2006" localSheetId="16" hidden="1">{#N/A,#N/A,FALSE,"TL";#N/A,#N/A,FALSE,"KK";#N/A,#N/A,FALSE,"TS";#N/A,#N/A,FALSE,"KW";#N/A,#N/A,FALSE,"LP";#N/A,#N/A,FALSE,"DC"}</definedName>
    <definedName name="__FOH2006" hidden="1">{#N/A,#N/A,FALSE,"TL";#N/A,#N/A,FALSE,"KK";#N/A,#N/A,FALSE,"TS";#N/A,#N/A,FALSE,"KW";#N/A,#N/A,FALSE,"LP";#N/A,#N/A,FALSE,"DC"}</definedName>
    <definedName name="__IntlFixup" hidden="1">TRUE</definedName>
    <definedName name="__IntlFixupTable" hidden="1">#REF!</definedName>
    <definedName name="__KP300" localSheetId="16" hidden="1">{"level1",#N/A,FALSE,"1_LEV";"LEVEL1",#N/A,FALSE,"1_LEV"}</definedName>
    <definedName name="__KP300" hidden="1">{"level1",#N/A,FALSE,"1_LEV";"LEVEL1",#N/A,FALSE,"1_LEV"}</definedName>
    <definedName name="__xlfn.BAHTTEXT" hidden="1">#NAME?</definedName>
    <definedName name="_10F" hidden="1">#REF!</definedName>
    <definedName name="_11_0_0_F" hidden="1">#REF!</definedName>
    <definedName name="_12F" hidden="1">#REF!</definedName>
    <definedName name="_14F" hidden="1">#REF!</definedName>
    <definedName name="_15_0_0_F" hidden="1">#REF!</definedName>
    <definedName name="_15F" hidden="1">#REF!</definedName>
    <definedName name="_19_0_0_F" hidden="1">#REF!</definedName>
    <definedName name="_2_0_0_F" hidden="1">#REF!</definedName>
    <definedName name="_20_0_0_F" hidden="1">#REF!</definedName>
    <definedName name="_21_0_0_F" hidden="1">#REF!</definedName>
    <definedName name="_26_0_0_F" hidden="1">#REF!</definedName>
    <definedName name="_27_0_0_F" hidden="1">#REF!</definedName>
    <definedName name="_28_0_0_F" hidden="1">#REF!</definedName>
    <definedName name="_2F" hidden="1">#REF!</definedName>
    <definedName name="_3_0_0_F" hidden="1">#REF!</definedName>
    <definedName name="_300_0_0_F" hidden="1">#REF!</definedName>
    <definedName name="_301_0_0_F" hidden="1">#REF!</definedName>
    <definedName name="_36_0_0_F" hidden="1">#REF!</definedName>
    <definedName name="_37_0_0_F" hidden="1">#REF!</definedName>
    <definedName name="_4_0_0_F" hidden="1">#REF!</definedName>
    <definedName name="_4F" hidden="1">#REF!</definedName>
    <definedName name="_5_0_0_F" hidden="1">#REF!</definedName>
    <definedName name="_5F" hidden="1">#REF!</definedName>
    <definedName name="_6_0_0_F" hidden="1">#REF!</definedName>
    <definedName name="_6F" hidden="1">#REF!</definedName>
    <definedName name="_7_0_0_F" hidden="1">#REF!</definedName>
    <definedName name="_8_0_0_F" hidden="1">#REF!</definedName>
    <definedName name="_a1" localSheetId="16" hidden="1">{"cashflow",#N/A,FALSE,"CASHFLOW "}</definedName>
    <definedName name="_a1" hidden="1">{"cashflow",#N/A,FALSE,"CASHFLOW "}</definedName>
    <definedName name="_a10" localSheetId="16" hidden="1">{"sales",#N/A,FALSE,"SALES"}</definedName>
    <definedName name="_a10" hidden="1">{"sales",#N/A,FALSE,"SALES"}</definedName>
    <definedName name="_a2" localSheetId="16" hidden="1">{"hilight1",#N/A,FALSE,"HILIGHT1"}</definedName>
    <definedName name="_a2" hidden="1">{"hilight1",#N/A,FALSE,"HILIGHT1"}</definedName>
    <definedName name="_a3" localSheetId="16" hidden="1">{"hilight2",#N/A,FALSE,"HILIGHT2"}</definedName>
    <definedName name="_a3" hidden="1">{"hilight2",#N/A,FALSE,"HILIGHT2"}</definedName>
    <definedName name="_a4" localSheetId="16" hidden="1">{"hilight3",#N/A,FALSE,"HILIGHT3"}</definedName>
    <definedName name="_a4" hidden="1">{"hilight3",#N/A,FALSE,"HILIGHT3"}</definedName>
    <definedName name="_a5" localSheetId="16" hidden="1">{"income",#N/A,FALSE,"INCOME"}</definedName>
    <definedName name="_a5" hidden="1">{"income",#N/A,FALSE,"INCOME"}</definedName>
    <definedName name="_a6" localSheetId="16" hidden="1">{"index",#N/A,FALSE,"INDEX"}</definedName>
    <definedName name="_a6" hidden="1">{"index",#N/A,FALSE,"INDEX"}</definedName>
    <definedName name="_a7" localSheetId="16" hidden="1">{"PRINT_EST",#N/A,FALSE,"ESTMON"}</definedName>
    <definedName name="_a7" hidden="1">{"PRINT_EST",#N/A,FALSE,"ESTMON"}</definedName>
    <definedName name="_a8" localSheetId="16" hidden="1">{"revsale",#N/A,FALSE,"REV-ยุพดี"}</definedName>
    <definedName name="_a8" hidden="1">{"revsale",#N/A,FALSE,"REV-ยุพดี"}</definedName>
    <definedName name="_a9" localSheetId="16" hidden="1">{"revable",#N/A,FALSE,"REVABLE"}</definedName>
    <definedName name="_a9" hidden="1">{"revable",#N/A,FALSE,"REVABLE"}</definedName>
    <definedName name="_CD2" localSheetId="16" hidden="1">{"'Sheet1'!$L$16"}</definedName>
    <definedName name="_CD2" hidden="1">{"'Sheet1'!$L$16"}</definedName>
    <definedName name="_Fill" hidden="1">#REF!</definedName>
    <definedName name="_xlnm._FilterDatabase" localSheetId="12" hidden="1">'W1'!$C$39:$AP$58</definedName>
    <definedName name="_xlnm._FilterDatabase" localSheetId="14" hidden="1">'W3'!$A$17:$AJ$487</definedName>
    <definedName name="_xlnm._FilterDatabase" localSheetId="16" hidden="1">#REF!</definedName>
    <definedName name="_xlnm._FilterDatabase" hidden="1">#REF!</definedName>
    <definedName name="_FOH2006" localSheetId="16" hidden="1">{#N/A,#N/A,FALSE,"TL";#N/A,#N/A,FALSE,"KK";#N/A,#N/A,FALSE,"TS";#N/A,#N/A,FALSE,"KW";#N/A,#N/A,FALSE,"LP";#N/A,#N/A,FALSE,"DC"}</definedName>
    <definedName name="_FOH2006" hidden="1">{#N/A,#N/A,FALSE,"TL";#N/A,#N/A,FALSE,"KK";#N/A,#N/A,FALSE,"TS";#N/A,#N/A,FALSE,"KW";#N/A,#N/A,FALSE,"LP";#N/A,#N/A,FALSE,"DC"}</definedName>
    <definedName name="_Goi8" localSheetId="16" hidden="1">{"'Sheet1'!$L$16"}</definedName>
    <definedName name="_Goi8" hidden="1">{"'Sheet1'!$L$16"}</definedName>
    <definedName name="_Key1" hidden="1">#REF!</definedName>
    <definedName name="_Key2" hidden="1">#REF!</definedName>
    <definedName name="_KP300" localSheetId="16" hidden="1">{"level1",#N/A,FALSE,"1_LEV";"LEVEL1",#N/A,FALSE,"1_LEV"}</definedName>
    <definedName name="_KP300" hidden="1">{"level1",#N/A,FALSE,"1_LEV";"LEVEL1",#N/A,FALSE,"1_LEV"}</definedName>
    <definedName name="_Order1" hidden="1">255</definedName>
    <definedName name="_Order2" hidden="1">255</definedName>
    <definedName name="_Parse_In" localSheetId="16" hidden="1">#REF!</definedName>
    <definedName name="_Parse_In" hidden="1">#REF!</definedName>
    <definedName name="_Parse_Out" hidden="1">#REF!</definedName>
    <definedName name="_Sort" localSheetId="16" hidden="1">#REF!</definedName>
    <definedName name="_Sort" hidden="1">#REF!</definedName>
    <definedName name="_tram" hidden="1">#REF!</definedName>
    <definedName name="_Z1" localSheetId="16" hidden="1">{"'ตัวอย่าง'!$A$1:$O$21"}</definedName>
    <definedName name="_Z1" hidden="1">{"'ตัวอย่าง'!$A$1:$O$21"}</definedName>
    <definedName name="AA.Report.Files" hidden="1">#REF!</definedName>
    <definedName name="AA.Reports.Available" hidden="1">#REF!</definedName>
    <definedName name="aaaaa" localSheetId="16" hidden="1">{"Profit",#N/A,FALSE,"448k";"Capital",#N/A,FALSE,"448k"}</definedName>
    <definedName name="aaaaa" hidden="1">{"Profit",#N/A,FALSE,"448k";"Capital",#N/A,FALSE,"448k"}</definedName>
    <definedName name="AccessOpt" hidden="1">"Yes"</definedName>
    <definedName name="aef" localSheetId="16" hidden="1">{"'ตัวอย่าง'!$A$1:$O$21"}</definedName>
    <definedName name="aef" hidden="1">{"'ตัวอย่าง'!$A$1:$O$21"}</definedName>
    <definedName name="afd" localSheetId="16" hidden="1">{"'ตัวอย่าง'!$A$1:$O$21"}</definedName>
    <definedName name="afd" hidden="1">{"'ตัวอย่าง'!$A$1:$O$21"}</definedName>
    <definedName name="ai" localSheetId="16" hidden="1">{"level1",#N/A,FALSE,"1_LEV";"LEVEL1",#N/A,FALSE,"1_LEV"}</definedName>
    <definedName name="ai" hidden="1">{"level1",#N/A,FALSE,"1_LEV";"LEVEL1",#N/A,FALSE,"1_LEV"}</definedName>
    <definedName name="anscount" hidden="1">2</definedName>
    <definedName name="AS" localSheetId="16" hidden="1">{#N/A,#N/A,FALSE,"4_TOTAL";#N/A,#N/A,FALSE,"3_2TOTAL";#N/A,#N/A,FALSE,"5_INCOME";#N/A,#N/A,FALSE,"2_2LEV";#N/A,#N/A,FALSE,"2_2LEVYTD";#N/A,#N/A,FALSE,"BALANCE";#N/A,#N/A,FALSE,"CASHFLOW";#N/A,#N/A,FALSE,"PRODUCT";#N/A,#N/A,FALSE,"SALES";#N/A,#N/A,FALSE,"AGING"}</definedName>
    <definedName name="AS" hidden="1">{#N/A,#N/A,FALSE,"4_TOTAL";#N/A,#N/A,FALSE,"3_2TOTAL";#N/A,#N/A,FALSE,"5_INCOME";#N/A,#N/A,FALSE,"2_2LEV";#N/A,#N/A,FALSE,"2_2LEVYTD";#N/A,#N/A,FALSE,"BALANCE";#N/A,#N/A,FALSE,"CASHFLOW";#N/A,#N/A,FALSE,"PRODUCT";#N/A,#N/A,FALSE,"SALES";#N/A,#N/A,FALSE,"AGING"}</definedName>
    <definedName name="AS2DocOpenMode" hidden="1">"AS2DocumentEdit"</definedName>
    <definedName name="asdf" hidden="1">#REF!</definedName>
    <definedName name="ass" localSheetId="16" hidden="1">{"revable",#N/A,FALSE,"REVABLE"}</definedName>
    <definedName name="ass" hidden="1">{"revable",#N/A,FALSE,"REVABLE"}</definedName>
    <definedName name="AUGFIX01" localSheetId="16" hidden="1">{"level1",#N/A,FALSE,"1_LEV";"LEVEL1",#N/A,FALSE,"1_LEV"}</definedName>
    <definedName name="AUGFIX01" hidden="1">{"level1",#N/A,FALSE,"1_LEV";"LEVEL1",#N/A,FALSE,"1_LEV"}</definedName>
    <definedName name="AUGFIX02" localSheetId="16" hidden="1">{"level1",#N/A,FALSE,"1_LEV";"LEVEL1",#N/A,FALSE,"1_LEV"}</definedName>
    <definedName name="AUGFIX02" hidden="1">{"level1",#N/A,FALSE,"1_LEV";"LEVEL1",#N/A,FALSE,"1_LEV"}</definedName>
    <definedName name="BBB" localSheetId="16" hidden="1">{#N/A,#N/A,FALSE,"SYSOC";#N/A,#N/A,FALSE,"RESU-GESTION";#N/A,#N/A,FALSE,"EVOL-MNA";#N/A,#N/A,FALSE,"VTAS-ANALI";#N/A,#N/A,FALSE,"ANALI-GSFIJOS";#N/A,#N/A,FALSE,"DETA-RUBROS";#N/A,#N/A,FALSE,"ANALI-CNF";#N/A,#N/A,FALSE,"BILAN";#N/A,#N/A,FALSE,"TAB_FIN";#N/A,#N/A,FALSE,"IND_ECO"}</definedName>
    <definedName name="BBB" hidden="1">{#N/A,#N/A,FALSE,"SYSOC";#N/A,#N/A,FALSE,"RESU-GESTION";#N/A,#N/A,FALSE,"EVOL-MNA";#N/A,#N/A,FALSE,"VTAS-ANALI";#N/A,#N/A,FALSE,"ANALI-GSFIJOS";#N/A,#N/A,FALSE,"DETA-RUBROS";#N/A,#N/A,FALSE,"ANALI-CNF";#N/A,#N/A,FALSE,"BILAN";#N/A,#N/A,FALSE,"TAB_FIN";#N/A,#N/A,FALSE,"IND_ECO"}</definedName>
    <definedName name="BO00043B7E1E324A3B816B38E3ACAE0671" hidden="1">#REF!</definedName>
    <definedName name="BO001D509B859B4E6D8B03981122F6CF9A" hidden="1">#REF!</definedName>
    <definedName name="BO00469B4A8FC24A3B870A9D7B502678F0" hidden="1">#REF!</definedName>
    <definedName name="BO00511179B958499598FEC41C5AC390A4" hidden="1">#REF!</definedName>
    <definedName name="BO005A577D92864FC8B40998831CDFE7A8" hidden="1">#REF!</definedName>
    <definedName name="BO005BDC81E98343A093AADEF94EB59FAF" hidden="1">#REF!</definedName>
    <definedName name="BO0072FE9EACD94DEDAA496B23B65E7D1C" hidden="1">#REF!</definedName>
    <definedName name="BO00812175877B44EE88DDEE95E65B5A27" hidden="1">#REF!</definedName>
    <definedName name="BO00A6737BAC0E4619AF80A481C30796C1" hidden="1">#REF!</definedName>
    <definedName name="BO00CD9D7A0C624F4BB2AF0F67622C7F91" hidden="1">#REF!</definedName>
    <definedName name="BO00D8F3CF7CD2475BB9B1385DA290D0F5" hidden="1">#REF!</definedName>
    <definedName name="BO0129892555A4411A8EC61716113918DD" hidden="1">#REF!</definedName>
    <definedName name="BO018E3CCFDE224CDDABC737A9A76A8FDA" hidden="1">#REF!</definedName>
    <definedName name="BO01D0E16CBD0C473996504B44510A2B25" hidden="1">#REF!</definedName>
    <definedName name="BO01EF9BC3509746939ED1C0E4F00BF055" hidden="1">#REF!</definedName>
    <definedName name="BO020F2E97F5CF403D8F93927170418F64" hidden="1">#REF!</definedName>
    <definedName name="BO02392633CA99433B88D46F2EF39F428A" hidden="1">#REF!</definedName>
    <definedName name="BO02516734C6DF4EF2B0A72A47B8AABEFB" hidden="1">#REF!</definedName>
    <definedName name="BO028E39D140FF49049FAF8BBBD288FBDC" hidden="1">#REF!</definedName>
    <definedName name="BO0298FD225F294931811B0F63E6435B0F" hidden="1">#REF!</definedName>
    <definedName name="BO02A5060651364F86A67E16B0D01E5044" hidden="1">#REF!</definedName>
    <definedName name="BO02A8FD3A8942468DBAD7F1EDD7F87346" hidden="1">#REF!</definedName>
    <definedName name="BO02B4A629B0A64CA08F02737274717F08" hidden="1">#REF!</definedName>
    <definedName name="BO02DC581C85D44A4389CC4C44151E1DB0" hidden="1">#REF!</definedName>
    <definedName name="BO0316956B2BAC45A481DC8002316172FC" hidden="1">#REF!</definedName>
    <definedName name="BO031CB95051AA419CB611A1C0F7545ED6" hidden="1">#REF!</definedName>
    <definedName name="BO0328F39573D7436EA381251DD7480737" hidden="1">#REF!</definedName>
    <definedName name="BO0329DF376872482BAF40387242076A6D" hidden="1">#REF!</definedName>
    <definedName name="BO034C1D37DF534343A97C0F61C184324C" hidden="1">#REF!</definedName>
    <definedName name="BO036A36663A234B36B1D4EE07A3B64966" hidden="1">#REF!</definedName>
    <definedName name="BO03B0651779BF413996A5DE334F47529E" hidden="1">#REF!</definedName>
    <definedName name="BO03D993E14C9345D9A09E5317112E649E" hidden="1">#REF!</definedName>
    <definedName name="BO03FF099F75314586A6835C388F1BF0E1" hidden="1">#REF!</definedName>
    <definedName name="BO0417ED1D7CBF4ED2B28EA719E997CA52" hidden="1">#REF!</definedName>
    <definedName name="BO0441DA88C7F74AE9BFADC1941F5CF686" hidden="1">#REF!</definedName>
    <definedName name="BO044F0637C2AD47F09DFC37A56C115C0E" hidden="1">#REF!</definedName>
    <definedName name="BO048A491E9D8F402587ED350C273C7635" hidden="1">#REF!</definedName>
    <definedName name="BO048C4D3FE93F49AA8198D2880A899608" hidden="1">#REF!</definedName>
    <definedName name="BO049368304C694928BF12E8C39A084E34" hidden="1">#REF!</definedName>
    <definedName name="BO0497D4BA7B1F46C88C265E498D165441" hidden="1">#REF!</definedName>
    <definedName name="BO049DD26879614F4D8D1A8B4DE85A5A00" hidden="1">#REF!</definedName>
    <definedName name="BO04B25781FA1341529AF5AB3CBE3AC2CB" hidden="1">#REF!</definedName>
    <definedName name="BO04BF788D29F64A1989788FA25E12E023" hidden="1">#REF!</definedName>
    <definedName name="BO051C1091726B452B8D655520FF5EE783" hidden="1">#REF!</definedName>
    <definedName name="BO053101CB6B5347D1A1EBDB90D6FB228A" hidden="1">#REF!</definedName>
    <definedName name="BO05419C07D7B6466394350974D9D4F877" hidden="1">#REF!</definedName>
    <definedName name="BO054ED8F6C4F44487ADB29B59982252CC" hidden="1">#REF!</definedName>
    <definedName name="BO055E5CFDB95646998EC626861A0C2B73" hidden="1">#REF!</definedName>
    <definedName name="BO05825FB84EB24E3B83FF5DCC93F10D81" hidden="1">#REF!</definedName>
    <definedName name="BO05995E7AB6704082ADAB4A0B58C5CEEF" hidden="1">#REF!</definedName>
    <definedName name="BO05A3F61282EC43B3B97A691A40F7C450" hidden="1">#REF!</definedName>
    <definedName name="BO05C2DB77C7B947E98528927DCA453F7F" hidden="1">#REF!</definedName>
    <definedName name="BO05CDD744762749858557A0B082E5E0CC" hidden="1">#REF!</definedName>
    <definedName name="BO060F8C52B3094EAC877EBE571B0DF8B1" hidden="1">#REF!</definedName>
    <definedName name="BO0628130A34F34472B8E9063AF8F9AFC3" hidden="1">#REF!</definedName>
    <definedName name="BO06444E01A6B34207B4CD327BA584CFFF" hidden="1">#REF!</definedName>
    <definedName name="BO065127342F5E49D488919F425C845667" hidden="1">#REF!</definedName>
    <definedName name="BO0661E126B4BF4E8EACCA3FBD6C2C87CF" hidden="1">#REF!</definedName>
    <definedName name="BO06760500AD0C4142A407DB3927CE2BAE" hidden="1">#REF!</definedName>
    <definedName name="BO06857A035FAF4289957CDE75EB967671" hidden="1">#REF!</definedName>
    <definedName name="BO069278A1412F47DE85C43EB68CAF717F" hidden="1">#REF!</definedName>
    <definedName name="BO06A1D57108984BD8BFF93A7198192A58" hidden="1">#REF!</definedName>
    <definedName name="BO06B55AE9F1974782A547E2592A91DC44" hidden="1">#REF!</definedName>
    <definedName name="BO06CDADE6119F4877A0512DB59C5C94BF" hidden="1">#REF!</definedName>
    <definedName name="BO06E32C35EADD426283277A6F4767C6B0" hidden="1">#REF!</definedName>
    <definedName name="BO06F7275DF23345599284D3C4A571E0B7" hidden="1">#REF!</definedName>
    <definedName name="BO0748F9E9364A44AAB45528629279E47E" hidden="1">#REF!</definedName>
    <definedName name="BO076D271E53024E82B0564BC6E6B8C52B" hidden="1">#REF!</definedName>
    <definedName name="BO07720AA381684C1982634DF097D5658D" hidden="1">#REF!</definedName>
    <definedName name="BO0789E5305658448CB66B462D6CE4F4BA" hidden="1">#REF!</definedName>
    <definedName name="BO07B5E13CAA4346C2B80A18CCB51064C0" hidden="1">#REF!</definedName>
    <definedName name="BO07BC23E784F941FAADD17157A1CB33AD" hidden="1">#REF!</definedName>
    <definedName name="BO07BEF03937C14F1F82EB8B092E03BDC0" hidden="1">#REF!</definedName>
    <definedName name="BO07CF77C24A4B44DDB08669A0C267D9E2" hidden="1">#REF!</definedName>
    <definedName name="BO080FC624DC7D4EC58A73B6445EFE83D5" hidden="1">#REF!</definedName>
    <definedName name="BO08108BE3901A43B4BB727284F0DE1350" hidden="1">#REF!</definedName>
    <definedName name="BO0813779BF7A441E4B829B7EE15E1F5B1" hidden="1">#REF!</definedName>
    <definedName name="BO082937E7E8384EE39F50885F11A99C90" hidden="1">#REF!</definedName>
    <definedName name="BO0880E86E8DAA4FBE98CCD8F4F1DAC7F6" hidden="1">#REF!</definedName>
    <definedName name="BO08C624A094B64DA8B640575212B5C126" hidden="1">#REF!</definedName>
    <definedName name="BO08D9E70F5D7D4899B7F098067EC1CF0D" hidden="1">#REF!</definedName>
    <definedName name="BO08DB01CDE2CD4C38AEBBE72539089923" hidden="1">#REF!</definedName>
    <definedName name="BO08E8A4D0D99A45F4AB50AB8CCC759E80" hidden="1">#REF!</definedName>
    <definedName name="BO08EF964A3F544A6A9831BD58A1BDB761" hidden="1">#REF!</definedName>
    <definedName name="BO094B22A2B81E4A909F1E33DDC80B47F0" hidden="1">#REF!</definedName>
    <definedName name="BO096A288CD2B241D3B6E5D99F7CC46080" hidden="1">#REF!</definedName>
    <definedName name="BO096CE2A90C4A41B5B366879C41DFCDAA" hidden="1">#REF!</definedName>
    <definedName name="BO097FA591C7F24B78A7B81D10C92CD657" hidden="1">#REF!</definedName>
    <definedName name="BO09858E7F51104BCE9A132E93A02FD9A5" hidden="1">#REF!</definedName>
    <definedName name="BO099F887F9C5F4068BA6B8F1084394257" hidden="1">#REF!</definedName>
    <definedName name="BO09B01FBE487D42169A0B01DC62FE7DDC" hidden="1">#REF!</definedName>
    <definedName name="BO09B1C52A1D8443609A270B3D7E126A13" hidden="1">#REF!</definedName>
    <definedName name="BO09C22B1D529145609DEC624CE7B07293" hidden="1">#REF!</definedName>
    <definedName name="BO09C3E790E8D9462BAE7754E47C08E4E9" hidden="1">#REF!</definedName>
    <definedName name="BO09F9926728774B699D17E2EB79FE2047" hidden="1">#REF!</definedName>
    <definedName name="BO09FB4DFBEE664BB5A9A0F935EDAE0910" hidden="1">#REF!</definedName>
    <definedName name="BO0A23B7D284D446FE9C1DD53288BD27DE" hidden="1">#REF!</definedName>
    <definedName name="BO0A692014A9F34BC5A0E9C318C9192144" hidden="1">#REF!</definedName>
    <definedName name="BO0A748E0D694E4A95BE1F938C385817CA" hidden="1">#REF!</definedName>
    <definedName name="BO0A7575E7F6E74826988292EB5B4093AE" hidden="1">#REF!</definedName>
    <definedName name="BO0A920544EB81456B85FAC9B67A3FF171" hidden="1">#REF!</definedName>
    <definedName name="BO0AA2FDCFA64447DF8256CCDAAF790D83" hidden="1">#REF!</definedName>
    <definedName name="BO0AB2BAACBF594870B22CA7819C14CABA" hidden="1">#REF!</definedName>
    <definedName name="BO0AB3771B806B45068A9904218B7C5228" hidden="1">#REF!</definedName>
    <definedName name="BO0ADF9A38BBB74FA484953A9E1DBDB5E6" hidden="1">#REF!</definedName>
    <definedName name="BO0AE560EC229F4837AAC8130E0FC6643F" hidden="1">#REF!</definedName>
    <definedName name="BO0B15AAC55B6F4E83950274F89A679C15" hidden="1">#REF!</definedName>
    <definedName name="BO0B4162F0BA614929BBA6B308050817A0" hidden="1">#REF!</definedName>
    <definedName name="BO0B417597CBF74CC483AEBD408A5D6361" hidden="1">#REF!</definedName>
    <definedName name="BO0BBF1A7A0878418D95B9CAE48927AE44" hidden="1">#REF!</definedName>
    <definedName name="BO0BD0AEE8541F48F3B1E2E1BA54D1700B" hidden="1">#REF!</definedName>
    <definedName name="BO0BE3A585969F49B1B1C585B4CB0CDC8D" hidden="1">#REF!</definedName>
    <definedName name="BO0BE95B3C4C274F49B67AA10EF360BE54" hidden="1">#REF!</definedName>
    <definedName name="BO0C00665F68114FC08E6F90C337B79243" hidden="1">#REF!</definedName>
    <definedName name="BO0C0A2392D627480DAAA517D2036A1F89" hidden="1">#REF!</definedName>
    <definedName name="BO0C1588B296D24080A5CF6ADCD90CC710" hidden="1">#REF!</definedName>
    <definedName name="BO0C17E817C2D144F2834C6BD18FADD8FA" hidden="1">#REF!</definedName>
    <definedName name="BO0C38F2CF945940E5A5FE470897C4E1BF" hidden="1">#REF!</definedName>
    <definedName name="BO0C5AC168B74E4DC5B44FC5C62A5781B6" hidden="1">#REF!</definedName>
    <definedName name="BO0C6E3F00004541F98642D415C462327D" hidden="1">#REF!</definedName>
    <definedName name="BO0C6EB03FCF5943CFBD625011881D07ED" hidden="1">#REF!</definedName>
    <definedName name="BO0C7282636F7C4F2887993571F995D137" hidden="1">#REF!</definedName>
    <definedName name="BO0C8471AFC6804FFFA3591B15EACBD181" hidden="1">#REF!</definedName>
    <definedName name="BO0C8517565CE449748D03306C29DCE056" hidden="1">#REF!</definedName>
    <definedName name="BO0CD122B513B74229B1D51F8E728EC17C" hidden="1">#REF!</definedName>
    <definedName name="BO0D12A207895945AF91F604B363C11B8D" hidden="1">#REF!</definedName>
    <definedName name="BO0D2433943B3E48368AB07223E9910CAE" hidden="1">#REF!</definedName>
    <definedName name="BO0D433F8DB1E648C5BE62989780E9E6E7" hidden="1">#REF!</definedName>
    <definedName name="BO0D8012E44B8345678130C08C96324DA3" hidden="1">#REF!</definedName>
    <definedName name="BO0D8BA2F600A945BF86F3792D70670A12" hidden="1">#REF!</definedName>
    <definedName name="BO0D95BE2323944543B198A1E5AD9E727B" hidden="1">#REF!</definedName>
    <definedName name="BO0DBD8E3011484F65BB422F97E0DD5E0F" hidden="1">#REF!</definedName>
    <definedName name="BO0DCC56FC632247BBB9075437D1DA9F49" hidden="1">#REF!</definedName>
    <definedName name="BO0DE5B032BD554D358472765883129529" hidden="1">#REF!</definedName>
    <definedName name="BO0E0DCCA8662A4B7D9624048C956E2349" hidden="1">#REF!</definedName>
    <definedName name="BO0E1E2F80FC8D4C0DB3564683D16EEFC1" hidden="1">#REF!</definedName>
    <definedName name="BO0E3744B5B95B4593842CB858CD9C693E" hidden="1">#REF!</definedName>
    <definedName name="BO0E92C76E22454378A2ADA4C84B066AE2" hidden="1">#REF!</definedName>
    <definedName name="BO0ED883B059E145E7AD618EAA4D4C0021" hidden="1">#REF!</definedName>
    <definedName name="BO0EFE864F0335421B9CA21E51583EA657" hidden="1">#REF!</definedName>
    <definedName name="BO0F2F1527902543118B3B0891D0B4342A" hidden="1">#REF!</definedName>
    <definedName name="BO0F40139F378C4754978E7B648F5EF76C" hidden="1">#REF!</definedName>
    <definedName name="BO0F4D33F674534ACBAEA5A52A9D5B3732" hidden="1">#REF!</definedName>
    <definedName name="BO0F5F084DF9434109A1D0148673E339CE" hidden="1">#REF!</definedName>
    <definedName name="BO0F607125CD504928928E6D4416EEEFC4" hidden="1">#REF!</definedName>
    <definedName name="BO0F8ED4536B0445B4946298F4B61EE3C4" hidden="1">#REF!</definedName>
    <definedName name="BO0FA8E789E3794953BF206F3E6698D7B0" hidden="1">#REF!</definedName>
    <definedName name="BO0FAA206141644A4A9CC2F711A9169654" hidden="1">#REF!</definedName>
    <definedName name="BO0FE7F6805CD74E4EA2B3D39BD3AF18E3" hidden="1">#REF!</definedName>
    <definedName name="BO0FF82BB103FB4B9A882AD5330EAE4FC6" hidden="1">#REF!</definedName>
    <definedName name="BO100DAFF26E56419D9A8CFC5AE2565CB4" hidden="1">#REF!</definedName>
    <definedName name="BO1011EFDB7313475AB25630C77E2CD7FB" hidden="1">#REF!</definedName>
    <definedName name="BO101EDBA5B09D4FBEA5C83431A243009A" hidden="1">#REF!</definedName>
    <definedName name="BO1026C64ECF28460A8F1662BA42D1D66F" hidden="1">#REF!</definedName>
    <definedName name="BO1037E116A07A44E8BF4CCE2C73F3599D" hidden="1">#REF!</definedName>
    <definedName name="BO103B44D247244130906D01A5B85452F0" hidden="1">#REF!</definedName>
    <definedName name="BO10494918D7FB4CDC81288D2F49DA6940" hidden="1">#REF!</definedName>
    <definedName name="BO104E67F80A4845CEBB2B25939F001D94" hidden="1">#REF!</definedName>
    <definedName name="BO107CF8CCC73047BAA48A0F3417125FB3" hidden="1">#REF!</definedName>
    <definedName name="BO10CFBC7FAF1B442DBB6CD191B6E80A4F" hidden="1">#REF!</definedName>
    <definedName name="BO10F37521359A421C8066E3BC8A799CCA" hidden="1">#REF!</definedName>
    <definedName name="BO10FD9B82E935477A99C13BA68F0F0892" hidden="1">#REF!</definedName>
    <definedName name="BO11157839ABA24ED0B1CFAA63ED39C8AE" hidden="1">#REF!</definedName>
    <definedName name="BO113AADB3EE164AB287BD823572C08C85" hidden="1">#REF!</definedName>
    <definedName name="BO113DBA7EFF8042ED8AB3ECF88DF64EDF" hidden="1">#REF!</definedName>
    <definedName name="BO113E1DCC2AFC49139CF1B61A6B72D8D0" hidden="1">#REF!</definedName>
    <definedName name="BO115150121C404B92B8292215FD47A676" hidden="1">#REF!</definedName>
    <definedName name="BO115FA841010345EA87622617C00ED59F" hidden="1">#REF!</definedName>
    <definedName name="BO115FD69D0BB94E1398EBFC921472CD65" hidden="1">#REF!</definedName>
    <definedName name="BO1177CD42210745D08166DB6025B4FF48" hidden="1">#REF!</definedName>
    <definedName name="BO1195F61C7239451DBF66E2469B3C5F36" hidden="1">#REF!</definedName>
    <definedName name="BO11D45D2A380E4753A698027552BE513C" hidden="1">#REF!</definedName>
    <definedName name="BO11EAB705D2034743837BC0B8152BBB41" hidden="1">#REF!</definedName>
    <definedName name="BO121210BE9D85473E8E940B3B7BB1F400" hidden="1">#REF!</definedName>
    <definedName name="BO1247719AFAA8494CB660516F8BCEC32F" hidden="1">#REF!</definedName>
    <definedName name="BO127F6BE867F948EF815573ED75221EA1" hidden="1">#REF!</definedName>
    <definedName name="BO128DA76DA2644090B145C6D45306439F" hidden="1">#REF!</definedName>
    <definedName name="BO12A467DD3B954167AD2B4FF98B2FCDC7" hidden="1">#REF!</definedName>
    <definedName name="BO12C40EA206EF41DEA0E055BF665F9DCC" hidden="1">#REF!</definedName>
    <definedName name="BO12DC5938A45A4514A9A3F1A5168F3DED" hidden="1">#REF!</definedName>
    <definedName name="BO12EA6B9B0705428C95E35AC2181BA78D" hidden="1">#REF!</definedName>
    <definedName name="BO12F9F287D7A04850829E8211565B6932" hidden="1">#REF!</definedName>
    <definedName name="BO1327AE4521634660B2EA04CBE197447B" hidden="1">#REF!</definedName>
    <definedName name="BO132943BF05E04514A93936E60D34EDC6" hidden="1">#REF!</definedName>
    <definedName name="BO13509C2E07C648D7ACC69CCC771BF5CF" hidden="1">#REF!</definedName>
    <definedName name="BO13599CB01A8D47B4B378E70E8D7C41BC" hidden="1">#REF!</definedName>
    <definedName name="BO13601DDCE16947E4BBE8CFA87C2969F9" hidden="1">#REF!</definedName>
    <definedName name="BO1378F1D0A4EC4F5C83A1A4FDFA8578E9" hidden="1">#REF!</definedName>
    <definedName name="BO13AA8629806448649C43B362638EC5D5" hidden="1">#REF!</definedName>
    <definedName name="BO1429D896D9EB44B1BB7DB6A2DCCFF7AF" hidden="1">#REF!</definedName>
    <definedName name="BO142B466C524B45059DA17FB555951F6C" hidden="1">#REF!</definedName>
    <definedName name="BO1478593DE5BF432496448798888CD526" hidden="1">#REF!</definedName>
    <definedName name="BO147AF726DF344222A289DB3D24063E1C" hidden="1">#REF!</definedName>
    <definedName name="BO1488627F89A5401EA8339050A5CD2FC3" hidden="1">#REF!</definedName>
    <definedName name="BO14A602C0C40349EBBDF7570C69069E69" hidden="1">#REF!</definedName>
    <definedName name="BO14C3044CB93D4F5C9AED3ABC0CD1704D" hidden="1">#REF!</definedName>
    <definedName name="BO14DB5AB40E69462D90B5A15B8FE2BA3C" hidden="1">#REF!</definedName>
    <definedName name="BO14DD6ABB03004D7CACDDFD4CF6783330" hidden="1">#REF!</definedName>
    <definedName name="BO150F2145D9F048989F095910F6DB863A" hidden="1">#REF!</definedName>
    <definedName name="BO152D3E36CF9A407C85522B9E34DE1E18" hidden="1">#REF!</definedName>
    <definedName name="BO153483A588284650A7BD009046AA2A34" hidden="1">#REF!</definedName>
    <definedName name="BO158544AA7C2642BE9E99B8FEC83AE723" hidden="1">#REF!</definedName>
    <definedName name="BO15C144F4B3E0469891DC697BD9C1532A" hidden="1">#REF!</definedName>
    <definedName name="BO15EDE4B451AD44888135FEEE3E0298D5" hidden="1">#REF!</definedName>
    <definedName name="BO15F32B9C3C6B413C8055C2621DDF9142" hidden="1">#REF!</definedName>
    <definedName name="BO1623BAFCAF594E84A7809584A5470354" hidden="1">#REF!</definedName>
    <definedName name="BO16BAEA0CA1FE4C08A4AB96BAE8EA3C4D" hidden="1">#REF!</definedName>
    <definedName name="BO16BEC480B13743C7B4D19D3239087E0A" hidden="1">#REF!</definedName>
    <definedName name="BO171128F9C4FC4C4891D9BA50B799FCE6" hidden="1">#REF!</definedName>
    <definedName name="BO174E8E33D1F3487195DAB1253FBC4A1A" hidden="1">#REF!</definedName>
    <definedName name="BO177B0CF65E3645D0BBE680158748C808" hidden="1">#REF!</definedName>
    <definedName name="BO17BF6E1ED3D74D5C891613E72B07CFBB" hidden="1">#REF!</definedName>
    <definedName name="BO17C622E24BA8475B9EEF613B3144940E" hidden="1">#REF!</definedName>
    <definedName name="BO17EDADCCB1F2469B880B4636F8708393" hidden="1">#REF!</definedName>
    <definedName name="BO17EE338A98D9485985C87A805C6D247A" hidden="1">#REF!</definedName>
    <definedName name="BO180D5AC456C54B1AA485F04675F631C7" hidden="1">#REF!</definedName>
    <definedName name="BO18286B73E6C94321BA98CC7D3C230477" hidden="1">#REF!</definedName>
    <definedName name="BO1841E0F7D2C548279375AB6B11931155" hidden="1">#REF!</definedName>
    <definedName name="BO1860AE00FE214A399CE58B8709759EC4" hidden="1">#REF!</definedName>
    <definedName name="BO186B93828BB04A65A458AA35FB43BF82" hidden="1">#REF!</definedName>
    <definedName name="BO189425889FCB441882A0ACDE25BC335F" hidden="1">#REF!</definedName>
    <definedName name="BO18B8EA73DA0243A7A08A02D2737471FB" hidden="1">#REF!</definedName>
    <definedName name="BO18D6B184C7EB4992AA27ABFE268A664B" hidden="1">#REF!</definedName>
    <definedName name="BO18FD27173E114434BAF0E07DADAC899D" hidden="1">#REF!</definedName>
    <definedName name="BO18FF1F4F75384C64A29B08F84D535D5D" hidden="1">#REF!</definedName>
    <definedName name="BO1901F05E215441F4B85A362B44AB1606" hidden="1">#REF!</definedName>
    <definedName name="BO19031D55D27F49D9A2A13E00425DECD2" hidden="1">#REF!</definedName>
    <definedName name="BO19032ED5DCCA4E539567A43957CF8F6D" hidden="1">#REF!</definedName>
    <definedName name="BO190E33B43B6B4814BED567F6F94D0F8A" hidden="1">#REF!</definedName>
    <definedName name="BO191EB76E52D341518882C76B1B666C25" hidden="1">#REF!</definedName>
    <definedName name="BO19271774A13B4E309F1D197D8074CC60" hidden="1">#REF!</definedName>
    <definedName name="BO1948DAE2ECF640E1AB72B496B8CC297B" hidden="1">#REF!</definedName>
    <definedName name="BO19541F74D54F4C42844BF088836BCFF7" hidden="1">#REF!</definedName>
    <definedName name="BO195858CCF4FE4B8BB30D59A947338D91" hidden="1">#REF!</definedName>
    <definedName name="BO1961457D86D84BBA95FA88A8DF50B156" hidden="1">#REF!</definedName>
    <definedName name="BO196AD46038C94804B4B05CA9A5E476C0" hidden="1">#REF!</definedName>
    <definedName name="BO197553773BDA4D21AFEC976B776A0563" hidden="1">#REF!</definedName>
    <definedName name="BO197AE668082B4509A27DC19CDF4FE657" hidden="1">#REF!</definedName>
    <definedName name="BO198A513E10804472981802D3B027DECD" hidden="1">#REF!</definedName>
    <definedName name="BO1996EE9E65EB44D2A94B65EA7FA4719A" hidden="1">#REF!</definedName>
    <definedName name="BO19AC5E7FAAA44074AAE72C6AE25E9BCD" hidden="1">#REF!</definedName>
    <definedName name="BO1A2406B3F537422AAD62498E0B9D9268" hidden="1">#REF!</definedName>
    <definedName name="BO1A6C5B1CAE1345999D9DFDEED0721750" hidden="1">#REF!</definedName>
    <definedName name="BO1ADA73E3E9D246E7A2989225A110C045" hidden="1">#REF!</definedName>
    <definedName name="BO1AE9E3C4A71942E4916D9548584CBF6D" hidden="1">#REF!</definedName>
    <definedName name="BO1AEEEEBA4DB94394924EA5BB23DB97CD" hidden="1">#REF!</definedName>
    <definedName name="BO1B0C1F3412774AAD82B1A0048F43394C" hidden="1">#REF!</definedName>
    <definedName name="BO1B5944B18CAE4F4EA64888896EA98CE3" hidden="1">#REF!</definedName>
    <definedName name="BO1B6A254ADDFE4E2BB4495FF2B8DBC33D" hidden="1">#REF!</definedName>
    <definedName name="BO1B6D4533806140F4BC15106CD0280204" hidden="1">#REF!</definedName>
    <definedName name="BO1B85A883F95C49CEB98C6DF26555C60B" hidden="1">#REF!</definedName>
    <definedName name="BO1B88135960FA42718BA4F85F97379171" hidden="1">#REF!</definedName>
    <definedName name="BO1BA0F85FEE9946789FB634B8E9D9DBBB" hidden="1">#REF!</definedName>
    <definedName name="BO1BB6877A87E34858B9490BC9C17E86A9" hidden="1">#REF!</definedName>
    <definedName name="BO1BD01FF0E4524022A25C824C6E59111D" hidden="1">#REF!</definedName>
    <definedName name="BO1BD3FB86C9A0455BB37599C94BB564CE" hidden="1">#REF!</definedName>
    <definedName name="BO1BD7F6ACD4384F4B9F3447154798A6E4" hidden="1">#REF!</definedName>
    <definedName name="BO1BF9E66E763B4EB98D25AC0291A05922" hidden="1">#REF!</definedName>
    <definedName name="BO1BFBB0B2A4FD488786350A7D065100AB" hidden="1">#REF!</definedName>
    <definedName name="BO1C212F7E93FD425EB8C7E403A359ADC4" hidden="1">#REF!</definedName>
    <definedName name="BO1C221C7E133F46F290B6C8355CE46EEB" hidden="1">#REF!</definedName>
    <definedName name="BO1C36BC29610C42C4B8952DC4538EE635" hidden="1">#REF!</definedName>
    <definedName name="BO1C5C8D2C30914762A13EA7F12F743B68" hidden="1">#REF!</definedName>
    <definedName name="BO1C971F33474941669EB07DD6AEBF0DED" hidden="1">#REF!</definedName>
    <definedName name="BO1C9C013EB3684B2482400A3F3678BCBC" hidden="1">#REF!</definedName>
    <definedName name="BO1CDFABE9376F4369B49FB2A91466507B" hidden="1">#REF!</definedName>
    <definedName name="BO1CE38C2DEBA34856B512C24EE3ADC823" hidden="1">#REF!</definedName>
    <definedName name="BO1CF581918036492BA441CBB8D16F1A47" hidden="1">#REF!</definedName>
    <definedName name="BO1D05B246E26B4B8C8A2B36D4400529E2" hidden="1">#REF!</definedName>
    <definedName name="BO1D4294C1EA4C4BAEBCA94586D74D1DC5" hidden="1">#REF!</definedName>
    <definedName name="BO1D4A365C386E4B4EA630D6FCE844C385" hidden="1">#REF!</definedName>
    <definedName name="BO1D6DD3B04A7849DEB77D645CDFFD2B77" hidden="1">#REF!</definedName>
    <definedName name="BO1D951DB00F204B15B36EDAB20E703593" hidden="1">#REF!</definedName>
    <definedName name="BO1DB8A055D05744F090E605B1BB368519" hidden="1">#REF!</definedName>
    <definedName name="BO1DC1363A774A4136B6D67FACEDEFA16E" hidden="1">#REF!</definedName>
    <definedName name="BO1DC1739350EF409D823B9B266AB509D2" hidden="1">#REF!</definedName>
    <definedName name="BO1DD62ED34D4A4EB2A2EF53C6A29AB304" hidden="1">#REF!</definedName>
    <definedName name="BO1DE0C534720C457AADD6950A7451EF52" hidden="1">#REF!</definedName>
    <definedName name="BO1E2194D8CDFB4D9BA7F5D75EC1B7BF1B" hidden="1">#REF!</definedName>
    <definedName name="BO1E280BFD04604DE0915A57BBF4DA734B" hidden="1">#REF!</definedName>
    <definedName name="BO1E66013F35AB46B4BB7BA3843995F77B" hidden="1">#REF!</definedName>
    <definedName name="BO1E8D0549E90A410B9A6343B381B9A6B7" hidden="1">#REF!</definedName>
    <definedName name="BO1EEB43E5768B490D93158CAC36C32735" hidden="1">#REF!</definedName>
    <definedName name="BO1F1DA32087A64A21B113D4CC5083B6F1" hidden="1">#REF!</definedName>
    <definedName name="BO1F1F0AC333B54AB8AA0A2B6A21DD90F9" hidden="1">#REF!</definedName>
    <definedName name="BO1F2247B4D19F44989217F8B7B69B91A2" hidden="1">#REF!</definedName>
    <definedName name="BO1F2F2D39B9134E14BF6909B867BD7AF6" hidden="1">#REF!</definedName>
    <definedName name="BO1F82DEF7BC6F4ABA8238DDF74DBBDCFA" hidden="1">#REF!</definedName>
    <definedName name="BO1F89B89382C44E3E9EA1286F9B7631AA" hidden="1">#REF!</definedName>
    <definedName name="BO1F8F14A650D04420837B2B50639E20F4" hidden="1">#REF!</definedName>
    <definedName name="BO1FC573480CA240178FF48E2670B7A4A0" hidden="1">#REF!</definedName>
    <definedName name="BO1FCF13EA22DA4A34A96BB43C0482914C" hidden="1">#REF!</definedName>
    <definedName name="BO2000FE749D724E9FA707A10923AA63BA" hidden="1">#REF!</definedName>
    <definedName name="BO20321A83463342B6BE9EED47341BE910" hidden="1">#REF!</definedName>
    <definedName name="BO2034D10499B544CB9B0F74995F6888FC" hidden="1">#REF!</definedName>
    <definedName name="BO203FF1C3A1E142D1B63E1B44172413DA" hidden="1">#REF!</definedName>
    <definedName name="BO204642FE513F4864BD957482DEE68B8F" hidden="1">#REF!</definedName>
    <definedName name="BO204FF4941138448AB83E89CC50327F00" hidden="1">#REF!</definedName>
    <definedName name="BO2050121A0DF142E7ACBF0C2149DF60DB" hidden="1">#REF!</definedName>
    <definedName name="BO206329EB267149C4A8AA8B5A10CA0B23" hidden="1">#REF!</definedName>
    <definedName name="BO20B1EF585C2845948F50CE07BBB23873" hidden="1">#REF!</definedName>
    <definedName name="BO20D1E453DC204AA7855E147F78DD6AAD" hidden="1">#REF!</definedName>
    <definedName name="BO212DD771873C47AAA57B60EB6B9F57BD" hidden="1">#REF!</definedName>
    <definedName name="BO214488B37F2C49C698D6B5AB57289540" hidden="1">#REF!</definedName>
    <definedName name="BO214D132833814397B2BD1FE796DC5190" hidden="1">#REF!</definedName>
    <definedName name="BO215053EE872749AEBA9B00A1BB1FFEDA" hidden="1">#REF!</definedName>
    <definedName name="BO21545020FCFF4D56B98295C96A8B077E" hidden="1">#REF!</definedName>
    <definedName name="BO217988AF085C4BACAAF426DE9B872531" hidden="1">#REF!</definedName>
    <definedName name="BO2189DB829D7F4206905850992E33E0A4" hidden="1">#REF!</definedName>
    <definedName name="BO218F81DAEFAD49AF9B3A72E321755754" hidden="1">#REF!</definedName>
    <definedName name="BO21B7D6B787174BE2B8F6B01A9D6AA5FE" hidden="1">#REF!</definedName>
    <definedName name="BO21C4FB5FE3604329AEA394B58537129B" hidden="1">#REF!</definedName>
    <definedName name="BO21D0E81725D8466AA71608F53692D790" hidden="1">#REF!</definedName>
    <definedName name="BO21D7421808CD43AEB5C11E05C94292F9" hidden="1">#REF!</definedName>
    <definedName name="BO2205B08A30A4409FA799FD8E9BEFE75F" hidden="1">#REF!</definedName>
    <definedName name="BO220D7DC8FBCC46DB8AE26ED60EB83250" hidden="1">#REF!</definedName>
    <definedName name="BO225AD737FABD40FEB1BD400F18DAFD79" hidden="1">#REF!</definedName>
    <definedName name="BO22610F6E625A439A8F25394A176010A4" hidden="1">#REF!</definedName>
    <definedName name="BO22888E30CEE943998FCB14107ADFE414" hidden="1">#REF!</definedName>
    <definedName name="BO228F47AF9DF4454598ED125BC46429B3" hidden="1">#REF!</definedName>
    <definedName name="BO22916AF3B18045F194E6B4C88878CC89" hidden="1">#REF!</definedName>
    <definedName name="BO2293E5DE2C1E4AF389A9F0A14D86F5AF" hidden="1">#REF!</definedName>
    <definedName name="BO22A1A8DA83ED4E61AB9D4458E8BFBF5E" hidden="1">#REF!</definedName>
    <definedName name="BO22C69EDF24274F8C8A799D028C666604" hidden="1">#REF!</definedName>
    <definedName name="BO22D3C349283B473E826A3190CEF9563F" hidden="1">#REF!</definedName>
    <definedName name="BO22DAEE4154BE4F90AEB9FD073AD52242" hidden="1">#REF!</definedName>
    <definedName name="BO23012F6BDC194152B0763334AA8DE09A" hidden="1">#REF!</definedName>
    <definedName name="BO23209D5E42F647BC859A30AF7205B1EB" hidden="1">#REF!</definedName>
    <definedName name="BO232A1F5D59654CA6A0C19E0D0B1835E8" hidden="1">#REF!</definedName>
    <definedName name="BO238D5E71A2E1462CB8F96F7465F66260" hidden="1">#REF!</definedName>
    <definedName name="BO239512C7B5004432BAAF1A7F1FC243C5" hidden="1">#REF!</definedName>
    <definedName name="BO23AD48D3F0FF4E00B57ABF30917F461A" hidden="1">#REF!</definedName>
    <definedName name="BO23C11F2418AF424A9FB7F13AE8573CB8" hidden="1">#REF!</definedName>
    <definedName name="BO23C6AAE56A2449618B0EB245E68264AA" hidden="1">#REF!</definedName>
    <definedName name="BO23C787C3A9AF4D63ADA1DC818379D5A3" hidden="1">#REF!</definedName>
    <definedName name="BO23F1CFE4BC1D46BEB7ED2DB6E28AB9F7" hidden="1">#REF!</definedName>
    <definedName name="BO245314F5F48D49ECB9E2294C5FD21EF4" hidden="1">#REF!</definedName>
    <definedName name="BO246E872D11F54CBDA9CAAE7F3CEE8A3B" hidden="1">#REF!</definedName>
    <definedName name="BO248CF0663C3845EA91C27C65CD94A27B" hidden="1">#REF!</definedName>
    <definedName name="BO248FCFD187D14607903BF0499FC1EB08" hidden="1">#REF!</definedName>
    <definedName name="BO2491BAC9A38342598DD19C9D4DB0A34F" hidden="1">#REF!</definedName>
    <definedName name="BO2495A54824434CB189951F5549DEB370" hidden="1">#REF!</definedName>
    <definedName name="BO24A8918ECB1C4B1EAAC4F1A0663C1145" hidden="1">#REF!</definedName>
    <definedName name="BO24BA25EDB1A44A8E8DBB72F1D4D29577" hidden="1">#REF!</definedName>
    <definedName name="BO24E609E1B65A4E6D90B359EFB6863E2A" hidden="1">#REF!</definedName>
    <definedName name="BO2519A3AFD9904F0EA701766B92D044A5" hidden="1">#REF!</definedName>
    <definedName name="BO251EB7BFC4E14C0681BE2DCEEAD845E7" hidden="1">#REF!</definedName>
    <definedName name="BO252C3CBD29A243C0AEDAC1F87AD31F53" hidden="1">#REF!</definedName>
    <definedName name="BO253ACAECC53145009F3843BD2D2D919F" hidden="1">#REF!</definedName>
    <definedName name="BO25534CD9966549BBBEF5257F84D5DBE7" hidden="1">#REF!</definedName>
    <definedName name="BO258A9ECB60464A8388B0908E365683DA" hidden="1">#REF!</definedName>
    <definedName name="BO25972B76844C4D6090FBC7E7F45106D6" hidden="1">#REF!</definedName>
    <definedName name="BO25CC43297124428EB72F08A9A2E14CDC" hidden="1">#REF!</definedName>
    <definedName name="BO25CE6931E52947EC9FF070514959E42A" hidden="1">#REF!</definedName>
    <definedName name="BO25E9553CF8974A33892EB1745060FD61" hidden="1">#REF!</definedName>
    <definedName name="BO2605237EAE654A23B72B55DAF523B6A6" hidden="1">#REF!</definedName>
    <definedName name="BO260C75EB0FE34E039A2639B39BA79B3D" hidden="1">#REF!</definedName>
    <definedName name="BO260CD5A6C36945F0889CD82152A4F67D" hidden="1">#REF!</definedName>
    <definedName name="BO2621C14BA85E4F63813A3AA292ECE0ED" hidden="1">#REF!</definedName>
    <definedName name="BO263E075F494444DD84B1B7BE398676C9" hidden="1">#REF!</definedName>
    <definedName name="BO263FD10022B946D7941BB791BCB0FFAF" hidden="1">#REF!</definedName>
    <definedName name="BO2672883EFAC5493481EFB4B31BDD63E6" hidden="1">#REF!</definedName>
    <definedName name="BO2684A03C65AE4FAC9C61F096104EFFBA" hidden="1">#REF!</definedName>
    <definedName name="BO26B4CA84091B46B0AA4A7DC046DB89D9" hidden="1">#REF!</definedName>
    <definedName name="BO26C7B304F6FA4B03AB8CF8A8BA949F2F" hidden="1">#REF!</definedName>
    <definedName name="BO26DA3E3B12F143B6A03B8DB89DEB0945" hidden="1">#REF!</definedName>
    <definedName name="BO26E084514C0D49058DBC96E0B99F9586" hidden="1">#REF!</definedName>
    <definedName name="BO270A5D31B3524AE3B86DF95ACF263DA5" hidden="1">#REF!</definedName>
    <definedName name="BO2712061D2CEE4515A14E98D80E1B0F54" hidden="1">#REF!</definedName>
    <definedName name="BO2713576DE8C640EB8F34FBFBC18DC2CF" hidden="1">#REF!</definedName>
    <definedName name="BO2736BE2C649942CAAD9C76A4AF14A7B5" hidden="1">#REF!</definedName>
    <definedName name="BO2746CE4B614C491EB43F40E15D1840DF" hidden="1">#REF!</definedName>
    <definedName name="BO275E25DD631F40F8B24EDCD86DD7FEC2" hidden="1">#REF!</definedName>
    <definedName name="BO275E4ECEE6494ABA8F39B3E706DB36F1" hidden="1">#REF!</definedName>
    <definedName name="BO276A19D8C2B04DC29C9152E8680B3A3A" hidden="1">#REF!</definedName>
    <definedName name="BO276E5B75752E42ABA7FFE433FA7483DB" hidden="1">#REF!</definedName>
    <definedName name="BO27816D7F127044918D1598D188090C9A" hidden="1">#REF!</definedName>
    <definedName name="BO27AFB7AC1D91473EA7307E41C74A7165" hidden="1">#REF!</definedName>
    <definedName name="BO27D814C769454C58B42460776C0DC153" hidden="1">#REF!</definedName>
    <definedName name="BO27FD3284091B4111A920005D69671CC4" hidden="1">#REF!</definedName>
    <definedName name="BO28058A6D0D9E43548DE48D1A42EF83A4" hidden="1">#REF!</definedName>
    <definedName name="BO2820D853115942E2941DF3C43B838765" hidden="1">#REF!</definedName>
    <definedName name="BO2822CE5A46F546959CCC53503C2BEEA3" hidden="1">#REF!</definedName>
    <definedName name="BO287E7F9F8DFC4F1B9069C51543542F7E" hidden="1">#REF!</definedName>
    <definedName name="BO289041DB794344C0BEE419C711E28AD3" hidden="1">#REF!</definedName>
    <definedName name="BO28ADD8D60FE240D793C9FCF23B3D9EE7" hidden="1">#REF!</definedName>
    <definedName name="BO28F284D5E1154013B0BD0FEA710FFC22" hidden="1">#REF!</definedName>
    <definedName name="BO29059DBAFB024C1B8E44428FD7EDBCF7" hidden="1">#REF!</definedName>
    <definedName name="BO292558CF2526419C8B5C330E0685DA10" hidden="1">#REF!</definedName>
    <definedName name="BO2950441D89D4497BB606AF9DBCCFB690" hidden="1">#REF!</definedName>
    <definedName name="BO295EFD04D22C4A1E87AF56BE5A809813" hidden="1">#REF!</definedName>
    <definedName name="BO29999A213FBF4583A9F7E72E99075BD1" hidden="1">#REF!</definedName>
    <definedName name="BO29A9074E43644BCEA73805D4C27C8D57" hidden="1">#REF!</definedName>
    <definedName name="BO29AEF4B23C8C4922BB345307749DFED9" hidden="1">#REF!</definedName>
    <definedName name="BO29B8A7989C614484827322D582CB22D3" hidden="1">#REF!</definedName>
    <definedName name="BO29CFEBF42BA04B0F9EF2B73368DD7D36" hidden="1">#REF!</definedName>
    <definedName name="BO29D9B6BABE6F40EDA1A64BAFBAAD0029" hidden="1">#REF!</definedName>
    <definedName name="BO29DF8390BF4D4D4C9C109B7FB0800587" hidden="1">#REF!</definedName>
    <definedName name="BO29EA5B2BE6EF4D02A0D124032B2C74A3" hidden="1">#REF!</definedName>
    <definedName name="BO29F37DD04DF84D13A76F83F278993FF5" hidden="1">#REF!</definedName>
    <definedName name="BO2A3663D01ABA40F1964CB61CBC037AFA" hidden="1">#REF!</definedName>
    <definedName name="BO2A3E54D24A3B47668D71E1C7274E7F28" hidden="1">#REF!</definedName>
    <definedName name="BO2A68C8385C834137AB6A597C4C15F834" hidden="1">#REF!</definedName>
    <definedName name="BO2ACEC73771DA4CA29214F27324CDF669" hidden="1">#REF!</definedName>
    <definedName name="BO2B35EC858E5E4498AB5E85A1F36C0B55" hidden="1">#REF!</definedName>
    <definedName name="BO2B3C5F919A5A4B3E98665B4E17AFD301" hidden="1">#REF!</definedName>
    <definedName name="BO2B4252BB76D04F66A45B9EE60EBB29B5" hidden="1">#REF!</definedName>
    <definedName name="BO2B6AAA2881A84B7C9BDD628A5D6EEC2D" hidden="1">#REF!</definedName>
    <definedName name="BO2B91C0FF7A1E481CAFD2A997AED66625" hidden="1">#REF!</definedName>
    <definedName name="BO2B9FFCE021A0461C872DCA59C3D3166F" hidden="1">#REF!</definedName>
    <definedName name="BO2BA86B254A414DDB8F10CD94B5839C2C" hidden="1">#REF!</definedName>
    <definedName name="BO2BFF76DEECCD4DF484E8CCDE5D6B2362" hidden="1">#REF!</definedName>
    <definedName name="BO2BFF9769E4C94BB790EEE557FF7DDB56" hidden="1">#REF!</definedName>
    <definedName name="BO2BFFFF55E91E412EAA08B005F0A65541" hidden="1">#REF!</definedName>
    <definedName name="BO2C367D597C6245EBA841FD9D9C4237E2" hidden="1">#REF!</definedName>
    <definedName name="BO2C783B4F85E24FB88F7951E6B8A86AB0" hidden="1">#REF!</definedName>
    <definedName name="BO2C889DD7D9D4453389EF2CC7C7400910" hidden="1">#REF!</definedName>
    <definedName name="BO2C893EF3E06045B8AAE30677A78003B4" hidden="1">#REF!</definedName>
    <definedName name="BO2C8C60696A424B1EACBBFDDE272D0A50" hidden="1">#REF!</definedName>
    <definedName name="BO2C9B63E184774916BE8749B98B8AE796" hidden="1">#REF!</definedName>
    <definedName name="BO2CAEB9A05E524B25B5984BDCD9C073D6" hidden="1">#REF!</definedName>
    <definedName name="BO2CB7639AD20549F3B40E039515EFF2EA" hidden="1">#REF!</definedName>
    <definedName name="BO2CFDBA12D8E94FF6AF9B5EA62A3C061E" hidden="1">#REF!</definedName>
    <definedName name="BO2D06A4A023464C6A8482AF000275C1A3" hidden="1">#REF!</definedName>
    <definedName name="BO2D26B3DF58A8486183A106C7BF1FA67E" hidden="1">#REF!</definedName>
    <definedName name="BO2D31A6FA7EB244579F44D35B99A4A8E4" hidden="1">#REF!</definedName>
    <definedName name="BO2D54BAB3A82B44928B563DE60EC0FD7D" hidden="1">#REF!</definedName>
    <definedName name="BO2D56E23DE46E41278B653EC68C177F70" hidden="1">#REF!</definedName>
    <definedName name="BO2D5ED7DAF43E440CBA2EDD04007603F7" hidden="1">#REF!</definedName>
    <definedName name="BO2D6952FC28424398BBE67A8663C3CAAA" hidden="1">#REF!</definedName>
    <definedName name="BO2D87AEA7FFE24D6298B56D6AC2B80C69" hidden="1">#REF!</definedName>
    <definedName name="BO2D8BC348CDD041779ECE70F98BC3F557" hidden="1">#REF!</definedName>
    <definedName name="BO2D8E3A6420914965BF19B696C6FDDB98" hidden="1">#REF!</definedName>
    <definedName name="BO2D9AC84D96AF42AA92BCDA8C34005373" hidden="1">#REF!</definedName>
    <definedName name="BO2DBD82CD6B5747D7A5D8C6F9F7CDAD2F" hidden="1">#REF!</definedName>
    <definedName name="BO2DCD5B6ED5004362994797D85763A69B" hidden="1">#REF!</definedName>
    <definedName name="BO2DCF80E250E645A29463073D5E33DF72" hidden="1">#REF!</definedName>
    <definedName name="BO2DD4678FCE224E6994B756524707755F" hidden="1">#REF!</definedName>
    <definedName name="BO2DD4E3C6BF6E4DA983890148DF40506D" hidden="1">#REF!</definedName>
    <definedName name="BO2DDB0BD841F340A8880296264AC1AD09" hidden="1">#REF!</definedName>
    <definedName name="BO2DED502E1D1E4D9C9CCEC23CEB3F40DD" hidden="1">#REF!</definedName>
    <definedName name="BO2DED886FB72E452D80B8CDB76E9B61DE" hidden="1">#REF!</definedName>
    <definedName name="BO2DF6685EBC6440CEBADE1F180B3EC72A" hidden="1">#REF!</definedName>
    <definedName name="BO2E0ADDF3EDA5412893AD4ACADC83B2FE" hidden="1">#REF!</definedName>
    <definedName name="BO2E0CEBF6C3334D0486E22BAF923C84FB" hidden="1">#REF!</definedName>
    <definedName name="BO2E9E3090B08D47EBBC36CF959D2176D1" hidden="1">#REF!</definedName>
    <definedName name="BO2EC57A3E2D884825BA0BD928EF4AE1AD" hidden="1">#REF!</definedName>
    <definedName name="BO2EC6D26CDEB347D78EAE0F11E5C52867" hidden="1">#REF!</definedName>
    <definedName name="BO2EDBF44490984D53A344E7B9CA6A35D0" hidden="1">#REF!</definedName>
    <definedName name="BO2F048AD87674415EBAF572BA92AF1215" hidden="1">#REF!</definedName>
    <definedName name="BO2F166ED9BE3F4F8AB2267F7697917DD0" hidden="1">#REF!</definedName>
    <definedName name="BO2F358C635E6F441BBFA6F1602189C967" hidden="1">#REF!</definedName>
    <definedName name="BO2F4539B649B74DA99365C8555DF35795" hidden="1">#REF!</definedName>
    <definedName name="BO2F4A80B58C7249F39C3A1B337E9D6D68" hidden="1">#REF!</definedName>
    <definedName name="BO2F6D4FCC2ECE4F8E86291FE9436839CB" hidden="1">#REF!</definedName>
    <definedName name="BO2F6D718B7E994EE6A3AB38E7D4068FAD" hidden="1">#REF!</definedName>
    <definedName name="BO2FB9B240E0EA492F83769264D9892D15" hidden="1">#REF!</definedName>
    <definedName name="BO2FC349B9327645118BC37D9143F7FAD5" hidden="1">#REF!</definedName>
    <definedName name="BO2FC45C16A3F54D729E26F3464A622F47" hidden="1">#REF!</definedName>
    <definedName name="BO305FCC173BF54F10B9CFB9C7D81F1623" hidden="1">#REF!</definedName>
    <definedName name="BO30BB2A290A4B4A7A86CF91ABD473B52C" hidden="1">#REF!</definedName>
    <definedName name="BO30F82A0F45F0488B9BF672A0DD5384B3" hidden="1">#REF!</definedName>
    <definedName name="BO312587118F00438F8D4DDD5EC86D6441" hidden="1">#REF!</definedName>
    <definedName name="BO3185C5AFD18F419BAA9951E27A665BEC" hidden="1">#REF!</definedName>
    <definedName name="BO31AE2847EEBD4163AFD0D5ACEBEE6896" hidden="1">#REF!</definedName>
    <definedName name="BO31B1C27CA2784591B3BD7B8F97CEC20D" hidden="1">#REF!</definedName>
    <definedName name="BO31B3626C280842DDB0F0576C3AB66A35" hidden="1">#REF!</definedName>
    <definedName name="BO31CD43A4563F48E3ADEF3B086F77F412" hidden="1">#REF!</definedName>
    <definedName name="BO31D8C066076E4283A10C0EDC7E92C950" hidden="1">#REF!</definedName>
    <definedName name="BO31DA1E9AC58D4BD2AA9F8600C99DE660" hidden="1">#REF!</definedName>
    <definedName name="BO31FF4845F0134E159EDFA068B8DF1456" hidden="1">#REF!</definedName>
    <definedName name="BO327C7F9E4E9D4477B4611F339FE9E318" hidden="1">#REF!</definedName>
    <definedName name="BO3289F49EFC034457B8AB42EB6E44BB67" hidden="1">#REF!</definedName>
    <definedName name="BO329031B61E9B4E1CB748E2BF18453CBA" hidden="1">#REF!</definedName>
    <definedName name="BO329794FEEEA848A3A8CD1316B34A9B9B" hidden="1">#REF!</definedName>
    <definedName name="BO32CC748630CD44A78FE35D7DD55C5CB1" hidden="1">#REF!</definedName>
    <definedName name="BO32D8C11D52E246B8B1167589D681611B" hidden="1">#REF!</definedName>
    <definedName name="BO32FCC3651E0F431EB99F7A93F30F5188" hidden="1">#REF!</definedName>
    <definedName name="BO333C6704208C4D37A85C8AEE75D910E8" hidden="1">#REF!</definedName>
    <definedName name="BO3361CC5D96CC46409F71EB663340E25A" hidden="1">#REF!</definedName>
    <definedName name="BO338ED8E6AEF84AA7BEB7D4A6F5B2FAFD" hidden="1">#REF!</definedName>
    <definedName name="BO33A986EB05E14342B05CFAE40A8B8CB3" hidden="1">#REF!</definedName>
    <definedName name="BO33D5D2E635444CE09A98AAF2ADA7433D" hidden="1">#REF!</definedName>
    <definedName name="BO33E5D2DECC00492E98BB2AE9970273F4" hidden="1">#REF!</definedName>
    <definedName name="BO3401980CAE564BF1889B707647DEED49" hidden="1">#REF!</definedName>
    <definedName name="BO34546B46330B469FB089735939C3C993" hidden="1">#REF!</definedName>
    <definedName name="BO3476F33D9F5F41FAAEA1A8A30DF6E387" hidden="1">#REF!</definedName>
    <definedName name="BO348D5DD8702F4F70A5106B888B0D1864" hidden="1">#REF!</definedName>
    <definedName name="BO34B0D1C3C2DF41599DDC64764EE93927" hidden="1">#REF!</definedName>
    <definedName name="BO34B7BDFF82DF4756A8B9115EECD3DD5D" hidden="1">#REF!</definedName>
    <definedName name="BO34D62F43660440BF9F470BD093905410" hidden="1">#REF!</definedName>
    <definedName name="BO34ECD4B14C4A4E6C9DA339E125472BD3" hidden="1">#REF!</definedName>
    <definedName name="BO35264F09D5384B21A7EBC93B5F190AEB" hidden="1">#REF!</definedName>
    <definedName name="BO35622FA1F1354C5196130C748559B8D8" hidden="1">#REF!</definedName>
    <definedName name="BO35C8047FFF54448D8A6763D6C5459131" hidden="1">#REF!</definedName>
    <definedName name="BO35CA3E17081642D39D09C6DF175E5552" hidden="1">#REF!</definedName>
    <definedName name="BO35D589D7C3EF4F3FAEA7A06BFCA51C0D" hidden="1">#REF!</definedName>
    <definedName name="BO35FDB2AB3FBE44869B1B8C3CB0C955E2" hidden="1">#REF!</definedName>
    <definedName name="BO361CD271CDE149DDACAFE0A75902BEA7" hidden="1">#REF!</definedName>
    <definedName name="BO36CC36EEBD19426B8489215F05CAE479" hidden="1">#REF!</definedName>
    <definedName name="BO36FCC1C5E1AF49029E2528DB50E43E11" hidden="1">#REF!</definedName>
    <definedName name="BO3728122716B1408E8B7F370B9BBFDADD" hidden="1">#REF!</definedName>
    <definedName name="BO37357DFCCF2E4C95A13F5E9BDBE13910" hidden="1">#REF!</definedName>
    <definedName name="BO375D335D9054414FAE3AF4C765CD8FED" hidden="1">#REF!</definedName>
    <definedName name="BO377B7DA4F59240ABAFF4CD152B5A32BD" hidden="1">#REF!</definedName>
    <definedName name="BO3792264F2CE543AEB8B229F81459D3B0" hidden="1">#REF!</definedName>
    <definedName name="BO37987DC4E7E64BA0A01C92162B351132" hidden="1">#REF!</definedName>
    <definedName name="BO37A8522087C146439B47E95567DA2B00" hidden="1">#REF!</definedName>
    <definedName name="BO37B5B0565C814B4A8335B6363188FD11" hidden="1">#REF!</definedName>
    <definedName name="BO37B7674CC9D940CE88895911F98A3658" hidden="1">#REF!</definedName>
    <definedName name="BO37E5C32029EF417DBAE749FA4EA393F1" hidden="1">#REF!</definedName>
    <definedName name="BO3805FF74986D4E4E954446E3B0CA6F78" hidden="1">#REF!</definedName>
    <definedName name="BO380BDFB5B2F341DE821942CE260EF734" hidden="1">#REF!</definedName>
    <definedName name="BO380C1362F5C049059095DD3D5CD093B6" hidden="1">#REF!</definedName>
    <definedName name="BO381BA5D3D1904961827A5C2547F80342" hidden="1">#REF!</definedName>
    <definedName name="BO382AB72B5084486E8979DEAE18FAB05E" hidden="1">#REF!</definedName>
    <definedName name="BO3833AF0366A74FD49AF696A151BE080B" hidden="1">#REF!</definedName>
    <definedName name="BO38358F4EB3074DEA9456C0100889315C" hidden="1">#REF!</definedName>
    <definedName name="BO3845D84FBF0F408F8AD81ECA1975371A" hidden="1">#REF!</definedName>
    <definedName name="BO384B1C23A2F047BB88E36A83ACA8E726" hidden="1">#REF!</definedName>
    <definedName name="BO3860910B7F314B8E93C1E2BDB2BC603C" hidden="1">#REF!</definedName>
    <definedName name="BO38880C9BAD5B4C55BB1BE90ADC595507" hidden="1">#REF!</definedName>
    <definedName name="BO38A9FA4A3B584052AB9E990F00374890" hidden="1">#REF!</definedName>
    <definedName name="BO38ACFF41E1054C7884A26494448FE045" hidden="1">#REF!</definedName>
    <definedName name="BO38C7A245BD944E6DAF71D4CC689E700E" hidden="1">#REF!</definedName>
    <definedName name="BO38D898D4B14F4460A586C53095BA18F1" hidden="1">#REF!</definedName>
    <definedName name="BO38E2291784D446E59218071F4DBDB8E0" hidden="1">#REF!</definedName>
    <definedName name="BO3905A32D80CC4E4ABF239EBD20D3FB27" hidden="1">#REF!</definedName>
    <definedName name="BO3909BFA3143A4B58B6B8CEB581E9528C" hidden="1">#REF!</definedName>
    <definedName name="BO39253DB67439440A8208AFD7A588CDDB" hidden="1">#REF!</definedName>
    <definedName name="BO392A098005984AFF8D735A33037308AD" hidden="1">#REF!</definedName>
    <definedName name="BO3949FD8C43E84F93B3A81C3E9948A54A" hidden="1">#REF!</definedName>
    <definedName name="BO399E5D7E445147B68FD2A13DF7A45368" hidden="1">#REF!</definedName>
    <definedName name="BO39A392411DC44588A12AD338FD5B7171" hidden="1">#REF!</definedName>
    <definedName name="BO39A42AF3D9DD42E98E5C5FFF35775A0D" hidden="1">#REF!</definedName>
    <definedName name="BO39B7451E2AAF47BE960AD17DF0F782DE" hidden="1">#REF!</definedName>
    <definedName name="BO39D7F0EB4B3148E7B7BE8DAB5CFD140F" hidden="1">#REF!</definedName>
    <definedName name="BO39F1C0CF94004E2AAC6539D1393D3197" hidden="1">#REF!</definedName>
    <definedName name="BO39F8056FEEF141EAAC3CB8637657E823" hidden="1">#REF!</definedName>
    <definedName name="BO3A0BA0E91DAE4579BBD495FE36F95B7E" hidden="1">#REF!</definedName>
    <definedName name="BO3A309A78D58A4D8DA0112124B97664D2" hidden="1">#REF!</definedName>
    <definedName name="BO3A3BDD3BEC6C4C3997F49262585037D2" hidden="1">#REF!</definedName>
    <definedName name="BO3A6A9E2B4DE641478A77ABFA2941AA4C" hidden="1">#REF!</definedName>
    <definedName name="BO3A9B34DFE8A742B487EF3D486DAB6796" hidden="1">#REF!</definedName>
    <definedName name="BO3ACB7C4849DE463297CDF3DAC73C5285" hidden="1">#REF!</definedName>
    <definedName name="BO3B02E8F8E6B94C10B3E37C67BA50F8F7" hidden="1">#REF!</definedName>
    <definedName name="BO3B303A9A732542CEB07F8235F68B611B" hidden="1">#REF!</definedName>
    <definedName name="BO3B46AD7B22E9452EA7B74971395C2D28" hidden="1">#REF!</definedName>
    <definedName name="BO3B6144B377CE45D39F7399D88759882F" hidden="1">#REF!</definedName>
    <definedName name="BO3B704C8087B542E29B354FC73C2EB35C" hidden="1">#REF!</definedName>
    <definedName name="BO3B8EDFAE9CEF4668895EF6B04607C798" hidden="1">#REF!</definedName>
    <definedName name="BO3BB1FCE0D8D34D60B9C97911F55F888B" hidden="1">#REF!</definedName>
    <definedName name="BO3BFFC976FA9B48C4A3837B2DF792D717" hidden="1">#REF!</definedName>
    <definedName name="BO3C06EB17E87B4F95AA9705D0810CA23A" hidden="1">#REF!</definedName>
    <definedName name="BO3C2040FAEA0E4F0F9AE59BA082DF29C0" hidden="1">#REF!</definedName>
    <definedName name="BO3C27A8CCF46440DFA286B770A5F55B3C" hidden="1">#REF!</definedName>
    <definedName name="BO3C82848169FA4D11A8672F7A9FE72C51" hidden="1">#REF!</definedName>
    <definedName name="BO3C98730A70FB4EF395F688F4CD7413F7" hidden="1">#REF!</definedName>
    <definedName name="BO3C99E538887C4467A365E8624D9B808D" hidden="1">#REF!</definedName>
    <definedName name="BO3CB504CE67F84322A30047C7F65DA37A" hidden="1">#REF!</definedName>
    <definedName name="BO3CCC9B2BC38C4D488D8B1493A73B781B" hidden="1">#REF!</definedName>
    <definedName name="BO3D04697C553443CE81E5698A9A11D376" hidden="1">#REF!</definedName>
    <definedName name="BO3D1106863D374B788E66E383A493EFFD" hidden="1">#REF!</definedName>
    <definedName name="BO3D4564B23F3B4C9895009145888A42D0" hidden="1">#REF!</definedName>
    <definedName name="BO3D5A94F872944439AEFDA585DD8D96C0" hidden="1">#REF!</definedName>
    <definedName name="BO3D63A776BB8B413697ACFD0792A79F25" hidden="1">#REF!</definedName>
    <definedName name="BO3D8149A4C7DD46C098821ABD82FCCBFC" hidden="1">#REF!</definedName>
    <definedName name="BO3DFEB735DF724D6A8195AAA7B2170B35" hidden="1">#REF!</definedName>
    <definedName name="BO3E07E937F13046F48C23FB837C43BEC3" hidden="1">#REF!</definedName>
    <definedName name="BO3E0B648F64D242B6B9E0CABA98A66A26" hidden="1">#REF!</definedName>
    <definedName name="BO3E2ABB9A8F2D4DB7A7A51D906D984800" hidden="1">#REF!</definedName>
    <definedName name="BO3E4674A939C24DFAA1C88B525C373305" hidden="1">#REF!</definedName>
    <definedName name="BO3E47F0D838F3454DA566A603391E2CA9" hidden="1">#REF!</definedName>
    <definedName name="BO3E58EA1F6C6B4B1EA49307682BA84A0D" hidden="1">#REF!</definedName>
    <definedName name="BO3EB98F7D879348158884714BB62D2C9B" hidden="1">#REF!</definedName>
    <definedName name="BO3EDDDE35F2BC4BF9A8EAD3D01D0AFA69" hidden="1">#REF!</definedName>
    <definedName name="BO3EEDD1275B594EE6931BB2B423647F40" hidden="1">#REF!</definedName>
    <definedName name="BO3F00F2E605A84C248AEFDEF964BF8003" hidden="1">#REF!</definedName>
    <definedName name="BO3F0398545889487D954D70C6205F57CF" hidden="1">#REF!</definedName>
    <definedName name="BO3F1562F088B64257BDECA4996A9FB66B" hidden="1">#REF!</definedName>
    <definedName name="BO3F4B598DFBCE4609B65057CE90121278" hidden="1">#REF!</definedName>
    <definedName name="BO3F698B30FA064BED80373131F8DA772C" hidden="1">#REF!</definedName>
    <definedName name="BO3F9E4F72F7344C8797FE289DFD0BB660" hidden="1">#REF!</definedName>
    <definedName name="BO3FA34D64D5DD4492A3C440A2EB0A2226" hidden="1">#REF!</definedName>
    <definedName name="BO3FA6B2DD0EBE48EBAE25B1625634C636" hidden="1">#REF!</definedName>
    <definedName name="BO3FA804A2DEEC44DF99E6D77CD74316FA" hidden="1">#REF!</definedName>
    <definedName name="BO3FF06A3D405D4AFEBD23C74161F7F412" hidden="1">#REF!</definedName>
    <definedName name="BO401E6D3F698C4F018BDA573568ADC4E6" hidden="1">#REF!</definedName>
    <definedName name="BO40245ECD8B79440BBC14C8DF1C0BF8B2" hidden="1">#REF!</definedName>
    <definedName name="BO403079319B0C43EEB6940DB9EBC384AB" hidden="1">#REF!</definedName>
    <definedName name="BO40355E13A4AF4311A062DC0DC188997A" hidden="1">#REF!</definedName>
    <definedName name="BO4057EC314CEC47798B0627DC202DE337" hidden="1">#REF!</definedName>
    <definedName name="BO406956B8DA1449F7A85FCAF9D714DC11" hidden="1">#REF!</definedName>
    <definedName name="BO406B5E0DD44D489B88870815BE1210AE" hidden="1">#REF!</definedName>
    <definedName name="BO40A83F555A3A46FC8D7622D2461C15B6" hidden="1">#REF!</definedName>
    <definedName name="BO40E48E25225B4A02828BB2163C89438D" hidden="1">#REF!</definedName>
    <definedName name="BO410312A8086944CA8381547B55028E0E" hidden="1">#REF!</definedName>
    <definedName name="BO41031EE5E6A248E8BA41187F37ABEDC4" hidden="1">#REF!</definedName>
    <definedName name="BO41616448539148F68A11325B0B832164" hidden="1">#REF!</definedName>
    <definedName name="BO41676043571047D0A758DC87F4D8C2A4" hidden="1">#REF!</definedName>
    <definedName name="BO41736F10648940F7980E8A794564F6D4" hidden="1">#REF!</definedName>
    <definedName name="BO418270B3A37648588D932CCCDECD1D57" hidden="1">#REF!</definedName>
    <definedName name="BO41BB107A914849ABAE3078D2C7A0D711" hidden="1">#REF!</definedName>
    <definedName name="BO41C9F9AFBDC248DF84A970BBB0C13F07" hidden="1">#REF!</definedName>
    <definedName name="BO41D812429BE0472984006118F1FD8940" hidden="1">#REF!</definedName>
    <definedName name="BO41DD20B575EE48A98BE33181A6371F62" hidden="1">#REF!</definedName>
    <definedName name="BO41FF1036DC0E4DA69C38C814641389B3" hidden="1">#REF!</definedName>
    <definedName name="BO41FF61B766784424AEC7FF81791873A4" hidden="1">#REF!</definedName>
    <definedName name="BO4217883C6C8A412D9F87DEAB2DD56119" hidden="1">#REF!</definedName>
    <definedName name="BO4221A85BBAE74BFE98901247F57B8632" hidden="1">#REF!</definedName>
    <definedName name="BO42410C79967D49DA9246424E9F8E187C" hidden="1">#REF!</definedName>
    <definedName name="BO429FEAEDBFA547BF85025B1F1844D466" hidden="1">#REF!</definedName>
    <definedName name="BO42A0B3431CAC44BA97E83B69B05F5E78" hidden="1">#REF!</definedName>
    <definedName name="BO42C24C62919C4F06911501D27330F51B" hidden="1">#REF!</definedName>
    <definedName name="BO42C7102A3C9549A7A1E004531E8189D3" hidden="1">#REF!</definedName>
    <definedName name="BO42DB59B560DD480797F4E5A255CE0336" hidden="1">#REF!</definedName>
    <definedName name="BO42F344B5F6214CA8BB1AE642166F8254" hidden="1">#REF!</definedName>
    <definedName name="BO431F7CF865994F508B75F0C14E72E755" hidden="1">#REF!</definedName>
    <definedName name="BO4325C4CE5A6A40EDB239CE3FEA93D616" hidden="1">#REF!</definedName>
    <definedName name="BO433499B555AB4935A23F3FB59353D2EE" hidden="1">#REF!</definedName>
    <definedName name="BO4335FDB3189549F5BF6D0B206D64D24B" hidden="1">#REF!</definedName>
    <definedName name="BO434317F8DA9741658242E88E107EFF2F" hidden="1">#REF!</definedName>
    <definedName name="BO435DD626F933429CBF3601013675993A" hidden="1">#REF!</definedName>
    <definedName name="BO43BB16D693FD4B14A412C62D211E4945" hidden="1">#REF!</definedName>
    <definedName name="BO43C6ED75220C443CB4A3CB0484EC60D0" hidden="1">#REF!</definedName>
    <definedName name="BO43FF37EA3FEC470BAD34B6B7B9FF9C29" hidden="1">#REF!</definedName>
    <definedName name="BO4405FE650B77473191B594E32962A972" hidden="1">#REF!</definedName>
    <definedName name="BO442358FA8333417E864723C79749E79D" hidden="1">#REF!</definedName>
    <definedName name="BO44305DEC1291483A9BF50984E7D8088F" hidden="1">#REF!</definedName>
    <definedName name="BO448A7EE0DCBB4BDF9A056D395A4E5D46" hidden="1">#REF!</definedName>
    <definedName name="BO44D1CF2949C64A60A739B2A441AD051B" hidden="1">#REF!</definedName>
    <definedName name="BO44D4229713E3428698EACDF7F9B51DFC" hidden="1">#REF!</definedName>
    <definedName name="BO44DA8E66CD4940489F111E91BC74453C" hidden="1">#REF!</definedName>
    <definedName name="BO453E695211A44670A7D5BD823FFE8B9F" hidden="1">#REF!</definedName>
    <definedName name="BO454BFF91FD534BF88883176101908687" hidden="1">#REF!</definedName>
    <definedName name="BO454FCE682D15476BA296B3D94BCB2BFB" hidden="1">#REF!</definedName>
    <definedName name="BO4559A96E8A974B1DAC918F8F2EB94EF9" hidden="1">#REF!</definedName>
    <definedName name="BO45878D15BC764FF3AB65C7517F4B4468" hidden="1">#REF!</definedName>
    <definedName name="BO45904099936743BABF24BA42E132C38D" hidden="1">#REF!</definedName>
    <definedName name="BO45B21A31A07443E493B4B0CE970B67BE" hidden="1">#REF!</definedName>
    <definedName name="BO4654F35AE4A94B88914D5564F493E506" hidden="1">#REF!</definedName>
    <definedName name="BO46EA610EBFC643F5B313EF854D068321" hidden="1">#REF!</definedName>
    <definedName name="BO472FDF9D1E3B4E9991920C454290CCB8" hidden="1">#REF!</definedName>
    <definedName name="BO47305FE1425C42EE8297FD2C4DE5D7DC" hidden="1">#REF!</definedName>
    <definedName name="BO4765F1B9752F4104B13E2D2D8439107F" hidden="1">#REF!</definedName>
    <definedName name="BO47738B1418294B9889FC0348BEC8078D" hidden="1">#REF!</definedName>
    <definedName name="BO477AF323BBAF4D949363F8CF4B007300" hidden="1">#REF!</definedName>
    <definedName name="BO4792AAFA02C24ED6AA0BB01C79C4D53D" hidden="1">#REF!</definedName>
    <definedName name="BO47CB1926C4224D5191C8B45468721815" hidden="1">#REF!</definedName>
    <definedName name="BO47CF2416E1E4433CB14DF1CD9BB47325" hidden="1">#REF!</definedName>
    <definedName name="BO47F43F7C60F64E7C8F5511C18A7D9150" hidden="1">#REF!</definedName>
    <definedName name="BO47FE1908C88F4900971BC7AD61476814" hidden="1">#REF!</definedName>
    <definedName name="BO4811BB6D363246B4B8C029A31B50EC37" hidden="1">#REF!</definedName>
    <definedName name="BO48158C876A054053A8BF1B1066B5769F" hidden="1">#REF!</definedName>
    <definedName name="BO481EEF2746434CA3955011739E810936" hidden="1">#REF!</definedName>
    <definedName name="BO4831E7C9F1E24C75885AEE45966CF51F" hidden="1">#REF!</definedName>
    <definedName name="BO484DA2D43C574948877D69CEA2096392" hidden="1">#REF!</definedName>
    <definedName name="BO4874FCDB87824222B8F51298606DB3AA" hidden="1">#REF!</definedName>
    <definedName name="BO48835453620245AEB7B610E2C50EAB3D" hidden="1">#REF!</definedName>
    <definedName name="BO48B69C9C3A4A4DA2AFD812AE32ED98F2" hidden="1">#REF!</definedName>
    <definedName name="BO48D151814232468CBC2887DCAC36C30D" hidden="1">#REF!</definedName>
    <definedName name="BO48EE5418E8DD4622BB78F4DF1C2A142A" hidden="1">#REF!</definedName>
    <definedName name="BO491DF1B87A35419FB7FA4840BFC287E4" hidden="1">#REF!</definedName>
    <definedName name="BO492FF71352564A0B906D969350494321" hidden="1">#REF!</definedName>
    <definedName name="BO496A271603F746FD8768E3BE7C35AC8B" hidden="1">#REF!</definedName>
    <definedName name="BO4989BD6C49D9472F9577212E5508BA42" hidden="1">#REF!</definedName>
    <definedName name="BO49BE17222F1C4BB58D35D46E4E2F888A" hidden="1">#REF!</definedName>
    <definedName name="BO49BE7643709D4E51B4CE6E9827246CC0" hidden="1">#REF!</definedName>
    <definedName name="BO49C03189CFB64DD2ABF19BD409F593CB" hidden="1">#REF!</definedName>
    <definedName name="BO49DCD65C43EB4DFCA8847B0CC8D9697F" hidden="1">#REF!</definedName>
    <definedName name="BO4A3DBBE544E8425CA26337B568D90565" hidden="1">#REF!</definedName>
    <definedName name="BO4A3EA82712D4443FBE70BEF91D9E21B5" hidden="1">#REF!</definedName>
    <definedName name="BO4A47E059A2E64E29805369062AC0FA3B" hidden="1">#REF!</definedName>
    <definedName name="BO4A648412D7AD41F39C281FF6AACFFB1C" hidden="1">#REF!</definedName>
    <definedName name="BO4A7EDF1F721E44818AAF14D4EE421965" hidden="1">#REF!</definedName>
    <definedName name="BO4AAE3B29CE214B3288C1C3E46EDEE779" hidden="1">#REF!</definedName>
    <definedName name="BO4AAF3ED43D1F4BA0A617F05B5FA98022" hidden="1">#REF!</definedName>
    <definedName name="BO4ABD4D97307B4665ADA92858FAEF49D4" hidden="1">#REF!</definedName>
    <definedName name="BO4B55FBE7704D4E8ABFBBA6B9FCFCCE0B" hidden="1">#REF!</definedName>
    <definedName name="BO4B600A1E72F94C77B9817B555BEAFCFC" hidden="1">#REF!</definedName>
    <definedName name="BO4B85FA2CA3EB4164B387DE75A013145C" hidden="1">#REF!</definedName>
    <definedName name="BO4B9820C141B1499BB7BD6CD1C5A977AA" hidden="1">#REF!</definedName>
    <definedName name="BO4BB9A2BC1129469286DE1F8ABA253435" hidden="1">#REF!</definedName>
    <definedName name="BO4C0243B70A9541D291A1FBB0DE639578" hidden="1">#REF!</definedName>
    <definedName name="BO4C1CD1D203F04562A4E31D080D642AB1" hidden="1">#REF!</definedName>
    <definedName name="BO4C322C3F08A04888A840CDEC0E0EEECC" hidden="1">#REF!</definedName>
    <definedName name="BO4C43050B90E04C87B55DD5F46779E3E5" hidden="1">#REF!</definedName>
    <definedName name="BO4C49BA149189441D82286AD70F0DBFBA" hidden="1">#REF!</definedName>
    <definedName name="BO4C59317BCB434D4AAB8264AC52E949F2" hidden="1">#REF!</definedName>
    <definedName name="BO4C748FEDC50D4D05BF6C3AE45DF27C96" hidden="1">#REF!</definedName>
    <definedName name="BO4C74A53862CA458B84FB13899C4C27A0" hidden="1">#REF!</definedName>
    <definedName name="BO4CA027B4B11C4E88BEA7D5AB0FBFE55C" hidden="1">#REF!</definedName>
    <definedName name="BO4CABAE3124EC4EA3BBD9ACA318D3884A" hidden="1">#REF!</definedName>
    <definedName name="BO4CBA748CA1904ABEAC4916C51F3632CD" hidden="1">#REF!</definedName>
    <definedName name="BO4CC413BA91B24160B10C346B184D4378" hidden="1">#REF!</definedName>
    <definedName name="BO4CD39991FB7D4B3EA474B7C8CAB5921A" hidden="1">#REF!</definedName>
    <definedName name="BO4CFE4749AA3E4E43BC1AC4E546D31AFE" hidden="1">#REF!</definedName>
    <definedName name="BO4D111DFC879A4267A8F215A9F3EE7545" hidden="1">#REF!</definedName>
    <definedName name="BO4D176891D0D447959B2CE9E30A490257" hidden="1">#REF!</definedName>
    <definedName name="BO4D217C14FE744B10921607668507E5E5" hidden="1">#REF!</definedName>
    <definedName name="BO4D312C5249F84A419336714CC3247A5D" hidden="1">#REF!</definedName>
    <definedName name="BO4D4B68E0EB674E5A8741358C839FECA5" hidden="1">#REF!</definedName>
    <definedName name="BO4D622B63467C42F99F1CF3912C0F4402" hidden="1">#REF!</definedName>
    <definedName name="BO4D80DEACB63F40C8B074073E6B1CCF17" hidden="1">#REF!</definedName>
    <definedName name="BO4D95CA0E2A4B43CA8A504EE9704A811B" hidden="1">#REF!</definedName>
    <definedName name="BO4DD3E06B30D0453591537146FB44B655" hidden="1">#REF!</definedName>
    <definedName name="BO4DF0AF32BA4041D98D60CE58B013B4E7" hidden="1">#REF!</definedName>
    <definedName name="BO4DF2AB7750BF42EB9D57BA4D725243B3" hidden="1">#REF!</definedName>
    <definedName name="BO4E224232AAA9422ABBADA09C17231477" hidden="1">#REF!</definedName>
    <definedName name="BO4E5A5B2226B446818FD3052673DBE06E" hidden="1">#REF!</definedName>
    <definedName name="BO4EABBA73A2DA454BA953C9AE702A13FB" hidden="1">#REF!</definedName>
    <definedName name="BO4EB58024FECD4AAD9C54E6C0EC901032" hidden="1">#REF!</definedName>
    <definedName name="BO4EB62A5D99B44412981CC2DBA16B65A3" hidden="1">#REF!</definedName>
    <definedName name="BO4EC7C41902974BF0A985E634282CB07E" hidden="1">#REF!</definedName>
    <definedName name="BO4ED6C94AEE84498698E997DC83194ED4" hidden="1">#REF!</definedName>
    <definedName name="BO4F082A8E044C49F8BC480A70B601A36E" hidden="1">#REF!</definedName>
    <definedName name="BO4F0FF9C21C6E41768DF300AE990AF1DC" hidden="1">#REF!</definedName>
    <definedName name="BO4F174CF711D441F9848DE1A3F0E09B80" hidden="1">#REF!</definedName>
    <definedName name="BO4F1DDF5EB2F44AFAA8C5516DEF485905" hidden="1">#REF!</definedName>
    <definedName name="BO4F28111B51394391ABC9CC6B0B64372F" hidden="1">#REF!</definedName>
    <definedName name="BO4F382251407541D4B94F5AF416857C88" hidden="1">#REF!</definedName>
    <definedName name="BO4FB289186CC049ACAF17B8C85DFF71C8" hidden="1">#REF!</definedName>
    <definedName name="BO500F607281384E709BC81BB8D0E05040" hidden="1">#REF!</definedName>
    <definedName name="BO5041B9A4B8C146FA8D61B1D6914A3DEC" hidden="1">#REF!</definedName>
    <definedName name="BO5060B8055B22479FB2B032CFBC156B9A" hidden="1">#REF!</definedName>
    <definedName name="BO5080FCBB1AFE4582AB0AEF756E02AB2A" hidden="1">#REF!</definedName>
    <definedName name="BO50859751527B4027B87A739BAF1FB8E0" hidden="1">#REF!</definedName>
    <definedName name="BO509669C9ED7840288304BF14BF625147" hidden="1">#REF!</definedName>
    <definedName name="BO50A9A9E6831241658F508DEAFE2A7553" hidden="1">#REF!</definedName>
    <definedName name="BO510065BD015D4F95A15752285E2AE65E" hidden="1">#REF!</definedName>
    <definedName name="BO5124F12717414DAC96ABA4A8269ECB84" hidden="1">#REF!</definedName>
    <definedName name="BO513861991D7C4A5FBB93C7EA0C759CFD" hidden="1">#REF!</definedName>
    <definedName name="BO514D95FAE90F482C849C11DE38AE8DA0" hidden="1">#REF!</definedName>
    <definedName name="BO51A8FA915C9A4F9D89273CF63EE46FE8" hidden="1">#REF!</definedName>
    <definedName name="BO51C8FC979EAE441F9F289915887365C5" hidden="1">#REF!</definedName>
    <definedName name="BO51F608F52D8F4C42869432170B976399" hidden="1">#REF!</definedName>
    <definedName name="BO5225587466CB4E64950F3A977CD53BB5" hidden="1">#REF!</definedName>
    <definedName name="BO522BE2FBF700464AAFC7A88746B3102A" hidden="1">#REF!</definedName>
    <definedName name="BO523DE52BFFDA4227A8E78C3E253F130B" hidden="1">#REF!</definedName>
    <definedName name="BO523E151E1B1A4DEDAD3390FF9E08BB41" hidden="1">#REF!</definedName>
    <definedName name="BO5260A82048CC4FADAD92DC55975D9422" hidden="1">#REF!</definedName>
    <definedName name="BO526E08859F644BE480E6EA86F7851C8C" hidden="1">#REF!</definedName>
    <definedName name="BO528E13D4C0DB4D2F959E2E0AE4BF6A43" hidden="1">#REF!</definedName>
    <definedName name="BO52BE609CECE24F668D2E97E40E865353" hidden="1">#REF!</definedName>
    <definedName name="BO52D5C0A0C34646D0A9DBF31C7B4681BE" hidden="1">#REF!</definedName>
    <definedName name="BO53076DABED03457BA1A6CC7DE8E548B8" hidden="1">#REF!</definedName>
    <definedName name="BO531951EF37274BB4BA6B253AABF3B259" hidden="1">#REF!</definedName>
    <definedName name="BO531F40EBDFD2499781D4ACD8FBBC913E" hidden="1">#REF!</definedName>
    <definedName name="BO5325677A58DD4E678732C8AB1BFC801A" hidden="1">#REF!</definedName>
    <definedName name="BO53388E846AC947EB99E66A4CCDCEDD27" hidden="1">#REF!</definedName>
    <definedName name="BO535460E4AB39414AB1F623062720C048" hidden="1">#REF!</definedName>
    <definedName name="BO537518734AB84AB49EB5AAA63CCE1585" hidden="1">#REF!</definedName>
    <definedName name="BO53795B0958F44E0282061BA77BFBA6DD" hidden="1">#REF!</definedName>
    <definedName name="BO53A13D7951334900A0A1A872901E57A2" hidden="1">#REF!</definedName>
    <definedName name="BO53AB5D3CCB4A413EA144664C99503047" hidden="1">#REF!</definedName>
    <definedName name="BO53C1AD7020A246D19C492B988C284605" hidden="1">#REF!</definedName>
    <definedName name="BO53EB7E26F34145258939F9D27853A768" hidden="1">#REF!</definedName>
    <definedName name="BO53FC468444E242A794DB77EB7D6A0B1D" hidden="1">#REF!</definedName>
    <definedName name="BO53FD180040484DF9AD12C0F43F525431" hidden="1">#REF!</definedName>
    <definedName name="BO54170C69A5B443B9A46A563B24D7A02A" hidden="1">#REF!</definedName>
    <definedName name="BO541B429733D9464BAA0F472DC5A390A6" hidden="1">#REF!</definedName>
    <definedName name="BO5428BC2AC15245C392FAD48AC0E1D1D3" hidden="1">#REF!</definedName>
    <definedName name="BO54379D2A778B4EDC8D666466E7F51442" hidden="1">#REF!</definedName>
    <definedName name="BO547D617DA19944FD9F05968F08E6D309" hidden="1">#REF!</definedName>
    <definedName name="BO5480837E22434DED90AE7C00C082A9A1" hidden="1">#REF!</definedName>
    <definedName name="BO5484F71A0B8B45979B9D569008231679" hidden="1">#REF!</definedName>
    <definedName name="BO54966A0B410A4295A1BBC4E266509877" hidden="1">#REF!</definedName>
    <definedName name="BO54BC5EA573944120A2762F060194BA1E" hidden="1">#REF!</definedName>
    <definedName name="BO54DB55663F334C03B8ADD851DEA5C745" hidden="1">#REF!</definedName>
    <definedName name="BO54E8BAC9CCCE44BC963133C9AE4B630A" hidden="1">#REF!</definedName>
    <definedName name="BO5507E6215F3F4FC097A3E11986F2AC10" hidden="1">#REF!</definedName>
    <definedName name="BO550B27D935D4459DBAD38DC3153E9204" hidden="1">#REF!</definedName>
    <definedName name="BO55240D5E45B04FAE87A19DEA34A4CC05" hidden="1">#REF!</definedName>
    <definedName name="BO553136AC6422422C818B96B66C2C3990" hidden="1">#REF!</definedName>
    <definedName name="BO555B1633F11C47E89A1801F074518A32" hidden="1">#REF!</definedName>
    <definedName name="BO5567A7BED87F42A9B8315385DA7E9968" hidden="1">#REF!</definedName>
    <definedName name="BO556F9D67D63B485490BE4A5B2DAA0424" hidden="1">#REF!</definedName>
    <definedName name="BO5573662C4A00410AA097D755481BE91F" hidden="1">#REF!</definedName>
    <definedName name="BO560251BCD11740889928CA8EA1D6C8BB" hidden="1">#REF!</definedName>
    <definedName name="BO5625EF84032E4129A4F1C26C707CB6A3" hidden="1">#REF!</definedName>
    <definedName name="BO563FCE97DF97426EB7D91F44C76515D6" hidden="1">#REF!</definedName>
    <definedName name="BO56511C056B644925BB9E09A5CE15BBF3" hidden="1">#REF!</definedName>
    <definedName name="BO565771992FE84D6C9DDDD43E6049AEA8" hidden="1">#REF!</definedName>
    <definedName name="BO569A5FBFD6F24C0C8A17193DE8B0987E" hidden="1">#REF!</definedName>
    <definedName name="BO56C93C031ADA4A8CB9AA79E06B808B71" hidden="1">#REF!</definedName>
    <definedName name="BO56DC94197E294360B6A59153FF03457A" hidden="1">#REF!</definedName>
    <definedName name="BO56E22477476841508EDA127C8CFBE0CB" hidden="1">#REF!</definedName>
    <definedName name="BO57492025E3734968B443F2156F6E5611" hidden="1">#REF!</definedName>
    <definedName name="BO57544A4DD8D040EE8060E1C9E846EC7F" hidden="1">#REF!</definedName>
    <definedName name="BO575F08F36F1744AB9596B19069D05C38" hidden="1">#REF!</definedName>
    <definedName name="BO578F669344B943B2ACBCC36BC4A76D24" hidden="1">#REF!</definedName>
    <definedName name="BO5799DF1DC6FF4B2DB3252E6FB0A0F139" hidden="1">#REF!</definedName>
    <definedName name="BO57A6BD4AE8E243E494577EAD1CBE5386" hidden="1">#REF!</definedName>
    <definedName name="BO57B95B501F9743B1975E90BCF4891783" hidden="1">#REF!</definedName>
    <definedName name="BO57D32E0CD41A495289CBDB65D3B5BAA9" hidden="1">#REF!</definedName>
    <definedName name="BO57E3E16B3039468C918A2851F2906987" hidden="1">#REF!</definedName>
    <definedName name="BO57FDDF1F6FFB4E55A7F2E13CB281DAF1" hidden="1">#REF!</definedName>
    <definedName name="BO581F7C20F3F0407099EF769043553AFA" hidden="1">#REF!</definedName>
    <definedName name="BO583B69D2114749F5A55CE9DF13098368" hidden="1">#REF!</definedName>
    <definedName name="BO583C6F5C29CF4F41A54EA713AA1355F6" hidden="1">#REF!</definedName>
    <definedName name="BO58B0760CD8F245CEA3CCE06D7CF1481E" hidden="1">#REF!</definedName>
    <definedName name="BO58B56024014C4E80B3014C3EBF2F4731" hidden="1">#REF!</definedName>
    <definedName name="BO58C0409804204ACC886A26B469A98FCA" hidden="1">#REF!</definedName>
    <definedName name="BO58C4AC72229D4A05A6B102FC5BA2C9B0" hidden="1">#REF!</definedName>
    <definedName name="BO58CB515C808C48BEBC52F4E8A8B10863" hidden="1">#REF!</definedName>
    <definedName name="BO58F664DD369B413BBE0AA6C680221346" hidden="1">#REF!</definedName>
    <definedName name="BO590F0D7F6F8D46C29B2EED8932DD87BD" hidden="1">#REF!</definedName>
    <definedName name="BO592E3D457DC3430DB54EBC54823DCBC4" hidden="1">#REF!</definedName>
    <definedName name="BO59384E7DCDEE4351A4263865DC557B5A" hidden="1">#REF!</definedName>
    <definedName name="BO593C02F3586C400B9C127B9BEFF5A3A3" hidden="1">#REF!</definedName>
    <definedName name="BO594059A6BB774C32931101FDBA9AA2A6" hidden="1">#REF!</definedName>
    <definedName name="BO594A5066E3D64A9B96E87EEE60E35000" hidden="1">#REF!</definedName>
    <definedName name="BO5956D9BCE4364C56A9714DB73C6D3E8D" hidden="1">#REF!</definedName>
    <definedName name="BO596B387D06DE485CB1426B95E64D527C" hidden="1">#REF!</definedName>
    <definedName name="BO597DDE6E95004F7F9C963613977B9F66" hidden="1">#REF!</definedName>
    <definedName name="BO599B6CBC43504E33AD45ECD15A182A0F" hidden="1">#REF!</definedName>
    <definedName name="BO59C567DB691F4B6DB56F5A3F1EBC5DED" hidden="1">#REF!</definedName>
    <definedName name="BO59D768DCFA394415A9FA22D804593B67" hidden="1">#REF!</definedName>
    <definedName name="BO59EABF3D307B40AA89D51822A5BF1DDB" hidden="1">#REF!</definedName>
    <definedName name="BO59FCCD41CD2D4A809251677722F31B4F" hidden="1">#REF!</definedName>
    <definedName name="BO5A3ED020BCED4A83ABA0A0B88F8487AC" hidden="1">#REF!</definedName>
    <definedName name="BO5A6A224EDF754A9C8DAE2269DFAFB953" hidden="1">#REF!</definedName>
    <definedName name="BO5A6ACB3BF5214FB89E5482871875990D" hidden="1">#REF!</definedName>
    <definedName name="BO5A6B60F0E8034ECCBE9A1A4C0EFC6987" hidden="1">#REF!</definedName>
    <definedName name="BO5A81CA1FE8AD4707A0412775188A8DEC" hidden="1">#REF!</definedName>
    <definedName name="BO5ADD7A0B4F8643948793596858585348" hidden="1">#REF!</definedName>
    <definedName name="BO5AF15FD77702431BBFEC3BE53FAFC51F" hidden="1">#REF!</definedName>
    <definedName name="BO5B17EB1DC2314204AAAB4C10CD014779" hidden="1">#REF!</definedName>
    <definedName name="BO5B20057ECFD04152B0F8766338210D8E" hidden="1">#REF!</definedName>
    <definedName name="BO5B27E855FA5040EB86FED41A3DE59A24" hidden="1">#REF!</definedName>
    <definedName name="BO5B2C521B9D9A42D49C89CDF8F4742308" hidden="1">#REF!</definedName>
    <definedName name="BO5B3F6E178E114DF088F00C8568A47DBA" localSheetId="16" hidden="1">#REF!,#REF!,#REF!</definedName>
    <definedName name="BO5B3F6E178E114DF088F00C8568A47DBA" hidden="1">#REF!,#REF!,#REF!</definedName>
    <definedName name="BO5B4F0CF744DC4B488CF71D96F8AA06B0" hidden="1">#REF!</definedName>
    <definedName name="BO5B52615A450A4CC1B8803DBA2D89031C" hidden="1">#REF!</definedName>
    <definedName name="BO5B6647E500B64C49A067CFE98195A323" hidden="1">#REF!</definedName>
    <definedName name="BO5B9CA8ABC9A346AEA3B9F7CB5CF6A740" hidden="1">#REF!</definedName>
    <definedName name="BO5BB0B277A3394326AFBAAAF6450E4E42" hidden="1">#REF!</definedName>
    <definedName name="BO5BB90F35827F4C8CB35EB5880E3DFBF5" hidden="1">#REF!</definedName>
    <definedName name="BO5BC31258B8F8431DBC9B1836B8016102" hidden="1">#REF!</definedName>
    <definedName name="BO5BD8EB8E62ED48D6BA69F65CED12804D" hidden="1">#REF!</definedName>
    <definedName name="BO5BE732993B4846D58B3911D46AD6038D" hidden="1">#REF!</definedName>
    <definedName name="BO5C6AE5D18D554D7E8159E2BAE8FA382F" hidden="1">#REF!</definedName>
    <definedName name="BO5C73CAE6A2834A4B94D14E18B48EAF16" hidden="1">#REF!</definedName>
    <definedName name="BO5C8124D2D9FB4EAAB76560D5A15737B8" hidden="1">#REF!</definedName>
    <definedName name="BO5C902D60CF47456FA169B1087280482B" hidden="1">#REF!</definedName>
    <definedName name="BO5C920D0B5B1345BABC2366B7DA1C5E25" hidden="1">#REF!</definedName>
    <definedName name="BO5C93DD374DC2423B967014357CA2D571" hidden="1">#REF!</definedName>
    <definedName name="BO5CDE450990984959AE300DAC644A2FF4" hidden="1">#REF!</definedName>
    <definedName name="BO5D05E09EECF5457DA33727FC8D15191F" hidden="1">#REF!</definedName>
    <definedName name="BO5D3A29F492374C6C925AC1A20ED66BEB" hidden="1">#REF!</definedName>
    <definedName name="BO5D45774D31BA47B8AE1E174DE6B88DC5" hidden="1">#REF!</definedName>
    <definedName name="BO5D46C9AD71BC4FDD877EA97718D4BBE9" hidden="1">#REF!</definedName>
    <definedName name="BO5D5F2491E93B4AA3B9D27F259616BD98" hidden="1">#REF!</definedName>
    <definedName name="BO5D9DFDE61A224480A6661F17796BBA5F" hidden="1">#REF!</definedName>
    <definedName name="BO5DBC1413A4EF4004B35971E058515E30" hidden="1">#REF!</definedName>
    <definedName name="BO5DCAB14EFA5C4FE3BFD9A86392942047" hidden="1">#REF!</definedName>
    <definedName name="BO5DFCB56992D44322ADC1421A3B901C42" hidden="1">#REF!</definedName>
    <definedName name="BO5DFF17F65E144CB0837C415C67612916" hidden="1">#REF!</definedName>
    <definedName name="BO5E15162F9C004ABAA5599FEAD7B0B618" hidden="1">#REF!</definedName>
    <definedName name="BO5E3AEC809E10421B846FB0743CBC6A3D" hidden="1">#REF!</definedName>
    <definedName name="BO5E3D11B36BB24ABE9E39A8B7C3313197" hidden="1">#REF!</definedName>
    <definedName name="BO5E543CAB34A54B94A48D330415EE4DD1" hidden="1">#REF!</definedName>
    <definedName name="BO5E6433AEBB09449AAB690755E35CE034" hidden="1">#REF!</definedName>
    <definedName name="BO5E6F18A1750D4760B7498A21B6D88CA2" hidden="1">#REF!</definedName>
    <definedName name="BO5EABBF3BF19F4A4A85944C3DAEA4DB28" hidden="1">#REF!</definedName>
    <definedName name="BO5EB0027199674D819EBA32CE0557D9DA" hidden="1">#REF!</definedName>
    <definedName name="BO5EB3A4D52BE74C6EAB70B27B3AF53D6A" hidden="1">#REF!</definedName>
    <definedName name="BO5EB64E23C1AF448B84C2883AC71C22E3" hidden="1">#REF!</definedName>
    <definedName name="BO5EBBE63C669F462BAFB60AE49A5A162A" hidden="1">#REF!</definedName>
    <definedName name="BO5ED9A67CB86A47D68BB8537766EF330A" hidden="1">#REF!</definedName>
    <definedName name="BO5EFD84FDD9014E5C905F42675B5FBB6D" hidden="1">#REF!</definedName>
    <definedName name="BO5EFF581C31E94D0B9DC78606248B24D7" hidden="1">#REF!</definedName>
    <definedName name="BO5F0E4A5C4627496F99950E09FB952717" hidden="1">#REF!</definedName>
    <definedName name="BO5F169185BC3A43F783223A4E39E97CA7" hidden="1">#REF!</definedName>
    <definedName name="BO5F183ECE0B6F4CD582CE8D75DE8E61A1" hidden="1">#REF!</definedName>
    <definedName name="BO5F3A3B097B6E405593E1AEEA4240D978" hidden="1">#REF!</definedName>
    <definedName name="BO5F459209386748FDB50D8C98E6A67013" hidden="1">#REF!</definedName>
    <definedName name="BO5F4D61EC1AC0466F99DDD0262E888D3D" hidden="1">#REF!</definedName>
    <definedName name="BO5F7BA0B96A7C4F7A90ACFCB804B8F5F2" hidden="1">#REF!</definedName>
    <definedName name="BO5F905E63F3BB424BB231F0911BD9D24C" hidden="1">#REF!</definedName>
    <definedName name="BO5F92419A2B2042A88CF6F07560803C22" hidden="1">#REF!</definedName>
    <definedName name="BO5FA9FE156258454F97E163543A3F3899" hidden="1">#REF!</definedName>
    <definedName name="BO5FC82D2B3FCB499BAA5955760CB32BD2" hidden="1">#REF!</definedName>
    <definedName name="BO5FD18E77AE8647D2B1214CC539C6DD9C" hidden="1">#REF!</definedName>
    <definedName name="BO603BD3EE00A0424498DAF2F7E091225B" hidden="1">#REF!</definedName>
    <definedName name="BO604736B173DB48DA8E4B59C73C561390" hidden="1">#REF!</definedName>
    <definedName name="BO60496C515CE8453080E955E01CE46F24" hidden="1">#REF!</definedName>
    <definedName name="BO604C0B294184428DB9B66E0FCEDFD21D" hidden="1">#REF!</definedName>
    <definedName name="BO607D9A60550B4FA7A677D228FC06A7CB" hidden="1">#REF!</definedName>
    <definedName name="BO60BD75B8DBEA4387803CB4AFC1DE479F" hidden="1">#REF!</definedName>
    <definedName name="BO613F759C26A74335BB3EF9023610D70E" hidden="1">#REF!</definedName>
    <definedName name="BO615909B743C44F0A96BD891389726A2E" hidden="1">#REF!</definedName>
    <definedName name="BO615D15D8CAE34558B13E3F0CC5844365" hidden="1">#REF!</definedName>
    <definedName name="BO616BD729B62B4825946A716B2C525B15" hidden="1">#REF!</definedName>
    <definedName name="BO61724CCC0F794E86A985D3AADDC1FA83" hidden="1">#REF!</definedName>
    <definedName name="BO617494DDEDE24BE9B3FA2D5E1CC6872A" hidden="1">#REF!</definedName>
    <definedName name="BO6176C8ADB7DA45CAB2379E250E1F35F3" hidden="1">#REF!</definedName>
    <definedName name="BO61939F664A7B4148A014D08C0F83009E" hidden="1">#REF!</definedName>
    <definedName name="BO61BF0D9724194D4B90626961658132AD" hidden="1">#REF!</definedName>
    <definedName name="BO61C4C9B3A4784662A302783044378B55" hidden="1">#REF!</definedName>
    <definedName name="BO6236A60D4B464EC6987D2DC453EEDD17" hidden="1">#REF!</definedName>
    <definedName name="BO6255D22CCF4A48E2927E16A99513F380" hidden="1">#REF!</definedName>
    <definedName name="BO6259BB8601F74518B211D5FED555AD9C" hidden="1">#REF!</definedName>
    <definedName name="BO627607EF9B44464A878AD3A742DE38FE" hidden="1">#REF!</definedName>
    <definedName name="BO62A1E4942FED470D874ED59DCC2A4AA5" hidden="1">#REF!</definedName>
    <definedName name="BO62A400A078E0451CB6563EF81DF7EB35" hidden="1">#REF!</definedName>
    <definedName name="BO62D36540D0034AA48DE063297A413BDD" hidden="1">#REF!</definedName>
    <definedName name="BO62EA898CF22D44DF8EF3BDDF92CB0D5D" hidden="1">#REF!</definedName>
    <definedName name="BO632F30B76259416E8B4AABED4E04E9C1" hidden="1">#REF!</definedName>
    <definedName name="BO63342495192B4BB3926FE91DBC7CDF80" hidden="1">#REF!</definedName>
    <definedName name="BO6343DE6C7B704817A0546885E051A1D6" hidden="1">#REF!</definedName>
    <definedName name="BO634873F74EAC469682BBECE9867D6B58" hidden="1">#REF!</definedName>
    <definedName name="BO63594AD2F89C441C93AEE7BA06352B19" hidden="1">#REF!</definedName>
    <definedName name="BO63E38032E3F644E4BB42E4B51865F168" hidden="1">#REF!</definedName>
    <definedName name="BO63EA90CDEA784E94B8AFC4EC8E6D4E1D" hidden="1">#REF!</definedName>
    <definedName name="BO63EB694AE718408AAD85F588618E2E06" hidden="1">#REF!</definedName>
    <definedName name="BO63ED429219D8463DABEF3E421AFA5D2E" hidden="1">#REF!</definedName>
    <definedName name="BO64159BC2B6EB41A7AEDE3EC6A5A731B5" hidden="1">#REF!</definedName>
    <definedName name="BO6423233F3D194C0D8979ED4AE7B7CDB9" hidden="1">#REF!</definedName>
    <definedName name="BO6423CEBDDD0A412CBBFAAB3898A9206F" hidden="1">#REF!</definedName>
    <definedName name="BO6432D82A7F18425BBB54846393D2B2B6" hidden="1">#REF!</definedName>
    <definedName name="BO6433583BE03A4C8795312841BAC5EF1E" hidden="1">#REF!</definedName>
    <definedName name="BO643487FBABFD47D1B9671E6FF468E5ED" hidden="1">#REF!</definedName>
    <definedName name="BO6439C973EC234BA5ACB68AB3BE50D62B" hidden="1">#REF!</definedName>
    <definedName name="BO645EE44B4E7D4700B1DFD7503111F62B" hidden="1">#REF!</definedName>
    <definedName name="BO6462179A1619417A83A9792363E455E4" hidden="1">#REF!</definedName>
    <definedName name="BO6469F20DC373405B993702B81D5913A5" hidden="1">#REF!</definedName>
    <definedName name="BO6483DEE8FC8B40C7B8F594FC1921C0AB" hidden="1">#REF!</definedName>
    <definedName name="BO64859DECF7D341928F046D284A3663C8" hidden="1">#REF!</definedName>
    <definedName name="BO6497356C7659467F83DE769F74DB2C5F" hidden="1">#REF!</definedName>
    <definedName name="BO64B9D18A339B4E82BEB117EFBA715E4B" hidden="1">#REF!</definedName>
    <definedName name="BO64DD43D1C5F943F18128ECE58B8A02BC" hidden="1">#REF!</definedName>
    <definedName name="BO64F2C7DDE0A34E8BB903ADDBBF23AFA9" hidden="1">#REF!</definedName>
    <definedName name="BO650C13AE83C343EBACC8BB1D5111021D" hidden="1">#REF!</definedName>
    <definedName name="BO6532AD466881482590E03ADF20DC051D" hidden="1">#REF!</definedName>
    <definedName name="BO653AC79F78084F98BF30F3686F64DB4D" hidden="1">#REF!</definedName>
    <definedName name="BO6544D5D30FE94C7893711F5903A3B5D9" hidden="1">#REF!</definedName>
    <definedName name="BO6575576B73CA4712BEFB29A3A9A228F9" hidden="1">#REF!</definedName>
    <definedName name="BO65A8281E60C44053BCA2C62905C7294C" hidden="1">#REF!</definedName>
    <definedName name="BO65AF0ADBEA604FABB6F823015E2A0312" hidden="1">#REF!</definedName>
    <definedName name="BO65BA49055D564A788303C1D5B6B70FAE" hidden="1">#REF!</definedName>
    <definedName name="BO65D4C34990C749D99149EFB3442902EC" hidden="1">#REF!</definedName>
    <definedName name="BO65D9F3B0FD514C85A62029A7AF689E83" hidden="1">#REF!</definedName>
    <definedName name="BO66029D8B1A41481A90060C3EA1F21888" hidden="1">#REF!</definedName>
    <definedName name="BO660F27E76F2743E0A9CA43DB71AE88AD" hidden="1">#REF!</definedName>
    <definedName name="BO662440E41F1741A2A2721ECCCA48BE17" hidden="1">#REF!</definedName>
    <definedName name="BO6627790CD7274958AD09391A717C7A39" hidden="1">#REF!</definedName>
    <definedName name="BO662B6CEAD0AF4B30B7CBEFE678A5085C" hidden="1">#REF!</definedName>
    <definedName name="BO664A2099EDCA4D7DBF42D984D09C77F0" hidden="1">#REF!</definedName>
    <definedName name="BO666B53C5597A48199D7B652E49ACE44D" hidden="1">#REF!</definedName>
    <definedName name="BO667A065EC72B4C18B71122F74A6AA78A" hidden="1">#REF!</definedName>
    <definedName name="BO66986FCDE027458FA62A037F00F43F61" hidden="1">#REF!</definedName>
    <definedName name="BO66BB94EBB1DA4F5B9588AE37EECDD337" hidden="1">#REF!</definedName>
    <definedName name="BO66CAA06315CE4A0D83632A168E695E98" hidden="1">#REF!</definedName>
    <definedName name="BO66D2B05D857142ADB41334DF2CA1C491" hidden="1">#REF!</definedName>
    <definedName name="BO66ED4AA2CC034116BDB91C024F555558" hidden="1">#REF!</definedName>
    <definedName name="BO66F41CB22A0E4A64B013AF3850EBED07" hidden="1">#REF!</definedName>
    <definedName name="BO670E0CA6E03A4A80B1636E22CFB5D3A8" hidden="1">#REF!</definedName>
    <definedName name="BO67127D65C8B244B5BB412DE17003715D" hidden="1">#REF!</definedName>
    <definedName name="BO671688DCDB4B483A894E29F6D231299E" hidden="1">#REF!</definedName>
    <definedName name="BO67235AAEA53943DA8E3A17FEA2A9CDE9" hidden="1">#REF!</definedName>
    <definedName name="BO672E8FDFBD36414597A72D4B7E94182B" hidden="1">#REF!</definedName>
    <definedName name="BO6739F45E8554427FB54A8E466A8E249A" hidden="1">#REF!</definedName>
    <definedName name="BO6749F6A4197B4D6E9187ADBD4C6D3E9A" hidden="1">#REF!</definedName>
    <definedName name="BO67533EA6D04240D48B3A9395CDECDB8D" hidden="1">#REF!</definedName>
    <definedName name="BO67D49399466648019AA41AA9784A31C6" hidden="1">#REF!</definedName>
    <definedName name="BO67E874D176F9487AB65D8ED364F1979D" hidden="1">#REF!</definedName>
    <definedName name="BO680A36C2E43E4245934EE681ECC82FC1" hidden="1">#REF!</definedName>
    <definedName name="BO68175D75669744F7AF9A63EEA9BB3D66" hidden="1">#REF!</definedName>
    <definedName name="BO682A4AEBA1664BAAADB94A3FAC074D26" hidden="1">#REF!</definedName>
    <definedName name="BO684ADD0D089040709774B5CFD2C3443B" hidden="1">#REF!</definedName>
    <definedName name="BO6875B76CC8C447C0B62021C394829A61" hidden="1">#REF!</definedName>
    <definedName name="BO6877ECFB96CD4021B816A19E43C7EA90" hidden="1">#REF!</definedName>
    <definedName name="BO6885C2074E0345E486028EA8690C5A58" hidden="1">#REF!</definedName>
    <definedName name="BO68983402BEF841C6A14B8790F2BB14F3" hidden="1">#REF!</definedName>
    <definedName name="BO68A52EDB58B047EBAB692AD4AD9092B4" hidden="1">#REF!</definedName>
    <definedName name="BO68B5D0347A3B4C45B93128A49F2C24BC" hidden="1">#REF!</definedName>
    <definedName name="BO68CBB64A056C4E64BB288A7CB4A517C5" hidden="1">#REF!</definedName>
    <definedName name="BO68D12A85E19F4B13A5B938E85DFDE2C3" hidden="1">#REF!</definedName>
    <definedName name="BO68E69B5C80AA460C8EB65FD70C065684" hidden="1">#REF!</definedName>
    <definedName name="BO6918ADAA8D3B4DDAB0A5DA0166130D2D" hidden="1">#REF!</definedName>
    <definedName name="BO693117EFAD7746E0A2E0AED86126C5BC" hidden="1">#REF!</definedName>
    <definedName name="BO6932CE89466A4A42B78148CFA7240123" hidden="1">#REF!</definedName>
    <definedName name="BO693FC971D6ED4A55A86888919A9DB0CF" hidden="1">#REF!</definedName>
    <definedName name="BO696156486CFD4840B0BCEC1EFF93B48D" hidden="1">#REF!</definedName>
    <definedName name="BO69AA4ECF12B044EEAFD9A73AA05E9DD3" hidden="1">#REF!</definedName>
    <definedName name="BO69B6C97168F643EBAEAF15C4252B386D" hidden="1">#REF!</definedName>
    <definedName name="BO69BB0513E70142D1A0A910E1E9902F95" hidden="1">#REF!</definedName>
    <definedName name="BO69BDD9E0EAF141A0AE757EC95ED2148A" hidden="1">#REF!</definedName>
    <definedName name="BO69C80D35123349E5BF90B92945C649EC" hidden="1">#REF!</definedName>
    <definedName name="BO69CD81248F9B4AA3802DF8219F9F278E" hidden="1">#REF!</definedName>
    <definedName name="BO69D2D572C628441A9870809362A4640F" hidden="1">#REF!</definedName>
    <definedName name="BO69E3955CB2274252BFEEB4D5CEFF48BD" hidden="1">#REF!</definedName>
    <definedName name="BO69EFFF11C1D64A69977193D988175ABD" hidden="1">#REF!</definedName>
    <definedName name="BO69FC4A14559D4FC7A82396779DCCF87F" hidden="1">#REF!</definedName>
    <definedName name="BO6A0F97D1C1E44CB5AF6CF13D3CFF16C9" hidden="1">#REF!</definedName>
    <definedName name="BO6A3DDA6506544E82B855C0D104B49B31" hidden="1">#REF!</definedName>
    <definedName name="BO6A5FD84F6F2D4ACA986DAF8954370CFC" hidden="1">#REF!</definedName>
    <definedName name="BO6A6A105B80F247498AEB7B7C2424902B" hidden="1">#REF!</definedName>
    <definedName name="BO6A75FD17C5F84A5B895D0872AAC774EA" hidden="1">#REF!</definedName>
    <definedName name="BO6ABD9CCC4D25488E99F8208B897C4684" hidden="1">#REF!</definedName>
    <definedName name="BO6AD23BDF244147F8AF7DA4DDD31EE46C" hidden="1">#REF!</definedName>
    <definedName name="BO6ADA4A7B015A47E48CE18453C09A9A28" hidden="1">#REF!</definedName>
    <definedName name="BO6AF477B638E44E20A0BD692E64AEB6F0" hidden="1">#REF!</definedName>
    <definedName name="BO6B2CF716FD1A4BC3928BCB0EC72E3B0D" hidden="1">#REF!</definedName>
    <definedName name="BO6B633C7623204F9094615B141A8633A2" hidden="1">#REF!</definedName>
    <definedName name="BO6B71F895F44643F6AAD789C645D0E8E0" hidden="1">#REF!</definedName>
    <definedName name="BO6B9278E652164F859465D5128E6C2661" hidden="1">#REF!</definedName>
    <definedName name="BO6B9770CD5DD64888A71AF866E1317654" hidden="1">#REF!</definedName>
    <definedName name="BO6B97BB91ACFB4324BA4CFC955A81ADAA" hidden="1">#REF!</definedName>
    <definedName name="BO6BC86BAA41A547468F6E9AD7931F5287" hidden="1">#REF!</definedName>
    <definedName name="BO6BCCBE0EB9B748A89BDEE5D538ACCDED" hidden="1">#REF!</definedName>
    <definedName name="BO6BCFA7C129A2467E97E597A5147106E1" hidden="1">#REF!</definedName>
    <definedName name="BO6BD7D8156ED44891A5AF1DABF35D4404" hidden="1">#REF!</definedName>
    <definedName name="BO6C05F334454F41C8B0B3678171CEC732" hidden="1">#REF!</definedName>
    <definedName name="BO6C082E03050E482090B01D3CEE896CE6" hidden="1">#REF!</definedName>
    <definedName name="BO6C32A595014942B9A3831CB8C8F5E2EA" hidden="1">#REF!</definedName>
    <definedName name="BO6C68BCC504F8443F856209C9C3C616C1" hidden="1">#REF!</definedName>
    <definedName name="BO6C8F4C54FA22481EA25C9A6E14DB3EE0" hidden="1">#REF!</definedName>
    <definedName name="BO6CA34BCFD336480891D464857FAA1BFF" hidden="1">#REF!</definedName>
    <definedName name="BO6CAC87F339424FCBA71C90521188D9F3" hidden="1">#REF!</definedName>
    <definedName name="BO6D170E9FBADE4FC38A06EEAB1545E1EA" hidden="1">#REF!</definedName>
    <definedName name="BO6D216F35BD0F4066AC051FA2D670BD8D" hidden="1">#REF!</definedName>
    <definedName name="BO6D36F5B3B1B24C41BA7F9A26F47F6E6F" hidden="1">#REF!</definedName>
    <definedName name="BO6D446ED435C340BBB7D6E1DABF2612F9" hidden="1">#REF!</definedName>
    <definedName name="BO6D48B3A216EA475B9802212D00F2F43D" hidden="1">#REF!</definedName>
    <definedName name="BO6E20ACC79B454036B34808A961B58196" hidden="1">#REF!</definedName>
    <definedName name="BO6E21344F47774A6EB1FA9F73B7BD2423" hidden="1">#REF!</definedName>
    <definedName name="BO6E2C21D508264F6B8B5C46A44C349884" hidden="1">#REF!</definedName>
    <definedName name="BO6E3F7562572A4DBB9CCB8552A974008A" hidden="1">#REF!</definedName>
    <definedName name="BO6E525CCAF5C14CE58AA18850F7DD1E07" hidden="1">#REF!</definedName>
    <definedName name="BO6EAC14737525425DB3D048A74D3C2555" hidden="1">#REF!</definedName>
    <definedName name="BO6EB9FF4451774C2DB2F4D3926A2E04F6" hidden="1">#REF!</definedName>
    <definedName name="BO6EDC325F257E4ED6ACC7EAE5B7ACFF4E" hidden="1">#REF!</definedName>
    <definedName name="BO6EFECEF948934EE8B681373562125C2A" hidden="1">#REF!</definedName>
    <definedName name="BO6F1385820D1146F59BF8E33FCC8B729C" hidden="1">#REF!</definedName>
    <definedName name="BO6F1609D75ECD4FF6BC0FF6228940675C" hidden="1">#REF!</definedName>
    <definedName name="BO6F1E1F5F203B44BC9BB6CFF0E412E2D8" hidden="1">#REF!</definedName>
    <definedName name="BO6F28430159734749B88F699C86A3550B" hidden="1">#REF!</definedName>
    <definedName name="BO6F3A5D1BC4944DBFBC8CE1F552DF33DA" hidden="1">#REF!</definedName>
    <definedName name="BO6F5267EB45D64C5F926243284B69BCA6" hidden="1">#REF!</definedName>
    <definedName name="BO6F536741FBB948678BFEC393C691E5D5" hidden="1">#REF!</definedName>
    <definedName name="BO6F70F171E044490BBAE91DB164C68637" hidden="1">#REF!</definedName>
    <definedName name="BO6F7397E62F854ABC9A4B8569B35A4877" hidden="1">#REF!</definedName>
    <definedName name="BO6F876995575C4527A03B04DA744B73FB" hidden="1">#REF!</definedName>
    <definedName name="BO6FA06320574E4113A9F484A352C77D5F" hidden="1">#REF!</definedName>
    <definedName name="BO6FA2D2E1C86D45A9AAD071B3BB6FAF17" hidden="1">#REF!</definedName>
    <definedName name="BO6FA69CEBBC6742018331746C19B43A60" hidden="1">#REF!</definedName>
    <definedName name="BO6FC7AAE6DE0245BF93272BB56E0A78F5" hidden="1">#REF!</definedName>
    <definedName name="BO6FC857D8CD534A2BBA93AA618401DDF0" hidden="1">#REF!</definedName>
    <definedName name="BO6FDA6E7D206B4B7B81E7695256A17B10" hidden="1">#REF!</definedName>
    <definedName name="BO6FED0E09E17C44269179A5BC3F6CC318" hidden="1">#REF!</definedName>
    <definedName name="BO700D962BEB2C4A76B4DB1654681DB4D5" hidden="1">#REF!</definedName>
    <definedName name="BO703AED9A8E984D3DB066D87D9CC0AAF8" hidden="1">#REF!</definedName>
    <definedName name="BO7051D964B75444359686A6D8EA8EE8AB" hidden="1">#REF!</definedName>
    <definedName name="BO705CF1DFE0DE4D389EF730530C15C154" hidden="1">#REF!</definedName>
    <definedName name="BO7061C029DB7E4C3CB5AA4DDE2460392C" hidden="1">#REF!</definedName>
    <definedName name="BO7094E562A1184812844CD42EA41E280A" hidden="1">#REF!</definedName>
    <definedName name="BO70B2AA6445EA47EDB7786D6CD3A62236" hidden="1">#REF!</definedName>
    <definedName name="BO70BDCDFEA7D14BD68ED91DF4F317EEA2" hidden="1">#REF!</definedName>
    <definedName name="BO70ECA966E29F418D9D52FC442E1E8353" hidden="1">#REF!</definedName>
    <definedName name="BO7106DC84060C4E658091D86955D71B96" hidden="1">#REF!</definedName>
    <definedName name="BO71325101CDD14BD4847E605FB812E00E" hidden="1">#REF!</definedName>
    <definedName name="BO71392F77D91448CF871C0C981693FA2E" hidden="1">#REF!</definedName>
    <definedName name="BO713ED7417A1C4961A087E5B2B6BF355D" hidden="1">#REF!</definedName>
    <definedName name="BO7193371CFD16425AA21553D11A0FB8E3" hidden="1">#REF!</definedName>
    <definedName name="BO71A1222E47594EE5868DB4CC220999C8" hidden="1">#REF!</definedName>
    <definedName name="BO71B3C99DBD0646128A15EEAB772F5CED" hidden="1">#REF!</definedName>
    <definedName name="BO71B62A503F0F4126B139358A87402C5F" hidden="1">#REF!</definedName>
    <definedName name="BO71CBB851E18B4919B08BECFF7D168564" hidden="1">#REF!</definedName>
    <definedName name="BO71D22361E628411D99E583D71033DC8A" hidden="1">#REF!</definedName>
    <definedName name="BO71E3CA1F3102488E93395246AD1ED12F" hidden="1">#REF!</definedName>
    <definedName name="BO71E95B7CDEEB417C88423FBD234F13B1" hidden="1">#REF!</definedName>
    <definedName name="BO71F834AEB5174A799F92A83D02A96630" hidden="1">#REF!</definedName>
    <definedName name="BO720382D08E8E4C7CA64CA1B2D5DF0FB5" hidden="1">#REF!</definedName>
    <definedName name="BO72215A72BC8D474AA13A45CAD99CBE96" hidden="1">#REF!</definedName>
    <definedName name="BO723F3F9D1C9D4E4984DAF709942090DC" hidden="1">#REF!</definedName>
    <definedName name="BO72594168DF2A494A91D06EC22DAB422F" hidden="1">#REF!</definedName>
    <definedName name="BO7279B40C726743AEA1D10F4FDA82E066" hidden="1">#REF!</definedName>
    <definedName name="BO729C7144BF3B410F86A028559201D1BC" hidden="1">#REF!</definedName>
    <definedName name="BO72E529392E8C430F8DEA197B49A0A5F6" hidden="1">#REF!</definedName>
    <definedName name="BO72E60F5DCCF74F1B93CFA3ADB443A3E4" hidden="1">#REF!</definedName>
    <definedName name="BO7307D59A4B214EAE86562607C85423E4" hidden="1">#REF!</definedName>
    <definedName name="BO733E15FC2902430994339FF32CD32B87" hidden="1">#REF!</definedName>
    <definedName name="BO73C8D12805554866BDCFE518BBA0B179" hidden="1">#REF!</definedName>
    <definedName name="BO73D5E3CE0DB6414399F7EE6D4D82A5D9" hidden="1">#REF!</definedName>
    <definedName name="BO740BD9ACD53D4068A50D01FBE388B184" hidden="1">#REF!</definedName>
    <definedName name="BO745C72726784433CA2465633D103E307" hidden="1">#REF!</definedName>
    <definedName name="BO747581AAE69340A3AA55D7E0E33F3BD2" hidden="1">#REF!</definedName>
    <definedName name="BO74850815E6B1496FB74F7BD6E50A4B3F" hidden="1">#REF!</definedName>
    <definedName name="BO748A034528AC408E83941B792E8FA572" hidden="1">#REF!</definedName>
    <definedName name="BO74E54C7D3DB246FD92CE6991D9B2A618" hidden="1">#REF!</definedName>
    <definedName name="BO74EBB284B6E44D8F991552BD3F66BCEE" hidden="1">#REF!</definedName>
    <definedName name="BO74F61FD7579A48E9B280208A620C9635" hidden="1">#REF!</definedName>
    <definedName name="BO74FB646248E345A29000CB6D66A465DD" hidden="1">#REF!</definedName>
    <definedName name="BO751BB62B928C4F22B20A477A18A85A03" hidden="1">#REF!</definedName>
    <definedName name="BO75258E2858A9487EB7D94A55D3F6F8F6" hidden="1">#REF!</definedName>
    <definedName name="BO755BFAF8F1BE47CE93D2E222DC51550B" hidden="1">#REF!</definedName>
    <definedName name="BO75691212455E4A329A200FEED489F25F" hidden="1">#REF!</definedName>
    <definedName name="BO756E3C1445D247469896FA894EC4F005" hidden="1">#REF!</definedName>
    <definedName name="BO7580E6D7B3D94206932D02E17C652894" hidden="1">#REF!</definedName>
    <definedName name="BO759F8AE7EA794C918C72E12E9DCF68A2" hidden="1">#REF!</definedName>
    <definedName name="BO75A2E743AECE46AFA74D486D82926E01" hidden="1">#REF!</definedName>
    <definedName name="BO75ADB4F32A9B4C6B9B23A6F06C77B2FA" hidden="1">#REF!</definedName>
    <definedName name="BO75B1AFE3E773475FB97325EBA97E15D4" hidden="1">#REF!</definedName>
    <definedName name="BO75C4101A9A9A47BE958056E317701004" hidden="1">#REF!</definedName>
    <definedName name="BO75EC821199834E478B5ABFB12B4E254B" hidden="1">#REF!</definedName>
    <definedName name="BO75FF3FD4DDA84CB39C4F91511EB9CE55" hidden="1">#REF!</definedName>
    <definedName name="BO76000B08B14A42FA8E260991624932B5" hidden="1">#REF!</definedName>
    <definedName name="BO760478BC3AC541D48B8B653180858CA8" hidden="1">#REF!</definedName>
    <definedName name="BO7663B46CDF5746FEA8D1B90DAA9D7343" hidden="1">#REF!</definedName>
    <definedName name="BO76AB248C19CA4AC8A89A4E53C9FA6D85" hidden="1">#REF!</definedName>
    <definedName name="BO76C044F1E3A04423B809A94C35FD6957" hidden="1">#REF!</definedName>
    <definedName name="BO76CA88E084EC4A54AEC7CA1F00F2CFC4" hidden="1">#REF!</definedName>
    <definedName name="BO76DA8C49D5AC48959D01ACC0A51323E6" hidden="1">#REF!</definedName>
    <definedName name="BO76DE8D9A64C642A29533096617FC630B" hidden="1">#REF!</definedName>
    <definedName name="BO76E9430E1E124C8E90FE35356FFD4346" hidden="1">#REF!</definedName>
    <definedName name="BO7700E20E746149E291ACCD677C9D0766" hidden="1">#REF!</definedName>
    <definedName name="BO77161466E3A248C6B42360A44488D5EB" hidden="1">#REF!</definedName>
    <definedName name="BO772857C878F74C8EBAC2132A89BCE5D2" hidden="1">#REF!</definedName>
    <definedName name="BO773483D3E1804CA69CB9EBAB8EDF44E2" hidden="1">#REF!</definedName>
    <definedName name="BO7735543194A245FBAB0BB9E8F74851DA" hidden="1">#REF!</definedName>
    <definedName name="BO7764E7B14F1F4E928E4376007F22ABAF" hidden="1">#REF!</definedName>
    <definedName name="BO77723F0E62C44BD3A26ABA5DD53B4F2A" hidden="1">#REF!</definedName>
    <definedName name="BO77A82294730E49ADA1F07FC8F00AA69D" hidden="1">#REF!</definedName>
    <definedName name="BO77CC4968C6FB4AE891D9203BB882D196" hidden="1">#REF!</definedName>
    <definedName name="BO77E21B89C8AB4C31920492CF930D9D60" hidden="1">#REF!</definedName>
    <definedName name="BO77E3BD8340C8474DA7D45CEC71ECC2E7" hidden="1">#REF!</definedName>
    <definedName name="BO780FE6F4A17D423CAAAE5E547813AF83" hidden="1">#REF!</definedName>
    <definedName name="BO7825A254A3284232B88DD51D44537CE6" hidden="1">#REF!</definedName>
    <definedName name="BO78293AB6CE91423691629BC52DBE67C5" hidden="1">#REF!</definedName>
    <definedName name="BO786482A3A5514950BBE4162F7C12A46A" hidden="1">#REF!</definedName>
    <definedName name="BO788ED74ED939412CB753298F77C36E43" hidden="1">#REF!</definedName>
    <definedName name="BO7893E4A0FDDA4DEFB6C87748B1C0D7E5" hidden="1">#REF!</definedName>
    <definedName name="BO78A26449E14A4E0898706C634FB8920A" hidden="1">#REF!</definedName>
    <definedName name="BO78B26688225A431E92C72662FBF21F94" hidden="1">#REF!</definedName>
    <definedName name="BO78C24C51799B48EC9BAD7647746A6F2F" hidden="1">#REF!</definedName>
    <definedName name="BO78CEEB703E4C4D78A579EE8F6D76D929" hidden="1">#REF!</definedName>
    <definedName name="BO7900DBEF3E8C481CB1DBCA63E0704C8E" hidden="1">#REF!</definedName>
    <definedName name="BO796520ECF0BA480DBCDDCB64C9832C4C" hidden="1">#REF!</definedName>
    <definedName name="BO797DA6191F9E43AB8625A5F6351A1609" hidden="1">#REF!</definedName>
    <definedName name="BO798FD8E248DE4C92A7F81EAC0A8F29A7" hidden="1">#REF!</definedName>
    <definedName name="BO79F79C58C8A641CF81752FDEA72C10D9" hidden="1">#REF!</definedName>
    <definedName name="BO7A14BDFD5B2841A8BDFFCCE11C18BE90" hidden="1">#REF!</definedName>
    <definedName name="BO7A3E4B6B1E6246EAA461969DE7AEB47B" hidden="1">#REF!</definedName>
    <definedName name="BO7A56D81323D346BCB253ED202182F14C" hidden="1">#REF!</definedName>
    <definedName name="BO7A67D1A3C2D1457494C925FBF571D683" hidden="1">#REF!</definedName>
    <definedName name="BO7A77E7DD81CB4CC68FEEABE2F3743C94" hidden="1">#REF!</definedName>
    <definedName name="BO7A84B87F8EDA4FDBAFF63724D92A7D16" hidden="1">#REF!</definedName>
    <definedName name="BO7ADAAAF76D5D4F11A1D6DCE52EDC3F0E" hidden="1">#REF!</definedName>
    <definedName name="BO7AECE17A45E947888D280C0A3669697F" hidden="1">#REF!</definedName>
    <definedName name="BO7AF2782FB7104FC28CFE46F4B181C0A8" hidden="1">#REF!</definedName>
    <definedName name="BO7B3F57C7D37A4D9F932F412B50E3A9C5" hidden="1">#REF!</definedName>
    <definedName name="BO7B4C1F4DCA5C4F91BE3808330ED991B4" hidden="1">#REF!</definedName>
    <definedName name="BO7B5705FA795B4415A95726BFE7507495" hidden="1">#REF!</definedName>
    <definedName name="BO7BBECD97126749A5BD63E736BE94A255" hidden="1">#REF!</definedName>
    <definedName name="BO7BC170CD198B41C692619BD0B2829984" hidden="1">#REF!</definedName>
    <definedName name="BO7BFEA2FCFFCB48E5B36F4809D85D5E7B" hidden="1">#REF!</definedName>
    <definedName name="BO7BFF594E1FEE4946BBAF27C54ADD6291" hidden="1">#REF!</definedName>
    <definedName name="BO7C16913B80E24B5DBA9EBB5E5FE3FBBC" hidden="1">#REF!</definedName>
    <definedName name="BO7C47A86CF33C4FCDAA0C54AA65B095A3" hidden="1">#REF!</definedName>
    <definedName name="BO7C4CD6B9E9C044EB9EC6C389774E6C65" hidden="1">#REF!</definedName>
    <definedName name="BO7C4E1B7E876445188B34969A634BA9DA" hidden="1">#REF!</definedName>
    <definedName name="BO7C7DABCD75A7494CA0243D508880E90D" hidden="1">#REF!</definedName>
    <definedName name="BO7CB19D575BA4421B91CCC82C209C8073" hidden="1">#REF!</definedName>
    <definedName name="BO7CB713453E414A90B10F3550A0F253EC" hidden="1">#REF!</definedName>
    <definedName name="BO7D1FDB8727184C13B4570E65F80DC3A8" hidden="1">#REF!</definedName>
    <definedName name="BO7D2EA66DF2E7481DA3B087A68D516C3D" hidden="1">#REF!</definedName>
    <definedName name="BO7D74CA4352B94CADA69060B858A229A7" hidden="1">#REF!</definedName>
    <definedName name="BO7D89FACA725047CB91C9B25626B1B1A8" hidden="1">#REF!</definedName>
    <definedName name="BO7D93C65EB0A44BBF9FCB07C446798A2C" hidden="1">#REF!</definedName>
    <definedName name="BO7DB9636AF6B6464587E05192DDA8F0FA" hidden="1">#REF!</definedName>
    <definedName name="BO7DB99E66FA9F4C188B1DA2EB33053C58" hidden="1">#REF!</definedName>
    <definedName name="BO7DBBE8B2D3EF445282BC0CB8AD4B8131" hidden="1">#REF!</definedName>
    <definedName name="BO7E1EB127D17647DCAF66576435571B9D" hidden="1">#REF!</definedName>
    <definedName name="BO7E20AF36C10E4DE1ACFF5DAB21E6F0CF" hidden="1">#REF!</definedName>
    <definedName name="BO7E41D564AEEA4C6280E66CE7C612FD8B" hidden="1">#REF!</definedName>
    <definedName name="BO7E5AD48C85964A4DA0892651C66FB5FA" hidden="1">#REF!</definedName>
    <definedName name="BO7E74EB17091144229C8DA32E72D0B0DE" hidden="1">#REF!</definedName>
    <definedName name="BO7ECA0CE87AD5486E8B520A1B3C302741" hidden="1">#REF!</definedName>
    <definedName name="BO7ED2877E1E044BF588CE91B0F73A907C" hidden="1">#REF!</definedName>
    <definedName name="BO7F328DF0B87B4733927898ED428C4902" hidden="1">#REF!</definedName>
    <definedName name="BO7F5D4C35425E426D8A302B12D509ECAC" hidden="1">#REF!</definedName>
    <definedName name="BO7F733737D2164EB396378752B251DF56" hidden="1">#REF!</definedName>
    <definedName name="BO7FA568F38B8549BD8CCB4099EBA6D59E" hidden="1">#REF!</definedName>
    <definedName name="BO7FE15ABA24B8440CB3D66CB2BEB8CD57" hidden="1">#REF!</definedName>
    <definedName name="BO7FED074D327A46A5B3846340D3E435AA" hidden="1">#REF!</definedName>
    <definedName name="BO8026067F176D423BB8A45430475AA310" hidden="1">#REF!</definedName>
    <definedName name="BO806F055F6D3248B38530AA53D8ABD768" hidden="1">#REF!</definedName>
    <definedName name="BO80E41CB5CADD420F8D0E1B0833B86BE7" hidden="1">#REF!</definedName>
    <definedName name="BO80F01F433AED4BA9B57F1088CBCCE98C" hidden="1">#REF!</definedName>
    <definedName name="BO81124862005F424FA1E78C5F5A56CE77" hidden="1">#REF!</definedName>
    <definedName name="BO8116D3330FC0481ABDE5EA390248C0FB" hidden="1">#REF!</definedName>
    <definedName name="BO812D1D90173740FF9EB59A105954F73E" hidden="1">#REF!</definedName>
    <definedName name="BO81398069C13F4CF48755661AA61D4B05" hidden="1">#REF!</definedName>
    <definedName name="BO8140CB8CB4934D52A45138EFCF43482F" hidden="1">#REF!</definedName>
    <definedName name="BO8152E1CBEABA406BB88B1EA29F8BD9B5" hidden="1">#REF!</definedName>
    <definedName name="BO815A38454A38422DAE2CBA1F342AB384" hidden="1">#REF!</definedName>
    <definedName name="BO8160DAE7346B4302A174200177384D45" hidden="1">#REF!</definedName>
    <definedName name="BO8161C454A2A04D77934C4F2B83E1D4AB" hidden="1">#REF!</definedName>
    <definedName name="BO8185A22756D844D485A4345BFAA5E51B" hidden="1">#REF!</definedName>
    <definedName name="BO81889E13E8BD4C878CCC1CCC34498B32" hidden="1">#REF!</definedName>
    <definedName name="BO81D37D16DB894932AABCA35600FE54D0" hidden="1">#REF!</definedName>
    <definedName name="BO81EB4DF8F6194B6D99943B71E32D1F8E" hidden="1">#REF!</definedName>
    <definedName name="BO8204C98D845C47289C2A48ACE7BB360F" hidden="1">#REF!</definedName>
    <definedName name="BO823A35FDC9FF43708B18DB11AE72EA46" hidden="1">#REF!</definedName>
    <definedName name="BO82599D26C22F4ECBAFBDBDDD0AC6B9DC" hidden="1">#REF!</definedName>
    <definedName name="BO8270DC61B3634703802A06111963247A" hidden="1">#REF!</definedName>
    <definedName name="BO8271FF2B72A4468699A1BEBB1CE7770A" hidden="1">#REF!</definedName>
    <definedName name="BO828C727B9F184011B97187B8FE59D9AE" hidden="1">#REF!</definedName>
    <definedName name="BO82AF49A840DC4E97A1E3E116C1017164" hidden="1">#REF!</definedName>
    <definedName name="BO82BC65E019234EAF896CAC4231F81781" hidden="1">#REF!</definedName>
    <definedName name="BO82CDE0C0F8AE420C9AB086E3F934D0FC" hidden="1">#REF!</definedName>
    <definedName name="BO82D0E1CF095B4D65B4D7B212912DA8E2" hidden="1">#REF!</definedName>
    <definedName name="BO82ED3D19CD6E4FE3941A3E1F6AD39401" hidden="1">#REF!</definedName>
    <definedName name="BO834ED8D711B54779884FECD0FD6C40F5" hidden="1">#REF!</definedName>
    <definedName name="BO835775321D284060B20BC052F1967F91" hidden="1">#REF!</definedName>
    <definedName name="BO836104A2FDD3439ABE6D95097289FA9B" hidden="1">#REF!</definedName>
    <definedName name="BO83DE305067F04E1FAF2073E158A42ED1" hidden="1">#REF!</definedName>
    <definedName name="BO83F96117CD7E43729C8F78CE6AA55364" hidden="1">#REF!</definedName>
    <definedName name="BO841E9D2788184F4B99B75B2D56050952" hidden="1">#REF!</definedName>
    <definedName name="BO845C63CD4426489B984D7A614921953B" hidden="1">#REF!</definedName>
    <definedName name="BO8462467AC4C04364864AA7B0E1E7103B" hidden="1">#REF!</definedName>
    <definedName name="BO847CD7266F44473E873D0BAC81568EE4" hidden="1">#REF!</definedName>
    <definedName name="BO84816916A3374C44A33B2B1E7CCBF62D" hidden="1">#REF!</definedName>
    <definedName name="BO8490395EA5A34B7281F95374AA651140" hidden="1">#REF!</definedName>
    <definedName name="BO849DAABD57DE400C976DE83FBD70852D" hidden="1">#REF!</definedName>
    <definedName name="BO84ACB7EA827D44EA920269A783FD03AF" hidden="1">#REF!</definedName>
    <definedName name="BO851125B4C9CF4507A505DFFE9759796E" hidden="1">#REF!</definedName>
    <definedName name="BO8537B991C1704514852540F58377C0F2" hidden="1">#REF!</definedName>
    <definedName name="BO8549AD1E42034B56A5A757A435BE5F99" hidden="1">#REF!</definedName>
    <definedName name="BO859CB049DE164366843D9C4F49208836" hidden="1">#REF!</definedName>
    <definedName name="BO85A46695882A420C817331A985BB9006" hidden="1">#REF!</definedName>
    <definedName name="BO85B3AD2EFD8B4EB4ACC21B67E6729BC4" hidden="1">#REF!</definedName>
    <definedName name="BO85CA8185403D4829A471E3C021F11823" hidden="1">#REF!</definedName>
    <definedName name="BO85EB01DFCFE245209787E6272A712082" hidden="1">#REF!</definedName>
    <definedName name="BO85F78F97543D4BAEBAA665AE23BF5F6E" hidden="1">#REF!</definedName>
    <definedName name="BO8639A9B559F64F969DAB29512C30B990" hidden="1">#REF!</definedName>
    <definedName name="BO865E85FAE63F471990E87A9EEEA0EBE2" hidden="1">#REF!</definedName>
    <definedName name="BO866A0D13F47E44558B185A80CB233625" hidden="1">#REF!</definedName>
    <definedName name="BO8674B77AC9C34190AE9EF29F8B3699AA" hidden="1">#REF!</definedName>
    <definedName name="BO86887E9489924B3CB6F2E988412CFB38" hidden="1">#REF!</definedName>
    <definedName name="BO868F562CA4E84985BF12F71371CCBC43" hidden="1">#REF!</definedName>
    <definedName name="BO86B6149BCDCC48A98A3D3C8A3A2729E6" hidden="1">#REF!</definedName>
    <definedName name="BO86BA1D0544E24C5C8A8180FF78CB5B06" hidden="1">#REF!</definedName>
    <definedName name="BO86D1438E23664D2B9FCD09512F3A93F8" hidden="1">#REF!</definedName>
    <definedName name="BO8703EEC12706416FB6ED04E179922738" hidden="1">#REF!</definedName>
    <definedName name="BO870886B6C73540E7BF1183ECA9AFF2B9" hidden="1">#REF!</definedName>
    <definedName name="BO8711D358A64C4D6AA1DE8CD9A503C0BD" hidden="1">#REF!</definedName>
    <definedName name="BO87299F945EA94175941F16F36740FD72" hidden="1">#REF!</definedName>
    <definedName name="BO8774AB7115B9480BA7502A21831439EB" hidden="1">#REF!</definedName>
    <definedName name="BO879CBD59307A43159AF2A4CED84C7472" hidden="1">#REF!</definedName>
    <definedName name="BO87B8EF89B2C846A289AE2145FA25030D" hidden="1">#REF!</definedName>
    <definedName name="BO87CACAE458564193B56975B2B5153420" hidden="1">#REF!</definedName>
    <definedName name="BO87F88410ED7F4182BE480F68D5F7E898" hidden="1">#REF!</definedName>
    <definedName name="BO8803BCBBE7974E4D88C057E49C0A7E07" hidden="1">#REF!</definedName>
    <definedName name="BO8827CF9AC78B41C79197737D53769A81" hidden="1">#REF!</definedName>
    <definedName name="BO884007A616A14E82BF8896F6D6B26A5A" hidden="1">#REF!</definedName>
    <definedName name="BO886E487C7EC9459489C12770C18ABEFD" hidden="1">#REF!</definedName>
    <definedName name="BO88A0ED37476047A9B79C3A73D5CAC3D2" hidden="1">#REF!</definedName>
    <definedName name="BO88B4A6CA845B4661AD2C9B0437234540" hidden="1">#REF!</definedName>
    <definedName name="BO88D455E4ACC843D4B075A8838BBF7D0C" hidden="1">#REF!</definedName>
    <definedName name="BO8916BA3A93DA473688862DC75848CA2A" hidden="1">#REF!</definedName>
    <definedName name="BO891CBAC1FEC041A9B1D2D5CAF876C3F0" hidden="1">#REF!</definedName>
    <definedName name="BO891FBC517DE746748A172799A83F07CB" hidden="1">#REF!</definedName>
    <definedName name="BO892CFB3B77F84724BE348F89B434721C" hidden="1">#REF!</definedName>
    <definedName name="BO893A612FBBF546A793F9B2F896C82AB5" hidden="1">#REF!</definedName>
    <definedName name="BO896731F41BBF4213B3E24429048CEBA0" hidden="1">#REF!</definedName>
    <definedName name="BO897389AC65794E96B87A0E76349A7E34" hidden="1">#REF!</definedName>
    <definedName name="BO8989F6C0B5DE414BADE674ECD51A4FFF" hidden="1">#REF!</definedName>
    <definedName name="BO89D827B7EF21445F830158AB1DB86EC3" hidden="1">#REF!</definedName>
    <definedName name="BO89EB193C9BF34E028B60BA2D06CDA850" hidden="1">#REF!</definedName>
    <definedName name="BO89F9BF5F1CD24F618FE42E6AEBC567DA" hidden="1">#REF!</definedName>
    <definedName name="BO8A11D840060F48A7A732512C54D8EAE5" hidden="1">#REF!</definedName>
    <definedName name="BO8A270233A6574574A5A316C2111A6B1A" hidden="1">#REF!</definedName>
    <definedName name="BO8A64A4873C0043DFB3995AAF8DC72790" hidden="1">#REF!</definedName>
    <definedName name="BO8A6F64578EA54D39B172DBB5F3870C6C" hidden="1">#REF!</definedName>
    <definedName name="BO8A742A3411094EA2AE29F3285CBDE97D" hidden="1">#REF!</definedName>
    <definedName name="BO8A76E1E597094F4AB0C09CE276EBB2AD" hidden="1">#REF!</definedName>
    <definedName name="BO8A921E1B07E84FE58A86CBFB254FC057" hidden="1">#REF!</definedName>
    <definedName name="BO8AA1781CDFE7451D8158DA9690BFD0CF" hidden="1">#REF!</definedName>
    <definedName name="BO8ABE68A54E9F4069ADD8462748851C18" hidden="1">#REF!</definedName>
    <definedName name="BO8AC7E18C57C84E229E0484E8B9B6A88C" hidden="1">#REF!</definedName>
    <definedName name="BO8ACBA67537FE40D9B10DE69058561E8E" hidden="1">#REF!</definedName>
    <definedName name="BO8B0E799EB2E747E08CC00A5CB7983720" hidden="1">#REF!</definedName>
    <definedName name="BO8B313457CD884D279D2548003F5D238D" hidden="1">#REF!</definedName>
    <definedName name="BO8B73BD8E9A0442A5A9F90AA4A70F6203" hidden="1">#REF!</definedName>
    <definedName name="BO8B979C2BC098453D8F62F9ADF5FEC071" hidden="1">#REF!</definedName>
    <definedName name="BO8BAFA77CB8BD4A9592F0A86BBD33A1B0" hidden="1">#REF!</definedName>
    <definedName name="BO8BDE8563DFDD419597EA3D1993A8E10E" hidden="1">#REF!</definedName>
    <definedName name="BO8BEFE8F9E9D94E0B8690BCF6FF778891" hidden="1">#REF!</definedName>
    <definedName name="BO8BF82CAB71EB4877BE2981B52240CDDB" hidden="1">#REF!</definedName>
    <definedName name="BO8BFBEE5EC43D4067962E8A52A23B2D50" hidden="1">#REF!</definedName>
    <definedName name="BO8C0049F46034494F9A9EA954789841B0" hidden="1">#REF!</definedName>
    <definedName name="BO8C2C15F699E14EDC94E42D4D15367A0D" hidden="1">#REF!</definedName>
    <definedName name="BO8C46C2D3D27C44F1AA60C52DBE893015" hidden="1">#REF!</definedName>
    <definedName name="BO8C54B39154C04A089EB3A2B03C75FCAD" hidden="1">#REF!</definedName>
    <definedName name="BO8C5D16B390B84E039A4F635DC9723990" hidden="1">#REF!</definedName>
    <definedName name="BO8C5D1AEB64E34CF69E4AEDEE394D2DF0" hidden="1">#REF!</definedName>
    <definedName name="BO8C756DB6D0084392A94AD363D9B3578A" hidden="1">#REF!</definedName>
    <definedName name="BO8C78667FFC67462C9A1643AC3DEA1B4D" hidden="1">#REF!</definedName>
    <definedName name="BO8C79291520C14D76B12F6B3100DC8B42" hidden="1">#REF!</definedName>
    <definedName name="BO8CC5B39B3E324C918A32819C9A07A727" hidden="1">#REF!</definedName>
    <definedName name="BO8CD76D68B350487FA0250A4A2EC5C2AD" hidden="1">#REF!</definedName>
    <definedName name="BO8D0213375C7F4E22A8FB01B418680B0B" hidden="1">#REF!</definedName>
    <definedName name="BO8D0ABD8164D04FC8B630B28D32646B09" hidden="1">#REF!</definedName>
    <definedName name="BO8D1B1B1B73DB404588CEED5EB7DBE08B" hidden="1">#REF!</definedName>
    <definedName name="BO8D24E811C41141359E065633B90B3ACB" hidden="1">#REF!</definedName>
    <definedName name="BO8D4A19F885E642D98251152558F518D0" hidden="1">#REF!</definedName>
    <definedName name="BO8D675C8D2C204F9EA5F6FB0C91BE9377" hidden="1">#REF!</definedName>
    <definedName name="BO8D8CDB5D0D984AF78FA24D1842552A13" hidden="1">#REF!</definedName>
    <definedName name="BO8DE89F4B4DB24B028D65D7B1C37D49A6" hidden="1">#REF!</definedName>
    <definedName name="BO8E04539AF5EA48F4A85BB9D8405EFE31" hidden="1">#REF!</definedName>
    <definedName name="BO8E247A336E7641BA8C759FA12C34B429" hidden="1">#REF!</definedName>
    <definedName name="BO8E64C19B77C74B4DA67868374DB4E3C8" hidden="1">#REF!</definedName>
    <definedName name="BO8E95876454BF4F2CA6988C26A165276E" hidden="1">#REF!</definedName>
    <definedName name="BO8E9F198DEB16434A9D0753A88CDF5215" hidden="1">#REF!</definedName>
    <definedName name="BO8EA5CD8275A64439ABF3E0E90503E2EB" hidden="1">#REF!</definedName>
    <definedName name="BO8EAFF7EBC66B4843859F00C277E10C35" hidden="1">#REF!</definedName>
    <definedName name="BO8ED02D762180437385E47C88BB9EEC20" hidden="1">#REF!</definedName>
    <definedName name="BO8EDFDB3F4A244405BD653340E001817F" hidden="1">#REF!</definedName>
    <definedName name="BO8EED6EA8341647B18E46E12EF5981737" hidden="1">#REF!</definedName>
    <definedName name="BO8F3F75AB3A994609B8A1BAA8D827B7D0" hidden="1">#REF!</definedName>
    <definedName name="BO8F4458B31E284C0B90A9336E9C28C284" hidden="1">#REF!</definedName>
    <definedName name="BO8F5C237F8C7C40E58D0B879F90947365" hidden="1">#REF!</definedName>
    <definedName name="BO8F69E36AA533438FB255DE448D2F78C1" hidden="1">#REF!</definedName>
    <definedName name="BO8F9ADFA732534966ACC45B4222D08278" hidden="1">#REF!</definedName>
    <definedName name="BO8FAB3988FD7A4610BB4D6F6553753FB0" hidden="1">#REF!</definedName>
    <definedName name="BO8FB6EDE92460437DB46269B760A9FF87" hidden="1">#REF!</definedName>
    <definedName name="BO9003C2B1CEA04D4799A07D012743DEC1" hidden="1">#REF!</definedName>
    <definedName name="BO901024E83D29496B899A127B34EC4440" hidden="1">#REF!</definedName>
    <definedName name="BO9010F2C0CC9E494A99E197637D325788" hidden="1">#REF!</definedName>
    <definedName name="BO9027C5BD01DF42DC93C5D78821D24A6C" hidden="1">#REF!</definedName>
    <definedName name="BO904BCFDAB4C44A96A1BAD24E7B5C4CFB" hidden="1">#REF!</definedName>
    <definedName name="BO90721953D91A42828345C72DA2C886EF" hidden="1">#REF!</definedName>
    <definedName name="BO90D5B7AE6DF34FC6A182261CEF953B81" hidden="1">#REF!</definedName>
    <definedName name="BO90F76DFC9F5F430F88B468A9892E4AC4" hidden="1">#REF!</definedName>
    <definedName name="BO91262F6339964C14984FDE97C6306DF7" hidden="1">#REF!</definedName>
    <definedName name="BO91511019934B448E8E0723C0742ED2AE" hidden="1">#REF!</definedName>
    <definedName name="BO9155D541487B4FBC9E854615EB1B4E06" hidden="1">#REF!</definedName>
    <definedName name="BO9159C1E514C74EDAB686FCB93521755B" hidden="1">#REF!</definedName>
    <definedName name="BO91AF57D4731E42D3BD43C805328349BB" hidden="1">#REF!</definedName>
    <definedName name="BO91B1C71622B84DC09FCF82790CCC6703" hidden="1">#REF!</definedName>
    <definedName name="BO91C46125583D4C069EE7155B503E3BDC" hidden="1">#REF!</definedName>
    <definedName name="BO920A4D58587E4B348E656E2FB55DBF5A" hidden="1">#REF!</definedName>
    <definedName name="BO924B50D148534EB4BFAB07809F576F86" hidden="1">#REF!</definedName>
    <definedName name="BO92544256210E49188C03B1EBD2040774" hidden="1">#REF!</definedName>
    <definedName name="BO9268349F1CCF49DEB0561574CF57C558" hidden="1">#REF!</definedName>
    <definedName name="BO926B5DA94093402CAF44525268D29478" hidden="1">#REF!</definedName>
    <definedName name="BO92714A6ED6124D27829A03BD605CFABF" hidden="1">#REF!</definedName>
    <definedName name="BO928DC16886B2445797C8B9905F1CD971" hidden="1">#REF!</definedName>
    <definedName name="BO92C9ED6F059A4A3FBF49382DA781E052" hidden="1">#REF!</definedName>
    <definedName name="BO92EA0833D1CB48CFB02613AE12C820A4" hidden="1">#REF!</definedName>
    <definedName name="BO92EFCC3CC64A4D068BF90CD047BA59AD" hidden="1">#REF!</definedName>
    <definedName name="BO92EFFAEB634443FE91C7F58365598D5E" hidden="1">#REF!</definedName>
    <definedName name="BO92F6D42A17AC4074BBD00DCE92DF03C9" hidden="1">#REF!</definedName>
    <definedName name="BO930DA66B28B14BEAA44697A5823258AA" hidden="1">#REF!</definedName>
    <definedName name="BO930FD1E9B9EB478BBAD94346BAE68338" hidden="1">#REF!</definedName>
    <definedName name="BO9329BF9F354242D086A1F242CA6684D6" hidden="1">#REF!</definedName>
    <definedName name="BO932B0A19ACC444A2BB8954EED654465A" hidden="1">#REF!</definedName>
    <definedName name="BO933ED92411824C6FAC78C97BA2A11AAB" hidden="1">#REF!</definedName>
    <definedName name="BO933FAA4514814F85818066C84AF854C9" hidden="1">#REF!</definedName>
    <definedName name="BO93A4D280E8CA43DC8B02811F751ABAA2" hidden="1">#REF!</definedName>
    <definedName name="BO93B2980E647143A5A17C67935ED6DC7F" hidden="1">#REF!</definedName>
    <definedName name="BO93E74F3970FD46C489BC2A92AE9C7404" hidden="1">#REF!</definedName>
    <definedName name="BO93EBF6734EA34A90BA493473DE688EBF" hidden="1">#REF!</definedName>
    <definedName name="BO93ECFE632155481DA0FDBB0615E7281C" hidden="1">#REF!</definedName>
    <definedName name="BO93F310F9C2F24700BD756AB5D39C0C70" hidden="1">#REF!</definedName>
    <definedName name="BO9406D55A95A444A3B45C4B90FE2D125A" hidden="1">#REF!</definedName>
    <definedName name="BO94073230D0F44D879F25D75E8A1F6E7E" hidden="1">#REF!</definedName>
    <definedName name="BO94220D9907CC4E24A9678F2D022262BF" hidden="1">#REF!</definedName>
    <definedName name="BO94286E15B5C249DF83B6D785E99910F3" hidden="1">#REF!</definedName>
    <definedName name="BO942AFFE69A8B4A8C80C2C626B5017758" hidden="1">#REF!</definedName>
    <definedName name="BO943F7197EDF04FF2A7D1A29789D38FC7" hidden="1">#REF!</definedName>
    <definedName name="BO9440F575DEAD4D009356CD54D15D0646" hidden="1">#REF!</definedName>
    <definedName name="BO945D4AE586B049C4B26F43D2964BF053" hidden="1">#REF!</definedName>
    <definedName name="BO9479247504A240DB8AA62248BA3AD62A" hidden="1">#REF!</definedName>
    <definedName name="BO948E4098C46048728921E52405E20CE2" hidden="1">#REF!</definedName>
    <definedName name="BO9494C43445E94B2F9101B150DA348936" hidden="1">#REF!</definedName>
    <definedName name="BO94ACFBA87DCA4A049A7A7B2CF5A0099B" hidden="1">#REF!</definedName>
    <definedName name="BO94C268B1ABDC4BE5AF160FC92E6E930E" hidden="1">#REF!</definedName>
    <definedName name="BO94CAC1B2B9184A0CA149982A6B0EDA40" hidden="1">#REF!</definedName>
    <definedName name="BO95297CC5443C4A87921219AEDB0053A4" hidden="1">#REF!</definedName>
    <definedName name="BO95315A491963462088AB010F1E6536ED" hidden="1">#REF!</definedName>
    <definedName name="BO9531F6C583AD4A5B8EACA1697DCA76E5" hidden="1">#REF!</definedName>
    <definedName name="BO9546AAE559804D05934EF2CC58527114" hidden="1">#REF!</definedName>
    <definedName name="BO955821DBA81848509481FD646A939426" hidden="1">#REF!</definedName>
    <definedName name="BO9569473B49744295BBBB13BF84496763" hidden="1">#REF!</definedName>
    <definedName name="BO95B8948E71674C9BBD6DC47262E07D3C" hidden="1">#REF!</definedName>
    <definedName name="BO96012A3695F24EEDA41060270FB23FD7" hidden="1">#REF!</definedName>
    <definedName name="BO961753E720B34B64928183DBF2D50EF4" hidden="1">#REF!</definedName>
    <definedName name="BO9619A3E64E904BBF830DEA71105C6554" hidden="1">#REF!</definedName>
    <definedName name="BO961B2829573B4BF3AEDBD5F574CBDFBE" hidden="1">#REF!</definedName>
    <definedName name="BO963AA06C95F0448C98E7B7ADF814B641" hidden="1">#REF!</definedName>
    <definedName name="BO9655D4D083304B6B84234D7B3D520D2C" hidden="1">#REF!</definedName>
    <definedName name="BO96C96D0DC4524E10AD2A3B05945FC3F1" hidden="1">#REF!</definedName>
    <definedName name="BO96D6B2D14BCE426B82DFC4BC6BE36452" hidden="1">#REF!</definedName>
    <definedName name="BO96DD60ACDEAB49279901EDA429A1D057" hidden="1">#REF!</definedName>
    <definedName name="BO9705DA3C5FE549B1B6C232BEE3BE0B4A" hidden="1">#REF!</definedName>
    <definedName name="BO971ABF41FC324365BB3C3958837215AD" hidden="1">#REF!</definedName>
    <definedName name="BO972EF9E0468B46789B22F42FA9EDF429" hidden="1">#REF!</definedName>
    <definedName name="BO97435E36457D4D9F8A41E78406793419" hidden="1">#REF!</definedName>
    <definedName name="BO974DD56617CC44BB82F4580C5391D3C4" hidden="1">#REF!</definedName>
    <definedName name="BO9763C8E8672C44EE9CC8F3034DE59781" hidden="1">#REF!</definedName>
    <definedName name="BO97705033685D404CA111963901512904" hidden="1">#REF!</definedName>
    <definedName name="BO97754172F33648A1B02D0D2E9D35C937" hidden="1">#REF!</definedName>
    <definedName name="BO97B220745DA94ED7BB96EECFA8DC4E6E" hidden="1">#REF!</definedName>
    <definedName name="BO97E864FF22354435934B5E0583930B1A" hidden="1">#REF!</definedName>
    <definedName name="BO9809C12F3B384ADF849C353B35FBAA0D" hidden="1">#REF!</definedName>
    <definedName name="BO9847A201EFCB4ACB9B307CE635AEB5E1" hidden="1">#REF!</definedName>
    <definedName name="BO985BAF614F20419688C24910DA7EDD6A" hidden="1">#REF!</definedName>
    <definedName name="BO98CB2505045548E2961B8E6D1605915E" hidden="1">#REF!</definedName>
    <definedName name="BO98D37362E38B4CDA8C9E54163DEBEB0D" hidden="1">#REF!</definedName>
    <definedName name="BO98E5E992939548CE8FEDD43F3C859A4F" hidden="1">#REF!</definedName>
    <definedName name="BO98EE941FAF8946578E04E20339EF8603" hidden="1">#REF!</definedName>
    <definedName name="BO9916AA24635F4BF297FA83B8070D44FE" hidden="1">#REF!</definedName>
    <definedName name="BO9922DCDDA14C416E94C27CE584A50205" hidden="1">#REF!</definedName>
    <definedName name="BO9952FD1FDB394000A77CFF0ECF03E8D2" hidden="1">#REF!</definedName>
    <definedName name="BO9966FC2A064D44348ED41FEA6E021D6E" hidden="1">#REF!</definedName>
    <definedName name="BO99746685114E4D81834B645CEAD25AA3" hidden="1">#REF!</definedName>
    <definedName name="BO9984FAA95CC94B57809C5AA8ADD50266" hidden="1">#REF!</definedName>
    <definedName name="BO99986C2F1A874F3AB3EFFC6732063BAA" hidden="1">#REF!</definedName>
    <definedName name="BO9999A410B168401BA23B06933F517548" hidden="1">#REF!</definedName>
    <definedName name="BO99A5EA3B6465412E99F307619EFF22BA" hidden="1">#REF!</definedName>
    <definedName name="BO99BAC6217DB74194A730AF104092B111" hidden="1">#REF!</definedName>
    <definedName name="BO99C4CA4681754EEA872316A386BE91B9" hidden="1">#REF!</definedName>
    <definedName name="BO99E873DF55E2407AA79BE4AC482D57C1" hidden="1">#REF!</definedName>
    <definedName name="BO99F730DA3CE3438682559D78DBEB1137" hidden="1">#REF!</definedName>
    <definedName name="BO99FFBEBD80BD4018998241073ABBEC36" hidden="1">#REF!</definedName>
    <definedName name="BO9A05D1ED402548C7BCD6598F99A3D539" hidden="1">#REF!</definedName>
    <definedName name="BO9A0A3EF557FE4FF79C9C276FF2750A78" hidden="1">#REF!</definedName>
    <definedName name="BO9A2A567F0CC545CC9043BF9A4C5F101F" hidden="1">#REF!</definedName>
    <definedName name="BO9A4A94F5AF7D4C0395CB3119F73CE421" hidden="1">#REF!</definedName>
    <definedName name="BO9A59FC65E18E4F21B33CA5B9F96320B3" hidden="1">#REF!</definedName>
    <definedName name="BO9A78932710404751B80863614952311A" hidden="1">#REF!</definedName>
    <definedName name="BO9AB4EE1BE75A4835A849BC3D07FB835E" hidden="1">#REF!</definedName>
    <definedName name="BO9AD7468F6951475F80B883FFA1EFF394" hidden="1">#REF!</definedName>
    <definedName name="BO9AE63B8B66BF4271961E67AB87C27BE3" hidden="1">#REF!</definedName>
    <definedName name="BO9AFDD4CFEDE84C3CAEAD110DF748A416" hidden="1">#REF!</definedName>
    <definedName name="BO9B07B29E896D4E689C3E019FE42771E7" hidden="1">#REF!</definedName>
    <definedName name="BO9B3B4252A5054C8AA9BB04D57CE43C60" hidden="1">#REF!</definedName>
    <definedName name="BO9B3B6F3CBDDD4CB0B98E9DAC2E6DFBB4" hidden="1">#REF!</definedName>
    <definedName name="BO9B640C81FAC3478A9C0CE081CB3E73D5" hidden="1">#REF!</definedName>
    <definedName name="BO9B6675559D5942B3B387B2E69918ECCC" hidden="1">#REF!</definedName>
    <definedName name="BO9B9AF7C9673C48CD8E8EAE4AC4E281CA" hidden="1">#REF!</definedName>
    <definedName name="BO9BAECBA19405487FB031825E7B70BE1C" hidden="1">#REF!</definedName>
    <definedName name="BO9BB7786E205641A9BCB10515C5FB9C5C" hidden="1">#REF!</definedName>
    <definedName name="BO9BBBD5E6AA58480F99501CB155F50055" hidden="1">#REF!</definedName>
    <definedName name="BO9BC62009464D4CDC8AFA09C3FB8BBE87" hidden="1">#REF!</definedName>
    <definedName name="BO9BCF658BBEEB42C89189AA47132AC73A" hidden="1">#REF!</definedName>
    <definedName name="BO9BE41D1F231A418F830EAA8396305640" hidden="1">#REF!</definedName>
    <definedName name="BO9C17161872F74DB0BA6C03506E72CEFE" hidden="1">#REF!</definedName>
    <definedName name="BO9C95306ECA8A4DF29A67E71B4C27512C" hidden="1">#REF!</definedName>
    <definedName name="BO9CA845EC09454761BFF0DC05A2EB3A06" hidden="1">#REF!</definedName>
    <definedName name="BO9CBCC0D3894A44B58DAC2B863B7E25B3" hidden="1">#REF!</definedName>
    <definedName name="BO9D0FB7C1C3B841A59A5E9CAD840B8C0F" hidden="1">#REF!</definedName>
    <definedName name="BO9D2EC89415594DFCBFA383F91B4F5835" hidden="1">#REF!</definedName>
    <definedName name="BO9D31DD6E049A4E7FB735DB29E71A97F2" hidden="1">#REF!</definedName>
    <definedName name="BO9D382EA010864BB39B897D3D6C08CE6F" hidden="1">#REF!</definedName>
    <definedName name="BO9D566E07211A4542B709221142FB26CC" hidden="1">#REF!</definedName>
    <definedName name="BO9D5B83458C744002B63E411CDE03ECB7" hidden="1">#REF!</definedName>
    <definedName name="BO9D679CDB0BC745C492504DED9E16F0C1" hidden="1">#REF!</definedName>
    <definedName name="BO9D9E159D0FE347688EBFFA8002E44AD0" hidden="1">#REF!</definedName>
    <definedName name="BO9DBFA7A314A14358A1BDB1236CC63047" hidden="1">#REF!</definedName>
    <definedName name="BO9DE21AB0C811455699C778ECB24B4AD9" hidden="1">#REF!</definedName>
    <definedName name="BO9DEF2EE08D964A7E8310419E9921EE75" hidden="1">#REF!</definedName>
    <definedName name="BO9E003DA1F36B44AB9EC08ACBAEE6F65D" hidden="1">#REF!</definedName>
    <definedName name="BO9E0C25B7E0C84BFE9426A44CBF8937BB" hidden="1">#REF!</definedName>
    <definedName name="BO9E3D1164FF204D198D23C9100A1AEA98" hidden="1">#REF!</definedName>
    <definedName name="BO9E4FD01082214E3F8437C9DF0F856DBF" hidden="1">#REF!</definedName>
    <definedName name="BO9E592C4A1FD54960AAB050B54EBC10CB" hidden="1">#REF!</definedName>
    <definedName name="BO9E99CD5583BF4ABC9E6E2B3ECDCCA708" hidden="1">#REF!</definedName>
    <definedName name="BO9EC96CBE66E94173B9AD6AFFF322328A" hidden="1">#REF!</definedName>
    <definedName name="BO9EE40B3D0579479EA703138ABB06409C" hidden="1">#REF!</definedName>
    <definedName name="BO9EE65237CE8142E28DABAA00F78B15A0" hidden="1">#REF!</definedName>
    <definedName name="BO9EEDCF5DB65140C1B2B70A982B0F3E91" hidden="1">#REF!</definedName>
    <definedName name="BO9F07CBAC4C5F49DE92CC2A52C21CAB7E" hidden="1">#REF!</definedName>
    <definedName name="BO9F10FA186178484FABB4E8B074B15420" hidden="1">#REF!</definedName>
    <definedName name="BO9F34E55FDD3A4D32B20E4E980B02C425" hidden="1">#REF!</definedName>
    <definedName name="BO9F40D694D9684B508FA9A8F103228394" hidden="1">#REF!</definedName>
    <definedName name="BO9F54818F41EF40E6A9F3633AB2F2EA20" hidden="1">#REF!</definedName>
    <definedName name="BO9F6B8C696CF146C280FEB5D6C749222C" hidden="1">#REF!</definedName>
    <definedName name="BO9F71EDDE4E924BF3A0A7E8E09E21BF3A" hidden="1">#REF!</definedName>
    <definedName name="BO9F7F85E5F8D34CDDA86FC6528443462F" hidden="1">#REF!</definedName>
    <definedName name="BO9F8DFCDB096345B68BCF462FC11B9706" hidden="1">#REF!</definedName>
    <definedName name="BO9FBFFA7083694DD3AD4640D05A58F483" hidden="1">#REF!</definedName>
    <definedName name="BO9FDB53228D304274A31FEEB51F85A06C" hidden="1">#REF!</definedName>
    <definedName name="BO9FDC777231194DEBAE529B75C7703B12" hidden="1">#REF!</definedName>
    <definedName name="BOA006F4ABB05B4841864CE9366EE3464D" hidden="1">#REF!</definedName>
    <definedName name="BOA01AB44C3CB1473A905F71A02375605D" hidden="1">#REF!</definedName>
    <definedName name="BOA03D360312ED4F30BACC528D9A68ADA8" hidden="1">#REF!</definedName>
    <definedName name="BOA092EBD10A39436D961FC4626BA9D54B" hidden="1">#REF!</definedName>
    <definedName name="BOA0973CD7CB0D4427822DCC15C8DC36E6" hidden="1">#REF!</definedName>
    <definedName name="BOA09939E62F734F3790CB58BAACFAF893" hidden="1">#REF!</definedName>
    <definedName name="BOA0A6F7DBC13340D99A8C09D43A8C5FDD" hidden="1">#REF!</definedName>
    <definedName name="BOA0A8CC93F5D64DCD97471686FFBAD7A1" hidden="1">#REF!</definedName>
    <definedName name="BOA103EFA0D3EE40399ECD9FAE4B4DC409" hidden="1">#REF!</definedName>
    <definedName name="BOA11A3364279C4FC0B49B5233DDFB7141" hidden="1">#REF!</definedName>
    <definedName name="BOA12F3EEDA20B4FD9B8C4F5748C7E15C6" hidden="1">#REF!</definedName>
    <definedName name="BOA1352C67E57F45F18A3132F095B04042" hidden="1">#REF!</definedName>
    <definedName name="BOA13EC5CDB2214E749DF116E65443FF6F" hidden="1">#REF!</definedName>
    <definedName name="BOA141CE166F8440C3A8CD0C0AB35AE9C6" hidden="1">#REF!</definedName>
    <definedName name="BOA152F44A37C4455681690219A61BB8B3" hidden="1">#REF!</definedName>
    <definedName name="BOA15AEAA763514B49B56E0598A1F4F5B6" hidden="1">#REF!</definedName>
    <definedName name="BOA161645A570249BAA9140EF1ADACF4CD" hidden="1">#REF!</definedName>
    <definedName name="BOA169A3CB6EE44860BB3708E0DF1BC3AF" hidden="1">#REF!</definedName>
    <definedName name="BOA1758065E1644D98A1D35456D11460EC" hidden="1">#REF!</definedName>
    <definedName name="BOA1A05E26429E4F3195FA94B46415BFDA" hidden="1">#REF!</definedName>
    <definedName name="BOA1E2A5EE861F49C38EE305E436EEFE96" hidden="1">#REF!</definedName>
    <definedName name="BOA1FF26CC55B443828B3455BBCDFFD9E1" hidden="1">#REF!</definedName>
    <definedName name="BOA22B3CD7328748DCA7244693DF118DB7" hidden="1">#REF!</definedName>
    <definedName name="BOA2412A5E6D57468B938BE2B72C05DA56" hidden="1">#REF!</definedName>
    <definedName name="BOA2534E435EDB40A392C16CD7756BF8AC" hidden="1">#REF!</definedName>
    <definedName name="BOA27561E4E6D54D2E82204A11F24FBE9A" hidden="1">#REF!</definedName>
    <definedName name="BOA283388003664BE3B1DC3A3FFF38FE73" hidden="1">#REF!</definedName>
    <definedName name="BOA2859B8A4F184F7D8C8ACEB84BCC80E1" hidden="1">#REF!</definedName>
    <definedName name="BOA289AA4645634A87B4FB1CCD6F128776" hidden="1">#REF!</definedName>
    <definedName name="BOA29B3938849B4A3C87A0DE3336238EAE" hidden="1">#REF!</definedName>
    <definedName name="BOA2A0FA23CD564225A72813CC35CFC8D6" hidden="1">#REF!</definedName>
    <definedName name="BOA2CC00FFAA57489F9D9480BE93021654" hidden="1">#REF!</definedName>
    <definedName name="BOA2D1DDA741CE4F6B9D71E5D5771574D6" hidden="1">#REF!</definedName>
    <definedName name="BOA2E484543D694D02994BC4EC2F655330" hidden="1">#REF!</definedName>
    <definedName name="BOA315AA4931CC4001A9EC8F6920A91C79" hidden="1">#REF!</definedName>
    <definedName name="BOA32426FCD5BF4607A33D160E9645EB0D" hidden="1">#REF!</definedName>
    <definedName name="BOA33A7D819F024B85B56B7D2A2E4484D7" hidden="1">#REF!</definedName>
    <definedName name="BOA352B72344F0429E86D9ED262C4398FA" hidden="1">#REF!</definedName>
    <definedName name="BOA35594FBAC6C4023A87A6DCB6BA099EA" hidden="1">#REF!</definedName>
    <definedName name="BOA39EB795244B453F9C0B7BB24072C50B" hidden="1">#REF!</definedName>
    <definedName name="BOA3ABC3ACDB7C467FA9004B72803A383E" hidden="1">#REF!</definedName>
    <definedName name="BOA3B2EB35C3BF4AD2AE5C9FBEA422359B" hidden="1">#REF!</definedName>
    <definedName name="BOA3B6C2E31A424B5884BD468565BC45E1" hidden="1">#REF!</definedName>
    <definedName name="BOA3C4CE09FB0449E9B7E9CA671975ACCF" hidden="1">#REF!</definedName>
    <definedName name="BOA3F98ABF94274EBDBA8B8C0A346CF6BF" hidden="1">#REF!</definedName>
    <definedName name="BOA42602D37E80421497F71AE8DF396BFB" hidden="1">#REF!</definedName>
    <definedName name="BOA439A957F73944B38D8C767CF10E9716" hidden="1">#REF!</definedName>
    <definedName name="BOA44AE348903746CA9B8ABE6EF71D1077" hidden="1">#REF!</definedName>
    <definedName name="BOA462C80DE3494FC685782204231EF933" hidden="1">#REF!</definedName>
    <definedName name="BOA4649298C78E4096A85D8FD30642C288" hidden="1">#REF!</definedName>
    <definedName name="BOA4748AD854304C5B817167E99614D86A" hidden="1">#REF!</definedName>
    <definedName name="BOA47E09412705450888DD8453BF6DCA12" hidden="1">#REF!</definedName>
    <definedName name="BOA4940DB879CF4599A4F180784D029065" hidden="1">#REF!</definedName>
    <definedName name="BOA4A383CBB5DA4205B715E501850002D6" hidden="1">#REF!</definedName>
    <definedName name="BOA4B854E4A98E4EE8B599A4C36A99C92F" hidden="1">#REF!</definedName>
    <definedName name="BOA4DF3CBC0DFB41228237A09E59236542" hidden="1">#REF!</definedName>
    <definedName name="BOA4F66357C5124D408BDE2D48F6F81BDA" hidden="1">#REF!</definedName>
    <definedName name="BOA50372BAFCAA49439AF1A75FA936229B" hidden="1">#REF!</definedName>
    <definedName name="BOA50776DD34F341719EF3B1C7B8D350A9" hidden="1">#REF!</definedName>
    <definedName name="BOA52077D9BB274AFAB79A440D6D5E9C65" hidden="1">#REF!</definedName>
    <definedName name="BOA55144CF16B44B83A70A3CE1429CAB79" hidden="1">#REF!</definedName>
    <definedName name="BOA5563290A14545B291A1460769DA573E" hidden="1">#REF!</definedName>
    <definedName name="BOA56250C6D113490494A85508FA96F117" hidden="1">#REF!</definedName>
    <definedName name="BOA569850F54084856964BAC3DD63DE6CF" hidden="1">#REF!</definedName>
    <definedName name="BOA57BAACC082A40159BEF18E4E3DB2ACD" hidden="1">#REF!</definedName>
    <definedName name="BOA581B3576FD14DDA8428A257E41BD465" hidden="1">#REF!</definedName>
    <definedName name="BOA59812A6C8F6471D8B7808CD5A2D4E46" hidden="1">#REF!</definedName>
    <definedName name="BOA5F52A81589749329CDCE8685E3175F2" hidden="1">#REF!</definedName>
    <definedName name="BOA61A6AC1202F4579BCCF9BDB3C59424F" hidden="1">#REF!</definedName>
    <definedName name="BOA632E1E19F6146D8B540BA96DD9F15BF" hidden="1">#REF!</definedName>
    <definedName name="BOA65CEC24542D4292AAD5283DBB046FE4" hidden="1">#REF!</definedName>
    <definedName name="BOA6CEB363B62D4A5E8653E0BEE5CE80FD" hidden="1">#REF!</definedName>
    <definedName name="BOA6E203E4C48E4F42A3FA31107DA549DE" hidden="1">#REF!</definedName>
    <definedName name="BOA707A60280214C118EE4576BCB8B7DAB" hidden="1">#REF!</definedName>
    <definedName name="BOA712AA636CCB425093E780C6F6E88895" hidden="1">#REF!</definedName>
    <definedName name="BOA71E9E0A6B654860B10DCBA2CFBBCEE1" hidden="1">#REF!</definedName>
    <definedName name="BOA728B6EAF7A14885845F7AA7D62EB408" hidden="1">#REF!</definedName>
    <definedName name="BOA7455FF6DF214261A4347081C1D9C8EE" hidden="1">#REF!</definedName>
    <definedName name="BOA746A2AB5671481DA3DD991C94176C8A" hidden="1">#REF!</definedName>
    <definedName name="BOA74AA104568E47BD86B932FFDA257D7C" hidden="1">#REF!</definedName>
    <definedName name="BOA75545E5DDD144219F5A61A771BF481F" hidden="1">#REF!</definedName>
    <definedName name="BOA78A2F476D7443DA9A43D445AD643547" hidden="1">#REF!</definedName>
    <definedName name="BOA791A74458E94B4FBEE935AC97E2C20A" hidden="1">#REF!</definedName>
    <definedName name="BOA79FF83862C844F696454C0522D0843E" hidden="1">#REF!</definedName>
    <definedName name="BOA7DEC5F243FB4F35912907E0D2F89E0A" hidden="1">#REF!</definedName>
    <definedName name="BOA7FF2C28276841DDA5FD8013F2976256" hidden="1">#REF!</definedName>
    <definedName name="BOA80A354E42AB46F8BB5D1820B60A5551" hidden="1">#REF!</definedName>
    <definedName name="BOA8206628314E4A578EFEF6514ED8FA60" hidden="1">#REF!</definedName>
    <definedName name="BOA845FB7BA6F94DD384D9239414F1084D" hidden="1">#REF!</definedName>
    <definedName name="BOA8540DFBF8EF49C5AB8D4B08918806F3" hidden="1">#REF!</definedName>
    <definedName name="BOA86399A514B142459FA538ED95ED75D7" hidden="1">#REF!</definedName>
    <definedName name="BOA867A12A4E9B4122A055945A85515980" hidden="1">#REF!</definedName>
    <definedName name="BOA879FFE6ECBE4F8ABCD12D7BCBA427F4" hidden="1">#REF!</definedName>
    <definedName name="BOA880BD92CB5B4C59AA5C0A8CA4F5372F" hidden="1">#REF!</definedName>
    <definedName name="BOA8957C86FB6643AC809FD39567629B64" hidden="1">#REF!</definedName>
    <definedName name="BOA8AB53237752430BB0B4104856BA4E2A" hidden="1">#REF!</definedName>
    <definedName name="BOA8B6E7E580EC46D5A167ECCE259105F9" hidden="1">#REF!</definedName>
    <definedName name="BOA8BDC17C9B004D55A015D84C15CB45EB" hidden="1">#REF!</definedName>
    <definedName name="BOA8D1E2E64BB645C680E24AB89AEDFCE3" hidden="1">#REF!</definedName>
    <definedName name="BOA901AF30926D453BB7505F619BF078C6" hidden="1">#REF!</definedName>
    <definedName name="BOA905A35F3C83427BAF8078DEA92E3DCC" hidden="1">#REF!</definedName>
    <definedName name="BOA91942887A174391853984C0DB8FA258" hidden="1">#REF!</definedName>
    <definedName name="BOA924C8471B3D4BEFBFB2779ECB07D4B5" hidden="1">#REF!</definedName>
    <definedName name="BOA92CD5ABDF7142A9A3BBE8219AB7AD1E" hidden="1">#REF!</definedName>
    <definedName name="BOA941C0CD3F314CADA478A0C1CD85D250" hidden="1">#REF!</definedName>
    <definedName name="BOA960BBD34FE24271BB6009F552117A5E" hidden="1">#REF!</definedName>
    <definedName name="BOA97D1C5882D9460FB9B7E8BE3E06D7C7" hidden="1">#REF!</definedName>
    <definedName name="BOA99B3EA44A6444AD81F311DA7CDA0E02" hidden="1">#REF!</definedName>
    <definedName name="BOA9AFF096E6444A7E8455417EDE43E417" hidden="1">#REF!</definedName>
    <definedName name="BOA9DCE25621BA40C296FF0BBC64986F2B" hidden="1">#REF!</definedName>
    <definedName name="BOAA01475766094341BAC5937C45B98679" hidden="1">#REF!</definedName>
    <definedName name="BOAA0860BF715E47AC9514FA50EA6E61AF" hidden="1">#REF!</definedName>
    <definedName name="BOAA1E223595434D068D4C203B89333068" hidden="1">#REF!</definedName>
    <definedName name="BOAA37683A5AAF416AA96E3DADC31E1AC4" hidden="1">#REF!</definedName>
    <definedName name="BOAA3F9143BD93402B92B4D5E889675490" hidden="1">#REF!</definedName>
    <definedName name="BOAA7F88AD6DC24F15815B41B5545C66B0" hidden="1">#REF!</definedName>
    <definedName name="BOAA98F55B3C264C12B78EEDFCEDE06C07" hidden="1">#REF!</definedName>
    <definedName name="BOAAB11C84339D4299BFC1AA6D04698F2A" hidden="1">#REF!</definedName>
    <definedName name="BOAAF327AFC0664C7091659BAFCB27C490" hidden="1">#REF!</definedName>
    <definedName name="BOAAFFA14D3B8C42998A9CCDB720EFA746" hidden="1">#REF!</definedName>
    <definedName name="BOAB2FFF70AB0E4B7DBDC7FC821977E79A" hidden="1">#REF!</definedName>
    <definedName name="BOAB55A49C750F4A04BB95727169E240E7" hidden="1">#REF!</definedName>
    <definedName name="BOAB82E269C9C44E749643F11D7E8DC781" hidden="1">#REF!</definedName>
    <definedName name="BOABA37D4AAAF34670989EA3781641E276" hidden="1">#REF!</definedName>
    <definedName name="BOABBB8A5582AF477181C945BF9631CC31" hidden="1">#REF!</definedName>
    <definedName name="BOABBCC65C502741CFA6171DACF843BA39" hidden="1">#REF!</definedName>
    <definedName name="BOABBEDF0B098A4D5BAD03B9ADDF109A8A" hidden="1">#REF!</definedName>
    <definedName name="BOABE634B5257648299573C5F63F4789DB" hidden="1">#REF!</definedName>
    <definedName name="BOABE796C119AC4DD4AD13723882F95431" hidden="1">#REF!</definedName>
    <definedName name="BOABF49C33DA224342BB7F2E87F17C1DB3" hidden="1">#REF!</definedName>
    <definedName name="BOAC02D46F12594606ADE7DD9C89989778" hidden="1">#REF!</definedName>
    <definedName name="BOAC079C7332FB405D90554C0619547187" hidden="1">#REF!</definedName>
    <definedName name="BOAC20EFF8A0BF4A449CF6FC64F7797071" hidden="1">#REF!</definedName>
    <definedName name="BOAC254DA305B94649A40A1818F4397657" hidden="1">#REF!</definedName>
    <definedName name="BOAC42AA5A12354BB6ABF8F402A90E9584" hidden="1">#REF!</definedName>
    <definedName name="BOAC589E242BED4D2782DB5354106024F8" hidden="1">#REF!</definedName>
    <definedName name="BOAC61F7699EB644B28983D0AA8E23DC41" hidden="1">#REF!</definedName>
    <definedName name="BOAC6F009BD4564DF482F3FD521B8DD5EC" hidden="1">#REF!</definedName>
    <definedName name="BOAC99D26F3C3749C0B07E837B64380195" hidden="1">#REF!</definedName>
    <definedName name="BOAC9D19CAAE6E4BA58BB8B42C2FEB90A0" hidden="1">#REF!</definedName>
    <definedName name="BOACB4EB5ACCF641E594B4370068A37C9C" hidden="1">#REF!</definedName>
    <definedName name="BOACBE6399B62B4EE0940B3DE41E102E4C" hidden="1">#REF!</definedName>
    <definedName name="BOAD109524018746029F061D1102BE87A6" hidden="1">#REF!</definedName>
    <definedName name="BOAD20497ABDDF428683C9AA6B905928CA" hidden="1">#REF!</definedName>
    <definedName name="BOAD4C8585543C420C9900B3D1DE628AFD" hidden="1">#REF!</definedName>
    <definedName name="BOAD51D154FD2A44888BB75B466BB3E12D" hidden="1">#REF!</definedName>
    <definedName name="BOAD616A0644E843968166BAAF341567A8" hidden="1">#REF!</definedName>
    <definedName name="BOADA7B463158B4CDE8AB36B4F72817DAD" hidden="1">#REF!</definedName>
    <definedName name="BOADEA752D0A9F4765BC7D7C566BFED409" hidden="1">#REF!</definedName>
    <definedName name="BOADF5449B6E78471788DE53CF0F67654B" hidden="1">#REF!</definedName>
    <definedName name="BOAE03B6416C174C3C959BE294997057DF" hidden="1">#REF!</definedName>
    <definedName name="BOAE216CC5B8D845F8813B2A359845EA1B" hidden="1">#REF!</definedName>
    <definedName name="BOAE43C9E5ED7544BF9AA630E3E7AC4A0F" hidden="1">#REF!</definedName>
    <definedName name="BOAE62644DF78A4A79879DE7E6C0CC7E80" hidden="1">#REF!</definedName>
    <definedName name="BOAE845F26838B4190AB1940D3C571CCD4" hidden="1">#REF!</definedName>
    <definedName name="BOAE8A454357A54A7496954F9B58CDE6BA" hidden="1">#REF!</definedName>
    <definedName name="BOAE9A5402D50645F0AF1D1E3ECB6210EA" hidden="1">#REF!</definedName>
    <definedName name="BOAECC4E2710DA49978423665B98EFB884" hidden="1">#REF!</definedName>
    <definedName name="BOAEDE2D12CB7E485F9D076390A0D1B42E" hidden="1">#REF!</definedName>
    <definedName name="BOAEE4C7AD3A0D4945BAAE43130AE8345F" hidden="1">#REF!</definedName>
    <definedName name="BOAF1B98F1E4DC4A63B1711F6E8BC3F91E" hidden="1">#REF!</definedName>
    <definedName name="BOAF651A9896FF42F0BDE2EF05576DFDD4" hidden="1">#REF!</definedName>
    <definedName name="BOAF70E8C078C44B15848B0157DAEB030D" hidden="1">#REF!</definedName>
    <definedName name="BOAF8E97A633AE4FB7BA6538C295FFDAB0" hidden="1">#REF!</definedName>
    <definedName name="BOAFB48AC82A044805A64B6552F84ABBAA" hidden="1">#REF!</definedName>
    <definedName name="BOAFE182F766BE4779BE06CF0DCFCE9311" hidden="1">#REF!</definedName>
    <definedName name="BOAFEF08D3BC8E4FA4AF0F9B54EC8311E3" hidden="1">#REF!</definedName>
    <definedName name="BOB0005FEC357741F1B08AFDCDA6737282" hidden="1">#REF!</definedName>
    <definedName name="BOB024CCF181264ECE85BFF081215167FF" hidden="1">#REF!</definedName>
    <definedName name="BOB06879D010704034846308A026AC0104" hidden="1">#REF!</definedName>
    <definedName name="BOB07B7C18C6C940DCA55EFA4F331BC4D8" hidden="1">#REF!</definedName>
    <definedName name="BOB0ADE433516B4482B5672D405EDF049B" hidden="1">#REF!</definedName>
    <definedName name="BOB0C47C0F6B6341EDA110D37233A5DC39" hidden="1">#REF!</definedName>
    <definedName name="BOB0CACCD738524BF98BF13A8D99CB826A" hidden="1">#REF!</definedName>
    <definedName name="BOB0D1157E835946EF8B49FC7A4D347D33" hidden="1">#REF!</definedName>
    <definedName name="BOB0DB03BB544B4DDC80F0339B570ABDFD" hidden="1">#REF!</definedName>
    <definedName name="BOB0DE2293AB3D439CABB387AA445D830E" hidden="1">#REF!</definedName>
    <definedName name="BOB0E665E57F50460EAFE68DA73B20B1FB" hidden="1">#REF!</definedName>
    <definedName name="BOB118B30094824A7BB27DE65C8F1CA545" hidden="1">#REF!</definedName>
    <definedName name="BOB11D84AB9CB346269E0235E71A883A60" hidden="1">#REF!</definedName>
    <definedName name="BOB11E3C10088E4498AEAA83D086237A5F" hidden="1">#REF!</definedName>
    <definedName name="BOB1378CE222264DCFA73EBB47436B5203" hidden="1">#REF!</definedName>
    <definedName name="BOB13AB377472C4EDEBB446C5D4CFD7FF3" hidden="1">#REF!</definedName>
    <definedName name="BOB184616FB5BC4637B82004F40B23E788" hidden="1">#REF!</definedName>
    <definedName name="BOB185D168B4244E8483A302F590E19A55" hidden="1">#REF!</definedName>
    <definedName name="BOB18CA3F64CB04767AED01AA8490DB779" hidden="1">#REF!</definedName>
    <definedName name="BOB19B4ED5A5DF4C8AAA9FAB05B282DC3E" hidden="1">#REF!</definedName>
    <definedName name="BOB1F1C272A006471A914ACD7DF91D3F84" hidden="1">#REF!</definedName>
    <definedName name="BOB1F3558029C34A18BE2B422B0D9601AB" hidden="1">#REF!</definedName>
    <definedName name="BOB1FC6C03F3E749DF83826D310F4971EC" hidden="1">#REF!</definedName>
    <definedName name="BOB2121768159748418F929263EFA12598" hidden="1">#REF!</definedName>
    <definedName name="BOB2174B9FD1A845A0AE1CE36C64119C7B" hidden="1">#REF!</definedName>
    <definedName name="BOB2187ECA0E1B4D86BE3F24606F147AA6" hidden="1">#REF!</definedName>
    <definedName name="BOB25C2C23C245424EB9EE1D9E9F34950B" hidden="1">#REF!</definedName>
    <definedName name="BOB26205A33F8B495DB98591C55C49AFEB" hidden="1">#REF!</definedName>
    <definedName name="BOB262E38128BE44AFACB9773BC536ACC0" hidden="1">#REF!</definedName>
    <definedName name="BOB28D198A17724199854C56E873CA3CD9" hidden="1">#REF!</definedName>
    <definedName name="BOB2CFF02E995448899DD7AA9BFA754975" hidden="1">#REF!</definedName>
    <definedName name="BOB2E6C59B39DD4FDDADBB253AB1CA4A42" hidden="1">#REF!</definedName>
    <definedName name="BOB2EC1F6E53524B0FB3EAAB47B75E1A4A" hidden="1">#REF!</definedName>
    <definedName name="BOB2FF2C05B4B24566A4378E9F6A30DAA6" hidden="1">#REF!</definedName>
    <definedName name="BOB30878E62D94405B94EB42E77D410AA6" hidden="1">#REF!</definedName>
    <definedName name="BOB35A440D208A4881A3ABF94FA1592708" hidden="1">#REF!</definedName>
    <definedName name="BOB394F8C1BC9E4FFFB00A89B6B1F07030" hidden="1">#REF!</definedName>
    <definedName name="BOB3BED51348A144A482D58659F020672D" hidden="1">#REF!</definedName>
    <definedName name="BOB3E2F4C5C24F4FDB859294B731A7526D" hidden="1">#REF!</definedName>
    <definedName name="BOB40E52CEE8564B77A41F6A21CE7B305D" hidden="1">#REF!</definedName>
    <definedName name="BOB416943CDCFB4F43AA7C6819E2F9B12D" hidden="1">#REF!</definedName>
    <definedName name="BOB42CD81F746C4B4E95ACCE3D02580BE7" hidden="1">#REF!</definedName>
    <definedName name="BOB43F86CF00F74F48B06EECB2304B477D" hidden="1">#REF!</definedName>
    <definedName name="BOB445E9AD75E847939A2B1557BF5971F9" hidden="1">#REF!</definedName>
    <definedName name="BOB479A46B5B804011BD5757EB99D00230" hidden="1">#REF!</definedName>
    <definedName name="BOB47FC43118E146BDB3CAAF1100AE4BA9" hidden="1">#REF!</definedName>
    <definedName name="BOB499772055A24A87B84BB365CB71EF04" hidden="1">#REF!</definedName>
    <definedName name="BOB49D75FC4F944B8BA43274A1AC9F7C6C" hidden="1">#REF!</definedName>
    <definedName name="BOB4AC7EF692F84E2DA30ABC01858F46BF" hidden="1">#REF!</definedName>
    <definedName name="BOB4E2CA0EE6E74647B60DA3564245A717" hidden="1">#REF!</definedName>
    <definedName name="BOB50BF41DCD164684B1F2B21C949F656F" hidden="1">#REF!</definedName>
    <definedName name="BOB53972A3FF444E36B5C5A6F9314FEF44" hidden="1">#REF!</definedName>
    <definedName name="BOB56475FD822948B7A28C547B153EB0B6" hidden="1">#REF!</definedName>
    <definedName name="BOB57709B4B68746E7B7B36AE6CD17CA91" hidden="1">#REF!</definedName>
    <definedName name="BOB58C2859469F4F7E8180DA5462279541" hidden="1">#REF!</definedName>
    <definedName name="BOB596E9268DED478AB9C99865ADF4A688" hidden="1">#REF!</definedName>
    <definedName name="BOB599A09F8E8C43EDA96DE5174F3C32D0" hidden="1">#REF!</definedName>
    <definedName name="BOB5D1339BC11C47F9996A96FA13719AC5" hidden="1">#REF!</definedName>
    <definedName name="BOB5D16031AAE94686A01B98E3F1B32BB1" hidden="1">#REF!</definedName>
    <definedName name="BOB61F1D7767114687812A69756748869E" hidden="1">#REF!</definedName>
    <definedName name="BOB63700DC41E8405192EC6B4CED6A1B62" hidden="1">#REF!</definedName>
    <definedName name="BOB664A434F7C242089CB97CD90496E73A" hidden="1">#REF!</definedName>
    <definedName name="BOB666B5A1CA664A37B71F765D2CEA59FD" hidden="1">#REF!</definedName>
    <definedName name="BOB6711245BFC04DC491D154B426C58F12" hidden="1">#REF!</definedName>
    <definedName name="BOB6870DB4AF074130A54E1277C2C63A76" hidden="1">#REF!</definedName>
    <definedName name="BOB69A54AB6B0843AA8F5A296614E69E51" hidden="1">#REF!</definedName>
    <definedName name="BOB6A0A16FDDBC445698D5A7013BFF4FAD" hidden="1">#REF!</definedName>
    <definedName name="BOB6A457D7367441AF833D44B69FA81AB6" hidden="1">#REF!</definedName>
    <definedName name="BOB6D73283C9BC4F85BC7AEA002E570DEE" hidden="1">#REF!</definedName>
    <definedName name="BOB6E1122AFC4141AA87003E5075AEB9A7" hidden="1">#REF!</definedName>
    <definedName name="BOB7145384A50344518D8FD9948CD1C4E7" hidden="1">#REF!</definedName>
    <definedName name="BOB72930F608574554957BB4C2630750F3" hidden="1">#REF!</definedName>
    <definedName name="BOB740B50D59FA4EB29F2E8DBE8D7A2963" hidden="1">#REF!</definedName>
    <definedName name="BOB76C63B311474B4E869F1347F0606665" hidden="1">#REF!</definedName>
    <definedName name="BOB82684B002CF467A9A281F1253F57824" hidden="1">#REF!</definedName>
    <definedName name="BOB832FDF088D846C4895BA05113DA0AD7" hidden="1">#REF!</definedName>
    <definedName name="BOB85A3D6CAB4F43F29017967DC75100EA" hidden="1">#REF!</definedName>
    <definedName name="BOB86C8D0306854CD4B0F867E8A8158DAB" hidden="1">#REF!</definedName>
    <definedName name="BOB87165E3118C47D38853C793508C9940" hidden="1">#REF!</definedName>
    <definedName name="BOB883505093734FB1AB2DD45A35A46C3D" hidden="1">#REF!</definedName>
    <definedName name="BOB8C1A9F1BC7A40A998408F04E6A4901D" hidden="1">#REF!</definedName>
    <definedName name="BOB8D84C69820C440982813CB320AAA6A8" hidden="1">#REF!</definedName>
    <definedName name="BOB8E45A4C043B45E088448297898BB517" hidden="1">#REF!</definedName>
    <definedName name="BOB8FA4CCA1A4B448494A6D5FBD7007F00" hidden="1">#REF!</definedName>
    <definedName name="BOB90EAF3FF0A343A7BFDA7E349CB8A6C8" hidden="1">#REF!</definedName>
    <definedName name="BOB916E67475FD40C0B6F612D224A65F1D" hidden="1">#REF!</definedName>
    <definedName name="BOB921C37B1DC4491B8A8F9B327DF07744" hidden="1">#REF!</definedName>
    <definedName name="BOB92EC7BA00894C32BC9F274B21BD4F7B" hidden="1">#REF!</definedName>
    <definedName name="BOB9304C7E29B04D9C9C77B24A55EEE53F" hidden="1">#REF!</definedName>
    <definedName name="BOB933B109328E43B08122C926D1EEDE14" hidden="1">#REF!</definedName>
    <definedName name="BOB94BA94A44584A5AB62D61925DD38822" hidden="1">#REF!</definedName>
    <definedName name="BOB9A9269337994CD9995912095A03586A" hidden="1">#REF!</definedName>
    <definedName name="BOBA07D5FEDDBF4CFFACB6E315D8998C1F" hidden="1">#REF!</definedName>
    <definedName name="BOBA12CCBB83DC490293B4024877957D98" hidden="1">#REF!</definedName>
    <definedName name="BOBA181222A7AE4A45AD62F5ED0E622660" hidden="1">#REF!</definedName>
    <definedName name="BOBA24DFB554AF460B8AB282C13492A629" hidden="1">#REF!</definedName>
    <definedName name="BOBA2A09FA3F74474E9CB8537C38559D3A" hidden="1">#REF!</definedName>
    <definedName name="BOBA34D01E25FC4AF18006E289F2DEA305" hidden="1">#REF!</definedName>
    <definedName name="BOBA6F771A713D44818466A48A99D86999" hidden="1">#REF!</definedName>
    <definedName name="BOBA7996250A2C48C0A1B2A9E9E89C4F08" hidden="1">#REF!</definedName>
    <definedName name="BOBA83205E5F2841FC8E5118CDCEC79269" hidden="1">#REF!</definedName>
    <definedName name="BOBAB788881F1D4460854EE1FBFFE8B2E0" hidden="1">#REF!</definedName>
    <definedName name="BOBACC3EB41E7D4536869AAA67F5F9FB2B" hidden="1">#REF!</definedName>
    <definedName name="BOBADED6FB922F4A3CAA610B246C015166" hidden="1">#REF!</definedName>
    <definedName name="BOBAE47B872A5345298D6CFC1292FF0229" hidden="1">#REF!</definedName>
    <definedName name="BOBB2CD22C468846029AA7E79B86A82CEF" hidden="1">#REF!</definedName>
    <definedName name="BOBB45F71539614D0090D4B6087D188B78" hidden="1">#REF!</definedName>
    <definedName name="BOBB58D5EDD0B1467AB5D9915F132ADF94" hidden="1">#REF!</definedName>
    <definedName name="BOBB5BB6FEEFA64B79BB64C92031FA3AE8" hidden="1">#REF!</definedName>
    <definedName name="BOBB6AE77CF3A54CC3AC51350B77472DF8" hidden="1">#REF!</definedName>
    <definedName name="BOBB9D4C0897DA494AA513D0A883F9D1D4" hidden="1">#REF!</definedName>
    <definedName name="BOBBAA7F824582476F88CDCFB08F1934D5" hidden="1">#REF!</definedName>
    <definedName name="BOBBDC73CDE37B4F45AB68C38A9635AF80" hidden="1">#REF!</definedName>
    <definedName name="BOBBE4AA840EEC4997B000A639F871E6CE" hidden="1">#REF!</definedName>
    <definedName name="BOBBEA4F95A23E45E1B25DDDD7FC411C90" hidden="1">#REF!</definedName>
    <definedName name="BOBC04FB3E707E4D2489786AEF4796C806" hidden="1">#REF!</definedName>
    <definedName name="BOBC16CFAF95AD4A8D86D3641EA9FE0CCA" hidden="1">#REF!</definedName>
    <definedName name="BOBC26361192634C519AD3E18D48CFA644" hidden="1">#REF!</definedName>
    <definedName name="BOBC4B15CA572E4683B22D1E93207B42A3" hidden="1">#REF!</definedName>
    <definedName name="BOBC7C71DE64364CBC9244EA234BE295B4" hidden="1">#REF!</definedName>
    <definedName name="BOBC8009AB97724AB7B944FF6F455E412C" hidden="1">#REF!</definedName>
    <definedName name="BOBC9E30F080984844B237570A172714A0" hidden="1">#REF!</definedName>
    <definedName name="BOBCAADD13A1F84467B1BBFB74C99EC30A" hidden="1">#REF!</definedName>
    <definedName name="BOBCB33588A4614DF39553836F9E9B99A7" hidden="1">#REF!</definedName>
    <definedName name="BOBCD1D56E09DB4DFAA7DB1D9A7130ED97" hidden="1">#REF!</definedName>
    <definedName name="BOBCE6D0590F1F4A9BBA41EA7B159799C7" hidden="1">#REF!</definedName>
    <definedName name="BOBCEF82B4A18646D583662D742CB2C342" hidden="1">#REF!</definedName>
    <definedName name="BOBCF840ED273A41608C4A037ED35225A8" hidden="1">#REF!</definedName>
    <definedName name="BOBD17A2C2D8F347BD99946B7CD678E633" hidden="1">#REF!</definedName>
    <definedName name="BOBD17ACF591A04BA2A7F3EA73A1F5EFD0" hidden="1">#REF!</definedName>
    <definedName name="BOBD3418D3E6034A599B7DAEA5496D5FDE" hidden="1">#REF!</definedName>
    <definedName name="BOBD4AB5E2FE574DC99B097054215C9A1B" hidden="1">#REF!</definedName>
    <definedName name="BOBD51A79D7FDA451D81D3D3FA930EF10E" hidden="1">#REF!</definedName>
    <definedName name="BOBDCBC5CEFC9147E19737AA97A932005B" hidden="1">#REF!</definedName>
    <definedName name="BOBDD7F3ADA3694C6E8F1CAE0F4BE4749B" hidden="1">#REF!</definedName>
    <definedName name="BOBDDDE587C0FE4B2BB4CA177ADFC0167B" hidden="1">#REF!</definedName>
    <definedName name="BOBE539086D02E49FCAA6D14E00A770963" hidden="1">#REF!</definedName>
    <definedName name="BOBE836A4F3D514C76A86E6929F69D34D2" hidden="1">#REF!</definedName>
    <definedName name="BOBE8F924DB3BC4F038EED0771BA85527D" hidden="1">#REF!</definedName>
    <definedName name="BOBE9E067C7210472B81073CBDC8230580" hidden="1">#REF!</definedName>
    <definedName name="BOBE9E33F6E4374A1FA4BDFB49B0EC0372" hidden="1">#REF!</definedName>
    <definedName name="BOBEA7830841314FCDB7120FD70396E04B" hidden="1">#REF!</definedName>
    <definedName name="BOBEA7B5BBB87048D49DF67B697A931813" hidden="1">#REF!</definedName>
    <definedName name="BOBEBC91AB89344689A508D7928603507D" hidden="1">#REF!</definedName>
    <definedName name="BOBEDB25FFFAF545899AA7025FE56C6C2F" hidden="1">#REF!</definedName>
    <definedName name="BOBEDF7874AE9D470FA8757B3FE1C5C49B" hidden="1">#REF!</definedName>
    <definedName name="BOBF066253C59B4751B64F555F9CA9FFAF" hidden="1">#REF!</definedName>
    <definedName name="BOBF14B3CAA77F4CC1B3F7F20024F8A96A" hidden="1">#REF!</definedName>
    <definedName name="BOBF166ABC8C78432CA8BFD934BBE79972" hidden="1">#REF!</definedName>
    <definedName name="BOBF218951A49F4995BB917FB43DBD1E9A" hidden="1">#REF!</definedName>
    <definedName name="BOBF2EB7AC0C2E4E0C9817C4936D0FC1CA" hidden="1">#REF!</definedName>
    <definedName name="BOBF387716EA054B5A88F16E8D2F5071A2" hidden="1">#REF!</definedName>
    <definedName name="BOBF44EA3972BE4BD4AD10908DF27E5F85" hidden="1">#REF!</definedName>
    <definedName name="BOBF4988CD268949D4A253EEEA2B64894B" hidden="1">#REF!</definedName>
    <definedName name="BOBF71F05A89BF45EA8C5D468675F75348" hidden="1">#REF!</definedName>
    <definedName name="BOBF72A77C10CA4EB1AB2AE062D421AC07" hidden="1">#REF!</definedName>
    <definedName name="BOBF8216921A30407686F2EBD0638399EE" hidden="1">#REF!</definedName>
    <definedName name="BOBF946EC04D3547D3BB1C2D55230B5FB2" hidden="1">#REF!</definedName>
    <definedName name="BOBFB6324E87F045BD9652F2FD4088F44D" hidden="1">#REF!</definedName>
    <definedName name="BOBFB9EA6C68994C4DA36158FCBD8427AF" hidden="1">#REF!</definedName>
    <definedName name="BOBFCE70D506DA4B6EB944A29AC6F839D9" hidden="1">#REF!</definedName>
    <definedName name="BOBFFDDF01966245CEAD50F02A4E5CFF2B" hidden="1">#REF!</definedName>
    <definedName name="BOC029C03D489640C28C30B97E1E431499" hidden="1">#REF!</definedName>
    <definedName name="BOC03D34745BAC448FBC3B84E6F54C143B" hidden="1">#REF!</definedName>
    <definedName name="BOC04CF57DCDFC4B82907B0EB8306FB82B" hidden="1">#REF!</definedName>
    <definedName name="BOC083451CA9584C4B9FAD7385194CD451" hidden="1">#REF!</definedName>
    <definedName name="BOC09371D1F2E84BEEAD586C8440AF9E85" hidden="1">#REF!</definedName>
    <definedName name="BOC107B6717B674C2EB1E24E70C8A2D78E" hidden="1">#REF!</definedName>
    <definedName name="BOC1331A3748714271B2B009F21159B493" hidden="1">#REF!</definedName>
    <definedName name="BOC1540D5EA63B44AAB228E5C3495F8EA1" hidden="1">#REF!</definedName>
    <definedName name="BOC156AACB264943ED8DE9584787C81FE3" hidden="1">#REF!</definedName>
    <definedName name="BOC15FB12785484F4FA926E3E4BA4FA48C" hidden="1">#REF!</definedName>
    <definedName name="BOC1665FF270474C74A986A0655C0C97F8" hidden="1">#REF!</definedName>
    <definedName name="BOC1BF282BE1BE476088A0D359CD2ABE06" hidden="1">#REF!</definedName>
    <definedName name="BOC1D51866C6B14E63851A380E2D581C14" hidden="1">#REF!</definedName>
    <definedName name="BOC1DD356020184557A3FA39220108A500" hidden="1">#REF!</definedName>
    <definedName name="BOC1E3AFDEC6DE4B529A2CC02210E9AD12" hidden="1">#REF!</definedName>
    <definedName name="BOC1EB78BA40C6402384910947B22306F7" hidden="1">#REF!</definedName>
    <definedName name="BOC20D6A8136474E8982B135F07AD78981" hidden="1">#REF!</definedName>
    <definedName name="BOC22B8AB3BC004F3E84FF5709DE8AB691" hidden="1">#REF!</definedName>
    <definedName name="BOC2452160117D45398C90A3A74E219282" hidden="1">#REF!</definedName>
    <definedName name="BOC25CA19C04EB461383765BC725F1A9C0" hidden="1">#REF!</definedName>
    <definedName name="BOC2A368458B8C466A8EAB350D814B6553" hidden="1">#REF!</definedName>
    <definedName name="BOC2BD5FFDAEE6428485C3A37469FC06C9" hidden="1">#REF!</definedName>
    <definedName name="BOC30112A4C82B4FDB9A0BE4DE668F4582" hidden="1">#REF!</definedName>
    <definedName name="BOC343F21B6DD940F0A688481148243E9A" hidden="1">#REF!</definedName>
    <definedName name="BOC3568EEBF2E1419EA9BEFDDFA241C67E" hidden="1">#REF!</definedName>
    <definedName name="BOC35ADF6F14B948919BD25280A05E3AC1" hidden="1">#REF!</definedName>
    <definedName name="BOC365FC61CAF6449BB1865E7D5BCCE2C3" hidden="1">#REF!</definedName>
    <definedName name="BOC39750E43B5B4EC892EABA56991C183A" hidden="1">#REF!</definedName>
    <definedName name="BOC3A2C5E32A78490FA02F0D6AFD24DFC0" hidden="1">#REF!</definedName>
    <definedName name="BOC3CBB290D163430A91DDA7599ED108F6" hidden="1">#REF!</definedName>
    <definedName name="BOC438E5AB00C9410DAB817A8739F9C426" hidden="1">#REF!</definedName>
    <definedName name="BOC43B69839854400A904778932A9E664F" hidden="1">#REF!</definedName>
    <definedName name="BOC4471151C06B43499A16E3B350A1CB30" hidden="1">#REF!</definedName>
    <definedName name="BOC473037395EF41CB9003BD66C5957660" hidden="1">#REF!</definedName>
    <definedName name="BOC482F327D8574379A20E908BC5EB2993" hidden="1">#REF!</definedName>
    <definedName name="BOC49D30DCC91B4948B1B91B358D1BFDF4" hidden="1">#REF!</definedName>
    <definedName name="BOC4A6BB89CD2B435293F191D82C0F58C9" hidden="1">#REF!</definedName>
    <definedName name="BOC4B00C308D204BE4B36D6D0F97F6EE83" hidden="1">#REF!</definedName>
    <definedName name="BOC4C301D63FB048DFBBB6C1766C1386B8" hidden="1">#REF!</definedName>
    <definedName name="BOC511D83A0C974EF8AD8E92A38214A8D5" hidden="1">#REF!</definedName>
    <definedName name="BOC522634DDC464314809CDF99493533FC" hidden="1">#REF!</definedName>
    <definedName name="BOC54204551F1D42B9BD6174DBDD9D741F" hidden="1">#REF!</definedName>
    <definedName name="BOC551D7779FF74F4EB6CC609F3CB55CD9" hidden="1">#REF!</definedName>
    <definedName name="BOC551DE2E91D44244ADD2A1963C33F5E1" hidden="1">#REF!</definedName>
    <definedName name="BOC57265C045CA450DBB172F33D90D9979" hidden="1">#REF!</definedName>
    <definedName name="BOC594B4F835E7418D90F061F92E8FB202" hidden="1">#REF!</definedName>
    <definedName name="BOC5AAE40B455D4043B6078A525F8433B7" hidden="1">#REF!</definedName>
    <definedName name="BOC5B50A3B093A4281A75D4209F6A75893" hidden="1">#REF!</definedName>
    <definedName name="BOC5C310983B4A4E16AECA5B9C6C7341BA" hidden="1">#REF!</definedName>
    <definedName name="BOC5FB79A4E3E540F8AE42FE861B1410EC" hidden="1">#REF!</definedName>
    <definedName name="BOC611376B3C6C45C99450D1DCF9397302" hidden="1">#REF!</definedName>
    <definedName name="BOC612254B51284FEE866CB31C88AFD453" hidden="1">#REF!</definedName>
    <definedName name="BOC6136ACAF1304E288216E27040F4D5E2" hidden="1">#REF!</definedName>
    <definedName name="BOC61DAC29429047E49941643414EF43CB" hidden="1">#REF!</definedName>
    <definedName name="BOC6468585AB6A4AE28970E03B2C62231E" hidden="1">#REF!</definedName>
    <definedName name="BOC65919DB60B64FFF93DB70579668EFC1" hidden="1">#REF!</definedName>
    <definedName name="BOC659C53743D5499EADD2474C5A6BE0FB" hidden="1">#REF!</definedName>
    <definedName name="BOC6601207ADB74941835C10583405D57E" hidden="1">#REF!</definedName>
    <definedName name="BOC6AF8DD1DEA34721BD0118E22F55322B" hidden="1">#REF!</definedName>
    <definedName name="BOC720578C9E594CF695ACFADC24BF33A4" hidden="1">#REF!</definedName>
    <definedName name="BOC72BB273A64E48D8828E544B36E74CCB" hidden="1">#REF!</definedName>
    <definedName name="BOC7B274FF472245C2B140F67E5FD1665B" hidden="1">#REF!</definedName>
    <definedName name="BOC7D2E11843E0453DB764C67C96D9ADF1" hidden="1">#REF!</definedName>
    <definedName name="BOC7FECB190F654212AF3F13F583581D59" hidden="1">#REF!</definedName>
    <definedName name="BOC809B7F8F4B14E208E5C54561FDB0F73" hidden="1">#REF!</definedName>
    <definedName name="BOC812A08FFF08478E87D119AB81FAE120" hidden="1">#REF!</definedName>
    <definedName name="BOC8137838440B47DAAC1ED794C15C441F" hidden="1">#REF!</definedName>
    <definedName name="BOC8231C2E9D8D4406BEC83D6F992CA139" hidden="1">#REF!</definedName>
    <definedName name="BOC869EDE25CC544CEA5A645A5E7A6B9AD" hidden="1">#REF!</definedName>
    <definedName name="BOC87D3336154245E3827858692226AFA4" hidden="1">#REF!</definedName>
    <definedName name="BOC88CDAF756A04342B92A57969166ABBF" hidden="1">#REF!</definedName>
    <definedName name="BOC896FC9D8F0841CAB1EA5A7E80358CCE" hidden="1">#REF!</definedName>
    <definedName name="BOC89ECEB280F34A1B87031041C2CF7847" hidden="1">#REF!</definedName>
    <definedName name="BOC8BC5627E1B34E0A8B05A4AAB8DD2DE8" hidden="1">#REF!</definedName>
    <definedName name="BOC8C22820924F41ED968636277E46E23C" hidden="1">#REF!</definedName>
    <definedName name="BOC8CE017DA77240AD9FD0EC7D16051AA6" hidden="1">#REF!</definedName>
    <definedName name="BOC8D9B846059147558F9CDF6DDE6F808E" hidden="1">#REF!</definedName>
    <definedName name="BOC8F24FC03F1147E9972C8D9D76295327" hidden="1">#REF!</definedName>
    <definedName name="BOC9021DAEC8534AA88821959B876F2AB8" hidden="1">#REF!</definedName>
    <definedName name="BOC9078726475D48768A4B800B228B8B8C" hidden="1">#REF!</definedName>
    <definedName name="BOC92BDE64A88C4F4888056339739F0504" hidden="1">#REF!</definedName>
    <definedName name="BOC93D76F627824034AADA8A9F13A2889A" hidden="1">#REF!</definedName>
    <definedName name="BOC96D8191DBAE4D6183DEA37F46B8436D" hidden="1">#REF!</definedName>
    <definedName name="BOC9786DD1B39B43A0BD52CC797EB809F9" hidden="1">#REF!</definedName>
    <definedName name="BOC979AF26AC844C15B0C4A390E47EDEFD" hidden="1">#REF!</definedName>
    <definedName name="BOC98DCB7764E4486B867068ABA319D462" hidden="1">#REF!</definedName>
    <definedName name="BOC9B43FE1F9D84461AFB00DB17BAEB487" hidden="1">#REF!</definedName>
    <definedName name="BOC9CF91C01B79495EB3EDF264630F3035" hidden="1">#REF!</definedName>
    <definedName name="BOC9D043ABD5CB459188E6E3FD93946123" hidden="1">#REF!</definedName>
    <definedName name="BOCA1F88327DEB4D2DBBA1D321DBFE4FA3" hidden="1">#REF!</definedName>
    <definedName name="BOCA1FB259D8714151AA2B3C6AEA1F0770" hidden="1">#REF!</definedName>
    <definedName name="BOCA37046B007E407686AA5E82F7A8FFC7" hidden="1">#REF!</definedName>
    <definedName name="BOCA5133A1A0DD490591E8590A5076EDB5" hidden="1">#REF!</definedName>
    <definedName name="BOCA7ED576C19B404997CEB1F51D09DA13" hidden="1">#REF!</definedName>
    <definedName name="BOCAE778C3378D4DEA8C59D3D493F17D92" hidden="1">#REF!</definedName>
    <definedName name="BOCB20F1B9F3C846A48126BE531FB918DF" hidden="1">#REF!</definedName>
    <definedName name="BOCB275BC87A58422EA0F9349C40EF7779" hidden="1">#REF!</definedName>
    <definedName name="BOCBA1B95825D144B78E2D686F9E99757B" hidden="1">#REF!</definedName>
    <definedName name="BOCBECE0B77CC842D393B20B9F944CEBB5" hidden="1">#REF!</definedName>
    <definedName name="BOCBF59B6853AE4F78B44ECC74F3D6E9CA" hidden="1">#REF!</definedName>
    <definedName name="BOCBFAF1D642934F1D84D4B8F7579C0857" hidden="1">#REF!</definedName>
    <definedName name="BOCC1EA691A78A4CF0974017D9802E6A50" hidden="1">#REF!</definedName>
    <definedName name="BOCC330219F2FA42238AA019FA4A7434C7" hidden="1">#REF!</definedName>
    <definedName name="BOCC4E1F0139CA4CCE842276D221283B25" hidden="1">#REF!</definedName>
    <definedName name="BOCC858C19D7F047F6ADFC5A40DFBF24A1" hidden="1">#REF!</definedName>
    <definedName name="BOCCE1C932CCA344CE9ECE3EB0DD94638C" hidden="1">#REF!</definedName>
    <definedName name="BOCCF334A9BDB64C2697AE9352A937B6E5" hidden="1">#REF!</definedName>
    <definedName name="BOCD19B2F2E8774A589EFF3317FDB5225C" hidden="1">#REF!</definedName>
    <definedName name="BOCD20F214D4AA41C281599C484FB99FDC" hidden="1">#REF!</definedName>
    <definedName name="BOCD23F0C3BE5D4A57B07C7B46AAE9B586" hidden="1">#REF!</definedName>
    <definedName name="BOCD2C6B11CEED44B287F63EABF1C67668" hidden="1">#REF!</definedName>
    <definedName name="BOCD316364C89949588B6EA9EFB7EFED71" hidden="1">#REF!</definedName>
    <definedName name="BOCD3E920BAE7C41B5B4C491D4AB8D55B6" hidden="1">#REF!</definedName>
    <definedName name="BOCD94EC8563CB4322AAB39F7BBEABB319" hidden="1">#REF!</definedName>
    <definedName name="BOCD97881AE04342B9B58E7D82FD2B45E9" hidden="1">#REF!</definedName>
    <definedName name="BOCDA9B7CBD5D9427E84053F8E38F252A0" hidden="1">#REF!</definedName>
    <definedName name="BOCDBD4F3A3DA349B2A9734E12B4FA4152" hidden="1">#REF!</definedName>
    <definedName name="BOCDCDF8EF0E5646DAB0D5AEEACD436DBA" hidden="1">#REF!</definedName>
    <definedName name="BOCDD9929C645542878E90D6D900B798EE" hidden="1">#REF!</definedName>
    <definedName name="BOCDE7F75740B346FC9E55D667CD9EC425" hidden="1">#REF!</definedName>
    <definedName name="BOCDED67C8566647ED9C954DE6FCEBFBFF" hidden="1">#REF!</definedName>
    <definedName name="BOCDF00353D53047B6A4A85487D43B9AF1" hidden="1">#REF!</definedName>
    <definedName name="BOCE1431147F334E33B41B0302E1BD9519" hidden="1">#REF!</definedName>
    <definedName name="BOCE1BF69715794F4E87C7B791630E9EED" hidden="1">#REF!</definedName>
    <definedName name="BOCE1D2212C92D4302ADFD62D5ACB65176" hidden="1">#REF!</definedName>
    <definedName name="BOCE3F4651FC6D47F6888CAACD6B895BD6" hidden="1">#REF!</definedName>
    <definedName name="BOCE5078CB7E104277832DC3F09395B864" hidden="1">#REF!</definedName>
    <definedName name="BOCE59D3DAB1844F599AC2D0EF7482C0ED" hidden="1">#REF!</definedName>
    <definedName name="BOCEBE29A3E8094395A0CF9CD1AAA1D065" hidden="1">#REF!</definedName>
    <definedName name="BOCED7368BDC814EA9977A0FC117CC1EEF" hidden="1">#REF!</definedName>
    <definedName name="BOCF038B17D1434B6A86DE2821F3844C2A" hidden="1">#REF!</definedName>
    <definedName name="BOCF2CA454D7714DF7803655110854DC0F" hidden="1">#REF!</definedName>
    <definedName name="BOCF3D1CC14C5E4EFAA13121DC4E701CF2" hidden="1">#REF!</definedName>
    <definedName name="BOCF523EEE92D345E98BFF5F175FC3CF90" hidden="1">#REF!</definedName>
    <definedName name="BOCF5983A1FADD40DAAC7E6892F1622A11" hidden="1">#REF!</definedName>
    <definedName name="BOCF7C5B983CBF42DBBDD6CD92650B00B0" hidden="1">#REF!</definedName>
    <definedName name="BOCF89873156A349CD99C522010DADF9FB" hidden="1">#REF!</definedName>
    <definedName name="BOCF96717DA6014EDC80C3AA39BE91443A" hidden="1">#REF!</definedName>
    <definedName name="BOCFC28344B50E4F72945BC627F69A7D0D" hidden="1">#REF!</definedName>
    <definedName name="BOCFC5F04A27E646818E21BB31308C53B4" hidden="1">#REF!</definedName>
    <definedName name="BOD0382903153C4298A06C72FB4C2F82BC" hidden="1">#REF!</definedName>
    <definedName name="BOD03FD50591A1425293C16D8979726923" hidden="1">#REF!</definedName>
    <definedName name="BOD0447A1F84A848AE8FE0265DA4E43469" hidden="1">#REF!</definedName>
    <definedName name="BOD049906584524697915E494D82ABEA6C" hidden="1">#REF!</definedName>
    <definedName name="BOD0ACCA99C91345F482A513BFCE9186E0" hidden="1">#REF!</definedName>
    <definedName name="BOD0CE909846AF4B5C93B759B9FE505ADE" hidden="1">#REF!</definedName>
    <definedName name="BOD129B1AAD1A8454A988FD077660E0746" hidden="1">#REF!</definedName>
    <definedName name="BOD14638B491F746CA808EE455711E2DFA" hidden="1">#REF!</definedName>
    <definedName name="BOD1571EBC9EFC4719B17E00444AC145C8" hidden="1">#REF!</definedName>
    <definedName name="BOD16D4E30F94E4951AB3786D1D961D3FE" hidden="1">#REF!</definedName>
    <definedName name="BOD19EE91F5D99468F9C79D62A64548F42" hidden="1">#REF!</definedName>
    <definedName name="BOD1D5BE4C0FB24EE798AA74F90F407A1A" hidden="1">#REF!</definedName>
    <definedName name="BOD1F9357DA9A64BF5B6306A06275A8872" hidden="1">#REF!</definedName>
    <definedName name="BOD211DE122DB3497AB5D76A1542188482" hidden="1">#REF!</definedName>
    <definedName name="BOD22B62E0D3D9450598F759030DDF895E" hidden="1">#REF!</definedName>
    <definedName name="BOD230302E244347D0800B1FE794A98043" hidden="1">#REF!</definedName>
    <definedName name="BOD2367E7BD60547E68E9D20C429DC1536" hidden="1">#REF!</definedName>
    <definedName name="BOD2974288C8344CB9981C0B5A2E924BBC" hidden="1">#REF!</definedName>
    <definedName name="BOD30584112A9549E48949A93D8039E4F6" hidden="1">#REF!</definedName>
    <definedName name="BOD307E5F479264767B463B99E251AE3B1" hidden="1">#REF!</definedName>
    <definedName name="BOD362591848624AB7BE2C8B3AAD7614EC" hidden="1">#REF!</definedName>
    <definedName name="BOD3AC1AE62968479AA5A373821C711DA4" hidden="1">#REF!</definedName>
    <definedName name="BOD3B4567942A74870ACFA86C24659E392" hidden="1">#REF!</definedName>
    <definedName name="BOD3C8E760EBF4481FA1151651A2CE45F5" hidden="1">#REF!</definedName>
    <definedName name="BOD3CF0471BBA140C293A38AE7B62C4035" hidden="1">#REF!</definedName>
    <definedName name="BOD3D164D82A744D349944A2A4C12AC6C2" hidden="1">#REF!</definedName>
    <definedName name="BOD3D705DAB5324AE6A0460FD1B8021FD2" hidden="1">#REF!</definedName>
    <definedName name="BOD404D5F4D6104339BA3ACB5CB4FD091A" hidden="1">#REF!</definedName>
    <definedName name="BOD475444D2F7646A1932BB6C5A1117279" hidden="1">#REF!</definedName>
    <definedName name="BOD484ECF67C214C179402F1A9DB88B556" hidden="1">#REF!</definedName>
    <definedName name="BOD4B8AEC8EB9B455EBC82ADE84BFE1969" hidden="1">#REF!</definedName>
    <definedName name="BOD4C2216847B647D8B4D3A0954B6CB148" hidden="1">#REF!</definedName>
    <definedName name="BOD4C74FD8D1C64510899C02AFBA21037D" hidden="1">#REF!</definedName>
    <definedName name="BOD4D26CA1C52F43BDBE4F64A3B560F6ED" hidden="1">#REF!</definedName>
    <definedName name="BOD4F0099CA2E5413C90FDBEAE610F6613" hidden="1">#REF!</definedName>
    <definedName name="BOD4F78C2E32CE40AEB95B29DBD0B9E6A8" hidden="1">#REF!</definedName>
    <definedName name="BOD56983E5837D4255991E6CB791DEA783" hidden="1">#REF!</definedName>
    <definedName name="BOD589C64A18FB4E39808CD1A9801D9FF1" hidden="1">#REF!</definedName>
    <definedName name="BOD5A1654692584EBD9A4C27B60244E347" hidden="1">#REF!</definedName>
    <definedName name="BOD5AC6DCB5AFB4CAB92836B1090B745A2" hidden="1">#REF!</definedName>
    <definedName name="BOD5B944D7D611407DBE1C2E9AD4B12423" hidden="1">#REF!</definedName>
    <definedName name="BOD5BA562CEF6B4E8593C7650256496875" hidden="1">#REF!</definedName>
    <definedName name="BOD5F38165B4F64CCEAE1233F99E1C1D10" hidden="1">#REF!</definedName>
    <definedName name="BOD5FBDB6792ED490294B58B91280CB793" hidden="1">#REF!</definedName>
    <definedName name="BOD6000BBE6ADA4F37B41FCA2EA4794054" hidden="1">#REF!</definedName>
    <definedName name="BOD6091EBE9E4D4E7088A85736BE77FBC4" hidden="1">#REF!</definedName>
    <definedName name="BOD6093DB2F42544739F3F0BC6B185776E" hidden="1">#REF!</definedName>
    <definedName name="BOD616EB6B252A485DB2E914540E19A79E" hidden="1">#REF!</definedName>
    <definedName name="BOD666E0EA748C4906A50FDE186DC7A343" hidden="1">#REF!</definedName>
    <definedName name="BOD689611FA42248308D3AEC62500BF17E" hidden="1">#REF!</definedName>
    <definedName name="BOD6C2AF20BFCC436F8212AE446F7FBF3F" hidden="1">#REF!</definedName>
    <definedName name="BOD6F75FC25E2D470E8DEA7A2C735F8787" hidden="1">#REF!</definedName>
    <definedName name="BOD7117E6358C242E3A1E99B0A14C7E296" hidden="1">#REF!</definedName>
    <definedName name="BOD7359D4D72344971A55B6DE10166EC3A" hidden="1">#REF!</definedName>
    <definedName name="BOD74816BF53604C1A8EBE7794E78C6157" hidden="1">#REF!</definedName>
    <definedName name="BOD75E9FD91EEB4991967840667D14ADE1" hidden="1">#REF!</definedName>
    <definedName name="BOD7619C4CBE234EA9ACB18176025ACAF4" hidden="1">#REF!</definedName>
    <definedName name="BOD76C4C62ED6349BA82C6E762885F9C42" hidden="1">#REF!</definedName>
    <definedName name="BOD7827679259E487A82EFBD97FB249CE4" hidden="1">#REF!</definedName>
    <definedName name="BOD789790B96514DC59042719B5805E3D6" hidden="1">#REF!</definedName>
    <definedName name="BOD7A20F011DC3496F8EABD9053412155F" hidden="1">#REF!</definedName>
    <definedName name="BOD7D258278B4E4E4AA509D9197261A0B6" hidden="1">#REF!</definedName>
    <definedName name="BOD7D4711B87494F72B9462DABAD2DC16A" hidden="1">#REF!</definedName>
    <definedName name="BOD7D61BB333884A59A2C1D33A88CD9F47" hidden="1">#REF!</definedName>
    <definedName name="BOD7DA78831B7D48AE8E9730BE01D093B4" hidden="1">#REF!</definedName>
    <definedName name="BOD829974450B945C5A22B9631131E3E46" hidden="1">#REF!</definedName>
    <definedName name="BOD850650076FB4BE9871891647862E226" hidden="1">#REF!</definedName>
    <definedName name="BOD86240FF503D4482871F210F78E6EAF1" hidden="1">#REF!</definedName>
    <definedName name="BOD8667399EA71405F87B99EFA114442CA" hidden="1">#REF!</definedName>
    <definedName name="BOD874E9B7452B43E3896CE7DCCA6B8098" hidden="1">#REF!</definedName>
    <definedName name="BOD87AF798F4114AAE832DA72E182DC955" hidden="1">#REF!</definedName>
    <definedName name="BOD89421961BB04B30A18D09156E068BB7" hidden="1">#REF!</definedName>
    <definedName name="BOD8F132C61D834425A5AB58E021D51B78" hidden="1">#REF!</definedName>
    <definedName name="BOD9075F94CA5E4DF49026448EF16C6BC2" hidden="1">#REF!</definedName>
    <definedName name="BOD932BB85A2EA4DE7821393AA49C1C395" hidden="1">#REF!</definedName>
    <definedName name="BOD943A115A65C44929A9117010923227D" hidden="1">#REF!</definedName>
    <definedName name="BOD9559A9C37E4433E9A2515161293F207" hidden="1">#REF!</definedName>
    <definedName name="BOD95A4F3C7E5643819BB2404D8D3C844B" hidden="1">#REF!</definedName>
    <definedName name="BOD96324D7AA0D403DA0608422F8714591" hidden="1">#REF!</definedName>
    <definedName name="BOD96AF82529F54504A665EA4AEF6C316F" hidden="1">#REF!</definedName>
    <definedName name="BOD96E3FB0F08B4BA793D580A9BB11918A" hidden="1">#REF!</definedName>
    <definedName name="BOD985D8DFEF844A22A4066793823C10D6" hidden="1">#REF!</definedName>
    <definedName name="BOD99A1BF81C5B41C8AE446A73B518337B" hidden="1">#REF!</definedName>
    <definedName name="BOD99BCDC70C184DDFAF6D60D7C6E5517B" hidden="1">#REF!</definedName>
    <definedName name="BOD9A42C58406D4E608CC8FCBA4AFB85CF" hidden="1">#REF!</definedName>
    <definedName name="BODA375714EEA345AB87E9DFF80B6A4F21" hidden="1">#REF!</definedName>
    <definedName name="BODA43B8E6CC44409AB32EDA5EC1C2D534" hidden="1">#REF!</definedName>
    <definedName name="BODA4BB33FF9E64FF5820E7F9B0AA4D353" hidden="1">#REF!</definedName>
    <definedName name="BODA5A40D6E6F14474A347255EB2CE0830" hidden="1">#REF!</definedName>
    <definedName name="BODA7B6ECB5BD9411FA5F149FBD6A417D8" hidden="1">#REF!</definedName>
    <definedName name="BODA96815803994119B481057BFF9E1AFA" hidden="1">#REF!</definedName>
    <definedName name="BODADA2F4581F642CE9110CA83D2F68CC5" hidden="1">#REF!</definedName>
    <definedName name="BODAFE33F3F0F24DF68180B0C5FACF094E" hidden="1">#REF!</definedName>
    <definedName name="BODAFE438D2A524D94896C2A23B0EBD390" hidden="1">#REF!</definedName>
    <definedName name="BODB51402C13E54FD9ACD87EBAAB07CBAD" hidden="1">#REF!</definedName>
    <definedName name="BODB6D0286CAFA43D0B1FF4F03C3CCED95" hidden="1">#REF!</definedName>
    <definedName name="BODB8D1BF6E5DA4A67AC16C08B05DABAF3" hidden="1">#REF!</definedName>
    <definedName name="BODBA61B9A973B4DBF80DAFFCFA52A46F7" hidden="1">#REF!</definedName>
    <definedName name="BODBC3E114B6BA433B95744F76179805E1" hidden="1">#REF!</definedName>
    <definedName name="BODBD351D67E7342638656268F62E3FEAD" hidden="1">#REF!</definedName>
    <definedName name="BODC12D5C9AE1345F38FFB7CC8A3BE043C" hidden="1">#REF!</definedName>
    <definedName name="BODC2F0323AD924436ABFB4D23525B29AF" hidden="1">#REF!</definedName>
    <definedName name="BODC342A3652B944F09E1FCD60DF1F133D" hidden="1">#REF!</definedName>
    <definedName name="BODC35D2D9197948F5B41EF4D2CE5E8576" hidden="1">#REF!</definedName>
    <definedName name="BODC43C42893F5471992092AACDD77C08F" hidden="1">#REF!</definedName>
    <definedName name="BODC4D145DB1F54CE999BD1B07C1604457" hidden="1">#REF!</definedName>
    <definedName name="BODCACB442AFF147DA8534A6D75C35399F" hidden="1">#REF!</definedName>
    <definedName name="BODCDC60E0DAE14E1A87E177A39424DBBA" hidden="1">#REF!</definedName>
    <definedName name="BODCF9B3C3B64847C5B7AA49E141E8367F" hidden="1">#REF!</definedName>
    <definedName name="BODD55D711679540EBA8B4626BAFC0C961" hidden="1">#REF!</definedName>
    <definedName name="BODD87356B32F3448BA7F6D80C4681836A" hidden="1">#REF!</definedName>
    <definedName name="BODD912D5833004681A88D2F9EF257B7C0" hidden="1">#REF!</definedName>
    <definedName name="BODD9480E3CACE4F268ADF8A4111607E56" hidden="1">#REF!</definedName>
    <definedName name="BODDA82180A02945AABDD7BADBD4BB12C4" hidden="1">#REF!</definedName>
    <definedName name="BODDC65C1306484FAD8C5B5098B18FA369" hidden="1">#REF!</definedName>
    <definedName name="BODDE486C3BA604263A250727A6C11879D" hidden="1">#REF!</definedName>
    <definedName name="BODDEFC0D0572B4042AB60AB186BB501E7" hidden="1">#REF!</definedName>
    <definedName name="BODE40BF5CBE26430282B79A6769A9E4EE" hidden="1">#REF!</definedName>
    <definedName name="BODE5C9656178241B9854DC0E7B7BB4C1D" hidden="1">#REF!</definedName>
    <definedName name="BODE768A9B2D54461F9A71EC094B8BFEA9" hidden="1">#REF!</definedName>
    <definedName name="BODE811A6228654F54939A745212057316" hidden="1">#REF!</definedName>
    <definedName name="BODE89B1DA731A4454A01E45129D52F892" hidden="1">#REF!</definedName>
    <definedName name="BODE9072EB3BFB4B1C92C8FCDBBE8360D7" hidden="1">#REF!</definedName>
    <definedName name="BODEC00C0FE625435EAB16BBF3CF5423FA" hidden="1">#REF!</definedName>
    <definedName name="BODECEBD48E9604A83A10F1F22350794BF" hidden="1">#REF!</definedName>
    <definedName name="BODECF7922D5794E779C6CADC7B440F3E1" hidden="1">#REF!</definedName>
    <definedName name="BODEF3253214EB42739241C6059132B79D" hidden="1">#REF!</definedName>
    <definedName name="BODF01B683526347E0ACBE5A579DBFCF9C" hidden="1">#REF!</definedName>
    <definedName name="BODF073AE731E849BDACD3A7E9DA3E9CE6" hidden="1">#REF!</definedName>
    <definedName name="BODF094FBD134141929A57AFD3107DEBE1" hidden="1">#REF!</definedName>
    <definedName name="BODF0BD33E1E0443CE8483C28E0E36B7C7" hidden="1">#REF!</definedName>
    <definedName name="BODF744399BFC0430AA3F357277380EE88" hidden="1">#REF!</definedName>
    <definedName name="BODFAFE6B7B5DD494DA46E02F336EB4451" hidden="1">#REF!</definedName>
    <definedName name="BODFB578F516AA465893C1FE1B2B12D366" hidden="1">#REF!</definedName>
    <definedName name="BOE006847D0A6D4D4D8D2533E19C49D667" hidden="1">#REF!</definedName>
    <definedName name="BOE006ED9E20C3444F8CEAF6E03763551D" hidden="1">#REF!</definedName>
    <definedName name="BOE00DA9EEAD2747C89688401F227A1B47" hidden="1">#REF!</definedName>
    <definedName name="BOE017B1FDF9474AB39B4D907FFF9B93B4" hidden="1">#REF!</definedName>
    <definedName name="BOE026125E78E5458981F88E04737F5FDD" hidden="1">#REF!</definedName>
    <definedName name="BOE034E323591D4D3081245B383BB615E3" hidden="1">#REF!</definedName>
    <definedName name="BOE0360C2D533540EA91E5BF1F73B1D78C" hidden="1">#REF!</definedName>
    <definedName name="BOE0576357A0FB48FFB1C2EE97C539209D" hidden="1">#REF!</definedName>
    <definedName name="BOE05AB811E6DC47F588E989213BDA0E49" hidden="1">#REF!</definedName>
    <definedName name="BOE072055565B440F0B96E015B8A86281B" hidden="1">#REF!</definedName>
    <definedName name="BOE07673114B354AADB2FE0F4CF47306B1" hidden="1">#REF!</definedName>
    <definedName name="BOE07C99ECF2B04F24AF66BE9134092175" hidden="1">#REF!</definedName>
    <definedName name="BOE0B675C6FF644F25ABE231535B04807E" hidden="1">#REF!</definedName>
    <definedName name="BOE0BE8FB3CBC74049B3BDC5FBC4F0515A" hidden="1">#REF!</definedName>
    <definedName name="BOE0F80A181E3C4F628830B11216FE6E5C" hidden="1">#REF!</definedName>
    <definedName name="BOE11978DCD81043259E316E7A919B3956" hidden="1">#REF!</definedName>
    <definedName name="BOE12937672CEA40B2A2C0AC7904CC44AE" hidden="1">#REF!</definedName>
    <definedName name="BOE13AB4235AC2402DAB027B3936B550B9" hidden="1">#REF!</definedName>
    <definedName name="BOE153C64737424AE6B4DB32194D7FF0E2" hidden="1">#REF!</definedName>
    <definedName name="BOE18C517FEAEA45E8BCA8C8C731F3D920" hidden="1">#REF!</definedName>
    <definedName name="BOE18EC19E8AEF402EAE2B0F9CB5CCA3AB" hidden="1">#REF!</definedName>
    <definedName name="BOE19089FAC16F4B8688A0492982FF446E" hidden="1">#REF!</definedName>
    <definedName name="BOE1D5BDF45331474CB5BCDA5D62240B3B" hidden="1">#REF!</definedName>
    <definedName name="BOE1D864672D394290A795746A1DE77B08" hidden="1">#REF!</definedName>
    <definedName name="BOE2120FD099664455B8C4D55E1FF026FD" hidden="1">#REF!</definedName>
    <definedName name="BOE214051AC1A748E081A158A11E4ADD05" hidden="1">#REF!</definedName>
    <definedName name="BOE22CD0E0569A49439417A071544CE72A" hidden="1">#REF!</definedName>
    <definedName name="BOE25B77D6C27540E6AAA556148B083B53" hidden="1">#REF!</definedName>
    <definedName name="BOE263959986DE4AC8B573670D83DDB9EF" hidden="1">#REF!</definedName>
    <definedName name="BOE28EA0D9163A45FDBB2590D2729647C9" hidden="1">#REF!</definedName>
    <definedName name="BOE2D85861CE134B2899A88CE95589BEA9" hidden="1">#REF!</definedName>
    <definedName name="BOE307F88CF982433D8A5E1A5800FD2AD4" hidden="1">#REF!</definedName>
    <definedName name="BOE32845D4217248B5A29BB1EF05A74B53" hidden="1">#REF!</definedName>
    <definedName name="BOE337F40BCDB04761B6982A92D8288043" hidden="1">#REF!</definedName>
    <definedName name="BOE376496472834A1187F8B2D218F47A9C" hidden="1">#REF!</definedName>
    <definedName name="BOE3903726787A43369D14E2CFD75168C1" hidden="1">#REF!</definedName>
    <definedName name="BOE398E17A4D2C4403AC2E55DCE59A4DB3" hidden="1">#REF!</definedName>
    <definedName name="BOE3A961B9C77F419C80AA8DBDE61BF21F" hidden="1">#REF!</definedName>
    <definedName name="BOE3D3C537354043529495944246227E54" hidden="1">#REF!</definedName>
    <definedName name="BOE3EAB94B34994813A192F85F34F64788" hidden="1">#REF!</definedName>
    <definedName name="BOE447A50A6A0445EDA278C8F6684F9F56" hidden="1">#REF!</definedName>
    <definedName name="BOE449661142474D1998C432F3D15150A8" hidden="1">#REF!</definedName>
    <definedName name="BOE4553A17435E44E1A73A3E8C5BB03776" hidden="1">#REF!</definedName>
    <definedName name="BOE4570C8160CD449BA2EB7A5799F3D970" hidden="1">#REF!</definedName>
    <definedName name="BOE46F6DB57CC5418DB632FD6AA4046084" hidden="1">#REF!</definedName>
    <definedName name="BOE4864185A3864D3AB1C30FBB75915886" hidden="1">#REF!</definedName>
    <definedName name="BOE49A28902F614E22AADB7D311EBA846E" hidden="1">#REF!</definedName>
    <definedName name="BOE4CBEA97B39C41D8BA6F03263BFA8066" hidden="1">#REF!</definedName>
    <definedName name="BOE4D5A5154F4C482B944548BC47E31E5D" hidden="1">#REF!</definedName>
    <definedName name="BOE4EC52FAC01E4D389789FE914DC05BF6" hidden="1">#REF!</definedName>
    <definedName name="BOE503A37C2DDD4514A5244826E6A6DB54" hidden="1">#REF!</definedName>
    <definedName name="BOE51DFD1C9562469194F32690B232F3D3" hidden="1">#REF!</definedName>
    <definedName name="BOE545914D51B74F8F80A99121E9F681D3" hidden="1">#REF!</definedName>
    <definedName name="BOE5480C2C9C554E828BCF6B26CE00644E" hidden="1">#REF!</definedName>
    <definedName name="BOE549C9E705DE4877993E07C59BDC0CE5" hidden="1">#REF!</definedName>
    <definedName name="BOE55435D37049454395ECA083E501131D" hidden="1">#REF!</definedName>
    <definedName name="BOE57D2810DF2F40AA8FB1D0C2ECDAA661" hidden="1">#REF!</definedName>
    <definedName name="BOE585DC72C4564FA68F5AA993D43A7E96" hidden="1">#REF!</definedName>
    <definedName name="BOE5AA83923A2A4251A365967B0FABE997" hidden="1">#REF!</definedName>
    <definedName name="BOE5C36DE72DD74A34BA37E9397BF4B1BF" hidden="1">#REF!</definedName>
    <definedName name="BOE5D737DF7DC04EF4A3F1879E3C59FBA5" hidden="1">#REF!</definedName>
    <definedName name="BOE5DB18EC4BF143CAB33F7AB9CE0BC7AD" hidden="1">#REF!</definedName>
    <definedName name="BOE5E15CBA8693404E95C6E7532B0455DE" hidden="1">#REF!</definedName>
    <definedName name="BOE5F1AA16B89C46E08917B4E586F61146" hidden="1">#REF!</definedName>
    <definedName name="BOE6016488BD9B43AB807B2FDE97A1E5C6" hidden="1">#REF!</definedName>
    <definedName name="BOE642644C80644606B590C952B2B679BB" hidden="1">#REF!</definedName>
    <definedName name="BOE6472F62E05843E3A42485F3FC4DAA7B" hidden="1">#REF!</definedName>
    <definedName name="BOE64B65D0B2E3477D965DA34BE633B705" hidden="1">#REF!</definedName>
    <definedName name="BOE671A811FEE443B0AF77FFD7B973E3D8" hidden="1">#REF!</definedName>
    <definedName name="BOE69EC63A965D4D389109A1397229FE81" hidden="1">#REF!</definedName>
    <definedName name="BOE6CF0641D1CF4974818BF6A3C75563DF" hidden="1">#REF!</definedName>
    <definedName name="BOE6CF7371C48B4B4CA75BF8C02972E606" hidden="1">#REF!</definedName>
    <definedName name="BOE6D827D9E2DE489ABEBB24B97E6503E8" hidden="1">#REF!</definedName>
    <definedName name="BOE6EC2B01DAAC4CAA860BFF94370676C8" hidden="1">#REF!</definedName>
    <definedName name="BOE723E5A34F7C49D89A97CE036F53E20A" hidden="1">#REF!</definedName>
    <definedName name="BOE741AA47A5B7491BB12A8962C001BCD6" hidden="1">#REF!</definedName>
    <definedName name="BOE74688F5AC1E4867865C628E71974C74" hidden="1">#REF!</definedName>
    <definedName name="BOE749E2E453224EDE819CB02CD51A08BE" hidden="1">#REF!</definedName>
    <definedName name="BOE75B49FAF61B4EF69763E611B56CE634" hidden="1">#REF!</definedName>
    <definedName name="BOE76250712D36454EA8BD340089539AD6" hidden="1">#REF!</definedName>
    <definedName name="BOE76431D47602405BB3C0FF818CC34755" hidden="1">#REF!</definedName>
    <definedName name="BOE776B09F34E244928F8EA22D197685DA" hidden="1">#REF!</definedName>
    <definedName name="BOE798598350E04FBFAF7A6A194F1568BE" hidden="1">#REF!</definedName>
    <definedName name="BOE7CBB0CC34384B958962B499B09B2EFE" hidden="1">#REF!</definedName>
    <definedName name="BOE7DFAF165385446BA6A3484A6449F5EB" hidden="1">#REF!</definedName>
    <definedName name="BOE7EC9B4E00164CB5B67EF6A26F794461" hidden="1">#REF!</definedName>
    <definedName name="BOE7F286C313164F68BF206AFA08DBC094" hidden="1">#REF!</definedName>
    <definedName name="BOE7FB822E1C854B0080C789D2304CB9DE" hidden="1">#REF!</definedName>
    <definedName name="BOE7FF59A65485454D9BAF35A631532BE7" hidden="1">#REF!</definedName>
    <definedName name="BOE8052FE958B8496D959F6782B970EA25" hidden="1">#REF!</definedName>
    <definedName name="BOE8473256F0E74B51A0AF9E07903BA006" hidden="1">#REF!</definedName>
    <definedName name="BOE84E82EEFCCE41D0BA91EFACF23EBFA7" hidden="1">#REF!</definedName>
    <definedName name="BOE84FCC406C184191AFE42CCF04997FEE" hidden="1">#REF!</definedName>
    <definedName name="BOE884DB0E080F4026AEDEAD76588B78FC" hidden="1">#REF!</definedName>
    <definedName name="BOE8970DB59C714C8BA0FB79E01170D916" hidden="1">#REF!</definedName>
    <definedName name="BOE8C9C3ED265B48589109A08A9505A1D1" hidden="1">#REF!</definedName>
    <definedName name="BOE8DBD581E91E43A295718AF22899C040" hidden="1">#REF!</definedName>
    <definedName name="BOE8FD561F920B4D0EB0A7FF754C48EC59" hidden="1">#REF!</definedName>
    <definedName name="BOE9070F3F0E5C4CECA88BDCD0FE83FACA" hidden="1">#REF!</definedName>
    <definedName name="BOE9145CAB99E74AFE9E99E9CC29206FC8" hidden="1">#REF!</definedName>
    <definedName name="BOE919721A160440009B2F08B691E057F6" hidden="1">#REF!</definedName>
    <definedName name="BOE9365DA92F0142D688109164C3F00B4C" hidden="1">#REF!</definedName>
    <definedName name="BOE93FF485CBB143C8B17639519B225C67" hidden="1">#REF!</definedName>
    <definedName name="BOE9711470A17248E1818E183991FEFBE1" hidden="1">#REF!</definedName>
    <definedName name="BOE986E94CE98349AE8748D58895E44442" hidden="1">#REF!</definedName>
    <definedName name="BOE9A94086040D4182824491AC50D5A715" hidden="1">#REF!</definedName>
    <definedName name="BOE9C1CB3E7BDF4A4B99B9C11169458EA4" hidden="1">#REF!</definedName>
    <definedName name="BOE9D930B87D734F9798F59AA71877AC27" hidden="1">#REF!</definedName>
    <definedName name="BOE9E6BF7CEFB94FE1A00EF1AF9DE0670D" hidden="1">#REF!</definedName>
    <definedName name="BOEA23F73FE7434EFCA0F38B740B2A71CE" hidden="1">#REF!</definedName>
    <definedName name="BOEA24131FE3B34D1F9614F7212C119A06" hidden="1">#REF!</definedName>
    <definedName name="BOEA250B12AC0048F08246845DA3D06B8B" hidden="1">#REF!</definedName>
    <definedName name="BOEA3DBC7CAAA9402E85E619F5B8A0658D" hidden="1">#REF!</definedName>
    <definedName name="BOEA45133290A5471DA1865C6961B27895" hidden="1">#REF!</definedName>
    <definedName name="BOEA487DFBBB0446B0A8D7FEFB2D9E7C93" hidden="1">#REF!</definedName>
    <definedName name="BOEAD6D7767DC54CBEBCE421A3DB34DE6B" hidden="1">#REF!</definedName>
    <definedName name="BOEADD9A517C9E4CB4999114D4B9BD6920" hidden="1">#REF!</definedName>
    <definedName name="BOEAF3B895ABCD49308AF2F5A2E22BBC94" hidden="1">#REF!</definedName>
    <definedName name="BOEAFDF322262145CB86BF48DC1DB6B5A2" hidden="1">#REF!</definedName>
    <definedName name="BOEB0E75BF9AEA444FA574EF153F2DE2A5" hidden="1">#REF!</definedName>
    <definedName name="BOEB1FBF1FAD7F4ECC8BB20074F709319C" hidden="1">#REF!</definedName>
    <definedName name="BOEB217BD039004C72ABA77A436DA8A424" hidden="1">#REF!</definedName>
    <definedName name="BOEB458FBEB36F4ACDA8C9CB398BDD60AB" hidden="1">#REF!</definedName>
    <definedName name="BOEB7ECE9285934C488E6B2136A2F0641C" hidden="1">#REF!</definedName>
    <definedName name="BOEBB477EA004747AC923498244421587D" hidden="1">#REF!</definedName>
    <definedName name="BOEBBC73E30C5E459DB8E9982D70CCFA83" hidden="1">#REF!</definedName>
    <definedName name="BOEC0BCDB4FA624FE89507CCDAFB2DE5F3" hidden="1">#REF!</definedName>
    <definedName name="BOEC0DD3F439BA4003AD46A41F29874030" hidden="1">#REF!</definedName>
    <definedName name="BOEC1A5FBA282D4E98AC0A8B6E60EA9049" hidden="1">#REF!</definedName>
    <definedName name="BOEC3F2E58E5E44307B2E206499188E1FC" hidden="1">#REF!</definedName>
    <definedName name="BOEC425E786A5F4CE78604F43CC4690D0E" hidden="1">#REF!</definedName>
    <definedName name="BOEC5B408FC72D40DAAEAB05CE85838531" hidden="1">#REF!</definedName>
    <definedName name="BOEC6B3D1B408C4BEA9A1E84D8EDF0F1D8" hidden="1">#REF!</definedName>
    <definedName name="BOEC9B5B1AD36D4F2AA7A07F0BDCAA69E4" hidden="1">#REF!</definedName>
    <definedName name="BOECDF813F5B044D3090546B36A2795F21" hidden="1">#REF!</definedName>
    <definedName name="BOECF8FF9A3492427BA40FF8CA6171F72D" hidden="1">#REF!</definedName>
    <definedName name="BOED05B2F2B9E94F6187B09D58E9239D88" hidden="1">#REF!</definedName>
    <definedName name="BOED1EA8F825644ABA99CA16B474D79E3E" hidden="1">#REF!</definedName>
    <definedName name="BOED562F54123C431F9027C5E4DD931301" hidden="1">#REF!</definedName>
    <definedName name="BOED90211738DC45B88535CD01C1135A78" hidden="1">#REF!</definedName>
    <definedName name="BOED9EE50BAF774E2AA4A7596663A49FC4" hidden="1">#REF!</definedName>
    <definedName name="BOEDA36C9CE4FA4581A52255AF23DB93A0" hidden="1">#REF!</definedName>
    <definedName name="BOEDB3BA53AFC3453DB990331E0B5780A0" hidden="1">#REF!</definedName>
    <definedName name="BOEDBABC0C059545189DC8E8F1C8E61166" hidden="1">#REF!</definedName>
    <definedName name="BOEDE32FE5EB604C1F930D99BA4C3B57D5" hidden="1">#REF!</definedName>
    <definedName name="BOEDE768E044204D4896FC83EA9E0DED28" hidden="1">#REF!</definedName>
    <definedName name="BOEDF260BEC9454C2AAB8653DAA455274C" hidden="1">#REF!</definedName>
    <definedName name="BOEDFE33E509F943EB8068C63B6FBA2CD7" hidden="1">#REF!</definedName>
    <definedName name="BOEE0353DEA87047D1BC8BA1A10AA66E19" hidden="1">#REF!</definedName>
    <definedName name="BOEE89452115254AA5AD1B4A4D53F5D207" hidden="1">#REF!</definedName>
    <definedName name="BOEEACC20B9FE44B1AA33590292E5D0028" hidden="1">#REF!</definedName>
    <definedName name="BOEEDA0B6B46114ED382263C8C9D55A945" hidden="1">#REF!</definedName>
    <definedName name="BOEEE402F4521E4129B8F3DAFD319B8DE9" hidden="1">#REF!</definedName>
    <definedName name="BOEF3940E6E677491BAE23FF17364EF17E" hidden="1">#REF!</definedName>
    <definedName name="BOEF406C0827AE4CBCAA017E0C0DCC3DED" hidden="1">#REF!</definedName>
    <definedName name="BOEF56D01AD3D14C099D494FBC502954D5" hidden="1">#REF!</definedName>
    <definedName name="BOEF7322C278CF4E74A4F50631FF61E1A4" hidden="1">#REF!</definedName>
    <definedName name="BOEFBD1451554C46C5B09F0AEEE7170DBE" hidden="1">#REF!</definedName>
    <definedName name="BOEFC38C6084D4401087A1495EDEB30DD0" hidden="1">#REF!</definedName>
    <definedName name="BOEFED11C55B7D42F0BA74E1AC52FFFCB6" hidden="1">#REF!</definedName>
    <definedName name="BOEFFA9E855A8D4352994E68849AF48905" hidden="1">#REF!</definedName>
    <definedName name="BOF0100A92ADA14111A38DCB300766F521" hidden="1">#REF!</definedName>
    <definedName name="BOF01838A6DDBE45D4B2B655AAD88D5B0E" hidden="1">#REF!</definedName>
    <definedName name="BOF02333F78A05422AA5A1F733A8834CD6" hidden="1">#REF!</definedName>
    <definedName name="BOF05E6310E06849798562BB8BD53C4F28" hidden="1">#REF!</definedName>
    <definedName name="BOF05FFF3AC94B4E36925B5EDAAC8C1C53" hidden="1">#REF!</definedName>
    <definedName name="BOF0905563093845A997A50AF692884153" hidden="1">#REF!</definedName>
    <definedName name="BOF0A825745E464D13A54ABA20B609B9E8" hidden="1">#REF!</definedName>
    <definedName name="BOF0C59731D4AE4017B5B4169F3C9AA2A6" hidden="1">#REF!</definedName>
    <definedName name="BOF0CBC11E611C46CAA732EB2558A413AB" hidden="1">#REF!</definedName>
    <definedName name="BOF0D4EF18741047F1B1043984130F0FA6" hidden="1">#REF!</definedName>
    <definedName name="BOF0DBB60FBA7B487483C6404113C66C6E" hidden="1">#REF!</definedName>
    <definedName name="BOF0E3743744E240A992B06E29FA68C50A" hidden="1">#REF!</definedName>
    <definedName name="BOF0E6E6B0E78C42E08BE2CDEA8CF44D78" hidden="1">#REF!</definedName>
    <definedName name="BOF109CEBDEEAC441FA6E936017139B088" hidden="1">#REF!</definedName>
    <definedName name="BOF15E20C21B1C4680B293AE7291F7DD0F" hidden="1">#REF!</definedName>
    <definedName name="BOF1ABC4FD00E64BA58CFF06D348B0C5C3" hidden="1">#REF!</definedName>
    <definedName name="BOF1AEBC9A7BD44233A1943849C28C4FEC" hidden="1">#REF!</definedName>
    <definedName name="BOF1B8AD00099048A2A8AEC0999BE156F5" hidden="1">#REF!</definedName>
    <definedName name="BOF20CCB7468C540F09F18FAB754EC370F" hidden="1">#REF!</definedName>
    <definedName name="BOF23D7E5217A24026827BA1D213504D2A" hidden="1">#REF!</definedName>
    <definedName name="BOF24947DB82D64635840A8DB5866B51FD" hidden="1">#REF!</definedName>
    <definedName name="BOF27712BD4E094407ACB4899BA5C49295" hidden="1">#REF!</definedName>
    <definedName name="BOF28675E81D624568B83E5006EE4DAB41" hidden="1">#REF!</definedName>
    <definedName name="BOF287C0DE87E04A9FA22B2ECD2F94C614" hidden="1">#REF!</definedName>
    <definedName name="BOF2E4E26EFA1B45A6B451A32AF9340BA2" hidden="1">#REF!</definedName>
    <definedName name="BOF2E9D408E0CE4BE8BFEABB6B73934CC2" hidden="1">#REF!</definedName>
    <definedName name="BOF2EBB03F32CB43D982795A06A0CE7F14" hidden="1">#REF!</definedName>
    <definedName name="BOF2ED9B84F0014707AE8E96E655EA83CB" hidden="1">#REF!</definedName>
    <definedName name="BOF2FF48AA091D4BA99B50E6B5AC55A3E5" hidden="1">#REF!</definedName>
    <definedName name="BOF33D6B6D93C74BB18FE3D6E0FF794B23" hidden="1">#REF!</definedName>
    <definedName name="BOF36997466DCA419EB5BB546C26585165" hidden="1">#REF!</definedName>
    <definedName name="BOF36B04952D7E494D8982DF32678ED517" hidden="1">#REF!</definedName>
    <definedName name="BOF37F793DBD86486CB8F124C4A5B4790A" hidden="1">#REF!</definedName>
    <definedName name="BOF3A90882C3F646AC8E52826DE77B4F42" hidden="1">#REF!</definedName>
    <definedName name="BOF3C2FA67E9714243A6A0E31921FBEEBC" hidden="1">#REF!</definedName>
    <definedName name="BOF3E50E227A544F7F8427DB69807893E0" hidden="1">#REF!</definedName>
    <definedName name="BOF3F8EC36F0584B21B040E4FAE9B8810F" hidden="1">#REF!</definedName>
    <definedName name="BOF40B8D5DE4EF48C8A142F2738685DF4E" hidden="1">#REF!</definedName>
    <definedName name="BOF4CCF65C0AB248CE8B3EBF1FF477CB5C" hidden="1">#REF!</definedName>
    <definedName name="BOF4E734F5E0B346399B3F74EDDE1364EA" hidden="1">#REF!</definedName>
    <definedName name="BOF4F541C0A6C94B61A4CE373A6C565169" hidden="1">#REF!</definedName>
    <definedName name="BOF51A52841A654E94BE5B17633A966825" hidden="1">#REF!</definedName>
    <definedName name="BOF53CCAFB02904DA4AF21417141E6C458" hidden="1">#REF!</definedName>
    <definedName name="BOF5497173AE06489E9550275FB325A5AD" hidden="1">#REF!</definedName>
    <definedName name="BOF55CF31ECD7A406CA38DE801694F8552" hidden="1">#REF!</definedName>
    <definedName name="BOF5631028159044D78779C45CA65FC43B" hidden="1">#REF!</definedName>
    <definedName name="BOF585D8968C854C30B591C88227EDB648" hidden="1">#REF!</definedName>
    <definedName name="BOF5AEE545461542C7A1A82997EB41AB35" hidden="1">#REF!</definedName>
    <definedName name="BOF5CB44B1A6E44FDC89B7F2976A7CE3A8" hidden="1">#REF!</definedName>
    <definedName name="BOF5DC32DE31BD4B50B0267F468F4E4CB0" hidden="1">#REF!</definedName>
    <definedName name="BOF604F32E6DAC49BBA3716C381BEBAB3A" hidden="1">#REF!</definedName>
    <definedName name="BOF611A9E8BB0F49E497EFF27831772058" hidden="1">#REF!</definedName>
    <definedName name="BOF63D3B4EB0E544EFA271FEA8860AC25D" hidden="1">#REF!</definedName>
    <definedName name="BOF669A2D2BA994424B1F5A8AC117A55CA" hidden="1">#REF!</definedName>
    <definedName name="BOF66F23777B7C431BBA70EAF3374BA9DD" hidden="1">#REF!</definedName>
    <definedName name="BOF67F5AA185884F23B340D90B4494144F" hidden="1">#REF!</definedName>
    <definedName name="BOF687F176C001453A8BDD5BE28067C5E9" hidden="1">#REF!</definedName>
    <definedName name="BOF6AE8BD0902148AA869657E40D971E11" hidden="1">#REF!</definedName>
    <definedName name="BOF6C435831C884A2B958ECF1499C5AE81" hidden="1">#REF!</definedName>
    <definedName name="BOF6C9B9EED16443ED8CB7FF99A5DBCC26" hidden="1">#REF!</definedName>
    <definedName name="BOF6CDA264C92D4DF2907EB1622B5003D6" hidden="1">#REF!</definedName>
    <definedName name="BOF708D1281373454597A1A056AB3A3531" hidden="1">#REF!</definedName>
    <definedName name="BOF72B7E5688A24599B26396DA1025418E" hidden="1">#REF!</definedName>
    <definedName name="BOF75BD264DBB04172906E6710FDC5CE9B" hidden="1">#REF!</definedName>
    <definedName name="BOF770BE81EB0647A29E9CE4D634384356" hidden="1">#REF!</definedName>
    <definedName name="BOF77B331BE93848B7BCD11717BB266D2A" hidden="1">#REF!</definedName>
    <definedName name="BOF7976E88AE214F67B9CBB47608F7DDA9" hidden="1">#REF!</definedName>
    <definedName name="BOF79C8057618541DB900AC860DEA92122" hidden="1">#REF!</definedName>
    <definedName name="BOF7B5D1FBB8764A4FB0220E77B2881D62" hidden="1">#REF!</definedName>
    <definedName name="BOF7B5FA1754E0413AAFB010856810A5BA" hidden="1">#REF!</definedName>
    <definedName name="BOF7C0B15686234EACBE0FB09FC35AFFF4" hidden="1">#REF!</definedName>
    <definedName name="BOF7CF94FFA36A46ACB0FCB81905FBD824" hidden="1">#REF!</definedName>
    <definedName name="BOF83559FBC7D04204ADB4B6AED114EAF7" hidden="1">#REF!</definedName>
    <definedName name="BOF835CA3093464BB98CC8821172B1F91C" hidden="1">#REF!</definedName>
    <definedName name="BOF85E6CCF6A57462A8CA36AA9540D141F" hidden="1">#REF!</definedName>
    <definedName name="BOF861024EEF514C6389B851E8D3982275" hidden="1">#REF!</definedName>
    <definedName name="BOF86B41F85B3F42E4B7EFE1B2C2199C1B" hidden="1">#REF!</definedName>
    <definedName name="BOF87E495A74FB4EFAB3F46E6715C2B04E" hidden="1">#REF!</definedName>
    <definedName name="BOF8B846D7E8B34D05B384F863E85A28E5" hidden="1">#REF!</definedName>
    <definedName name="BOF8E521594CB6424A882EA938563567D8" hidden="1">#REF!</definedName>
    <definedName name="BOF8F113671AB242A0A31C324D25132756" hidden="1">#REF!</definedName>
    <definedName name="BOF90C081FC31448DE8B5AE57F93E88D5A" hidden="1">#REF!</definedName>
    <definedName name="BOF9376400C8CF4FCD85B320E7EAD04A94" hidden="1">#REF!</definedName>
    <definedName name="BOF9495CF6160944879E041E0D38789F50" hidden="1">#REF!</definedName>
    <definedName name="BOF9509C2000054150B4B30DF7C43A4A51" hidden="1">#REF!</definedName>
    <definedName name="BOF96D6F15B6C64D5C8030DD9389EA8255" hidden="1">#REF!</definedName>
    <definedName name="BOF976143D93AF4A00A035132360605823" hidden="1">#REF!</definedName>
    <definedName name="BOF97FF29AFA964EB4A7194CFD2D06893A" hidden="1">#REF!</definedName>
    <definedName name="BOF982D863C97441DE8C3A59719A3F7A1C" hidden="1">#REF!</definedName>
    <definedName name="BOF991385FBFDD4DD7AD5E7F1640C78BB8" hidden="1">#REF!</definedName>
    <definedName name="BOF9958D4FBFBF40E68FCC6DC7A805A18F" hidden="1">#REF!</definedName>
    <definedName name="BOF9A745490A1F4A0695067659AAAB07E4" hidden="1">#REF!</definedName>
    <definedName name="BOF9CCA466DDE34243A28BEC11EA7696FC" hidden="1">#REF!</definedName>
    <definedName name="BOF9D0F7B0FC8745ADA15A7F51ACA86046" hidden="1">#REF!</definedName>
    <definedName name="BOF9E3ACA774784CC185178823C21D0683" hidden="1">#REF!</definedName>
    <definedName name="BOF9E4F58BD63540A68A019559C64FCADD" hidden="1">#REF!</definedName>
    <definedName name="BOF9F15082364A4134B98686203548E9D2" hidden="1">#REF!</definedName>
    <definedName name="BOF9F2E505E437475E8029DC8D894C88D9" hidden="1">#REF!</definedName>
    <definedName name="BOF9F503D5C8DC4F159CA92378C6C2F165" hidden="1">#REF!</definedName>
    <definedName name="BOFA14A2D8CB234719B612B2CD55B5C9B9" hidden="1">#REF!</definedName>
    <definedName name="BOFA189D6399D741059121AB58C4681E1B" hidden="1">#REF!</definedName>
    <definedName name="BOFA2EA8565515456BB492A0487B3028BB" hidden="1">#REF!</definedName>
    <definedName name="BOFA2F87762DFD484D94075FC95CB64240" hidden="1">#REF!</definedName>
    <definedName name="BOFA6FBCF148F348859DF1A84441CCBAE5" hidden="1">#REF!</definedName>
    <definedName name="BOFA864009E0984036BEA4C678AD54A99F" hidden="1">#REF!</definedName>
    <definedName name="BOFAABE7614B284661B98C71FC73AF5357" hidden="1">#REF!</definedName>
    <definedName name="BOFAC709B4C59A409D8062E376F00BEAEB" hidden="1">#REF!</definedName>
    <definedName name="BOFAD762ED2D514C759268845816353004" hidden="1">#REF!</definedName>
    <definedName name="BOFB1C41C30B6E4FDDB1D2E412168345EA" hidden="1">#REF!</definedName>
    <definedName name="BOFB336458987A4A00A14567345C5A3BC3" hidden="1">#REF!</definedName>
    <definedName name="BOFB68B3AB13A949D6B91D57867C55ACBD" hidden="1">#REF!</definedName>
    <definedName name="BOFB8FF5299BAC4A3980A0C9D97B2C2A8F" hidden="1">#REF!</definedName>
    <definedName name="BOFBD1BBF7BCC14007A52AFA1AC14DFD90" hidden="1">#REF!</definedName>
    <definedName name="BOFC008101E26942739BCE45A22FDC1809" hidden="1">#REF!</definedName>
    <definedName name="BOFC101594CCBD46F69B92FD32FB5B2967" hidden="1">#REF!</definedName>
    <definedName name="BOFC3CE9B777E942BF8427BC366D3B0A70" hidden="1">#REF!</definedName>
    <definedName name="BOFC5BF5B340284577A6C0DA03F1824FF8" hidden="1">#REF!</definedName>
    <definedName name="BOFC691235AADD4AF99E5F69CD249F2546" hidden="1">#REF!</definedName>
    <definedName name="BOFC779837E3E04A1985835E5DF253266E" hidden="1">#REF!</definedName>
    <definedName name="BOFC9287FB937E45768ACB07545CEEA2D9" hidden="1">#REF!</definedName>
    <definedName name="BOFCAD2E401667477E9D464FB1AA22C096" hidden="1">#REF!</definedName>
    <definedName name="BOFCB243D312254A6495E9987C2B550B68" hidden="1">#REF!</definedName>
    <definedName name="BOFCBD10D75B584C3B8A3E8226942B145A" hidden="1">#REF!</definedName>
    <definedName name="BOFCED67DF69DE4476812BDAF010897053" hidden="1">#REF!</definedName>
    <definedName name="BOFCF51C93505B48AC82B9911B1E5E5C72" hidden="1">#REF!</definedName>
    <definedName name="BOFD09022DAC094A40B6A03F0E06944AFA" hidden="1">#REF!</definedName>
    <definedName name="BOFD529BCDFD5B4DC1A3A3F2BB939D10F7" hidden="1">#REF!</definedName>
    <definedName name="BOFD8DF3176E384B91BF0EC93EA8ADD67B" hidden="1">#REF!</definedName>
    <definedName name="BOFE0305390B704C48BA2EC4A05D8EC976" hidden="1">#REF!</definedName>
    <definedName name="BOFE0FFADB41B0470093CD34743DAA5984" hidden="1">#REF!</definedName>
    <definedName name="BOFE2E98B7B96147599125BD16B196EA9A" hidden="1">#REF!</definedName>
    <definedName name="BOFE80B2BAD5AA490FB1090A0F5A6B2D3E" hidden="1">#REF!</definedName>
    <definedName name="BOFEA5122D1E64440F99EE2A3A11DF2E00" hidden="1">#REF!</definedName>
    <definedName name="BOFEA6BEA308954340BEC08D6EE88D6232" hidden="1">#REF!</definedName>
    <definedName name="BOFEBB355536364ED8B2C1BF3DA875F9C0" hidden="1">#REF!</definedName>
    <definedName name="BOFEEA8528210641EAAB5BD7AF7B5A478A" hidden="1">#REF!</definedName>
    <definedName name="BOFEEC3A32A9914EA8B78F465349332185" hidden="1">#REF!</definedName>
    <definedName name="BOFF2E1E2C77F74388A8E5E3760D657FFD" hidden="1">#REF!</definedName>
    <definedName name="BOFF3F97E7FAA347979ACC7B2E0F8F09D1" hidden="1">#REF!</definedName>
    <definedName name="BOFF4D952AA1C249788BD8E15A5BF80074" hidden="1">#REF!</definedName>
    <definedName name="BOFF5544F0476F470FA140C6EE947E013F" hidden="1">#REF!</definedName>
    <definedName name="BOFF61E3DC87BE4E8894E44CFB42BEB0B5" hidden="1">#REF!</definedName>
    <definedName name="BOFF7CC3ACE061481A91BF100123E466EF" hidden="1">#REF!</definedName>
    <definedName name="BOFFC6A738E872423F9F535B7F1AC62C55" hidden="1">#REF!</definedName>
    <definedName name="BOFFD8B225E60E4EF78F585F6FA950656C" hidden="1">#REF!</definedName>
    <definedName name="boonthak" localSheetId="16" hidden="1">{"'ตัวอย่าง'!$A$1:$O$21"}</definedName>
    <definedName name="boonthak" hidden="1">{"'ตัวอย่าง'!$A$1:$O$21"}</definedName>
    <definedName name="Capacity">'Cover Page'!$F$28</definedName>
    <definedName name="ccc" localSheetId="16" hidden="1">{"PRINT_EST",#N/A,FALSE,"ESTMON"}</definedName>
    <definedName name="ccc" hidden="1">{"PRINT_EST",#N/A,FALSE,"ESTMON"}</definedName>
    <definedName name="CCÑCangdung10.2" localSheetId="16" hidden="1">{"'Sheet1'!$L$16"}</definedName>
    <definedName name="CCÑCangdung10.2" hidden="1">{"'Sheet1'!$L$16"}</definedName>
    <definedName name="Chiphi" localSheetId="16" hidden="1">{"'Sheet1'!$L$16"}</definedName>
    <definedName name="Chiphi" hidden="1">{"'Sheet1'!$L$16"}</definedName>
    <definedName name="Currency">'Cover Page'!$A$33</definedName>
    <definedName name="da" localSheetId="16" hidden="1">{"'Sheet1'!$L$16"}</definedName>
    <definedName name="da" hidden="1">{"'Sheet1'!$L$16"}</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7" hidden="1">#REF!</definedName>
    <definedName name="data1" hidden="1">#REF!</definedName>
    <definedName name="data2" hidden="1">#REF!</definedName>
    <definedName name="data3" hidden="1">#REF!</definedName>
    <definedName name="Database.File" hidden="1">#REF!</definedName>
    <definedName name="dd" localSheetId="16" hidden="1">{"'ตัวอย่าง'!$A$1:$O$21"}</definedName>
    <definedName name="dd" hidden="1">{"'ตัวอย่าง'!$A$1:$O$21"}</definedName>
    <definedName name="ddd" localSheetId="16" hidden="1">{"index",#N/A,FALSE,"INDEX"}</definedName>
    <definedName name="ddd" hidden="1">{"index",#N/A,FALSE,"INDEX"}</definedName>
    <definedName name="del" localSheetId="16" hidden="1">{"level1",#N/A,FALSE,"1_LEV";"LEVEL1",#N/A,FALSE,"1_LEV"}</definedName>
    <definedName name="del" hidden="1">{"level1",#N/A,FALSE,"1_LEV";"LEVEL1",#N/A,FALSE,"1_LEV"}</definedName>
    <definedName name="detail" localSheetId="16" hidden="1">{"index",#N/A,FALSE,"INDEX"}</definedName>
    <definedName name="detail" hidden="1">{"index",#N/A,FALSE,"INDEX"}</definedName>
    <definedName name="Discount" hidden="1">#REF!</definedName>
    <definedName name="display_area_2" hidden="1">#REF!</definedName>
    <definedName name="ds\" hidden="1">#REF!</definedName>
    <definedName name="dsad" localSheetId="16" hidden="1">{#N/A,#N/A,FALSE,"SYSOC";#N/A,#N/A,FALSE,"RESU-GESTION";#N/A,#N/A,FALSE,"EVOL-MNA";#N/A,#N/A,FALSE,"VTAS-ANALI";#N/A,#N/A,FALSE,"ANALI-GSFIJOS";#N/A,#N/A,FALSE,"DETA-RUBROS";#N/A,#N/A,FALSE,"ANALI-CNF";#N/A,#N/A,FALSE,"BILAN";#N/A,#N/A,FALSE,"TAB_FIN";#N/A,#N/A,FALSE,"IND_ECO"}</definedName>
    <definedName name="dsad" hidden="1">{#N/A,#N/A,FALSE,"SYSOC";#N/A,#N/A,FALSE,"RESU-GESTION";#N/A,#N/A,FALSE,"EVOL-MNA";#N/A,#N/A,FALSE,"VTAS-ANALI";#N/A,#N/A,FALSE,"ANALI-GSFIJOS";#N/A,#N/A,FALSE,"DETA-RUBROS";#N/A,#N/A,FALSE,"ANALI-CNF";#N/A,#N/A,FALSE,"BILAN";#N/A,#N/A,FALSE,"TAB_FIN";#N/A,#N/A,FALSE,"IND_ECO"}</definedName>
    <definedName name="eee" localSheetId="16" hidden="1">{"revsale",#N/A,FALSE,"REV-ยุพดี"}</definedName>
    <definedName name="eee" hidden="1">{"revsale",#N/A,FALSE,"REV-ยุพดี"}</definedName>
    <definedName name="EVOLUTION_DES_ROI" localSheetId="16" hidden="1">{#N/A,#N/A,FALSE,"SYSOC";#N/A,#N/A,FALSE,"RESU-GESTION";#N/A,#N/A,FALSE,"EVOL-MNA";#N/A,#N/A,FALSE,"VTAS-ANALI";#N/A,#N/A,FALSE,"ANALI-GSFIJOS";#N/A,#N/A,FALSE,"DETA-RUBROS";#N/A,#N/A,FALSE,"ANALI-CNF";#N/A,#N/A,FALSE,"BILAN";#N/A,#N/A,FALSE,"TAB_FIN";#N/A,#N/A,FALSE,"IND_ECO"}</definedName>
    <definedName name="EVOLUTION_DES_ROI" hidden="1">{#N/A,#N/A,FALSE,"SYSOC";#N/A,#N/A,FALSE,"RESU-GESTION";#N/A,#N/A,FALSE,"EVOL-MNA";#N/A,#N/A,FALSE,"VTAS-ANALI";#N/A,#N/A,FALSE,"ANALI-GSFIJOS";#N/A,#N/A,FALSE,"DETA-RUBROS";#N/A,#N/A,FALSE,"ANALI-CNF";#N/A,#N/A,FALSE,"BILAN";#N/A,#N/A,FALSE,"TAB_FIN";#N/A,#N/A,FALSE,"IND_ECO"}</definedName>
    <definedName name="ewe" localSheetId="16" hidden="1">{"'ตัวอย่าง'!$A$1:$O$21"}</definedName>
    <definedName name="ewe" hidden="1">{"'ตัวอย่าง'!$A$1:$O$21"}</definedName>
    <definedName name="EXPORT_รายหน่วยงาน" localSheetId="16" hidden="1">{"'ตัวอย่าง'!$A$1:$O$21"}</definedName>
    <definedName name="EXPORT_รายหน่วยงาน" hidden="1">{"'ตัวอย่าง'!$A$1:$O$21"}</definedName>
    <definedName name="EXR">'Cover Page'!$F$10</definedName>
    <definedName name="FCode" localSheetId="16" hidden="1">#REF!</definedName>
    <definedName name="FCode" hidden="1">#REF!</definedName>
    <definedName name="ff" localSheetId="16" hidden="1">{"'ตัวอย่าง'!$A$1:$O$21"}</definedName>
    <definedName name="ff" hidden="1">{"'ตัวอย่าง'!$A$1:$O$21"}</definedName>
    <definedName name="FiCo" hidden="1">#REF!</definedName>
    <definedName name="File.Type" hidden="1">#REF!</definedName>
    <definedName name="gg" localSheetId="16" hidden="1">{"'ตัวอย่าง'!$A$1:$O$21"}</definedName>
    <definedName name="gg" hidden="1">{"'ตัวอย่าง'!$A$1:$O$21"}</definedName>
    <definedName name="gh" localSheetId="16" hidden="1">{"revsale",#N/A,FALSE,"REV-ยุพดี"}</definedName>
    <definedName name="gh" hidden="1">{"revsale",#N/A,FALSE,"REV-ยุพดี"}</definedName>
    <definedName name="GJVIF" localSheetId="16" hidden="1">{"Profit",#N/A,FALSE,"4500(12)";"Capital",#N/A,FALSE,"4500(12)";"Profit",#N/A,FALSE,"Cisco4000";"Capital",#N/A,FALSE,"Cisco4000"}</definedName>
    <definedName name="GJVIF" hidden="1">{"Profit",#N/A,FALSE,"4500(12)";"Capital",#N/A,FALSE,"4500(12)";"Profit",#N/A,FALSE,"Cisco4000";"Capital",#N/A,FALSE,"Cisco4000"}</definedName>
    <definedName name="GTM" localSheetId="16" hidden="1">{"'Sheet1'!$L$16"}</definedName>
    <definedName name="GTM" hidden="1">{"'Sheet1'!$L$16"}</definedName>
    <definedName name="hfgdas" hidden="1">#REF!</definedName>
    <definedName name="HiddenRows" hidden="1">#REF!</definedName>
    <definedName name="HTML_CodePage" hidden="1">874</definedName>
    <definedName name="HTML_Control" localSheetId="16" hidden="1">{"'Model'!$A$1:$N$53"}</definedName>
    <definedName name="HTML_Control" hidden="1">{"'Model'!$A$1:$N$53"}</definedName>
    <definedName name="HTML_Control1" localSheetId="16" hidden="1">{"'Model'!$A$1:$N$53"}</definedName>
    <definedName name="HTML_Control1" hidden="1">{"'Model'!$A$1:$N$53"}</definedName>
    <definedName name="HTML_Description" hidden="1">""</definedName>
    <definedName name="HTML_Email" hidden="1">""</definedName>
    <definedName name="HTML_Header" hidden="1">"Model"</definedName>
    <definedName name="HTML_LastUpdate" hidden="1">"31/7/01"</definedName>
    <definedName name="HTML_LineAfter" hidden="1">FALSE</definedName>
    <definedName name="HTML_LineBefore" hidden="1">FALSE</definedName>
    <definedName name="HTML_Name" hidden="1">"Bundit Sanguanprasert"</definedName>
    <definedName name="HTML_OBDlg2" hidden="1">TRUE</definedName>
    <definedName name="HTML_OBDlg4" hidden="1">TRUE</definedName>
    <definedName name="HTML_OS" hidden="1">0</definedName>
    <definedName name="HTML_PathFile" hidden="1">"C:\My Documents\TPS project\Carried Loss\SCC2.htm"</definedName>
    <definedName name="HTML_Title" hidden="1">"Model SCC"</definedName>
    <definedName name="huy" localSheetId="16" hidden="1">{"'Sheet1'!$L$16"}</definedName>
    <definedName name="huy" hidden="1">{"'Sheet1'!$L$16"}</definedName>
    <definedName name="Inflation">'Cover Page'!$F$9</definedName>
    <definedName name="info2" localSheetId="16" hidden="1">{"level1",#N/A,FALSE,"1_LEV";"LEVEL1",#N/A,FALSE,"1_LEV"}</definedName>
    <definedName name="info2" hidden="1">{"level1",#N/A,FALSE,"1_LEV";"LEVEL1",#N/A,FALSE,"1_LEV"}</definedName>
    <definedName name="IntroPrintArea" hidden="1">#REF!</definedName>
    <definedName name="jjj" localSheetId="16" hidden="1">{"'Sheet1'!$L$16"}</definedName>
    <definedName name="jjj" hidden="1">{"'Sheet1'!$L$16"}</definedName>
    <definedName name="ju" localSheetId="16" hidden="1">{"'Sheet1'!$L$16"}</definedName>
    <definedName name="ju" hidden="1">{"'Sheet1'!$L$16"}</definedName>
    <definedName name="kk" hidden="1">#REF!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LABOR_TAX" localSheetId="16" hidden="1">#REF!</definedName>
    <definedName name="LABOR_TAX" hidden="1">#REF!</definedName>
    <definedName name="Lai" localSheetId="16" hidden="1">{"'Sheet1'!$L$16"}</definedName>
    <definedName name="Lai" hidden="1">{"'Sheet1'!$L$16"}</definedName>
    <definedName name="limcount" hidden="1">1</definedName>
    <definedName name="liza" localSheetId="16" hidden="1">{"level1",#N/A,FALSE,"1_LEV";"LEVEL1",#N/A,FALSE,"1_LEV"}</definedName>
    <definedName name="liza" hidden="1">{"level1",#N/A,FALSE,"1_LEV";"LEVEL1",#N/A,FALSE,"1_LEV"}</definedName>
    <definedName name="lll" localSheetId="16" hidden="1">{"sales",#N/A,FALSE,"SALES"}</definedName>
    <definedName name="lll" hidden="1">{"sales",#N/A,FALSE,"SALES"}</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neww" hidden="1">OFFSET(#REF!,1,0)</definedName>
    <definedName name="nn" localSheetId="16" hidden="1">{#N/A,#N/A,FALSE,"SYSOC";#N/A,#N/A,FALSE,"RESU-GESTION";#N/A,#N/A,FALSE,"EVOL-MNA";#N/A,#N/A,FALSE,"VTAS-ANALI";#N/A,#N/A,FALSE,"ANALI-GSFIJOS";#N/A,#N/A,FALSE,"DETA-RUBROS";#N/A,#N/A,FALSE,"ANALI-CNF";#N/A,#N/A,FALSE,"BILAN";#N/A,#N/A,FALSE,"TAB_FIN";#N/A,#N/A,FALSE,"IND_ECO"}</definedName>
    <definedName name="nn" hidden="1">{#N/A,#N/A,FALSE,"SYSOC";#N/A,#N/A,FALSE,"RESU-GESTION";#N/A,#N/A,FALSE,"EVOL-MNA";#N/A,#N/A,FALSE,"VTAS-ANALI";#N/A,#N/A,FALSE,"ANALI-GSFIJOS";#N/A,#N/A,FALSE,"DETA-RUBROS";#N/A,#N/A,FALSE,"ANALI-CNF";#N/A,#N/A,FALSE,"BILAN";#N/A,#N/A,FALSE,"TAB_FIN";#N/A,#N/A,FALSE,"IND_ECO"}</definedName>
    <definedName name="nnn"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nn"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NotUse" localSheetId="16" hidden="1">{"'ตัวอย่าง'!$A$1:$O$21"}</definedName>
    <definedName name="NotUse" hidden="1">{"'ตัวอย่าง'!$A$1:$O$21"}</definedName>
    <definedName name="ooooo" localSheetId="16" hidden="1">{"'connew '!$C$40:$C$60"}</definedName>
    <definedName name="ooooo" hidden="1">{"'connew '!$C$40:$C$60"}</definedName>
    <definedName name="Opt1_WACC">'Cover Page'!$H$23</definedName>
    <definedName name="Opt2_CAPEX">'Cover Page'!$K$6</definedName>
    <definedName name="Opt2_CPSX">'Cover Page'!$K$7</definedName>
    <definedName name="Opt2_EXW">'Cover Page'!$K$10</definedName>
    <definedName name="Opt2_WACC">'Cover Page'!$K$23</definedName>
    <definedName name="Opt3_CAPEX">'Cover Page'!$N$6</definedName>
    <definedName name="Opt3_CPSX">'Cover Page'!$N$7</definedName>
    <definedName name="Opt3_WACC">'Cover Page'!$W$23</definedName>
    <definedName name="Opt4_CAPEX">'Cover Page'!$Q$6</definedName>
    <definedName name="Opt4_CPSX">'Cover Page'!$Q$7</definedName>
    <definedName name="Opt5_CAPEX">'Cover Page'!$T$6</definedName>
    <definedName name="Opt5_CPSX">'Cover Page'!$T$7</definedName>
    <definedName name="Opt6_CAPEX">'Cover Page'!$W$6</definedName>
    <definedName name="Opt6_CPSX">'Cover Page'!$W$7</definedName>
    <definedName name="OrderTable" hidden="1">#REF!</definedName>
    <definedName name="Ownership" hidden="1">OFFSET(#REF!,1,0)</definedName>
    <definedName name="p" localSheetId="16" hidden="1">{"'ตัวอย่าง'!$A$1:$O$21"}</definedName>
    <definedName name="p" hidden="1">{"'ตัวอย่าง'!$A$1:$O$21"}</definedName>
    <definedName name="PARTS_TAX" hidden="1">#REF!</definedName>
    <definedName name="PC_msg" hidden="1">"Yes"</definedName>
    <definedName name="PHOI_KG">'Cover Page'!$F$30</definedName>
    <definedName name="PHUONG" hidden="1">#REF!</definedName>
    <definedName name="pison" localSheetId="16" hidden="1">{#N/A,#N/A,FALSE,"4_TOTAL";#N/A,#N/A,FALSE,"3_2TOTAL";#N/A,#N/A,FALSE,"5_INCOME";#N/A,#N/A,FALSE,"2_2LEV";#N/A,#N/A,FALSE,"2_2LEVYTD";#N/A,#N/A,FALSE,"BALANCE";#N/A,#N/A,FALSE,"CASHFLOW";#N/A,#N/A,FALSE,"PRODUCT";#N/A,#N/A,FALSE,"SALES";#N/A,#N/A,FALSE,"AGING"}</definedName>
    <definedName name="pison" hidden="1">{#N/A,#N/A,FALSE,"4_TOTAL";#N/A,#N/A,FALSE,"3_2TOTAL";#N/A,#N/A,FALSE,"5_INCOME";#N/A,#N/A,FALSE,"2_2LEV";#N/A,#N/A,FALSE,"2_2LEVYTD";#N/A,#N/A,FALSE,"BALANCE";#N/A,#N/A,FALSE,"CASHFLOW";#N/A,#N/A,FALSE,"PRODUCT";#N/A,#N/A,FALSE,"SALES";#N/A,#N/A,FALSE,"AGING"}</definedName>
    <definedName name="PKTN." localSheetId="16" hidden="1">{"'Sheet1'!$L$16"}</definedName>
    <definedName name="PKTN." hidden="1">{"'Sheet1'!$L$16"}</definedName>
    <definedName name="PP" localSheetId="16" hidden="1">{"'Model'!$A$1:$N$53"}</definedName>
    <definedName name="PP" hidden="1">{"'Model'!$A$1:$N$53"}</definedName>
    <definedName name="ProdForm" hidden="1">#REF!</definedName>
    <definedName name="Product" hidden="1">#REF!</definedName>
    <definedName name="PUTA" localSheetId="16" hidden="1">{"revsale",#N/A,FALSE,"REV-ยุพดี"}</definedName>
    <definedName name="PUTA" hidden="1">{"revsale",#N/A,FALSE,"REV-ยุพดี"}</definedName>
    <definedName name="qq" localSheetId="16" hidden="1">{"'ตัวอย่าง'!$A$1:$O$21"}</definedName>
    <definedName name="qq" hidden="1">{"'ตัวอย่าง'!$A$1:$O$21"}</definedName>
    <definedName name="qqq" localSheetId="16" hidden="1">{#N/A,#N/A,FALSE,"4_TOTAL";#N/A,#N/A,FALSE,"3_2TOTAL";#N/A,#N/A,FALSE,"5_INCOME";#N/A,#N/A,FALSE,"2_2LEV";#N/A,#N/A,FALSE,"2_2LEVYTD";#N/A,#N/A,FALSE,"BALANCE";#N/A,#N/A,FALSE,"CASHFLOW";#N/A,#N/A,FALSE,"PRODUCT";#N/A,#N/A,FALSE,"SALES";#N/A,#N/A,FALSE,"AGING"}</definedName>
    <definedName name="qqq" hidden="1">{#N/A,#N/A,FALSE,"4_TOTAL";#N/A,#N/A,FALSE,"3_2TOTAL";#N/A,#N/A,FALSE,"5_INCOME";#N/A,#N/A,FALSE,"2_2LEV";#N/A,#N/A,FALSE,"2_2LEVYTD";#N/A,#N/A,FALSE,"BALANCE";#N/A,#N/A,FALSE,"CASHFLOW";#N/A,#N/A,FALSE,"PRODUCT";#N/A,#N/A,FALSE,"SALES";#N/A,#N/A,FALSE,"AGING"}</definedName>
    <definedName name="RCArea" localSheetId="16" hidden="1">#REF!</definedName>
    <definedName name="RCArea" hidden="1">#REF!</definedName>
    <definedName name="rd" localSheetId="16" hidden="1">{"'ตัวอย่าง'!$A$1:$O$21"}</definedName>
    <definedName name="rd" hidden="1">{"'ตัวอย่าง'!$A$1:$O$21"}</definedName>
    <definedName name="rrer" localSheetId="16" hidden="1">{"'ตัวอย่าง'!$A$1:$O$21"}</definedName>
    <definedName name="rrer" hidden="1">{"'ตัวอย่าง'!$A$1:$O$21"}</definedName>
    <definedName name="rrrr" localSheetId="16" hidden="1">{"'ตัวอย่าง'!$A$1:$O$21"}</definedName>
    <definedName name="rrrr" hidden="1">{"'ตัวอย่าง'!$A$1:$O$21"}</definedName>
    <definedName name="rung" hidden="1">"sci"</definedName>
    <definedName name="SAPBEXrevision" hidden="1">2</definedName>
    <definedName name="SAPBEXsysID" hidden="1">"BWP"</definedName>
    <definedName name="SAPBEXwbID" hidden="1">"45TSOG149EJ5R0N9HDKCO6BXG"</definedName>
    <definedName name="sas" localSheetId="16" hidden="1">{"'ตัวอย่าง'!$A$1:$O$21"}</definedName>
    <definedName name="sas" hidden="1">{"'ตัวอย่าง'!$A$1:$O$21"}</definedName>
    <definedName name="SC" localSheetId="16" hidden="1">{"'Sheet1'!$L$16"}</definedName>
    <definedName name="SC" hidden="1">{"'Sheet1'!$L$16"}</definedName>
    <definedName name="sdf" localSheetId="16" hidden="1">{"'ตัวอย่าง'!$A$1:$O$21"}</definedName>
    <definedName name="sdf" hidden="1">{"'ตัวอย่าง'!$A$1:$O$21"}</definedName>
    <definedName name="sdgt" hidden="1">#REF!</definedName>
    <definedName name="sencount" hidden="1">1</definedName>
    <definedName name="SEPFIX01" localSheetId="16" hidden="1">{"income",#N/A,FALSE,"INCOME"}</definedName>
    <definedName name="SEPFIX01" hidden="1">{"income",#N/A,FALSE,"INCOME"}</definedName>
    <definedName name="sfe" localSheetId="16" hidden="1">{"'ตัวอย่าง'!$A$1:$O$21"}</definedName>
    <definedName name="sfe" hidden="1">{"'ตัวอย่าง'!$A$1:$O$21"}</definedName>
    <definedName name="sheet"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eet"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Show.Acct.Update.Warning" localSheetId="16" hidden="1">#REF!</definedName>
    <definedName name="Show.Acct.Update.Warning" hidden="1">#REF!</definedName>
    <definedName name="Show.MDB.Update.Warning" hidden="1">#REF!</definedName>
    <definedName name="SL" localSheetId="16" hidden="1">{"Profit",#N/A,FALSE,"Cisco4500";"Capital",#N/A,FALSE,"Cisco4500"}</definedName>
    <definedName name="SL" hidden="1">{"Profit",#N/A,FALSE,"Cisco4500";"Capital",#N/A,FALSE,"Cisco4500"}</definedName>
    <definedName name="Slicer_Currency">#N/A</definedName>
    <definedName name="Sort" localSheetId="16" hidden="1">#REF!</definedName>
    <definedName name="Sort" hidden="1">#REF!</definedName>
    <definedName name="SpecialPrice" hidden="1">#REF!</definedName>
    <definedName name="srgsaergfsergaerg" localSheetId="16" hidden="1">{"month_a",#N/A,FALSE,"ACTUALS";"ytd_a",#N/A,FALSE,"ACTUALS"}</definedName>
    <definedName name="srgsaergfsergaerg" hidden="1">{"month_a",#N/A,FALSE,"ACTUALS";"ytd_a",#N/A,FALSE,"ACTUALS"}</definedName>
    <definedName name="ssss" localSheetId="16" hidden="1">{"'ตัวอย่าง'!$A$1:$O$21"}</definedName>
    <definedName name="ssss" hidden="1">{"'ตัวอย่าง'!$A$1:$O$21"}</definedName>
    <definedName name="sssss" localSheetId="16" hidden="1">{"'ตัวอย่าง'!$A$1:$O$21"}</definedName>
    <definedName name="sssss" hidden="1">{"'ตัวอย่าง'!$A$1:$O$21"}</definedName>
    <definedName name="SuperUser" hidden="1">FALSE</definedName>
    <definedName name="tast" localSheetId="16" hidden="1">{"'connew '!$C$40:$C$60"}</definedName>
    <definedName name="tast" hidden="1">{"'connew '!$C$40:$C$60"}</definedName>
    <definedName name="Tax_rate">'Cover Page'!$F$11</definedName>
    <definedName name="tbl_ProdInfo" localSheetId="16" hidden="1">#REF!</definedName>
    <definedName name="tbl_ProdInfo" hidden="1">#REF!</definedName>
    <definedName name="test" localSheetId="16" hidden="1">{"'ตัวอย่าง'!$A$1:$O$21"}</definedName>
    <definedName name="test" hidden="1">{"'ตัวอย่าง'!$A$1:$O$21"}</definedName>
    <definedName name="test77" localSheetId="16" hidden="1">{"'ตัวอย่าง'!$A$1:$O$21"}</definedName>
    <definedName name="test77" hidden="1">{"'ตัวอย่าง'!$A$1:$O$21"}</definedName>
    <definedName name="test8888" localSheetId="16" hidden="1">{"'ตัวอย่าง'!$A$1:$O$21"}</definedName>
    <definedName name="test8888" hidden="1">{"'ตัวอย่าง'!$A$1:$O$21"}</definedName>
    <definedName name="testa" localSheetId="16" hidden="1">{"'ตัวอย่าง'!$A$1:$O$21"}</definedName>
    <definedName name="testa" hidden="1">{"'ตัวอย่าง'!$A$1:$O$21"}</definedName>
    <definedName name="TextRefCopyRangeCount" hidden="1">5</definedName>
    <definedName name="THCP2" localSheetId="16" hidden="1">{"'Sheet1'!$L$16"}</definedName>
    <definedName name="THCP2" hidden="1">{"'Sheet1'!$L$16"}</definedName>
    <definedName name="THCPCTD" localSheetId="16" hidden="1">{"'Sheet1'!$L$16"}</definedName>
    <definedName name="THCPCTD" hidden="1">{"'Sheet1'!$L$16"}</definedName>
    <definedName name="tram" hidden="1">#REF!</definedName>
    <definedName name="tt" localSheetId="16" hidden="1">{"'connew '!$C$40:$C$60"}</definedName>
    <definedName name="tt" hidden="1">{"'connew '!$C$40:$C$60"}</definedName>
    <definedName name="TTE" localSheetId="16" hidden="1">{"'ตัวอย่าง'!$A$1:$O$21"}</definedName>
    <definedName name="TTE" hidden="1">{"'ตัวอย่าง'!$A$1:$O$21"}</definedName>
    <definedName name="TTSC" localSheetId="16" hidden="1">{"'Sheet1'!$L$16"}</definedName>
    <definedName name="TTSC" hidden="1">{"'Sheet1'!$L$16"}</definedName>
    <definedName name="TU" localSheetId="16" hidden="1">{#N/A,#N/A,FALSE,"4_TOTAL";#N/A,#N/A,FALSE,"3_2TOTAL";#N/A,#N/A,FALSE,"5_INCOME";#N/A,#N/A,FALSE,"2_2LEV";#N/A,#N/A,FALSE,"2_2LEVYTD";#N/A,#N/A,FALSE,"BALANCE";#N/A,#N/A,FALSE,"CASHFLOW";#N/A,#N/A,FALSE,"PRODUCT";#N/A,#N/A,FALSE,"SALES";#N/A,#N/A,FALSE,"AGING"}</definedName>
    <definedName name="TU" hidden="1">{#N/A,#N/A,FALSE,"4_TOTAL";#N/A,#N/A,FALSE,"3_2TOTAL";#N/A,#N/A,FALSE,"5_INCOME";#N/A,#N/A,FALSE,"2_2LEV";#N/A,#N/A,FALSE,"2_2LEVYTD";#N/A,#N/A,FALSE,"BALANCE";#N/A,#N/A,FALSE,"CASHFLOW";#N/A,#N/A,FALSE,"PRODUCT";#N/A,#N/A,FALSE,"SALES";#N/A,#N/A,FALSE,"AGING"}</definedName>
    <definedName name="WACC">'Cover Page'!$F$23</definedName>
    <definedName name="WEE" localSheetId="16" hidden="1">{"'ตัวอย่าง'!$A$1:$O$21"}</definedName>
    <definedName name="WEE" hidden="1">{"'ตัวอย่าง'!$A$1:$O$21"}</definedName>
    <definedName name="wqwqw" localSheetId="16" hidden="1">{"'ตัวอย่าง'!$A$1:$O$21"}</definedName>
    <definedName name="wqwqw" hidden="1">{"'ตัวอย่าง'!$A$1:$O$21"}</definedName>
    <definedName name="wrn.1_lev." localSheetId="16" hidden="1">{"level1",#N/A,FALSE,"1_LEV";"LEVEL1",#N/A,FALSE,"1_LEV"}</definedName>
    <definedName name="wrn.1_lev." hidden="1">{"level1",#N/A,FALSE,"1_LEV";"LEVEL1",#N/A,FALSE,"1_LEV"}</definedName>
    <definedName name="wrn.1_levbt." localSheetId="16" hidden="1">{"lev1bt",#N/A,FALSE,"1_LEVB-T"}</definedName>
    <definedName name="wrn.1_levbt." hidden="1">{"lev1bt",#N/A,FALSE,"1_LEVB-T"}</definedName>
    <definedName name="wrn.2_levmon." localSheetId="16" hidden="1">{"lev2mon",#N/A,FALSE,"2_levmon"}</definedName>
    <definedName name="wrn.2_levmon." hidden="1">{"lev2mon",#N/A,FALSE,"2_levmon"}</definedName>
    <definedName name="wrn.2_levmonbt." localSheetId="16" hidden="1">{"lev2monbt",#N/A,FALSE,"2_levmonB-T"}</definedName>
    <definedName name="wrn.2_levmonbt." hidden="1">{"lev2monbt",#N/A,FALSE,"2_levmonB-T"}</definedName>
    <definedName name="wrn.2_levytd." localSheetId="16" hidden="1">{"lev2ytd",#N/A,FALSE,"2_LEVYTD"}</definedName>
    <definedName name="wrn.2_levytd." hidden="1">{"lev2ytd",#N/A,FALSE,"2_LEVYTD"}</definedName>
    <definedName name="wrn.2_levytdbt." localSheetId="16" hidden="1">{"lev2tytbt",#N/A,FALSE,"2_LEVYTDB-T"}</definedName>
    <definedName name="wrn.2_levytdbt." hidden="1">{"lev2tytbt",#N/A,FALSE,"2_LEVYTDB-T"}</definedName>
    <definedName name="wrn.448k." localSheetId="16" hidden="1">{"Profit",#N/A,FALSE,"448k";"Capital",#N/A,FALSE,"448k"}</definedName>
    <definedName name="wrn.448k." hidden="1">{"Profit",#N/A,FALSE,"448k";"Capital",#N/A,FALSE,"448k"}</definedName>
    <definedName name="wrn.4500_4P." localSheetId="16" hidden="1">{"Profit",#N/A,FALSE,"4500(4P)";"Capital",#N/A,FALSE,"4500(4P)"}</definedName>
    <definedName name="wrn.4500_4P." hidden="1">{"Profit",#N/A,FALSE,"4500(4P)";"Capital",#N/A,FALSE,"4500(4P)"}</definedName>
    <definedName name="wrn.4500_6P." localSheetId="16" hidden="1">{"Profit",#N/A,FALSE,"4500(6P)";"Capital",#N/A,FALSE,"4500(6P)"}</definedName>
    <definedName name="wrn.4500_6P." hidden="1">{"Profit",#N/A,FALSE,"4500(6P)";"Capital",#N/A,FALSE,"4500(6P)"}</definedName>
    <definedName name="wrn.4500_8P." localSheetId="16" hidden="1">{"Profit",#N/A,FALSE,"4500(8P)";"Capital",#N/A,FALSE,"4500(8P)"}</definedName>
    <definedName name="wrn.4500_8P." hidden="1">{"Profit",#N/A,FALSE,"4500(8P)";"Capital",#N/A,FALSE,"4500(8P)"}</definedName>
    <definedName name="wrn.All." localSheetId="16"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ll." hidden="1">{"Page1",#N/A,FALSE,"out_total";"Page2",#N/A,FALSE,"out_total";"Page3",#N/A,FALSE,"out_total";"Page4",#N/A,FALSE,"out_total";"Page5",#N/A,FALSE,"out_total";"Profit",#N/A,FALSE,"cisco7000";"Capital",#N/A,FALSE,"cisco7000";"Profit",#N/A,FALSE,"ciscoags+";"Capital",#N/A,FALSE,"ciscoags+";"Profit",#N/A,FALSE,"Cisco 4500p";"Capital",#N/A,FALSE,"Cisco 4500p";"Profit",#N/A,FALSE,"cisco2501";"Capital",#N/A,FALSE,"cisco2501";"Profit",#N/A,FALSE,"Cisco4500";"Capital",#N/A,FALSE,"Cisco4500";"Profit",#N/A,FALSE,"4500(12)";"Capital",#N/A,FALSE,"4500(12)";"Profit",#N/A,FALSE,"Cisco4000";"Capital",#N/A,FALSE,"Cisco4000";"Profit",#N/A,FALSE,"4500(8P)";"Capital",#N/A,FALSE,"4500(8P)";"Profit",#N/A,FALSE,"4500(6P)";"Capital",#N/A,FALSE,"4500(6P)";"Profit",#N/A,FALSE,"448k";"Capital",#N/A,FALSE,"448k";"Profit",#N/A,FALSE,"Cisco7000a";"Capital",#N/A,FALSE,"Cisco7000a";"Profit",#N/A,FALSE,"Cisco2501a";"Capital",#N/A,FALSE,"Cisco2501a";"Profit",#N/A,FALSE,"Cisco2514";"Profit",#N/A,FALSE,"extn_2501";"Capital",#N/A,FALSE,"extn_2501";"Profit",#N/A,FALSE,"4500(4P)";"Capital",#N/A,FALSE,"4500(4P)"}</definedName>
    <definedName name="wrn.ASSDEPART2." localSheetId="16"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BALANCE." localSheetId="16" hidden="1">{"balance",#N/A,FALSE,"BALANCE"}</definedName>
    <definedName name="wrn.BALANCE." hidden="1">{"balance",#N/A,FALSE,"BALANCE"}</definedName>
    <definedName name="wrn.BidReview." localSheetId="16"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BidReview." hidden="1">{#N/A,#N/A,FALSE,"Assumptions";"finsumm",#N/A,FALSE,"Finsumm";"FBGroup",#N/A,FALSE,"FB - BT Group";"FBSync",#N/A,FALSE,"FB - Syncordia Total ";"PLCustom",#N/A,FALSE,"P&amp;L summary";"PriSumm",#N/A,FALSE,"Price Summary";"HoursPay",#N/A,FALSE,"pay_non pay input";"ResourceNonPay",#N/A,FALSE,"pay_non pay input";"CapitalInput",#N/A,FALSE,"Equipt Input";"CurrEqptInput",#N/A,FALSE,"Equipt Input";"TotMtce",#N/A,FALSE,"Equipt Input";"TPNwks",#N/A,FALSE,"Nwks Input";"BTNwks",#N/A,FALSE,"Nwks Input";"Miscellaneous",#N/A,FALSE,"Misc."}</definedName>
    <definedName name="wrn.Capital." localSheetId="16" hidden="1">{"CapitalInput",#N/A,FALSE,"Equipt Input";"Capital Profile",#N/A,FALSE,"Equipt Input"}</definedName>
    <definedName name="wrn.Capital." hidden="1">{"CapitalInput",#N/A,FALSE,"Equipt Input";"Capital Profile",#N/A,FALSE,"Equipt Input"}</definedName>
    <definedName name="wrn.cashflow." localSheetId="16" hidden="1">{"cashflow",#N/A,FALSE,"CASHFLOW "}</definedName>
    <definedName name="wrn.cashflow." hidden="1">{"cashflow",#N/A,FALSE,"CASHFLOW "}</definedName>
    <definedName name="wrn.chi._.tiÆt." localSheetId="16" hidden="1">{#N/A,#N/A,FALSE,"Chi tiÆt"}</definedName>
    <definedName name="wrn.chi._.tiÆt." hidden="1">{#N/A,#N/A,FALSE,"Chi tiÆt"}</definedName>
    <definedName name="wrn.cisco2501." localSheetId="16" hidden="1">{"Profit",#N/A,FALSE,"cisco2501";"Capital",#N/A,FALSE,"cisco2501"}</definedName>
    <definedName name="wrn.cisco2501." hidden="1">{"Profit",#N/A,FALSE,"cisco2501";"Capital",#N/A,FALSE,"cisco2501"}</definedName>
    <definedName name="wrn.cisco2501a." localSheetId="16" hidden="1">{"Profit",#N/A,FALSE,"Cisco2501a";"Capital",#N/A,FALSE,"Cisco2501a"}</definedName>
    <definedName name="wrn.cisco2501a." hidden="1">{"Profit",#N/A,FALSE,"Cisco2501a";"Capital",#N/A,FALSE,"Cisco2501a"}</definedName>
    <definedName name="wrn.cisco2514." localSheetId="16" hidden="1">{"Profit",#N/A,FALSE,"Cisco2514";"Capital",#N/A,FALSE,"Cisco2514"}</definedName>
    <definedName name="wrn.cisco2514." hidden="1">{"Profit",#N/A,FALSE,"Cisco2514";"Capital",#N/A,FALSE,"Cisco2514"}</definedName>
    <definedName name="wrn.cisco4000." localSheetId="16" hidden="1">{"Profit",#N/A,FALSE,"4500(12)";"Capital",#N/A,FALSE,"4500(12)";"Profit",#N/A,FALSE,"Cisco4000";"Capital",#N/A,FALSE,"Cisco4000"}</definedName>
    <definedName name="wrn.cisco4000." hidden="1">{"Profit",#N/A,FALSE,"4500(12)";"Capital",#N/A,FALSE,"4500(12)";"Profit",#N/A,FALSE,"Cisco4000";"Capital",#N/A,FALSE,"Cisco4000"}</definedName>
    <definedName name="wrn.cisco4500." localSheetId="16" hidden="1">{"Profit",#N/A,FALSE,"Cisco4500";"Capital",#N/A,FALSE,"Cisco4500"}</definedName>
    <definedName name="wrn.cisco4500." hidden="1">{"Profit",#N/A,FALSE,"Cisco4500";"Capital",#N/A,FALSE,"Cisco4500"}</definedName>
    <definedName name="wrn.Cisco4500p." localSheetId="16" hidden="1">{"Profit",#N/A,FALSE,"Cisco 4500p";"Capital",#N/A,FALSE,"Cisco 4500p"}</definedName>
    <definedName name="wrn.Cisco4500p." hidden="1">{"Profit",#N/A,FALSE,"Cisco 4500p";"Capital",#N/A,FALSE,"Cisco 4500p"}</definedName>
    <definedName name="wrn.cisco7000a." localSheetId="16" hidden="1">{"Profit",#N/A,FALSE,"Cisco7000a";"Capital",#N/A,FALSE,"Cisco7000a"}</definedName>
    <definedName name="wrn.cisco7000a." hidden="1">{"Profit",#N/A,FALSE,"Cisco7000a";"Capital",#N/A,FALSE,"Cisco7000a"}</definedName>
    <definedName name="wrn.CiscoAGS." localSheetId="16" hidden="1">{"Profit",#N/A,FALSE,"ciscoags+";"Capital",#N/A,FALSE,"ciscoags+"}</definedName>
    <definedName name="wrn.CiscoAGS." hidden="1">{"Profit",#N/A,FALSE,"ciscoags+";"Capital",#N/A,FALSE,"ciscoags+"}</definedName>
    <definedName name="wrn.CustomPrice." localSheetId="16" hidden="1">{"PLCustom",#N/A,FALSE,"P&amp;L summary"}</definedName>
    <definedName name="wrn.CustomPrice." hidden="1">{"PLCustom",#N/A,FALSE,"P&amp;L summary"}</definedName>
    <definedName name="wrn.dep12." localSheetId="16" hidden="1">{#N/A,#N/A,FALSE,"PM1";#N/A,#N/A,FALSE,"PM2";#N/A,#N/A,FALSE,"PM3";#N/A,#N/A,FALSE,"PM4";#N/A,#N/A,FALSE,"PM5";#N/A,#N/A,FALSE,"PM6";#N/A,#N/A,FALSE,"CM1"}</definedName>
    <definedName name="wrn.dep12." hidden="1">{#N/A,#N/A,FALSE,"PM1";#N/A,#N/A,FALSE,"PM2";#N/A,#N/A,FALSE,"PM3";#N/A,#N/A,FALSE,"PM4";#N/A,#N/A,FALSE,"PM5";#N/A,#N/A,FALSE,"PM6";#N/A,#N/A,FALSE,"CM1"}</definedName>
    <definedName name="wrn.Depn." localSheetId="16" hidden="1">{"Depn",#N/A,TRUE,"Equipt Input"}</definedName>
    <definedName name="wrn.Depn." hidden="1">{"Depn",#N/A,TRUE,"Equipt Input"}</definedName>
    <definedName name="wrn.extn_2501." localSheetId="16" hidden="1">{"Profit",#N/A,FALSE,"extn_2501";"Capital",#N/A,FALSE,"extn_2501"}</definedName>
    <definedName name="wrn.extn_2501." hidden="1">{"Profit",#N/A,FALSE,"extn_2501";"Capital",#N/A,FALSE,"extn_2501"}</definedName>
    <definedName name="wrn.Financials." localSheetId="16" hidden="1">{#N/A,#N/A,FALSE,"Assumptions";"finsumm",#N/A,FALSE,"Finsumm";"FBGroup",#N/A,FALSE,"FB - BT Group";"BSGroup",#N/A,FALSE,"FB - BT Group";"FBSync",#N/A,FALSE,"FB - Syncordia Total ";"FBSyncEx3P",#N/A,FALSE,"FB - Sync excl. 3rd party"}</definedName>
    <definedName name="wrn.Financials." hidden="1">{#N/A,#N/A,FALSE,"Assumptions";"finsumm",#N/A,FALSE,"Finsumm";"FBGroup",#N/A,FALSE,"FB - BT Group";"BSGroup",#N/A,FALSE,"FB - BT Group";"FBSync",#N/A,FALSE,"FB - Syncordia Total ";"FBSyncEx3P",#N/A,FALSE,"FB - Sync excl. 3rd party"}</definedName>
    <definedName name="wrn.finsummary." localSheetId="16" hidden="1">{"finsumm",#N/A,FALSE,"Finsumm";"graph",#N/A,FALSE,"Finsumm";"costgraph",#N/A,FALSE,"Finsumm";"costbreakdown",#N/A,FALSE,"Finsumm"}</definedName>
    <definedName name="wrn.finsummary." hidden="1">{"finsumm",#N/A,FALSE,"Finsumm";"graph",#N/A,FALSE,"Finsumm";"costgraph",#N/A,FALSE,"Finsumm";"costbreakdown",#N/A,FALSE,"Finsumm"}</definedName>
    <definedName name="wrn.FIX." localSheetId="16" hidden="1">{#N/A,#N/A,FALSE,"TL";#N/A,#N/A,FALSE,"KK";#N/A,#N/A,FALSE,"TS";#N/A,#N/A,FALSE,"KW";#N/A,#N/A,FALSE,"LP";#N/A,#N/A,FALSE,"DC"}</definedName>
    <definedName name="wrn.FIX." hidden="1">{#N/A,#N/A,FALSE,"TL";#N/A,#N/A,FALSE,"KK";#N/A,#N/A,FALSE,"TS";#N/A,#N/A,FALSE,"KW";#N/A,#N/A,FALSE,"LP";#N/A,#N/A,FALSE,"DC"}</definedName>
    <definedName name="wrn.FURDEPART2." localSheetId="16" hidden="1">{"FUR5CC",#N/A,FALSE,"PM5CC_95";"FUR5DB",#N/A,FALSE,"PM5DB_95";"FUR5WB",#N/A,FALSE,"PM5WB_95";"FUR5WTK",#N/A,FALSE,"PM5WTK_9";"FURPM6B1",#N/A,FALSE,"PM6B1_95";"FUR6OT",#N/A,FALSE,"PM6OT_95";"FUR6EM",#N/A,FALSE,"PM6BEM_9";"FUR6AC",#N/A,FALSE,"PM6BAC_9";"FURC1AC",#N/A,FALSE,"C1AC_95";"FURC11CA",#N/A,FALSE,"C11CA_95";"FURC1EM",#N/A,FALSE,"C1EM_95"}</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hilight1." localSheetId="16" hidden="1">{"hilight1",#N/A,FALSE,"HILIGHT1"}</definedName>
    <definedName name="wrn.hilight1." hidden="1">{"hilight1",#N/A,FALSE,"HILIGHT1"}</definedName>
    <definedName name="wrn.hilight2." localSheetId="16" hidden="1">{"hilight2",#N/A,FALSE,"HILIGHT2"}</definedName>
    <definedName name="wrn.hilight2." hidden="1">{"hilight2",#N/A,FALSE,"HILIGHT2"}</definedName>
    <definedName name="wrn.hilight3." localSheetId="16" hidden="1">{"hilight3",#N/A,FALSE,"HILIGHT3"}</definedName>
    <definedName name="wrn.hilight3." hidden="1">{"hilight3",#N/A,FALSE,"HILIGHT3"}</definedName>
    <definedName name="wrn.income." localSheetId="16" hidden="1">{"income",#N/A,FALSE,"INCOME"}</definedName>
    <definedName name="wrn.income." hidden="1">{"income",#N/A,FALSE,"INCOME"}</definedName>
    <definedName name="wrn.index." localSheetId="16" hidden="1">{"index",#N/A,FALSE,"INDEX"}</definedName>
    <definedName name="wrn.index." hidden="1">{"index",#N/A,FALSE,"INDEX"}</definedName>
    <definedName name="wrn.Inputs." localSheetId="16" hidden="1">{#N/A,#N/A,TRUE,"Assumptions";"Inputs",#N/A,TRUE,"BASEINPUT";"HoursPay",#N/A,TRUE,"pay_non pay input";"ResourceNonPay",#N/A,TRUE,"pay_non pay input";"CapitalInput",#N/A,TRUE,"Equipt Input";"CurrEqptInput",#N/A,TRUE,"Equipt Input";"TPNwks",#N/A,TRUE,"Nwks Input";"BTNwks",#N/A,TRUE,"Nwks Input";"Miscellaneous",#N/A,TRUE,"Misc."}</definedName>
    <definedName name="wrn.Inputs." hidden="1">{#N/A,#N/A,TRUE,"Assumptions";"Inputs",#N/A,TRUE,"BASEINPUT";"HoursPay",#N/A,TRUE,"pay_non pay input";"ResourceNonPay",#N/A,TRUE,"pay_non pay input";"CapitalInput",#N/A,TRUE,"Equipt Input";"CurrEqptInput",#N/A,TRUE,"Equipt Input";"TPNwks",#N/A,TRUE,"Nwks Input";"BTNwks",#N/A,TRUE,"Nwks Input";"Miscellaneous",#N/A,TRUE,"Misc."}</definedName>
    <definedName name="wrn.MONTH._.YTD." localSheetId="16" hidden="1">{"month_a",#N/A,FALSE,"ACTUALS";"ytd_a",#N/A,FALSE,"ACTUALS"}</definedName>
    <definedName name="wrn.MONTH._.YTD." hidden="1">{"month_a",#N/A,FALSE,"ACTUALS";"ytd_a",#N/A,FALSE,"ACTUALS"}</definedName>
    <definedName name="wrn.MONTHLY." localSheetId="16" hidden="1">{#N/A,#N/A,FALSE,"4_TOTAL";#N/A,#N/A,FALSE,"3_2TOTAL";#N/A,#N/A,FALSE,"5_INCOME";#N/A,#N/A,FALSE,"2_2LEV";#N/A,#N/A,FALSE,"2_2LEVYTD";#N/A,#N/A,FALSE,"BALANCE";#N/A,#N/A,FALSE,"CASHFLOW";#N/A,#N/A,FALSE,"PRODUCT";#N/A,#N/A,FALSE,"SALES";#N/A,#N/A,FALSE,"AGING"}</definedName>
    <definedName name="wrn.MONTHLY." hidden="1">{#N/A,#N/A,FALSE,"4_TOTAL";#N/A,#N/A,FALSE,"3_2TOTAL";#N/A,#N/A,FALSE,"5_INCOME";#N/A,#N/A,FALSE,"2_2LEV";#N/A,#N/A,FALSE,"2_2LEVYTD";#N/A,#N/A,FALSE,"BALANCE";#N/A,#N/A,FALSE,"CASHFLOW";#N/A,#N/A,FALSE,"PRODUCT";#N/A,#N/A,FALSE,"SALES";#N/A,#N/A,FALSE,"AGING"}</definedName>
    <definedName name="wrn.NonPay." localSheetId="16" hidden="1">{"ResourceNonPay",#N/A,FALSE,"pay_non pay input";"CapMaint",#N/A,FALSE,"Equipt Input";"CurrEqptProfile",#N/A,FALSE,"Equipt Input";"Curr Eqpt Mtce",#N/A,FALSE,"Equipt Input";"Miscellaneous",#N/A,FALSE,"Misc."}</definedName>
    <definedName name="wrn.NonPay." hidden="1">{"ResourceNonPay",#N/A,FALSE,"pay_non pay input";"CapMaint",#N/A,FALSE,"Equipt Input";"CurrEqptProfile",#N/A,FALSE,"Equipt Input";"Curr Eqpt Mtce",#N/A,FALSE,"Equipt Input";"Miscellaneous",#N/A,FALSE,"Misc."}</definedName>
    <definedName name="wrn.Notes." localSheetId="16" hidden="1">{#N/A,#N/A,FALSE,"Assumptions";"Basedata",#N/A,FALSE,"BASEINPUT";"Checklist",#N/A,FALSE,"BASEINPUT"}</definedName>
    <definedName name="wrn.Notes." hidden="1">{#N/A,#N/A,FALSE,"Assumptions";"Basedata",#N/A,FALSE,"BASEINPUT";"Checklist",#N/A,FALSE,"BASEINPUT"}</definedName>
    <definedName name="wrn.PMDEPAER2." localSheetId="16"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MDEPAER2." hidden="1">{"PM5CC",#N/A,FALSE,"PM5CC_95";"PM5DB",#N/A,FALSE,"PM5DB_95";"PM5WB",#N/A,FALSE,"PM5WB_95";"PM5WTK",#N/A,FALSE,"PM5WTK_9";"PM6B1",#N/A,FALSE,"PM6B1_95";"PM6OT",#N/A,FALSE,"PM6OT_95";"PM6BEM",#N/A,FALSE,"PM6BEM_9";"PM6AC",#N/A,FALSE,"PM6BAC_9";"PMC1AC",#N/A,FALSE,"C1AC_95";"PMC11CA",#N/A,FALSE,"C11CA_95";"PMC1EM",#N/A,FALSE,"C1EM_95";"PMDEPART2",#N/A,FALSE,"DEPART2";"PMCM1",#N/A,FALSE,"CM1_Q1"}</definedName>
    <definedName name="wrn.Price." localSheetId="16"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Price." hidden="1">{"PLCustom",#N/A,TRUE,"P&amp;L summary";"PriSumm",#N/A,TRUE,"Price Summary";"HoursPay",#N/A,TRUE,"pay_non pay input";"ResourceNonPay",#N/A,TRUE,"pay_non pay input";"Capital Profile",#N/A,TRUE,"Equipt Input";"CurrEqptProfile",#N/A,TRUE,"Equipt Input";"TotMtce",#N/A,TRUE,"Equipt Input";"TPNwks",#N/A,TRUE,"Nwks Input";"BTNwks",#N/A,TRUE,"Nwks Input";"Miscellaneous",#N/A,TRUE,"Misc."}</definedName>
    <definedName name="wrn.REPORT_EST." localSheetId="16" hidden="1">{"PRINT_EST",#N/A,FALSE,"ESTMON"}</definedName>
    <definedName name="wrn.REPORT_EST." hidden="1">{"PRINT_EST",#N/A,FALSE,"ESTMON"}</definedName>
    <definedName name="wrn.rev_sale._.report." localSheetId="16" hidden="1">{"revsale",#N/A,FALSE,"REV-ยุพดี"}</definedName>
    <definedName name="wrn.rev_sale._.report." hidden="1">{"revsale",#N/A,FALSE,"REV-ยุพดี"}</definedName>
    <definedName name="wrn.revable." localSheetId="16" hidden="1">{"revable",#N/A,FALSE,"REVABLE"}</definedName>
    <definedName name="wrn.revable." hidden="1">{"revable",#N/A,FALSE,"REVABLE"}</definedName>
    <definedName name="wrn.RLDEPART2."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RLDEPART2."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wrn.sales._.report." localSheetId="16" hidden="1">{"sales",#N/A,FALSE,"SALES"}</definedName>
    <definedName name="wrn.sales._.report." hidden="1">{"sales",#N/A,FALSE,"SALES"}</definedName>
    <definedName name="wrn.SOCIEDAD." localSheetId="16" hidden="1">{#N/A,#N/A,FALSE,"SYSOC";#N/A,#N/A,FALSE,"RESU-GESTION";#N/A,#N/A,FALSE,"EVOL-MNA";#N/A,#N/A,FALSE,"VTAS-ANALI";#N/A,#N/A,FALSE,"ANALI-GSFIJOS";#N/A,#N/A,FALSE,"DETA-RUBROS";#N/A,#N/A,FALSE,"ANALI-CNF";#N/A,#N/A,FALSE,"BILAN";#N/A,#N/A,FALSE,"TAB_FIN";#N/A,#N/A,FALSE,"IND_ECO"}</definedName>
    <definedName name="wrn.SOCIEDAD." hidden="1">{#N/A,#N/A,FALSE,"SYSOC";#N/A,#N/A,FALSE,"RESU-GESTION";#N/A,#N/A,FALSE,"EVOL-MNA";#N/A,#N/A,FALSE,"VTAS-ANALI";#N/A,#N/A,FALSE,"ANALI-GSFIJOS";#N/A,#N/A,FALSE,"DETA-RUBROS";#N/A,#N/A,FALSE,"ANALI-CNF";#N/A,#N/A,FALSE,"BILAN";#N/A,#N/A,FALSE,"TAB_FIN";#N/A,#N/A,FALSE,"IND_ECO"}</definedName>
    <definedName name="wrn.Validation._.Report." localSheetId="16"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Validation._.Report." hidden="1">{#N/A,#N/A,FALSE,"Capacity";#N/A,#N/A,FALSE,"TAAdjmts";#N/A,#N/A,FALSE,"MatlBal";#N/A,#N/A,FALSE,"YldRatio";#N/A,#N/A,FALSE,"EEICalc";#N/A,#N/A,FALSE,"YIRCalc";#N/A,#N/A,FALSE,"Prodn";#N/A,#N/A,FALSE,"OtherProducts";#N/A,#N/A,FALSE,"Quality";#N/A,#N/A,FALSE,"EnergyCheck";#N/A,#N/A,FALSE,"EnergyCost";#N/A,#N/A,FALSE,"Personnel";#N/A,#N/A,FALSE,"Pricing";#N/A,#N/A,FALSE,"MiscCalcs";#N/A,#N/A,FALSE,"OPEX";#N/A,#N/A,FALSE,"Margin";#N/A,#N/A,FALSE,"ReplVal"}</definedName>
    <definedName name="WRN2.NONPAY" localSheetId="16" hidden="1">{"ResourceNonPay",#N/A,FALSE,"pay_non pay input";"CapMaint",#N/A,FALSE,"Equipt Input";"CurrEqptProfile",#N/A,FALSE,"Equipt Input";"Curr Eqpt Mtce",#N/A,FALSE,"Equipt Input";"Miscellaneous",#N/A,FALSE,"Misc."}</definedName>
    <definedName name="WRN2.NONPAY" hidden="1">{"ResourceNonPay",#N/A,FALSE,"pay_non pay input";"CapMaint",#N/A,FALSE,"Equipt Input";"CurrEqptProfile",#N/A,FALSE,"Equipt Input";"Curr Eqpt Mtce",#N/A,FALSE,"Equipt Input";"Miscellaneous",#N/A,FALSE,"Misc."}</definedName>
    <definedName name="ww" localSheetId="16" hidden="1">{#N/A,#N/A,FALSE,"4_TOTAL";#N/A,#N/A,FALSE,"3_2TOTAL";#N/A,#N/A,FALSE,"5_INCOME";#N/A,#N/A,FALSE,"2_2LEV";#N/A,#N/A,FALSE,"2_2LEVYTD";#N/A,#N/A,FALSE,"BALANCE";#N/A,#N/A,FALSE,"CASHFLOW";#N/A,#N/A,FALSE,"PRODUCT";#N/A,#N/A,FALSE,"SALES";#N/A,#N/A,FALSE,"AGING"}</definedName>
    <definedName name="ww" hidden="1">{#N/A,#N/A,FALSE,"4_TOTAL";#N/A,#N/A,FALSE,"3_2TOTAL";#N/A,#N/A,FALSE,"5_INCOME";#N/A,#N/A,FALSE,"2_2LEV";#N/A,#N/A,FALSE,"2_2LEVYTD";#N/A,#N/A,FALSE,"BALANCE";#N/A,#N/A,FALSE,"CASHFLOW";#N/A,#N/A,FALSE,"PRODUCT";#N/A,#N/A,FALSE,"SALES";#N/A,#N/A,FALSE,"AGING"}</definedName>
    <definedName name="www" localSheetId="16" hidden="1">{"'ตัวอย่าง'!$A$1:$O$21"}</definedName>
    <definedName name="www" hidden="1">{"'ตัวอย่าง'!$A$1:$O$21"}</definedName>
    <definedName name="wwwewe" localSheetId="16" hidden="1">{"'ตัวอย่าง'!$A$1:$O$21"}</definedName>
    <definedName name="wwwewe" hidden="1">{"'ตัวอย่าง'!$A$1:$O$21"}</definedName>
    <definedName name="xdfgsg" localSheetId="16" hidden="1">{"Profit",#N/A,FALSE,"Cisco7000a";"Capital",#N/A,FALSE,"Cisco7000a"}</definedName>
    <definedName name="xdfgsg" hidden="1">{"Profit",#N/A,FALSE,"Cisco7000a";"Capital",#N/A,FALSE,"Cisco7000a"}</definedName>
    <definedName name="xx" hidden="1">#REF!</definedName>
    <definedName name="z" localSheetId="16" hidden="1">{"'ตัวอย่าง'!$A$1:$O$21"}</definedName>
    <definedName name="z" hidden="1">{"'ตัวอย่าง'!$A$1:$O$21"}</definedName>
    <definedName name="zz" localSheetId="16" hidden="1">{"cashflow",#N/A,FALSE,"CASHFLOW "}</definedName>
    <definedName name="zz" hidden="1">{"cashflow",#N/A,FALSE,"CASHFLOW "}</definedName>
    <definedName name="เม.ย" localSheetId="16" hidden="1">{"'ตัวอย่าง'!$A$1:$O$21"}</definedName>
    <definedName name="เม.ย" hidden="1">{"'ตัวอย่าง'!$A$1:$O$21"}</definedName>
    <definedName name="เมษายน" localSheetId="16" hidden="1">{"'ตัวอย่าง'!$A$1:$O$21"}</definedName>
    <definedName name="เมษายน" hidden="1">{"'ตัวอย่าง'!$A$1:$O$21"}</definedName>
    <definedName name="เมษายน๑" localSheetId="16" hidden="1">{"'ตัวอย่าง'!$A$1:$O$21"}</definedName>
    <definedName name="เมษายน๑" hidden="1">{"'ตัวอย่าง'!$A$1:$O$21"}</definedName>
    <definedName name="ก" localSheetId="16" hidden="1">{"index",#N/A,FALSE,"INDEX"}</definedName>
    <definedName name="ก" hidden="1">{"index",#N/A,FALSE,"INDEX"}</definedName>
    <definedName name="กกกกกก" localSheetId="16" hidden="1">{"PRINT_EST",#N/A,FALSE,"ESTMON"}</definedName>
    <definedName name="กกกกกก" hidden="1">{"PRINT_EST",#N/A,FALSE,"ESTMON"}</definedName>
    <definedName name="กดฟหกด" localSheetId="16" hidden="1">{"'ตัวอย่าง'!$A$1:$O$21"}</definedName>
    <definedName name="กดฟหกด" hidden="1">{"'ตัวอย่าง'!$A$1:$O$21"}</definedName>
    <definedName name="ชัยเจริญมารีน" localSheetId="16" hidden="1">{#N/A,#N/A,FALSE,"4_TOTAL";#N/A,#N/A,FALSE,"3_2TOTAL";#N/A,#N/A,FALSE,"5_INCOME";#N/A,#N/A,FALSE,"2_2LEV";#N/A,#N/A,FALSE,"2_2LEVYTD";#N/A,#N/A,FALSE,"BALANCE";#N/A,#N/A,FALSE,"CASHFLOW";#N/A,#N/A,FALSE,"PRODUCT";#N/A,#N/A,FALSE,"SALES";#N/A,#N/A,FALSE,"AGING"}</definedName>
    <definedName name="ชัยเจริญมารีน" hidden="1">{#N/A,#N/A,FALSE,"4_TOTAL";#N/A,#N/A,FALSE,"3_2TOTAL";#N/A,#N/A,FALSE,"5_INCOME";#N/A,#N/A,FALSE,"2_2LEV";#N/A,#N/A,FALSE,"2_2LEVYTD";#N/A,#N/A,FALSE,"BALANCE";#N/A,#N/A,FALSE,"CASHFLOW";#N/A,#N/A,FALSE,"PRODUCT";#N/A,#N/A,FALSE,"SALES";#N/A,#N/A,FALSE,"AGING"}</definedName>
    <definedName name="ฏฏฏ" localSheetId="16" hidden="1">{#N/A,#N/A,FALSE,"4_TOTAL";#N/A,#N/A,FALSE,"3_2TOTAL";#N/A,#N/A,FALSE,"5_INCOME";#N/A,#N/A,FALSE,"2_2LEV";#N/A,#N/A,FALSE,"2_2LEVYTD";#N/A,#N/A,FALSE,"BALANCE";#N/A,#N/A,FALSE,"CASHFLOW";#N/A,#N/A,FALSE,"PRODUCT";#N/A,#N/A,FALSE,"SALES";#N/A,#N/A,FALSE,"AGING"}</definedName>
    <definedName name="ฏฏฏ" hidden="1">{#N/A,#N/A,FALSE,"4_TOTAL";#N/A,#N/A,FALSE,"3_2TOTAL";#N/A,#N/A,FALSE,"5_INCOME";#N/A,#N/A,FALSE,"2_2LEV";#N/A,#N/A,FALSE,"2_2LEVYTD";#N/A,#N/A,FALSE,"BALANCE";#N/A,#N/A,FALSE,"CASHFLOW";#N/A,#N/A,FALSE,"PRODUCT";#N/A,#N/A,FALSE,"SALES";#N/A,#N/A,FALSE,"AGING"}</definedName>
    <definedName name="ด" localSheetId="16" hidden="1">{"'ตัวอย่าง'!$A$1:$O$21"}</definedName>
    <definedName name="ด" hidden="1">{"'ตัวอย่าง'!$A$1:$O$21"}</definedName>
    <definedName name="ดา" localSheetId="16" hidden="1">{"'ตัวอย่าง'!$A$1:$O$21"}</definedName>
    <definedName name="ดา" hidden="1">{"'ตัวอย่าง'!$A$1:$O$21"}</definedName>
    <definedName name="ดารา" localSheetId="16" hidden="1">{"'ตัวอย่าง'!$A$1:$O$21"}</definedName>
    <definedName name="ดารา" hidden="1">{"'ตัวอย่าง'!$A$1:$O$21"}</definedName>
    <definedName name="ปั๊มดูดน้ำมันเก่าเข้า" localSheetId="16" hidden="1">{"'ตัวอย่าง'!$A$1:$O$21"}</definedName>
    <definedName name="ปั๊มดูดน้ำมันเก่าเข้า" hidden="1">{"'ตัวอย่าง'!$A$1:$O$21"}</definedName>
    <definedName name="ปั๊มน้ำท้าย" localSheetId="16" hidden="1">{"'ตัวอย่าง'!$A$1:$O$21"}</definedName>
    <definedName name="ปั๊มน้ำท้าย" hidden="1">{"'ตัวอย่าง'!$A$1:$O$21"}</definedName>
    <definedName name="ปืน" localSheetId="16" hidden="1">{"'ตัวอย่าง'!$A$1:$O$21"}</definedName>
    <definedName name="ปืน" hidden="1">{"'ตัวอย่าง'!$A$1:$O$21"}</definedName>
    <definedName name="พ" localSheetId="16" hidden="1">{"'ตัวอย่าง'!$A$1:$O$21"}</definedName>
    <definedName name="พ" hidden="1">{"'ตัวอย่าง'!$A$1:$O$21"}</definedName>
    <definedName name="พ.ค." localSheetId="16" hidden="1">{"'ตัวอย่าง'!$A$1:$O$21"}</definedName>
    <definedName name="พ.ค." hidden="1">{"'ตัวอย่าง'!$A$1:$O$21"}</definedName>
    <definedName name="พด" localSheetId="16" hidden="1">{"'ตัวอย่าง'!$A$1:$O$21"}</definedName>
    <definedName name="พด" hidden="1">{"'ตัวอย่าง'!$A$1:$O$21"}</definedName>
    <definedName name="พฤษภาคม" localSheetId="16" hidden="1">{"'ตัวอย่าง'!$A$1:$O$21"}</definedName>
    <definedName name="พฤษภาคม" hidden="1">{"'ตัวอย่าง'!$A$1:$O$21"}</definedName>
    <definedName name="ฟ" localSheetId="16" hidden="1">{"hilight2",#N/A,FALSE,"HILIGHT2"}</definedName>
    <definedName name="ฟ" hidden="1">{"hilight2",#N/A,FALSE,"HILIGHT2"}</definedName>
    <definedName name="ฟหด" localSheetId="16" hidden="1">{"'ตัวอย่าง'!$A$1:$O$21"}</definedName>
    <definedName name="ฟหด" hidden="1">{"'ตัวอย่าง'!$A$1:$O$21"}</definedName>
    <definedName name="ฟำ" localSheetId="16" hidden="1">{"'ตัวอย่าง'!$A$1:$O$21"}</definedName>
    <definedName name="ฟำ" hidden="1">{"'ตัวอย่าง'!$A$1:$O$21"}</definedName>
    <definedName name="ฟำดฟำ" localSheetId="16" hidden="1">{"'ตัวอย่าง'!$A$1:$O$21"}</definedName>
    <definedName name="ฟำดฟำ" hidden="1">{"'ตัวอย่าง'!$A$1:$O$21"}</definedName>
    <definedName name="ระบบโฟม" localSheetId="16" hidden="1">{"'ตัวอย่าง'!$A$1:$O$21"}</definedName>
    <definedName name="ระบบโฟม" hidden="1">{"'ตัวอย่าง'!$A$1:$O$21"}</definedName>
    <definedName name="ศูนย์พัฒนา" localSheetId="16"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ศูนย์พัฒนา" hidden="1">{"RL5CC",#N/A,FALSE,"PM5CC_95";"RL5DB",#N/A,FALSE,"PM5DB_95";"RL5WB",#N/A,FALSE,"PM5WB_95";"RL5WTK",#N/A,FALSE,"PM5WTK_9";"RL6B1",#N/A,FALSE,"PM6B1_95";"RL6OT",#N/A,FALSE,"PM6OT_95";"RL6EM",#N/A,FALSE,"PM6BEM_9";"RL6AC",#N/A,FALSE,"PM6BAC_9";"RLC1AC",#N/A,FALSE,"C1AC_95";"RLC11CA",#N/A,FALSE,"C11CA_95";"RLC1EM",#N/A,FALSE,"C1EM_95";"RLCM1",#N/A,FALSE,"CM1_Q1";"RLDEPART2",#N/A,FALSE,"DEPART2"}</definedName>
    <definedName name="ห" localSheetId="16" hidden="1">{"'ตัวอย่าง'!$A$1:$O$21"}</definedName>
    <definedName name="ห" hidden="1">{"'ตัวอย่าง'!$A$1:$O$21"}</definedName>
  </definedNames>
  <calcPr calcId="191029" calcMode="manual"/>
  <pivotCaches>
    <pivotCache cacheId="0" r:id="rId36"/>
  </pivotCaches>
  <extLst>
    <ext xmlns:x14="http://schemas.microsoft.com/office/spreadsheetml/2009/9/main" uri="{BBE1A952-AA13-448e-AADC-164F8A28A991}">
      <x14:slicerCaches>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63" l="1"/>
  <c r="D28" i="63"/>
  <c r="D27" i="63"/>
  <c r="D26" i="63"/>
  <c r="D25" i="63"/>
  <c r="D24" i="63"/>
  <c r="D23" i="63"/>
  <c r="D22" i="63"/>
  <c r="D21" i="63"/>
  <c r="D20" i="63"/>
  <c r="D19" i="63"/>
  <c r="D18" i="63"/>
  <c r="D17" i="63"/>
  <c r="D16" i="63"/>
  <c r="D15" i="63"/>
  <c r="D14" i="63"/>
  <c r="D13" i="63"/>
  <c r="D12" i="63"/>
  <c r="D11" i="63"/>
  <c r="D10" i="63"/>
  <c r="D9" i="63"/>
  <c r="D8" i="63"/>
  <c r="D7" i="63"/>
  <c r="D6" i="63"/>
  <c r="D5" i="63"/>
  <c r="D4" i="63"/>
  <c r="A5" i="63"/>
  <c r="A6" i="63" s="1"/>
  <c r="A7" i="63" s="1"/>
  <c r="A8" i="63" s="1"/>
  <c r="A9" i="63" s="1"/>
  <c r="A10" i="63" s="1"/>
  <c r="A11" i="63" s="1"/>
  <c r="A12" i="63" s="1"/>
  <c r="A13" i="63" s="1"/>
  <c r="A14" i="63" s="1"/>
  <c r="A15" i="63" s="1"/>
  <c r="A16" i="63" s="1"/>
  <c r="A17" i="63" s="1"/>
  <c r="A18" i="63" s="1"/>
  <c r="A19" i="63" s="1"/>
  <c r="A20" i="63" s="1"/>
  <c r="A21" i="63" s="1"/>
  <c r="A22" i="63" s="1"/>
  <c r="A23" i="63" s="1"/>
  <c r="A24" i="63" s="1"/>
  <c r="A25" i="63" s="1"/>
  <c r="A26" i="63" s="1"/>
  <c r="A27" i="63" s="1"/>
  <c r="A28" i="63" s="1"/>
  <c r="A29" i="63" s="1"/>
  <c r="C4" i="63" a="1"/>
  <c r="C4" i="63" s="1"/>
  <c r="B4" i="63" a="1"/>
  <c r="B4" i="63" s="1"/>
  <c r="B50" i="62"/>
  <c r="B49" i="62"/>
  <c r="B48" i="62"/>
  <c r="B47" i="62"/>
  <c r="B46" i="62"/>
  <c r="B45" i="62"/>
  <c r="B44" i="62"/>
  <c r="B43" i="62"/>
  <c r="B42" i="62"/>
  <c r="B41" i="62"/>
  <c r="B40" i="62"/>
  <c r="B39" i="62"/>
  <c r="B38" i="62"/>
  <c r="B37" i="62"/>
  <c r="B36" i="62"/>
  <c r="B35" i="62"/>
  <c r="B34" i="62"/>
  <c r="B33" i="62"/>
  <c r="B32" i="62"/>
  <c r="B31" i="62"/>
  <c r="B30" i="62"/>
  <c r="B29" i="62"/>
  <c r="B28" i="62"/>
  <c r="B27" i="62"/>
  <c r="B26" i="62"/>
  <c r="B25" i="62"/>
  <c r="B24" i="62"/>
  <c r="B23" i="62"/>
  <c r="B22" i="62"/>
  <c r="B21" i="62"/>
  <c r="B20" i="62"/>
  <c r="B19" i="62"/>
  <c r="B18" i="62"/>
  <c r="B17" i="62"/>
  <c r="B16" i="62"/>
  <c r="B15" i="62"/>
  <c r="B14" i="62"/>
  <c r="B13" i="62"/>
  <c r="B12" i="62"/>
  <c r="B11" i="62"/>
  <c r="B10" i="62"/>
  <c r="B9" i="62"/>
  <c r="B8" i="62"/>
  <c r="B7" i="62"/>
  <c r="B6" i="62"/>
  <c r="B5" i="62"/>
  <c r="B4" i="62"/>
  <c r="I12" i="54"/>
  <c r="I11" i="54" s="1"/>
  <c r="K1" i="31"/>
  <c r="C18" i="56" l="1"/>
  <c r="C31" i="56"/>
  <c r="C11" i="56"/>
  <c r="C12" i="56" l="1"/>
  <c r="C10" i="56"/>
  <c r="E1" i="31"/>
  <c r="C24" i="56"/>
  <c r="H5" i="56"/>
  <c r="H24" i="56" l="1"/>
  <c r="H23" i="56"/>
  <c r="H21" i="56"/>
  <c r="H22" i="56" s="1"/>
  <c r="C17" i="56"/>
  <c r="G55" i="55" l="1"/>
  <c r="G53" i="55"/>
  <c r="G52" i="55"/>
  <c r="G51" i="55"/>
  <c r="G50" i="55"/>
  <c r="G49" i="55"/>
  <c r="G48" i="55"/>
  <c r="G47" i="55"/>
  <c r="G46" i="55"/>
  <c r="G45" i="55"/>
  <c r="G44" i="55"/>
  <c r="G43" i="55"/>
  <c r="G42" i="55"/>
  <c r="G41" i="55"/>
  <c r="G40" i="55"/>
  <c r="G39" i="55"/>
  <c r="G38" i="55"/>
  <c r="G37" i="55"/>
  <c r="G36" i="55"/>
  <c r="G35" i="55"/>
  <c r="G34" i="55"/>
  <c r="G28" i="55"/>
  <c r="G27" i="55"/>
  <c r="G26" i="55"/>
  <c r="G25" i="55"/>
  <c r="G24" i="55"/>
  <c r="G23" i="55"/>
  <c r="G22" i="55"/>
  <c r="G21" i="55"/>
  <c r="G20" i="55"/>
  <c r="G19" i="55"/>
  <c r="G18" i="55"/>
  <c r="G17" i="55"/>
  <c r="G16" i="55"/>
  <c r="G15" i="55"/>
  <c r="G13" i="55"/>
  <c r="G12" i="55"/>
  <c r="G11" i="55"/>
  <c r="G10" i="55"/>
  <c r="G9" i="55"/>
  <c r="G8" i="55"/>
  <c r="G7" i="55"/>
  <c r="G5" i="55"/>
  <c r="H12" i="54" l="1"/>
  <c r="H11" i="54" s="1"/>
  <c r="L12" i="54"/>
  <c r="K12" i="54" l="1"/>
  <c r="M1" i="31"/>
  <c r="L11" i="54"/>
  <c r="K11" i="53"/>
  <c r="K10" i="53" s="1"/>
  <c r="N56" i="7"/>
  <c r="O56" i="7" s="1"/>
  <c r="K11" i="54" l="1"/>
  <c r="O1" i="31"/>
  <c r="H11" i="53"/>
  <c r="I11" i="53" s="1"/>
  <c r="N11" i="39" l="1"/>
  <c r="M11" i="31"/>
  <c r="K11" i="31"/>
  <c r="I11" i="31"/>
  <c r="AI6" i="1" l="1"/>
  <c r="B105" i="31" l="1"/>
  <c r="B104" i="31"/>
  <c r="B103" i="31"/>
  <c r="B102" i="31"/>
  <c r="B101" i="31"/>
  <c r="B100" i="31"/>
  <c r="B99" i="31"/>
  <c r="B98" i="31"/>
  <c r="B97" i="31"/>
  <c r="B96" i="31"/>
  <c r="G30" i="48" l="1"/>
  <c r="L16" i="39" l="1"/>
  <c r="M16" i="39" s="1"/>
  <c r="N16" i="39" s="1"/>
  <c r="O16" i="39" s="1"/>
  <c r="P16" i="39" s="1"/>
  <c r="Q16" i="39" s="1"/>
  <c r="R16" i="39" s="1"/>
  <c r="S16" i="39" s="1"/>
  <c r="T16" i="39" s="1"/>
  <c r="U16" i="39" s="1"/>
  <c r="V16" i="39" s="1"/>
  <c r="W16" i="39" s="1"/>
  <c r="X16" i="39" s="1"/>
  <c r="Y16" i="39" s="1"/>
  <c r="Z16" i="39" s="1"/>
  <c r="AA16" i="39" s="1"/>
  <c r="AB16" i="39" s="1"/>
  <c r="AC16" i="39" s="1"/>
  <c r="AD16" i="39" s="1"/>
  <c r="AE16" i="39" s="1"/>
  <c r="AF16" i="39" s="1"/>
  <c r="AG16" i="39" s="1"/>
  <c r="AH16" i="39" s="1"/>
  <c r="AI16" i="39" s="1"/>
  <c r="AJ16" i="39" s="1"/>
  <c r="G27" i="48" l="1"/>
  <c r="G25" i="48"/>
  <c r="X2" i="31"/>
  <c r="Z72" i="38" a="1"/>
  <c r="Z72" i="38" s="1"/>
  <c r="G18" i="48"/>
  <c r="G17" i="48"/>
  <c r="G16" i="48"/>
  <c r="G15" i="48"/>
  <c r="G14" i="48"/>
  <c r="G13" i="48"/>
  <c r="G12" i="48"/>
  <c r="G11" i="48"/>
  <c r="G10" i="48"/>
  <c r="G9" i="48"/>
  <c r="G8" i="48"/>
  <c r="G7" i="48"/>
  <c r="G6" i="48"/>
  <c r="G5" i="48"/>
  <c r="G4" i="48"/>
  <c r="E34" i="41" l="1"/>
  <c r="E29" i="41"/>
  <c r="E24" i="41"/>
  <c r="E19" i="41"/>
  <c r="E14" i="41"/>
  <c r="E9" i="41"/>
  <c r="M12" i="31" l="1"/>
  <c r="K12" i="31"/>
  <c r="I12" i="31"/>
  <c r="AJ974" i="39" l="1"/>
  <c r="AI974" i="39"/>
  <c r="AH974" i="39"/>
  <c r="AG974" i="39"/>
  <c r="AF974" i="39"/>
  <c r="AE974" i="39"/>
  <c r="AD974" i="39"/>
  <c r="AC974" i="39"/>
  <c r="AB974" i="39"/>
  <c r="AA974" i="39"/>
  <c r="Z974" i="39"/>
  <c r="Y974" i="39"/>
  <c r="X974" i="39"/>
  <c r="W974" i="39"/>
  <c r="V974" i="39"/>
  <c r="U974" i="39"/>
  <c r="T974" i="39"/>
  <c r="S974" i="39"/>
  <c r="R974" i="39"/>
  <c r="Q974" i="39"/>
  <c r="P974" i="39"/>
  <c r="O974" i="39"/>
  <c r="N974" i="39"/>
  <c r="M974" i="39"/>
  <c r="L974" i="39"/>
  <c r="AJ956" i="39"/>
  <c r="AI956" i="39"/>
  <c r="AH956" i="39"/>
  <c r="AG956" i="39"/>
  <c r="AF956" i="39"/>
  <c r="AE956" i="39"/>
  <c r="AD956" i="39"/>
  <c r="AC956" i="39"/>
  <c r="AB956" i="39"/>
  <c r="AA956" i="39"/>
  <c r="Z956" i="39"/>
  <c r="Y956" i="39"/>
  <c r="X956" i="39"/>
  <c r="W956" i="39"/>
  <c r="V956" i="39"/>
  <c r="U956" i="39"/>
  <c r="T956" i="39"/>
  <c r="S956" i="39"/>
  <c r="R956" i="39"/>
  <c r="Q956" i="39"/>
  <c r="P956" i="39"/>
  <c r="O956" i="39"/>
  <c r="N956" i="39"/>
  <c r="M956" i="39"/>
  <c r="L956" i="39"/>
  <c r="K940" i="39"/>
  <c r="K937" i="39"/>
  <c r="K934" i="39"/>
  <c r="K925" i="39"/>
  <c r="K923" i="39" s="1"/>
  <c r="AJ918" i="39"/>
  <c r="AI918" i="39"/>
  <c r="AH918" i="39"/>
  <c r="AG918" i="39"/>
  <c r="AF918" i="39"/>
  <c r="AE918" i="39"/>
  <c r="AD918" i="39"/>
  <c r="AC918" i="39"/>
  <c r="AB918" i="39"/>
  <c r="AA918" i="39"/>
  <c r="Z918" i="39"/>
  <c r="Y918" i="39"/>
  <c r="X918" i="39"/>
  <c r="W918" i="39"/>
  <c r="V918" i="39"/>
  <c r="U918" i="39"/>
  <c r="T918" i="39"/>
  <c r="S918" i="39"/>
  <c r="R918" i="39"/>
  <c r="Q918" i="39"/>
  <c r="P918" i="39"/>
  <c r="O918" i="39"/>
  <c r="N918" i="39"/>
  <c r="M918" i="39"/>
  <c r="L918" i="39"/>
  <c r="K902" i="39"/>
  <c r="K899" i="39"/>
  <c r="K896" i="39"/>
  <c r="K895" i="39" s="1"/>
  <c r="K887" i="39"/>
  <c r="K885" i="39" s="1"/>
  <c r="K870" i="39"/>
  <c r="K867" i="39"/>
  <c r="K864" i="39"/>
  <c r="K855" i="39"/>
  <c r="K853" i="39"/>
  <c r="AJ841" i="39"/>
  <c r="AI841" i="39"/>
  <c r="AH841" i="39"/>
  <c r="AG841" i="39"/>
  <c r="AF841" i="39"/>
  <c r="AE841" i="39"/>
  <c r="AD841" i="39"/>
  <c r="AC841" i="39"/>
  <c r="AB841" i="39"/>
  <c r="AA841" i="39"/>
  <c r="Z841" i="39"/>
  <c r="Y841" i="39"/>
  <c r="X841" i="39"/>
  <c r="W841" i="39"/>
  <c r="V841" i="39"/>
  <c r="U841" i="39"/>
  <c r="T841" i="39"/>
  <c r="S841" i="39"/>
  <c r="R841" i="39"/>
  <c r="Q841" i="39"/>
  <c r="P841" i="39"/>
  <c r="O841" i="39"/>
  <c r="N841" i="39"/>
  <c r="M841" i="39"/>
  <c r="L841" i="39"/>
  <c r="AJ811" i="39"/>
  <c r="AI811" i="39"/>
  <c r="AH811" i="39"/>
  <c r="AG811" i="39"/>
  <c r="AF811" i="39"/>
  <c r="AE811" i="39"/>
  <c r="AD811" i="39"/>
  <c r="AC811" i="39"/>
  <c r="AB811" i="39"/>
  <c r="AA811" i="39"/>
  <c r="Z811" i="39"/>
  <c r="Y811" i="39"/>
  <c r="X811" i="39"/>
  <c r="W811" i="39"/>
  <c r="V811" i="39"/>
  <c r="U811" i="39"/>
  <c r="T811" i="39"/>
  <c r="S811" i="39"/>
  <c r="R811" i="39"/>
  <c r="Q811" i="39"/>
  <c r="P811" i="39"/>
  <c r="O811" i="39"/>
  <c r="N811" i="39"/>
  <c r="M811" i="39"/>
  <c r="L811" i="39"/>
  <c r="AJ793" i="39"/>
  <c r="AI793" i="39"/>
  <c r="AH793" i="39"/>
  <c r="AG793" i="39"/>
  <c r="AF793" i="39"/>
  <c r="AE793" i="39"/>
  <c r="AD793" i="39"/>
  <c r="AC793" i="39"/>
  <c r="AB793" i="39"/>
  <c r="AA793" i="39"/>
  <c r="Z793" i="39"/>
  <c r="Y793" i="39"/>
  <c r="X793" i="39"/>
  <c r="W793" i="39"/>
  <c r="V793" i="39"/>
  <c r="U793" i="39"/>
  <c r="T793" i="39"/>
  <c r="S793" i="39"/>
  <c r="R793" i="39"/>
  <c r="Q793" i="39"/>
  <c r="P793" i="39"/>
  <c r="O793" i="39"/>
  <c r="N793" i="39"/>
  <c r="M793" i="39"/>
  <c r="L793" i="39"/>
  <c r="K777" i="39"/>
  <c r="K774" i="39"/>
  <c r="K771" i="39"/>
  <c r="K770" i="39" s="1"/>
  <c r="K762" i="39"/>
  <c r="K760" i="39" s="1"/>
  <c r="K782" i="39" s="1"/>
  <c r="K789" i="39" s="1"/>
  <c r="AJ755" i="39"/>
  <c r="AI755" i="39"/>
  <c r="AH755" i="39"/>
  <c r="AG755" i="39"/>
  <c r="AF755" i="39"/>
  <c r="AE755" i="39"/>
  <c r="AD755" i="39"/>
  <c r="AC755" i="39"/>
  <c r="AB755" i="39"/>
  <c r="AA755" i="39"/>
  <c r="Z755" i="39"/>
  <c r="Y755" i="39"/>
  <c r="X755" i="39"/>
  <c r="W755" i="39"/>
  <c r="V755" i="39"/>
  <c r="U755" i="39"/>
  <c r="T755" i="39"/>
  <c r="S755" i="39"/>
  <c r="R755" i="39"/>
  <c r="Q755" i="39"/>
  <c r="P755" i="39"/>
  <c r="O755" i="39"/>
  <c r="N755" i="39"/>
  <c r="M755" i="39"/>
  <c r="L755" i="39"/>
  <c r="K739" i="39"/>
  <c r="K736" i="39"/>
  <c r="K733" i="39"/>
  <c r="K724" i="39"/>
  <c r="K722" i="39" s="1"/>
  <c r="K707" i="39"/>
  <c r="K704" i="39"/>
  <c r="K701" i="39"/>
  <c r="K700" i="39" s="1"/>
  <c r="K692" i="39"/>
  <c r="K690" i="39"/>
  <c r="K712" i="39" s="1"/>
  <c r="K719" i="39" s="1"/>
  <c r="AJ678" i="39"/>
  <c r="AI678" i="39"/>
  <c r="AH678" i="39"/>
  <c r="AG678" i="39"/>
  <c r="AF678" i="39"/>
  <c r="AE678" i="39"/>
  <c r="AD678" i="39"/>
  <c r="AC678" i="39"/>
  <c r="AB678" i="39"/>
  <c r="AA678" i="39"/>
  <c r="Z678" i="39"/>
  <c r="Y678" i="39"/>
  <c r="X678" i="39"/>
  <c r="W678" i="39"/>
  <c r="V678" i="39"/>
  <c r="U678" i="39"/>
  <c r="T678" i="39"/>
  <c r="S678" i="39"/>
  <c r="R678" i="39"/>
  <c r="Q678" i="39"/>
  <c r="P678" i="39"/>
  <c r="O678" i="39"/>
  <c r="N678" i="39"/>
  <c r="M678" i="39"/>
  <c r="L678" i="39"/>
  <c r="AJ648" i="39"/>
  <c r="AI648" i="39"/>
  <c r="AH648" i="39"/>
  <c r="AG648" i="39"/>
  <c r="AF648" i="39"/>
  <c r="AE648" i="39"/>
  <c r="AD648" i="39"/>
  <c r="AC648" i="39"/>
  <c r="AB648" i="39"/>
  <c r="AA648" i="39"/>
  <c r="Z648" i="39"/>
  <c r="Y648" i="39"/>
  <c r="X648" i="39"/>
  <c r="W648" i="39"/>
  <c r="V648" i="39"/>
  <c r="U648" i="39"/>
  <c r="T648" i="39"/>
  <c r="S648" i="39"/>
  <c r="R648" i="39"/>
  <c r="Q648" i="39"/>
  <c r="P648" i="39"/>
  <c r="O648" i="39"/>
  <c r="N648" i="39"/>
  <c r="M648" i="39"/>
  <c r="L648" i="39"/>
  <c r="AJ630" i="39"/>
  <c r="AI630" i="39"/>
  <c r="AH630" i="39"/>
  <c r="AG630" i="39"/>
  <c r="AF630" i="39"/>
  <c r="AE630" i="39"/>
  <c r="AD630" i="39"/>
  <c r="AC630" i="39"/>
  <c r="AB630" i="39"/>
  <c r="AA630" i="39"/>
  <c r="Z630" i="39"/>
  <c r="Y630" i="39"/>
  <c r="X630" i="39"/>
  <c r="W630" i="39"/>
  <c r="V630" i="39"/>
  <c r="U630" i="39"/>
  <c r="T630" i="39"/>
  <c r="S630" i="39"/>
  <c r="R630" i="39"/>
  <c r="Q630" i="39"/>
  <c r="P630" i="39"/>
  <c r="O630" i="39"/>
  <c r="N630" i="39"/>
  <c r="M630" i="39"/>
  <c r="L630" i="39"/>
  <c r="K614" i="39"/>
  <c r="K611" i="39"/>
  <c r="K608" i="39"/>
  <c r="K599" i="39"/>
  <c r="K597" i="39" s="1"/>
  <c r="AJ592" i="39"/>
  <c r="AI592" i="39"/>
  <c r="AH592" i="39"/>
  <c r="AG592" i="39"/>
  <c r="AF592" i="39"/>
  <c r="AE592" i="39"/>
  <c r="AD592" i="39"/>
  <c r="AC592" i="39"/>
  <c r="AB592" i="39"/>
  <c r="AA592" i="39"/>
  <c r="Z592" i="39"/>
  <c r="Y592" i="39"/>
  <c r="X592" i="39"/>
  <c r="W592" i="39"/>
  <c r="V592" i="39"/>
  <c r="U592" i="39"/>
  <c r="T592" i="39"/>
  <c r="S592" i="39"/>
  <c r="R592" i="39"/>
  <c r="Q592" i="39"/>
  <c r="P592" i="39"/>
  <c r="O592" i="39"/>
  <c r="N592" i="39"/>
  <c r="M592" i="39"/>
  <c r="L592" i="39"/>
  <c r="K576" i="39"/>
  <c r="K573" i="39"/>
  <c r="K570" i="39"/>
  <c r="K569" i="39"/>
  <c r="K561" i="39"/>
  <c r="K559" i="39" s="1"/>
  <c r="K544" i="39"/>
  <c r="K541" i="39"/>
  <c r="K538" i="39"/>
  <c r="K537" i="39"/>
  <c r="K529" i="39"/>
  <c r="K527" i="39" s="1"/>
  <c r="K549" i="39" s="1"/>
  <c r="K556" i="39" s="1"/>
  <c r="AJ515" i="39"/>
  <c r="AI515" i="39"/>
  <c r="AH515" i="39"/>
  <c r="AG515" i="39"/>
  <c r="AF515" i="39"/>
  <c r="AE515" i="39"/>
  <c r="AD515" i="39"/>
  <c r="AC515" i="39"/>
  <c r="AB515" i="39"/>
  <c r="AA515" i="39"/>
  <c r="Z515" i="39"/>
  <c r="Y515" i="39"/>
  <c r="X515" i="39"/>
  <c r="W515" i="39"/>
  <c r="V515" i="39"/>
  <c r="U515" i="39"/>
  <c r="T515" i="39"/>
  <c r="S515" i="39"/>
  <c r="R515" i="39"/>
  <c r="Q515" i="39"/>
  <c r="P515" i="39"/>
  <c r="O515" i="39"/>
  <c r="N515" i="39"/>
  <c r="M515" i="39"/>
  <c r="L515" i="39"/>
  <c r="K863" i="39" l="1"/>
  <c r="K732" i="39"/>
  <c r="K744" i="39" s="1"/>
  <c r="K751" i="39" s="1"/>
  <c r="K907" i="39"/>
  <c r="K914" i="39" s="1"/>
  <c r="K933" i="39"/>
  <c r="K945" i="39" s="1"/>
  <c r="K952" i="39" s="1"/>
  <c r="K875" i="39"/>
  <c r="K882" i="39" s="1"/>
  <c r="K581" i="39"/>
  <c r="K588" i="39" s="1"/>
  <c r="K607" i="39"/>
  <c r="K619" i="39" s="1"/>
  <c r="K626" i="39" s="1"/>
  <c r="Y2" i="31" l="1"/>
  <c r="T14" i="38" s="1"/>
  <c r="L799" i="39" s="1"/>
  <c r="I1" i="31"/>
  <c r="Q79" i="7"/>
  <c r="P79" i="7"/>
  <c r="O79" i="7"/>
  <c r="Q45" i="7"/>
  <c r="P45" i="7"/>
  <c r="O45" i="7"/>
  <c r="R8" i="7"/>
  <c r="Q8" i="7"/>
  <c r="P8" i="7"/>
  <c r="O8" i="7"/>
  <c r="W12" i="38"/>
  <c r="T12" i="38"/>
  <c r="Q12" i="38"/>
  <c r="N12" i="38"/>
  <c r="AD6" i="1"/>
  <c r="Y6" i="1"/>
  <c r="G11" i="31"/>
  <c r="G12" i="31"/>
  <c r="T22" i="38"/>
  <c r="T23" i="38" s="1"/>
  <c r="K821" i="39" s="1"/>
  <c r="Q22" i="38"/>
  <c r="Q23" i="38" s="1"/>
  <c r="K658" i="39" s="1"/>
  <c r="N22" i="38"/>
  <c r="N23" i="38" s="1"/>
  <c r="K495" i="39" s="1"/>
  <c r="FG58" i="1"/>
  <c r="FF58" i="1"/>
  <c r="FE58" i="1"/>
  <c r="FD58" i="1"/>
  <c r="FC58" i="1"/>
  <c r="FB58" i="1"/>
  <c r="FA58" i="1"/>
  <c r="EZ58" i="1"/>
  <c r="EY58" i="1"/>
  <c r="EX58" i="1"/>
  <c r="EW58" i="1"/>
  <c r="EV58" i="1"/>
  <c r="EU58" i="1"/>
  <c r="ET58" i="1"/>
  <c r="ES58" i="1"/>
  <c r="FG57" i="1"/>
  <c r="FF57" i="1"/>
  <c r="FE57" i="1"/>
  <c r="FD57" i="1"/>
  <c r="FC57" i="1"/>
  <c r="FB57" i="1"/>
  <c r="FA57" i="1"/>
  <c r="EZ57" i="1"/>
  <c r="EY57" i="1"/>
  <c r="EX57" i="1"/>
  <c r="EW57" i="1"/>
  <c r="EV57" i="1"/>
  <c r="EU57" i="1"/>
  <c r="ET57" i="1"/>
  <c r="ES57" i="1"/>
  <c r="FG56" i="1"/>
  <c r="FF56" i="1"/>
  <c r="FE56" i="1"/>
  <c r="FD56" i="1"/>
  <c r="FC56" i="1"/>
  <c r="FB56" i="1"/>
  <c r="FA56" i="1"/>
  <c r="EZ56" i="1"/>
  <c r="EY56" i="1"/>
  <c r="EX56" i="1"/>
  <c r="EW56" i="1"/>
  <c r="EV56" i="1"/>
  <c r="EU56" i="1"/>
  <c r="ET56" i="1"/>
  <c r="ES56" i="1"/>
  <c r="FG55" i="1"/>
  <c r="FF55" i="1"/>
  <c r="FE55" i="1"/>
  <c r="FD55" i="1"/>
  <c r="FC55" i="1"/>
  <c r="FB55" i="1"/>
  <c r="FA55" i="1"/>
  <c r="EZ55" i="1"/>
  <c r="EY55" i="1"/>
  <c r="EX55" i="1"/>
  <c r="EW55" i="1"/>
  <c r="EV55" i="1"/>
  <c r="EU55" i="1"/>
  <c r="ET55" i="1"/>
  <c r="ES55" i="1"/>
  <c r="FG54" i="1"/>
  <c r="FF54" i="1"/>
  <c r="FE54" i="1"/>
  <c r="FD54" i="1"/>
  <c r="FC54" i="1"/>
  <c r="FB54" i="1"/>
  <c r="FA54" i="1"/>
  <c r="EZ54" i="1"/>
  <c r="EY54" i="1"/>
  <c r="EX54" i="1"/>
  <c r="EW54" i="1"/>
  <c r="EV54" i="1"/>
  <c r="EU54" i="1"/>
  <c r="ET54" i="1"/>
  <c r="ES54" i="1"/>
  <c r="FG53" i="1"/>
  <c r="FF53" i="1"/>
  <c r="FE53" i="1"/>
  <c r="FD53" i="1"/>
  <c r="FC53" i="1"/>
  <c r="FB53" i="1"/>
  <c r="FA53" i="1"/>
  <c r="EZ53" i="1"/>
  <c r="EY53" i="1"/>
  <c r="EX53" i="1"/>
  <c r="EW53" i="1"/>
  <c r="EV53" i="1"/>
  <c r="EU53" i="1"/>
  <c r="ET53" i="1"/>
  <c r="ES53" i="1"/>
  <c r="FG52" i="1"/>
  <c r="FF52" i="1"/>
  <c r="FE52" i="1"/>
  <c r="FD52" i="1"/>
  <c r="FC52" i="1"/>
  <c r="FB52" i="1"/>
  <c r="FA52" i="1"/>
  <c r="EZ52" i="1"/>
  <c r="EY52" i="1"/>
  <c r="EX52" i="1"/>
  <c r="EW52" i="1"/>
  <c r="EV52" i="1"/>
  <c r="EU52" i="1"/>
  <c r="ET52" i="1"/>
  <c r="ES52" i="1"/>
  <c r="FG51" i="1"/>
  <c r="FF51" i="1"/>
  <c r="FE51" i="1"/>
  <c r="FD51" i="1"/>
  <c r="FC51" i="1"/>
  <c r="FB51" i="1"/>
  <c r="FA51" i="1"/>
  <c r="EZ51" i="1"/>
  <c r="EY51" i="1"/>
  <c r="EX51" i="1"/>
  <c r="EW51" i="1"/>
  <c r="EV51" i="1"/>
  <c r="EU51" i="1"/>
  <c r="ET51" i="1"/>
  <c r="ES51" i="1"/>
  <c r="FG50" i="1"/>
  <c r="FF50" i="1"/>
  <c r="FE50" i="1"/>
  <c r="FD50" i="1"/>
  <c r="FC50" i="1"/>
  <c r="FB50" i="1"/>
  <c r="FA50" i="1"/>
  <c r="EZ50" i="1"/>
  <c r="EY50" i="1"/>
  <c r="EX50" i="1"/>
  <c r="EW50" i="1"/>
  <c r="EV50" i="1"/>
  <c r="EU50" i="1"/>
  <c r="ET50" i="1"/>
  <c r="ES50" i="1"/>
  <c r="FG49" i="1"/>
  <c r="FF49" i="1"/>
  <c r="FE49" i="1"/>
  <c r="FD49" i="1"/>
  <c r="FC49" i="1"/>
  <c r="FB49" i="1"/>
  <c r="FA49" i="1"/>
  <c r="EZ49" i="1"/>
  <c r="EY49" i="1"/>
  <c r="EX49" i="1"/>
  <c r="EW49" i="1"/>
  <c r="EV49" i="1"/>
  <c r="EU49" i="1"/>
  <c r="ET49" i="1"/>
  <c r="ES49" i="1"/>
  <c r="FG48" i="1"/>
  <c r="FF48" i="1"/>
  <c r="FE48" i="1"/>
  <c r="FD48" i="1"/>
  <c r="FC48" i="1"/>
  <c r="FB48" i="1"/>
  <c r="FA48" i="1"/>
  <c r="EZ48" i="1"/>
  <c r="EY48" i="1"/>
  <c r="EX48" i="1"/>
  <c r="EW48" i="1"/>
  <c r="EV48" i="1"/>
  <c r="EU48" i="1"/>
  <c r="ET48" i="1"/>
  <c r="ES48" i="1"/>
  <c r="FG47" i="1"/>
  <c r="FF47" i="1"/>
  <c r="FE47" i="1"/>
  <c r="FD47" i="1"/>
  <c r="FC47" i="1"/>
  <c r="FB47" i="1"/>
  <c r="FA47" i="1"/>
  <c r="EZ47" i="1"/>
  <c r="EY47" i="1"/>
  <c r="EX47" i="1"/>
  <c r="EW47" i="1"/>
  <c r="EV47" i="1"/>
  <c r="EU47" i="1"/>
  <c r="ET47" i="1"/>
  <c r="ES47" i="1"/>
  <c r="FG46" i="1"/>
  <c r="FF46" i="1"/>
  <c r="FE46" i="1"/>
  <c r="FD46" i="1"/>
  <c r="FC46" i="1"/>
  <c r="FB46" i="1"/>
  <c r="FA46" i="1"/>
  <c r="EZ46" i="1"/>
  <c r="EY46" i="1"/>
  <c r="EX46" i="1"/>
  <c r="EW46" i="1"/>
  <c r="EV46" i="1"/>
  <c r="EU46" i="1"/>
  <c r="ET46" i="1"/>
  <c r="ES46" i="1"/>
  <c r="FG45" i="1"/>
  <c r="FF45" i="1"/>
  <c r="FE45" i="1"/>
  <c r="FD45" i="1"/>
  <c r="FC45" i="1"/>
  <c r="FB45" i="1"/>
  <c r="FA45" i="1"/>
  <c r="EZ45" i="1"/>
  <c r="EY45" i="1"/>
  <c r="EX45" i="1"/>
  <c r="EW45" i="1"/>
  <c r="EV45" i="1"/>
  <c r="EU45" i="1"/>
  <c r="ET45" i="1"/>
  <c r="ES45" i="1"/>
  <c r="FG44" i="1"/>
  <c r="FF44" i="1"/>
  <c r="FE44" i="1"/>
  <c r="FD44" i="1"/>
  <c r="FC44" i="1"/>
  <c r="FB44" i="1"/>
  <c r="FA44" i="1"/>
  <c r="EZ44" i="1"/>
  <c r="EY44" i="1"/>
  <c r="EX44" i="1"/>
  <c r="EW44" i="1"/>
  <c r="EV44" i="1"/>
  <c r="EU44" i="1"/>
  <c r="ET44" i="1"/>
  <c r="ES44" i="1"/>
  <c r="FG43" i="1"/>
  <c r="FF43" i="1"/>
  <c r="FE43" i="1"/>
  <c r="FD43" i="1"/>
  <c r="FC43" i="1"/>
  <c r="FB43" i="1"/>
  <c r="FA43" i="1"/>
  <c r="EZ43" i="1"/>
  <c r="EY43" i="1"/>
  <c r="EX43" i="1"/>
  <c r="EW43" i="1"/>
  <c r="EV43" i="1"/>
  <c r="EU43" i="1"/>
  <c r="ET43" i="1"/>
  <c r="ES43" i="1"/>
  <c r="FG42" i="1"/>
  <c r="FF42" i="1"/>
  <c r="FE42" i="1"/>
  <c r="FD42" i="1"/>
  <c r="FC42" i="1"/>
  <c r="FB42" i="1"/>
  <c r="FA42" i="1"/>
  <c r="EZ42" i="1"/>
  <c r="EY42" i="1"/>
  <c r="EX42" i="1"/>
  <c r="EW42" i="1"/>
  <c r="EV42" i="1"/>
  <c r="EU42" i="1"/>
  <c r="ET42" i="1"/>
  <c r="ES42" i="1"/>
  <c r="FG41" i="1"/>
  <c r="FF41" i="1"/>
  <c r="FE41" i="1"/>
  <c r="FD41" i="1"/>
  <c r="FC41" i="1"/>
  <c r="FB41" i="1"/>
  <c r="FA41" i="1"/>
  <c r="EZ41" i="1"/>
  <c r="EY41" i="1"/>
  <c r="EX41" i="1"/>
  <c r="EW41" i="1"/>
  <c r="EV41" i="1"/>
  <c r="EU41" i="1"/>
  <c r="ET41" i="1"/>
  <c r="ES41" i="1"/>
  <c r="FG40" i="1"/>
  <c r="FF40" i="1"/>
  <c r="FE40" i="1"/>
  <c r="FD40" i="1"/>
  <c r="FC40" i="1"/>
  <c r="FB40" i="1"/>
  <c r="FA40" i="1"/>
  <c r="EZ40" i="1"/>
  <c r="EY40" i="1"/>
  <c r="EX40" i="1"/>
  <c r="EW40" i="1"/>
  <c r="EV40" i="1"/>
  <c r="EU40" i="1"/>
  <c r="ET40" i="1"/>
  <c r="ES40" i="1"/>
  <c r="FG37" i="1"/>
  <c r="FF37" i="1"/>
  <c r="FE37" i="1"/>
  <c r="FD37" i="1"/>
  <c r="FC37" i="1"/>
  <c r="FG36" i="1"/>
  <c r="FF36" i="1"/>
  <c r="FE36" i="1"/>
  <c r="FD36" i="1"/>
  <c r="FC36" i="1"/>
  <c r="FG33" i="1"/>
  <c r="FF33" i="1"/>
  <c r="FE33" i="1"/>
  <c r="FD33" i="1"/>
  <c r="FC33" i="1"/>
  <c r="FB33" i="1"/>
  <c r="FA33" i="1"/>
  <c r="EZ33" i="1"/>
  <c r="EY33" i="1"/>
  <c r="EX33" i="1"/>
  <c r="EW33" i="1"/>
  <c r="EV33" i="1"/>
  <c r="EU33" i="1"/>
  <c r="ET33" i="1"/>
  <c r="ES33" i="1"/>
  <c r="FG32" i="1"/>
  <c r="FF32" i="1"/>
  <c r="FE32" i="1"/>
  <c r="FD32" i="1"/>
  <c r="FC32" i="1"/>
  <c r="FB32" i="1"/>
  <c r="FA32" i="1"/>
  <c r="EZ32" i="1"/>
  <c r="EY32" i="1"/>
  <c r="EX32" i="1"/>
  <c r="EW32" i="1"/>
  <c r="EV32" i="1"/>
  <c r="EU32" i="1"/>
  <c r="ET32" i="1"/>
  <c r="ES32" i="1"/>
  <c r="FG31" i="1"/>
  <c r="FF31" i="1"/>
  <c r="FE31" i="1"/>
  <c r="FD31" i="1"/>
  <c r="FC31" i="1"/>
  <c r="FB31" i="1"/>
  <c r="FA31" i="1"/>
  <c r="EZ31" i="1"/>
  <c r="EY31" i="1"/>
  <c r="EX31" i="1"/>
  <c r="EW31" i="1"/>
  <c r="EV31" i="1"/>
  <c r="EU31" i="1"/>
  <c r="ET31" i="1"/>
  <c r="ES31" i="1"/>
  <c r="FG30" i="1"/>
  <c r="FF30" i="1"/>
  <c r="FE30" i="1"/>
  <c r="FD30" i="1"/>
  <c r="FC30" i="1"/>
  <c r="FB30" i="1"/>
  <c r="FA30" i="1"/>
  <c r="EZ30" i="1"/>
  <c r="EY30" i="1"/>
  <c r="EX30" i="1"/>
  <c r="EW30" i="1"/>
  <c r="EV30" i="1"/>
  <c r="EU30" i="1"/>
  <c r="ET30" i="1"/>
  <c r="ES30" i="1"/>
  <c r="FG29" i="1"/>
  <c r="FF29" i="1"/>
  <c r="FE29" i="1"/>
  <c r="FD29" i="1"/>
  <c r="FC29" i="1"/>
  <c r="FB29" i="1"/>
  <c r="FA29" i="1"/>
  <c r="EZ29" i="1"/>
  <c r="EY29" i="1"/>
  <c r="EX29" i="1"/>
  <c r="EW29" i="1"/>
  <c r="EV29" i="1"/>
  <c r="EU29" i="1"/>
  <c r="ET29" i="1"/>
  <c r="ES29" i="1"/>
  <c r="FG28" i="1"/>
  <c r="FF28" i="1"/>
  <c r="FE28" i="1"/>
  <c r="FD28" i="1"/>
  <c r="FC28" i="1"/>
  <c r="FB28" i="1"/>
  <c r="FA28" i="1"/>
  <c r="EZ28" i="1"/>
  <c r="EY28" i="1"/>
  <c r="EX28" i="1"/>
  <c r="EW28" i="1"/>
  <c r="EV28" i="1"/>
  <c r="EU28" i="1"/>
  <c r="ET28" i="1"/>
  <c r="ES28" i="1"/>
  <c r="FG27" i="1"/>
  <c r="FF27" i="1"/>
  <c r="FE27" i="1"/>
  <c r="FD27" i="1"/>
  <c r="FC27" i="1"/>
  <c r="FB27" i="1"/>
  <c r="FA27" i="1"/>
  <c r="EZ27" i="1"/>
  <c r="EY27" i="1"/>
  <c r="EX27" i="1"/>
  <c r="EW27" i="1"/>
  <c r="EV27" i="1"/>
  <c r="EU27" i="1"/>
  <c r="ET27" i="1"/>
  <c r="ES27" i="1"/>
  <c r="FG26" i="1"/>
  <c r="FF26" i="1"/>
  <c r="FE26" i="1"/>
  <c r="FD26" i="1"/>
  <c r="FC26" i="1"/>
  <c r="FB26" i="1"/>
  <c r="FA26" i="1"/>
  <c r="EZ26" i="1"/>
  <c r="EY26" i="1"/>
  <c r="EX26" i="1"/>
  <c r="EW26" i="1"/>
  <c r="EV26" i="1"/>
  <c r="EU26" i="1"/>
  <c r="ET26" i="1"/>
  <c r="ES26" i="1"/>
  <c r="FG25" i="1"/>
  <c r="FF25" i="1"/>
  <c r="FE25" i="1"/>
  <c r="FD25" i="1"/>
  <c r="FC25" i="1"/>
  <c r="FB25" i="1"/>
  <c r="FA25" i="1"/>
  <c r="EZ25" i="1"/>
  <c r="EY25" i="1"/>
  <c r="EX25" i="1"/>
  <c r="EW25" i="1"/>
  <c r="EV25" i="1"/>
  <c r="EU25" i="1"/>
  <c r="ET25" i="1"/>
  <c r="ES25" i="1"/>
  <c r="FG24" i="1"/>
  <c r="FF24" i="1"/>
  <c r="FE24" i="1"/>
  <c r="FD24" i="1"/>
  <c r="FC24" i="1"/>
  <c r="FB24" i="1"/>
  <c r="FA24" i="1"/>
  <c r="EZ24" i="1"/>
  <c r="EY24" i="1"/>
  <c r="EX24" i="1"/>
  <c r="EW24" i="1"/>
  <c r="EV24" i="1"/>
  <c r="EU24" i="1"/>
  <c r="ET24" i="1"/>
  <c r="ES24" i="1"/>
  <c r="FG23" i="1"/>
  <c r="FF23" i="1"/>
  <c r="FE23" i="1"/>
  <c r="FD23" i="1"/>
  <c r="FC23" i="1"/>
  <c r="FB23" i="1"/>
  <c r="FA23" i="1"/>
  <c r="EZ23" i="1"/>
  <c r="EY23" i="1"/>
  <c r="EX23" i="1"/>
  <c r="EW23" i="1"/>
  <c r="EV23" i="1"/>
  <c r="EU23" i="1"/>
  <c r="ET23" i="1"/>
  <c r="ES23" i="1"/>
  <c r="FG22" i="1"/>
  <c r="FF22" i="1"/>
  <c r="FE22" i="1"/>
  <c r="FD22" i="1"/>
  <c r="FC22" i="1"/>
  <c r="FB22" i="1"/>
  <c r="FA22" i="1"/>
  <c r="EZ22" i="1"/>
  <c r="EY22" i="1"/>
  <c r="EX22" i="1"/>
  <c r="EW22" i="1"/>
  <c r="EV22" i="1"/>
  <c r="EU22" i="1"/>
  <c r="ET22" i="1"/>
  <c r="ES22" i="1"/>
  <c r="FG21" i="1"/>
  <c r="FF21" i="1"/>
  <c r="FE21" i="1"/>
  <c r="FD21" i="1"/>
  <c r="FC21" i="1"/>
  <c r="FB21" i="1"/>
  <c r="FA21" i="1"/>
  <c r="EZ21" i="1"/>
  <c r="EY21" i="1"/>
  <c r="EX21" i="1"/>
  <c r="EW21" i="1"/>
  <c r="EV21" i="1"/>
  <c r="EU21" i="1"/>
  <c r="ET21" i="1"/>
  <c r="ES21" i="1"/>
  <c r="FG18" i="1"/>
  <c r="FF18" i="1"/>
  <c r="FE18" i="1"/>
  <c r="FD18" i="1"/>
  <c r="FC18" i="1"/>
  <c r="FB18" i="1"/>
  <c r="FA18" i="1"/>
  <c r="EZ18" i="1"/>
  <c r="EY18" i="1"/>
  <c r="EX18" i="1"/>
  <c r="EW18" i="1"/>
  <c r="EV18" i="1"/>
  <c r="EU18" i="1"/>
  <c r="ET18" i="1"/>
  <c r="ES18" i="1"/>
  <c r="FG17" i="1"/>
  <c r="FF17" i="1"/>
  <c r="FE17" i="1"/>
  <c r="FD17" i="1"/>
  <c r="FC17" i="1"/>
  <c r="FB17" i="1"/>
  <c r="FA17" i="1"/>
  <c r="EZ17" i="1"/>
  <c r="EY17" i="1"/>
  <c r="EX17" i="1"/>
  <c r="EW17" i="1"/>
  <c r="EV17" i="1"/>
  <c r="EU17" i="1"/>
  <c r="ET17" i="1"/>
  <c r="ES17" i="1"/>
  <c r="FG16" i="1"/>
  <c r="FF16" i="1"/>
  <c r="FE16" i="1"/>
  <c r="FD16" i="1"/>
  <c r="FC16" i="1"/>
  <c r="FB16" i="1"/>
  <c r="FA16" i="1"/>
  <c r="EZ16" i="1"/>
  <c r="EY16" i="1"/>
  <c r="EX16" i="1"/>
  <c r="EW16" i="1"/>
  <c r="EV16" i="1"/>
  <c r="EU16" i="1"/>
  <c r="ET16" i="1"/>
  <c r="ES16" i="1"/>
  <c r="FG15" i="1"/>
  <c r="FF15" i="1"/>
  <c r="FE15" i="1"/>
  <c r="FD15" i="1"/>
  <c r="FC15" i="1"/>
  <c r="FB15" i="1"/>
  <c r="FA15" i="1"/>
  <c r="EZ15" i="1"/>
  <c r="EY15" i="1"/>
  <c r="EX15" i="1"/>
  <c r="EW15" i="1"/>
  <c r="EV15" i="1"/>
  <c r="EU15" i="1"/>
  <c r="ET15" i="1"/>
  <c r="ES15" i="1"/>
  <c r="FG14" i="1"/>
  <c r="FF14" i="1"/>
  <c r="FE14" i="1"/>
  <c r="FD14" i="1"/>
  <c r="FC14" i="1"/>
  <c r="FB14" i="1"/>
  <c r="FA14" i="1"/>
  <c r="EZ14" i="1"/>
  <c r="EY14" i="1"/>
  <c r="EX14" i="1"/>
  <c r="EW14" i="1"/>
  <c r="EV14" i="1"/>
  <c r="EU14" i="1"/>
  <c r="ET14" i="1"/>
  <c r="ES14" i="1"/>
  <c r="GL58" i="1"/>
  <c r="GK58" i="1"/>
  <c r="GJ58" i="1"/>
  <c r="GI58" i="1"/>
  <c r="GH58" i="1"/>
  <c r="GG58" i="1"/>
  <c r="GF58" i="1"/>
  <c r="GE58" i="1"/>
  <c r="GD58" i="1"/>
  <c r="GC58" i="1"/>
  <c r="GB58" i="1"/>
  <c r="GA58" i="1"/>
  <c r="FZ58" i="1"/>
  <c r="FY58" i="1"/>
  <c r="FX58" i="1"/>
  <c r="GL57" i="1"/>
  <c r="GK57" i="1"/>
  <c r="GJ57" i="1"/>
  <c r="GI57" i="1"/>
  <c r="GH57" i="1"/>
  <c r="GG57" i="1"/>
  <c r="GF57" i="1"/>
  <c r="GE57" i="1"/>
  <c r="GD57" i="1"/>
  <c r="GC57" i="1"/>
  <c r="GB57" i="1"/>
  <c r="GA57" i="1"/>
  <c r="FZ57" i="1"/>
  <c r="FY57" i="1"/>
  <c r="FX57" i="1"/>
  <c r="GL56" i="1"/>
  <c r="GK56" i="1"/>
  <c r="GJ56" i="1"/>
  <c r="GI56" i="1"/>
  <c r="GH56" i="1"/>
  <c r="GG56" i="1"/>
  <c r="GF56" i="1"/>
  <c r="GE56" i="1"/>
  <c r="GD56" i="1"/>
  <c r="GC56" i="1"/>
  <c r="GB56" i="1"/>
  <c r="GA56" i="1"/>
  <c r="FZ56" i="1"/>
  <c r="FY56" i="1"/>
  <c r="FX56" i="1"/>
  <c r="GL55" i="1"/>
  <c r="GK55" i="1"/>
  <c r="GJ55" i="1"/>
  <c r="GI55" i="1"/>
  <c r="GH55" i="1"/>
  <c r="GG55" i="1"/>
  <c r="GF55" i="1"/>
  <c r="GE55" i="1"/>
  <c r="GD55" i="1"/>
  <c r="GC55" i="1"/>
  <c r="GB55" i="1"/>
  <c r="GA55" i="1"/>
  <c r="FZ55" i="1"/>
  <c r="FY55" i="1"/>
  <c r="FX55" i="1"/>
  <c r="GL54" i="1"/>
  <c r="GK54" i="1"/>
  <c r="GJ54" i="1"/>
  <c r="GI54" i="1"/>
  <c r="GH54" i="1"/>
  <c r="GG54" i="1"/>
  <c r="GF54" i="1"/>
  <c r="GE54" i="1"/>
  <c r="GD54" i="1"/>
  <c r="GC54" i="1"/>
  <c r="GB54" i="1"/>
  <c r="GA54" i="1"/>
  <c r="FZ54" i="1"/>
  <c r="FY54" i="1"/>
  <c r="FX54" i="1"/>
  <c r="GL53" i="1"/>
  <c r="GK53" i="1"/>
  <c r="GJ53" i="1"/>
  <c r="GI53" i="1"/>
  <c r="GH53" i="1"/>
  <c r="GG53" i="1"/>
  <c r="GF53" i="1"/>
  <c r="GE53" i="1"/>
  <c r="GD53" i="1"/>
  <c r="GC53" i="1"/>
  <c r="GB53" i="1"/>
  <c r="GA53" i="1"/>
  <c r="FZ53" i="1"/>
  <c r="FY53" i="1"/>
  <c r="FX53" i="1"/>
  <c r="GL52" i="1"/>
  <c r="GK52" i="1"/>
  <c r="GJ52" i="1"/>
  <c r="GI52" i="1"/>
  <c r="GH52" i="1"/>
  <c r="GG52" i="1"/>
  <c r="GF52" i="1"/>
  <c r="GE52" i="1"/>
  <c r="GD52" i="1"/>
  <c r="GC52" i="1"/>
  <c r="GB52" i="1"/>
  <c r="GA52" i="1"/>
  <c r="FZ52" i="1"/>
  <c r="FY52" i="1"/>
  <c r="FX52" i="1"/>
  <c r="GL51" i="1"/>
  <c r="GK51" i="1"/>
  <c r="GJ51" i="1"/>
  <c r="GI51" i="1"/>
  <c r="GH51" i="1"/>
  <c r="GG51" i="1"/>
  <c r="GF51" i="1"/>
  <c r="GE51" i="1"/>
  <c r="GD51" i="1"/>
  <c r="GC51" i="1"/>
  <c r="GB51" i="1"/>
  <c r="GA51" i="1"/>
  <c r="FZ51" i="1"/>
  <c r="FY51" i="1"/>
  <c r="FX51" i="1"/>
  <c r="GL50" i="1"/>
  <c r="GK50" i="1"/>
  <c r="GJ50" i="1"/>
  <c r="GI50" i="1"/>
  <c r="GH50" i="1"/>
  <c r="GG50" i="1"/>
  <c r="GF50" i="1"/>
  <c r="GE50" i="1"/>
  <c r="GD50" i="1"/>
  <c r="GC50" i="1"/>
  <c r="GB50" i="1"/>
  <c r="GA50" i="1"/>
  <c r="FZ50" i="1"/>
  <c r="FY50" i="1"/>
  <c r="FX50" i="1"/>
  <c r="GL49" i="1"/>
  <c r="GK49" i="1"/>
  <c r="GJ49" i="1"/>
  <c r="GI49" i="1"/>
  <c r="GH49" i="1"/>
  <c r="GG49" i="1"/>
  <c r="GF49" i="1"/>
  <c r="GE49" i="1"/>
  <c r="GD49" i="1"/>
  <c r="GC49" i="1"/>
  <c r="GB49" i="1"/>
  <c r="GA49" i="1"/>
  <c r="FZ49" i="1"/>
  <c r="FY49" i="1"/>
  <c r="FX49" i="1"/>
  <c r="GL48" i="1"/>
  <c r="GK48" i="1"/>
  <c r="GJ48" i="1"/>
  <c r="GI48" i="1"/>
  <c r="GH48" i="1"/>
  <c r="GG48" i="1"/>
  <c r="GF48" i="1"/>
  <c r="GE48" i="1"/>
  <c r="GD48" i="1"/>
  <c r="GC48" i="1"/>
  <c r="GB48" i="1"/>
  <c r="GA48" i="1"/>
  <c r="FZ48" i="1"/>
  <c r="FY48" i="1"/>
  <c r="FX48" i="1"/>
  <c r="GL47" i="1"/>
  <c r="GK47" i="1"/>
  <c r="GJ47" i="1"/>
  <c r="GI47" i="1"/>
  <c r="GH47" i="1"/>
  <c r="GG47" i="1"/>
  <c r="GF47" i="1"/>
  <c r="GE47" i="1"/>
  <c r="GD47" i="1"/>
  <c r="GC47" i="1"/>
  <c r="GB47" i="1"/>
  <c r="GA47" i="1"/>
  <c r="FZ47" i="1"/>
  <c r="FY47" i="1"/>
  <c r="FX47" i="1"/>
  <c r="GL46" i="1"/>
  <c r="GK46" i="1"/>
  <c r="GJ46" i="1"/>
  <c r="GI46" i="1"/>
  <c r="GH46" i="1"/>
  <c r="GG46" i="1"/>
  <c r="GF46" i="1"/>
  <c r="GE46" i="1"/>
  <c r="GD46" i="1"/>
  <c r="GC46" i="1"/>
  <c r="GB46" i="1"/>
  <c r="GA46" i="1"/>
  <c r="FZ46" i="1"/>
  <c r="FY46" i="1"/>
  <c r="FX46" i="1"/>
  <c r="GL45" i="1"/>
  <c r="GK45" i="1"/>
  <c r="GJ45" i="1"/>
  <c r="GI45" i="1"/>
  <c r="GH45" i="1"/>
  <c r="GG45" i="1"/>
  <c r="GF45" i="1"/>
  <c r="GE45" i="1"/>
  <c r="GD45" i="1"/>
  <c r="GC45" i="1"/>
  <c r="GB45" i="1"/>
  <c r="GA45" i="1"/>
  <c r="FZ45" i="1"/>
  <c r="FY45" i="1"/>
  <c r="FX45" i="1"/>
  <c r="GL44" i="1"/>
  <c r="GK44" i="1"/>
  <c r="GJ44" i="1"/>
  <c r="GI44" i="1"/>
  <c r="GH44" i="1"/>
  <c r="GG44" i="1"/>
  <c r="GF44" i="1"/>
  <c r="GE44" i="1"/>
  <c r="GD44" i="1"/>
  <c r="GC44" i="1"/>
  <c r="GB44" i="1"/>
  <c r="GA44" i="1"/>
  <c r="FZ44" i="1"/>
  <c r="FY44" i="1"/>
  <c r="FX44" i="1"/>
  <c r="GL43" i="1"/>
  <c r="GK43" i="1"/>
  <c r="GJ43" i="1"/>
  <c r="GI43" i="1"/>
  <c r="GH43" i="1"/>
  <c r="GG43" i="1"/>
  <c r="GF43" i="1"/>
  <c r="GE43" i="1"/>
  <c r="GD43" i="1"/>
  <c r="GC43" i="1"/>
  <c r="GB43" i="1"/>
  <c r="GA43" i="1"/>
  <c r="FZ43" i="1"/>
  <c r="FY43" i="1"/>
  <c r="FX43" i="1"/>
  <c r="GL42" i="1"/>
  <c r="GK42" i="1"/>
  <c r="GJ42" i="1"/>
  <c r="GI42" i="1"/>
  <c r="GH42" i="1"/>
  <c r="GG42" i="1"/>
  <c r="GF42" i="1"/>
  <c r="GE42" i="1"/>
  <c r="GD42" i="1"/>
  <c r="GC42" i="1"/>
  <c r="GB42" i="1"/>
  <c r="GA42" i="1"/>
  <c r="FZ42" i="1"/>
  <c r="FY42" i="1"/>
  <c r="FX42" i="1"/>
  <c r="GL41" i="1"/>
  <c r="GK41" i="1"/>
  <c r="GJ41" i="1"/>
  <c r="GI41" i="1"/>
  <c r="GH41" i="1"/>
  <c r="GG41" i="1"/>
  <c r="GF41" i="1"/>
  <c r="GE41" i="1"/>
  <c r="GD41" i="1"/>
  <c r="GC41" i="1"/>
  <c r="GB41" i="1"/>
  <c r="GA41" i="1"/>
  <c r="FZ41" i="1"/>
  <c r="FY41" i="1"/>
  <c r="FX41" i="1"/>
  <c r="GL40" i="1"/>
  <c r="GK40" i="1"/>
  <c r="GJ40" i="1"/>
  <c r="GI40" i="1"/>
  <c r="GH40" i="1"/>
  <c r="GG40" i="1"/>
  <c r="GF40" i="1"/>
  <c r="GE40" i="1"/>
  <c r="GD40" i="1"/>
  <c r="GC40" i="1"/>
  <c r="GB40" i="1"/>
  <c r="GA40" i="1"/>
  <c r="FZ40" i="1"/>
  <c r="FY40" i="1"/>
  <c r="FX40" i="1"/>
  <c r="GL37" i="1"/>
  <c r="GK37" i="1"/>
  <c r="GJ37" i="1"/>
  <c r="GI37" i="1"/>
  <c r="GH37" i="1"/>
  <c r="GL36" i="1"/>
  <c r="GK36" i="1"/>
  <c r="GJ36" i="1"/>
  <c r="GI36" i="1"/>
  <c r="GH36" i="1"/>
  <c r="GL33" i="1"/>
  <c r="GK33" i="1"/>
  <c r="GJ33" i="1"/>
  <c r="GI33" i="1"/>
  <c r="GH33" i="1"/>
  <c r="GG33" i="1"/>
  <c r="GF33" i="1"/>
  <c r="GE33" i="1"/>
  <c r="GD33" i="1"/>
  <c r="GC33" i="1"/>
  <c r="GB33" i="1"/>
  <c r="GA33" i="1"/>
  <c r="FZ33" i="1"/>
  <c r="FY33" i="1"/>
  <c r="FX33" i="1"/>
  <c r="GL32" i="1"/>
  <c r="GK32" i="1"/>
  <c r="GJ32" i="1"/>
  <c r="GI32" i="1"/>
  <c r="GH32" i="1"/>
  <c r="GG32" i="1"/>
  <c r="GF32" i="1"/>
  <c r="GE32" i="1"/>
  <c r="GD32" i="1"/>
  <c r="GC32" i="1"/>
  <c r="GB32" i="1"/>
  <c r="GA32" i="1"/>
  <c r="FZ32" i="1"/>
  <c r="FY32" i="1"/>
  <c r="FX32" i="1"/>
  <c r="GL31" i="1"/>
  <c r="GK31" i="1"/>
  <c r="GJ31" i="1"/>
  <c r="GI31" i="1"/>
  <c r="GH31" i="1"/>
  <c r="GG31" i="1"/>
  <c r="GF31" i="1"/>
  <c r="GE31" i="1"/>
  <c r="GD31" i="1"/>
  <c r="GC31" i="1"/>
  <c r="GB31" i="1"/>
  <c r="GA31" i="1"/>
  <c r="FZ31" i="1"/>
  <c r="FY31" i="1"/>
  <c r="FX31" i="1"/>
  <c r="GL30" i="1"/>
  <c r="GK30" i="1"/>
  <c r="GJ30" i="1"/>
  <c r="GI30" i="1"/>
  <c r="GH30" i="1"/>
  <c r="GG30" i="1"/>
  <c r="GF30" i="1"/>
  <c r="GE30" i="1"/>
  <c r="GD30" i="1"/>
  <c r="GC30" i="1"/>
  <c r="GB30" i="1"/>
  <c r="GA30" i="1"/>
  <c r="FZ30" i="1"/>
  <c r="FY30" i="1"/>
  <c r="FX30" i="1"/>
  <c r="GL29" i="1"/>
  <c r="GK29" i="1"/>
  <c r="GJ29" i="1"/>
  <c r="GI29" i="1"/>
  <c r="GH29" i="1"/>
  <c r="GG29" i="1"/>
  <c r="GF29" i="1"/>
  <c r="GE29" i="1"/>
  <c r="GD29" i="1"/>
  <c r="GC29" i="1"/>
  <c r="GB29" i="1"/>
  <c r="GA29" i="1"/>
  <c r="FZ29" i="1"/>
  <c r="FY29" i="1"/>
  <c r="FX29" i="1"/>
  <c r="GL28" i="1"/>
  <c r="GK28" i="1"/>
  <c r="GJ28" i="1"/>
  <c r="GI28" i="1"/>
  <c r="GH28" i="1"/>
  <c r="GG28" i="1"/>
  <c r="GF28" i="1"/>
  <c r="GE28" i="1"/>
  <c r="GD28" i="1"/>
  <c r="GC28" i="1"/>
  <c r="GB28" i="1"/>
  <c r="GA28" i="1"/>
  <c r="FZ28" i="1"/>
  <c r="FY28" i="1"/>
  <c r="FX28" i="1"/>
  <c r="GL27" i="1"/>
  <c r="GK27" i="1"/>
  <c r="GJ27" i="1"/>
  <c r="GI27" i="1"/>
  <c r="GH27" i="1"/>
  <c r="GG27" i="1"/>
  <c r="GF27" i="1"/>
  <c r="GE27" i="1"/>
  <c r="GD27" i="1"/>
  <c r="GC27" i="1"/>
  <c r="GB27" i="1"/>
  <c r="GA27" i="1"/>
  <c r="FZ27" i="1"/>
  <c r="FY27" i="1"/>
  <c r="FX27" i="1"/>
  <c r="GL26" i="1"/>
  <c r="GK26" i="1"/>
  <c r="GJ26" i="1"/>
  <c r="GI26" i="1"/>
  <c r="GH26" i="1"/>
  <c r="GG26" i="1"/>
  <c r="GF26" i="1"/>
  <c r="GE26" i="1"/>
  <c r="GD26" i="1"/>
  <c r="GC26" i="1"/>
  <c r="GB26" i="1"/>
  <c r="GA26" i="1"/>
  <c r="FZ26" i="1"/>
  <c r="FY26" i="1"/>
  <c r="FX26" i="1"/>
  <c r="GL25" i="1"/>
  <c r="GK25" i="1"/>
  <c r="GJ25" i="1"/>
  <c r="GI25" i="1"/>
  <c r="GH25" i="1"/>
  <c r="GG25" i="1"/>
  <c r="GF25" i="1"/>
  <c r="GE25" i="1"/>
  <c r="GD25" i="1"/>
  <c r="GC25" i="1"/>
  <c r="GB25" i="1"/>
  <c r="GA25" i="1"/>
  <c r="FZ25" i="1"/>
  <c r="FY25" i="1"/>
  <c r="FX25" i="1"/>
  <c r="GL24" i="1"/>
  <c r="GK24" i="1"/>
  <c r="GJ24" i="1"/>
  <c r="GI24" i="1"/>
  <c r="GH24" i="1"/>
  <c r="GG24" i="1"/>
  <c r="GF24" i="1"/>
  <c r="GE24" i="1"/>
  <c r="GD24" i="1"/>
  <c r="GC24" i="1"/>
  <c r="GB24" i="1"/>
  <c r="GA24" i="1"/>
  <c r="FZ24" i="1"/>
  <c r="FY24" i="1"/>
  <c r="FX24" i="1"/>
  <c r="GL23" i="1"/>
  <c r="GK23" i="1"/>
  <c r="GJ23" i="1"/>
  <c r="GI23" i="1"/>
  <c r="GH23" i="1"/>
  <c r="GG23" i="1"/>
  <c r="GF23" i="1"/>
  <c r="GE23" i="1"/>
  <c r="GD23" i="1"/>
  <c r="GC23" i="1"/>
  <c r="GB23" i="1"/>
  <c r="GA23" i="1"/>
  <c r="FZ23" i="1"/>
  <c r="FY23" i="1"/>
  <c r="FX23" i="1"/>
  <c r="GL22" i="1"/>
  <c r="GK22" i="1"/>
  <c r="GJ22" i="1"/>
  <c r="GI22" i="1"/>
  <c r="GH22" i="1"/>
  <c r="GG22" i="1"/>
  <c r="GF22" i="1"/>
  <c r="GE22" i="1"/>
  <c r="GD22" i="1"/>
  <c r="GC22" i="1"/>
  <c r="GB22" i="1"/>
  <c r="GA22" i="1"/>
  <c r="FZ22" i="1"/>
  <c r="FY22" i="1"/>
  <c r="FX22" i="1"/>
  <c r="GL21" i="1"/>
  <c r="GK21" i="1"/>
  <c r="GJ21" i="1"/>
  <c r="GI21" i="1"/>
  <c r="GH21" i="1"/>
  <c r="GG21" i="1"/>
  <c r="GF21" i="1"/>
  <c r="GE21" i="1"/>
  <c r="GD21" i="1"/>
  <c r="GC21" i="1"/>
  <c r="GB21" i="1"/>
  <c r="GA21" i="1"/>
  <c r="FZ21" i="1"/>
  <c r="FY21" i="1"/>
  <c r="FX21" i="1"/>
  <c r="GL18" i="1"/>
  <c r="GK18" i="1"/>
  <c r="GJ18" i="1"/>
  <c r="GI18" i="1"/>
  <c r="GH18" i="1"/>
  <c r="GG18" i="1"/>
  <c r="GF18" i="1"/>
  <c r="GE18" i="1"/>
  <c r="GD18" i="1"/>
  <c r="GC18" i="1"/>
  <c r="GB18" i="1"/>
  <c r="GA18" i="1"/>
  <c r="FZ18" i="1"/>
  <c r="FY18" i="1"/>
  <c r="FX18" i="1"/>
  <c r="GL17" i="1"/>
  <c r="GK17" i="1"/>
  <c r="GJ17" i="1"/>
  <c r="GI17" i="1"/>
  <c r="GH17" i="1"/>
  <c r="GG17" i="1"/>
  <c r="GF17" i="1"/>
  <c r="GE17" i="1"/>
  <c r="GD17" i="1"/>
  <c r="GC17" i="1"/>
  <c r="GB17" i="1"/>
  <c r="GA17" i="1"/>
  <c r="FZ17" i="1"/>
  <c r="FY17" i="1"/>
  <c r="FX17" i="1"/>
  <c r="GL16" i="1"/>
  <c r="GK16" i="1"/>
  <c r="GJ16" i="1"/>
  <c r="GI16" i="1"/>
  <c r="GH16" i="1"/>
  <c r="GG16" i="1"/>
  <c r="GF16" i="1"/>
  <c r="GE16" i="1"/>
  <c r="GD16" i="1"/>
  <c r="GC16" i="1"/>
  <c r="GB16" i="1"/>
  <c r="GA16" i="1"/>
  <c r="FZ16" i="1"/>
  <c r="FY16" i="1"/>
  <c r="FX16" i="1"/>
  <c r="GL15" i="1"/>
  <c r="GK15" i="1"/>
  <c r="GJ15" i="1"/>
  <c r="GI15" i="1"/>
  <c r="GH15" i="1"/>
  <c r="GG15" i="1"/>
  <c r="GF15" i="1"/>
  <c r="GE15" i="1"/>
  <c r="GD15" i="1"/>
  <c r="GC15" i="1"/>
  <c r="GB15" i="1"/>
  <c r="GA15" i="1"/>
  <c r="FZ15" i="1"/>
  <c r="FY15" i="1"/>
  <c r="FX15" i="1"/>
  <c r="GL14" i="1"/>
  <c r="GK14" i="1"/>
  <c r="GJ14" i="1"/>
  <c r="GI14" i="1"/>
  <c r="GH14" i="1"/>
  <c r="GG14" i="1"/>
  <c r="GF14" i="1"/>
  <c r="GE14" i="1"/>
  <c r="GD14" i="1"/>
  <c r="GC14" i="1"/>
  <c r="GB14" i="1"/>
  <c r="GA14" i="1"/>
  <c r="FZ14" i="1"/>
  <c r="FY14" i="1"/>
  <c r="FX14" i="1"/>
  <c r="GL13" i="1"/>
  <c r="GK13" i="1"/>
  <c r="GJ13" i="1"/>
  <c r="GI13" i="1"/>
  <c r="GH13" i="1"/>
  <c r="GG13" i="1"/>
  <c r="GF13" i="1"/>
  <c r="GE13" i="1"/>
  <c r="GD13" i="1"/>
  <c r="GC13" i="1"/>
  <c r="GB13" i="1"/>
  <c r="GA13" i="1"/>
  <c r="FZ13" i="1"/>
  <c r="FY13" i="1"/>
  <c r="FX13" i="1"/>
  <c r="DN13" i="1"/>
  <c r="DO13" i="1"/>
  <c r="DP13" i="1"/>
  <c r="DQ13" i="1"/>
  <c r="DR13" i="1"/>
  <c r="DS13" i="1"/>
  <c r="DT13" i="1"/>
  <c r="DU13" i="1"/>
  <c r="DV13" i="1"/>
  <c r="DW13" i="1"/>
  <c r="DX13" i="1"/>
  <c r="DY13" i="1"/>
  <c r="DZ13" i="1"/>
  <c r="EA13" i="1"/>
  <c r="EB13" i="1"/>
  <c r="FG13" i="1"/>
  <c r="FF13" i="1"/>
  <c r="FE13" i="1"/>
  <c r="FD13" i="1"/>
  <c r="FC13" i="1"/>
  <c r="FB13" i="1"/>
  <c r="FA13" i="1"/>
  <c r="EZ13" i="1"/>
  <c r="EY13" i="1"/>
  <c r="EX13" i="1"/>
  <c r="EW13" i="1"/>
  <c r="EV13" i="1"/>
  <c r="EU13" i="1"/>
  <c r="ET13" i="1"/>
  <c r="ES13" i="1"/>
  <c r="EB58" i="1"/>
  <c r="EA58" i="1"/>
  <c r="DZ58" i="1"/>
  <c r="DY58" i="1"/>
  <c r="DX58" i="1"/>
  <c r="DW58" i="1"/>
  <c r="DV58" i="1"/>
  <c r="DU58" i="1"/>
  <c r="DT58" i="1"/>
  <c r="DS58" i="1"/>
  <c r="DR58" i="1"/>
  <c r="DQ58" i="1"/>
  <c r="DP58" i="1"/>
  <c r="DO58" i="1"/>
  <c r="DN58" i="1"/>
  <c r="EB57" i="1"/>
  <c r="EA57" i="1"/>
  <c r="DZ57" i="1"/>
  <c r="DY57" i="1"/>
  <c r="DX57" i="1"/>
  <c r="DW57" i="1"/>
  <c r="DV57" i="1"/>
  <c r="DU57" i="1"/>
  <c r="DT57" i="1"/>
  <c r="DS57" i="1"/>
  <c r="DR57" i="1"/>
  <c r="DQ57" i="1"/>
  <c r="DP57" i="1"/>
  <c r="DO57" i="1"/>
  <c r="DN57" i="1"/>
  <c r="EB56" i="1"/>
  <c r="EA56" i="1"/>
  <c r="DZ56" i="1"/>
  <c r="DY56" i="1"/>
  <c r="DX56" i="1"/>
  <c r="DW56" i="1"/>
  <c r="DV56" i="1"/>
  <c r="DU56" i="1"/>
  <c r="DT56" i="1"/>
  <c r="DS56" i="1"/>
  <c r="DR56" i="1"/>
  <c r="DQ56" i="1"/>
  <c r="DP56" i="1"/>
  <c r="DO56" i="1"/>
  <c r="DN56" i="1"/>
  <c r="EB55" i="1"/>
  <c r="EA55" i="1"/>
  <c r="DZ55" i="1"/>
  <c r="DY55" i="1"/>
  <c r="DX55" i="1"/>
  <c r="DW55" i="1"/>
  <c r="DV55" i="1"/>
  <c r="DU55" i="1"/>
  <c r="DT55" i="1"/>
  <c r="DS55" i="1"/>
  <c r="DR55" i="1"/>
  <c r="DQ55" i="1"/>
  <c r="DP55" i="1"/>
  <c r="DO55" i="1"/>
  <c r="DN55" i="1"/>
  <c r="EB54" i="1"/>
  <c r="EA54" i="1"/>
  <c r="DZ54" i="1"/>
  <c r="DY54" i="1"/>
  <c r="DX54" i="1"/>
  <c r="DW54" i="1"/>
  <c r="DV54" i="1"/>
  <c r="DU54" i="1"/>
  <c r="DT54" i="1"/>
  <c r="DS54" i="1"/>
  <c r="DR54" i="1"/>
  <c r="DQ54" i="1"/>
  <c r="DP54" i="1"/>
  <c r="DO54" i="1"/>
  <c r="DN54" i="1"/>
  <c r="EB53" i="1"/>
  <c r="EA53" i="1"/>
  <c r="DZ53" i="1"/>
  <c r="DY53" i="1"/>
  <c r="DX53" i="1"/>
  <c r="DW53" i="1"/>
  <c r="DV53" i="1"/>
  <c r="DU53" i="1"/>
  <c r="DT53" i="1"/>
  <c r="DS53" i="1"/>
  <c r="DR53" i="1"/>
  <c r="DQ53" i="1"/>
  <c r="DP53" i="1"/>
  <c r="DO53" i="1"/>
  <c r="DN53" i="1"/>
  <c r="EB52" i="1"/>
  <c r="EA52" i="1"/>
  <c r="DZ52" i="1"/>
  <c r="DY52" i="1"/>
  <c r="DX52" i="1"/>
  <c r="DW52" i="1"/>
  <c r="DV52" i="1"/>
  <c r="DU52" i="1"/>
  <c r="DT52" i="1"/>
  <c r="DS52" i="1"/>
  <c r="DR52" i="1"/>
  <c r="DQ52" i="1"/>
  <c r="DP52" i="1"/>
  <c r="DO52" i="1"/>
  <c r="DN52" i="1"/>
  <c r="EB51" i="1"/>
  <c r="EA51" i="1"/>
  <c r="DZ51" i="1"/>
  <c r="DY51" i="1"/>
  <c r="DX51" i="1"/>
  <c r="DW51" i="1"/>
  <c r="DV51" i="1"/>
  <c r="DU51" i="1"/>
  <c r="DT51" i="1"/>
  <c r="DS51" i="1"/>
  <c r="DR51" i="1"/>
  <c r="DQ51" i="1"/>
  <c r="DP51" i="1"/>
  <c r="DO51" i="1"/>
  <c r="DN51" i="1"/>
  <c r="EB50" i="1"/>
  <c r="EA50" i="1"/>
  <c r="DZ50" i="1"/>
  <c r="DY50" i="1"/>
  <c r="DX50" i="1"/>
  <c r="DW50" i="1"/>
  <c r="DV50" i="1"/>
  <c r="DU50" i="1"/>
  <c r="DT50" i="1"/>
  <c r="DS50" i="1"/>
  <c r="DR50" i="1"/>
  <c r="DQ50" i="1"/>
  <c r="DP50" i="1"/>
  <c r="DO50" i="1"/>
  <c r="DN50" i="1"/>
  <c r="EB49" i="1"/>
  <c r="EA49" i="1"/>
  <c r="DZ49" i="1"/>
  <c r="DY49" i="1"/>
  <c r="DX49" i="1"/>
  <c r="DW49" i="1"/>
  <c r="DV49" i="1"/>
  <c r="DU49" i="1"/>
  <c r="DT49" i="1"/>
  <c r="DS49" i="1"/>
  <c r="DR49" i="1"/>
  <c r="DQ49" i="1"/>
  <c r="DP49" i="1"/>
  <c r="DO49" i="1"/>
  <c r="DN49" i="1"/>
  <c r="EB48" i="1"/>
  <c r="EA48" i="1"/>
  <c r="DZ48" i="1"/>
  <c r="DY48" i="1"/>
  <c r="DX48" i="1"/>
  <c r="DW48" i="1"/>
  <c r="DV48" i="1"/>
  <c r="DU48" i="1"/>
  <c r="DT48" i="1"/>
  <c r="DS48" i="1"/>
  <c r="DR48" i="1"/>
  <c r="DQ48" i="1"/>
  <c r="DP48" i="1"/>
  <c r="DO48" i="1"/>
  <c r="DN48" i="1"/>
  <c r="EB47" i="1"/>
  <c r="EA47" i="1"/>
  <c r="DZ47" i="1"/>
  <c r="DY47" i="1"/>
  <c r="DX47" i="1"/>
  <c r="DW47" i="1"/>
  <c r="DV47" i="1"/>
  <c r="DU47" i="1"/>
  <c r="DT47" i="1"/>
  <c r="DS47" i="1"/>
  <c r="DR47" i="1"/>
  <c r="DQ47" i="1"/>
  <c r="DP47" i="1"/>
  <c r="DO47" i="1"/>
  <c r="DN47" i="1"/>
  <c r="EB46" i="1"/>
  <c r="EA46" i="1"/>
  <c r="DZ46" i="1"/>
  <c r="DY46" i="1"/>
  <c r="DX46" i="1"/>
  <c r="DW46" i="1"/>
  <c r="DV46" i="1"/>
  <c r="DU46" i="1"/>
  <c r="DT46" i="1"/>
  <c r="DS46" i="1"/>
  <c r="DR46" i="1"/>
  <c r="DQ46" i="1"/>
  <c r="DP46" i="1"/>
  <c r="DO46" i="1"/>
  <c r="DN46" i="1"/>
  <c r="EB45" i="1"/>
  <c r="EA45" i="1"/>
  <c r="DZ45" i="1"/>
  <c r="DY45" i="1"/>
  <c r="DX45" i="1"/>
  <c r="DW45" i="1"/>
  <c r="DV45" i="1"/>
  <c r="DU45" i="1"/>
  <c r="DT45" i="1"/>
  <c r="DS45" i="1"/>
  <c r="DR45" i="1"/>
  <c r="DQ45" i="1"/>
  <c r="DP45" i="1"/>
  <c r="DO45" i="1"/>
  <c r="DN45" i="1"/>
  <c r="EB44" i="1"/>
  <c r="EA44" i="1"/>
  <c r="DZ44" i="1"/>
  <c r="DY44" i="1"/>
  <c r="DX44" i="1"/>
  <c r="DW44" i="1"/>
  <c r="DV44" i="1"/>
  <c r="DU44" i="1"/>
  <c r="DT44" i="1"/>
  <c r="DS44" i="1"/>
  <c r="DR44" i="1"/>
  <c r="DQ44" i="1"/>
  <c r="DP44" i="1"/>
  <c r="DO44" i="1"/>
  <c r="DN44" i="1"/>
  <c r="EB43" i="1"/>
  <c r="EA43" i="1"/>
  <c r="DZ43" i="1"/>
  <c r="DY43" i="1"/>
  <c r="DX43" i="1"/>
  <c r="DW43" i="1"/>
  <c r="DV43" i="1"/>
  <c r="DU43" i="1"/>
  <c r="DT43" i="1"/>
  <c r="DS43" i="1"/>
  <c r="DR43" i="1"/>
  <c r="DQ43" i="1"/>
  <c r="DP43" i="1"/>
  <c r="DO43" i="1"/>
  <c r="DN43" i="1"/>
  <c r="EB42" i="1"/>
  <c r="EA42" i="1"/>
  <c r="DZ42" i="1"/>
  <c r="DY42" i="1"/>
  <c r="DX42" i="1"/>
  <c r="DW42" i="1"/>
  <c r="DV42" i="1"/>
  <c r="DU42" i="1"/>
  <c r="DT42" i="1"/>
  <c r="DS42" i="1"/>
  <c r="DR42" i="1"/>
  <c r="DQ42" i="1"/>
  <c r="DP42" i="1"/>
  <c r="DO42" i="1"/>
  <c r="DN42" i="1"/>
  <c r="EB41" i="1"/>
  <c r="EA41" i="1"/>
  <c r="DZ41" i="1"/>
  <c r="DY41" i="1"/>
  <c r="DX41" i="1"/>
  <c r="DW41" i="1"/>
  <c r="DV41" i="1"/>
  <c r="DU41" i="1"/>
  <c r="DT41" i="1"/>
  <c r="DS41" i="1"/>
  <c r="DR41" i="1"/>
  <c r="DQ41" i="1"/>
  <c r="DP41" i="1"/>
  <c r="DO41" i="1"/>
  <c r="DN41" i="1"/>
  <c r="EB40" i="1"/>
  <c r="EA40" i="1"/>
  <c r="DZ40" i="1"/>
  <c r="DY40" i="1"/>
  <c r="DX40" i="1"/>
  <c r="DW40" i="1"/>
  <c r="DV40" i="1"/>
  <c r="DU40" i="1"/>
  <c r="DT40" i="1"/>
  <c r="DS40" i="1"/>
  <c r="DR40" i="1"/>
  <c r="DQ40" i="1"/>
  <c r="DP40" i="1"/>
  <c r="DO40" i="1"/>
  <c r="DN40" i="1"/>
  <c r="EB37" i="1"/>
  <c r="EA37" i="1"/>
  <c r="DZ37" i="1"/>
  <c r="DY37" i="1"/>
  <c r="DX37" i="1"/>
  <c r="EB36" i="1"/>
  <c r="EA36" i="1"/>
  <c r="DZ36" i="1"/>
  <c r="DY36" i="1"/>
  <c r="DX36" i="1"/>
  <c r="EB33" i="1"/>
  <c r="EA33" i="1"/>
  <c r="DZ33" i="1"/>
  <c r="DY33" i="1"/>
  <c r="DX33" i="1"/>
  <c r="DW33" i="1"/>
  <c r="DV33" i="1"/>
  <c r="DU33" i="1"/>
  <c r="DT33" i="1"/>
  <c r="DS33" i="1"/>
  <c r="DR33" i="1"/>
  <c r="DQ33" i="1"/>
  <c r="DP33" i="1"/>
  <c r="DO33" i="1"/>
  <c r="DN33" i="1"/>
  <c r="EB32" i="1"/>
  <c r="EA32" i="1"/>
  <c r="DZ32" i="1"/>
  <c r="DY32" i="1"/>
  <c r="DX32" i="1"/>
  <c r="DW32" i="1"/>
  <c r="DV32" i="1"/>
  <c r="DU32" i="1"/>
  <c r="DT32" i="1"/>
  <c r="DS32" i="1"/>
  <c r="DR32" i="1"/>
  <c r="DQ32" i="1"/>
  <c r="DP32" i="1"/>
  <c r="DO32" i="1"/>
  <c r="DN32" i="1"/>
  <c r="EB31" i="1"/>
  <c r="EA31" i="1"/>
  <c r="DZ31" i="1"/>
  <c r="DY31" i="1"/>
  <c r="DX31" i="1"/>
  <c r="DW31" i="1"/>
  <c r="DV31" i="1"/>
  <c r="DU31" i="1"/>
  <c r="DT31" i="1"/>
  <c r="DS31" i="1"/>
  <c r="DR31" i="1"/>
  <c r="DQ31" i="1"/>
  <c r="DP31" i="1"/>
  <c r="DO31" i="1"/>
  <c r="DN31" i="1"/>
  <c r="EB30" i="1"/>
  <c r="EA30" i="1"/>
  <c r="DZ30" i="1"/>
  <c r="DY30" i="1"/>
  <c r="DX30" i="1"/>
  <c r="DW30" i="1"/>
  <c r="DV30" i="1"/>
  <c r="DU30" i="1"/>
  <c r="DT30" i="1"/>
  <c r="DS30" i="1"/>
  <c r="DR30" i="1"/>
  <c r="DQ30" i="1"/>
  <c r="DP30" i="1"/>
  <c r="DO30" i="1"/>
  <c r="DN30" i="1"/>
  <c r="EB29" i="1"/>
  <c r="EA29" i="1"/>
  <c r="DZ29" i="1"/>
  <c r="DY29" i="1"/>
  <c r="DX29" i="1"/>
  <c r="DW29" i="1"/>
  <c r="DV29" i="1"/>
  <c r="DU29" i="1"/>
  <c r="DT29" i="1"/>
  <c r="DS29" i="1"/>
  <c r="DR29" i="1"/>
  <c r="DQ29" i="1"/>
  <c r="DP29" i="1"/>
  <c r="DO29" i="1"/>
  <c r="DN29" i="1"/>
  <c r="EB28" i="1"/>
  <c r="EA28" i="1"/>
  <c r="DZ28" i="1"/>
  <c r="DY28" i="1"/>
  <c r="DX28" i="1"/>
  <c r="DW28" i="1"/>
  <c r="DV28" i="1"/>
  <c r="DU28" i="1"/>
  <c r="DT28" i="1"/>
  <c r="DS28" i="1"/>
  <c r="DR28" i="1"/>
  <c r="DQ28" i="1"/>
  <c r="DP28" i="1"/>
  <c r="DO28" i="1"/>
  <c r="DN28" i="1"/>
  <c r="EB27" i="1"/>
  <c r="EA27" i="1"/>
  <c r="DZ27" i="1"/>
  <c r="DY27" i="1"/>
  <c r="DX27" i="1"/>
  <c r="DW27" i="1"/>
  <c r="DV27" i="1"/>
  <c r="DU27" i="1"/>
  <c r="DT27" i="1"/>
  <c r="DS27" i="1"/>
  <c r="DR27" i="1"/>
  <c r="DQ27" i="1"/>
  <c r="DP27" i="1"/>
  <c r="DO27" i="1"/>
  <c r="DN27" i="1"/>
  <c r="EB26" i="1"/>
  <c r="EA26" i="1"/>
  <c r="DZ26" i="1"/>
  <c r="DY26" i="1"/>
  <c r="DX26" i="1"/>
  <c r="DW26" i="1"/>
  <c r="DV26" i="1"/>
  <c r="DU26" i="1"/>
  <c r="DT26" i="1"/>
  <c r="DS26" i="1"/>
  <c r="DR26" i="1"/>
  <c r="DQ26" i="1"/>
  <c r="DP26" i="1"/>
  <c r="DO26" i="1"/>
  <c r="DN26" i="1"/>
  <c r="EB25" i="1"/>
  <c r="EA25" i="1"/>
  <c r="DZ25" i="1"/>
  <c r="DY25" i="1"/>
  <c r="DX25" i="1"/>
  <c r="DW25" i="1"/>
  <c r="DV25" i="1"/>
  <c r="DU25" i="1"/>
  <c r="DT25" i="1"/>
  <c r="DS25" i="1"/>
  <c r="DR25" i="1"/>
  <c r="DQ25" i="1"/>
  <c r="DP25" i="1"/>
  <c r="DO25" i="1"/>
  <c r="DN25" i="1"/>
  <c r="EB24" i="1"/>
  <c r="EA24" i="1"/>
  <c r="DZ24" i="1"/>
  <c r="DY24" i="1"/>
  <c r="DX24" i="1"/>
  <c r="DW24" i="1"/>
  <c r="DV24" i="1"/>
  <c r="DU24" i="1"/>
  <c r="DT24" i="1"/>
  <c r="DS24" i="1"/>
  <c r="DR24" i="1"/>
  <c r="DQ24" i="1"/>
  <c r="DP24" i="1"/>
  <c r="DO24" i="1"/>
  <c r="DN24" i="1"/>
  <c r="EB23" i="1"/>
  <c r="EA23" i="1"/>
  <c r="DZ23" i="1"/>
  <c r="DY23" i="1"/>
  <c r="DX23" i="1"/>
  <c r="DW23" i="1"/>
  <c r="DV23" i="1"/>
  <c r="DU23" i="1"/>
  <c r="DT23" i="1"/>
  <c r="DS23" i="1"/>
  <c r="DR23" i="1"/>
  <c r="DQ23" i="1"/>
  <c r="DP23" i="1"/>
  <c r="DO23" i="1"/>
  <c r="DN23" i="1"/>
  <c r="EB22" i="1"/>
  <c r="EA22" i="1"/>
  <c r="DZ22" i="1"/>
  <c r="DY22" i="1"/>
  <c r="DX22" i="1"/>
  <c r="DW22" i="1"/>
  <c r="DV22" i="1"/>
  <c r="DU22" i="1"/>
  <c r="DT22" i="1"/>
  <c r="DS22" i="1"/>
  <c r="DR22" i="1"/>
  <c r="DQ22" i="1"/>
  <c r="DP22" i="1"/>
  <c r="DO22" i="1"/>
  <c r="DN22" i="1"/>
  <c r="EB21" i="1"/>
  <c r="EA21" i="1"/>
  <c r="DZ21" i="1"/>
  <c r="DY21" i="1"/>
  <c r="DX21" i="1"/>
  <c r="DW21" i="1"/>
  <c r="DV21" i="1"/>
  <c r="DU21" i="1"/>
  <c r="DT21" i="1"/>
  <c r="DS21" i="1"/>
  <c r="DR21" i="1"/>
  <c r="DQ21" i="1"/>
  <c r="DP21" i="1"/>
  <c r="DO21" i="1"/>
  <c r="DN21" i="1"/>
  <c r="EB18" i="1"/>
  <c r="EA18" i="1"/>
  <c r="DZ18" i="1"/>
  <c r="DY18" i="1"/>
  <c r="DX18" i="1"/>
  <c r="DW18" i="1"/>
  <c r="DV18" i="1"/>
  <c r="DU18" i="1"/>
  <c r="DT18" i="1"/>
  <c r="DS18" i="1"/>
  <c r="DR18" i="1"/>
  <c r="DQ18" i="1"/>
  <c r="DP18" i="1"/>
  <c r="DO18" i="1"/>
  <c r="DN18" i="1"/>
  <c r="EB17" i="1"/>
  <c r="EA17" i="1"/>
  <c r="DZ17" i="1"/>
  <c r="DY17" i="1"/>
  <c r="DX17" i="1"/>
  <c r="DW17" i="1"/>
  <c r="DV17" i="1"/>
  <c r="DU17" i="1"/>
  <c r="DT17" i="1"/>
  <c r="DS17" i="1"/>
  <c r="DR17" i="1"/>
  <c r="DQ17" i="1"/>
  <c r="DP17" i="1"/>
  <c r="DO17" i="1"/>
  <c r="DN17" i="1"/>
  <c r="EB16" i="1"/>
  <c r="EA16" i="1"/>
  <c r="DZ16" i="1"/>
  <c r="DY16" i="1"/>
  <c r="DX16" i="1"/>
  <c r="DW16" i="1"/>
  <c r="DV16" i="1"/>
  <c r="DU16" i="1"/>
  <c r="DT16" i="1"/>
  <c r="DS16" i="1"/>
  <c r="DR16" i="1"/>
  <c r="DQ16" i="1"/>
  <c r="DP16" i="1"/>
  <c r="DO16" i="1"/>
  <c r="DN16" i="1"/>
  <c r="EB15" i="1"/>
  <c r="EA15" i="1"/>
  <c r="DZ15" i="1"/>
  <c r="DY15" i="1"/>
  <c r="DX15" i="1"/>
  <c r="DW15" i="1"/>
  <c r="DV15" i="1"/>
  <c r="DU15" i="1"/>
  <c r="DT15" i="1"/>
  <c r="DS15" i="1"/>
  <c r="DR15" i="1"/>
  <c r="DQ15" i="1"/>
  <c r="DP15" i="1"/>
  <c r="DO15" i="1"/>
  <c r="DN15" i="1"/>
  <c r="EB14" i="1"/>
  <c r="EA14" i="1"/>
  <c r="DZ14" i="1"/>
  <c r="DY14" i="1"/>
  <c r="DX14" i="1"/>
  <c r="DW14" i="1"/>
  <c r="DV14" i="1"/>
  <c r="DU14" i="1"/>
  <c r="DT14" i="1"/>
  <c r="DS14" i="1"/>
  <c r="DR14" i="1"/>
  <c r="DQ14" i="1"/>
  <c r="DP14" i="1"/>
  <c r="DO14" i="1"/>
  <c r="DN14" i="1"/>
  <c r="T6" i="1"/>
  <c r="W2" i="31" l="1"/>
  <c r="N14" i="38" s="1"/>
  <c r="L473" i="39" s="1"/>
  <c r="X791" i="39"/>
  <c r="AG753" i="39"/>
  <c r="Q753" i="39"/>
  <c r="AE791" i="39"/>
  <c r="W791" i="39"/>
  <c r="AF753" i="39"/>
  <c r="P753" i="39"/>
  <c r="AD791" i="39"/>
  <c r="V791" i="39"/>
  <c r="AE753" i="39"/>
  <c r="O753" i="39"/>
  <c r="N791" i="39"/>
  <c r="U791" i="39"/>
  <c r="AD753" i="39"/>
  <c r="N753" i="39"/>
  <c r="AJ791" i="39"/>
  <c r="T791" i="39"/>
  <c r="AC753" i="39"/>
  <c r="M753" i="39"/>
  <c r="P791" i="39"/>
  <c r="X753" i="39"/>
  <c r="AI791" i="39"/>
  <c r="S791" i="39"/>
  <c r="AB753" i="39"/>
  <c r="L753" i="39"/>
  <c r="O791" i="39"/>
  <c r="AH791" i="39"/>
  <c r="R791" i="39"/>
  <c r="AA753" i="39"/>
  <c r="Y753" i="39"/>
  <c r="AG791" i="39"/>
  <c r="Q791" i="39"/>
  <c r="Z753" i="39"/>
  <c r="AF791" i="39"/>
  <c r="W753" i="39"/>
  <c r="AC791" i="39"/>
  <c r="M791" i="39"/>
  <c r="V753" i="39"/>
  <c r="AB791" i="39"/>
  <c r="L791" i="39"/>
  <c r="U753" i="39"/>
  <c r="AA791" i="39"/>
  <c r="AJ753" i="39"/>
  <c r="T753" i="39"/>
  <c r="Z791" i="39"/>
  <c r="AI753" i="39"/>
  <c r="S753" i="39"/>
  <c r="Y791" i="39"/>
  <c r="AH753" i="39"/>
  <c r="R753" i="39"/>
  <c r="U954" i="39"/>
  <c r="AD916" i="39"/>
  <c r="N916" i="39"/>
  <c r="M954" i="39"/>
  <c r="AJ954" i="39"/>
  <c r="T954" i="39"/>
  <c r="AC916" i="39"/>
  <c r="M916" i="39"/>
  <c r="L954" i="39"/>
  <c r="AI954" i="39"/>
  <c r="S954" i="39"/>
  <c r="AB916" i="39"/>
  <c r="L916" i="39"/>
  <c r="AB954" i="39"/>
  <c r="AH954" i="39"/>
  <c r="R954" i="39"/>
  <c r="AA916" i="39"/>
  <c r="AC954" i="39"/>
  <c r="AG954" i="39"/>
  <c r="Q954" i="39"/>
  <c r="Z916" i="39"/>
  <c r="AF954" i="39"/>
  <c r="P954" i="39"/>
  <c r="Y916" i="39"/>
  <c r="V916" i="39"/>
  <c r="AE954" i="39"/>
  <c r="O954" i="39"/>
  <c r="X916" i="39"/>
  <c r="AD954" i="39"/>
  <c r="N954" i="39"/>
  <c r="W916" i="39"/>
  <c r="U916" i="39"/>
  <c r="Z954" i="39"/>
  <c r="AI916" i="39"/>
  <c r="S916" i="39"/>
  <c r="Y954" i="39"/>
  <c r="AH916" i="39"/>
  <c r="R916" i="39"/>
  <c r="AA954" i="39"/>
  <c r="X954" i="39"/>
  <c r="AG916" i="39"/>
  <c r="Q916" i="39"/>
  <c r="AJ916" i="39"/>
  <c r="W954" i="39"/>
  <c r="AF916" i="39"/>
  <c r="P916" i="39"/>
  <c r="V954" i="39"/>
  <c r="AE916" i="39"/>
  <c r="O916" i="39"/>
  <c r="T916" i="39"/>
  <c r="AA628" i="39"/>
  <c r="AJ590" i="39"/>
  <c r="T590" i="39"/>
  <c r="AE590" i="39"/>
  <c r="AG628" i="39"/>
  <c r="Z628" i="39"/>
  <c r="AI590" i="39"/>
  <c r="S590" i="39"/>
  <c r="O590" i="39"/>
  <c r="AI628" i="39"/>
  <c r="L590" i="39"/>
  <c r="Y628" i="39"/>
  <c r="AH590" i="39"/>
  <c r="R590" i="39"/>
  <c r="S628" i="39"/>
  <c r="X628" i="39"/>
  <c r="AG590" i="39"/>
  <c r="Q590" i="39"/>
  <c r="R628" i="39"/>
  <c r="W628" i="39"/>
  <c r="AF590" i="39"/>
  <c r="P590" i="39"/>
  <c r="V628" i="39"/>
  <c r="Q628" i="39"/>
  <c r="U628" i="39"/>
  <c r="AD590" i="39"/>
  <c r="N590" i="39"/>
  <c r="AH628" i="39"/>
  <c r="AJ628" i="39"/>
  <c r="T628" i="39"/>
  <c r="AC590" i="39"/>
  <c r="M590" i="39"/>
  <c r="AB590" i="39"/>
  <c r="AA590" i="39"/>
  <c r="AF628" i="39"/>
  <c r="P628" i="39"/>
  <c r="Y590" i="39"/>
  <c r="Z590" i="39"/>
  <c r="AE628" i="39"/>
  <c r="O628" i="39"/>
  <c r="X590" i="39"/>
  <c r="AD628" i="39"/>
  <c r="N628" i="39"/>
  <c r="W590" i="39"/>
  <c r="AC628" i="39"/>
  <c r="M628" i="39"/>
  <c r="V590" i="39"/>
  <c r="AB628" i="39"/>
  <c r="L628" i="39"/>
  <c r="U590" i="39"/>
  <c r="AD465" i="39"/>
  <c r="N465" i="39"/>
  <c r="W427" i="39"/>
  <c r="AE427" i="39"/>
  <c r="N427" i="39"/>
  <c r="AC465" i="39"/>
  <c r="M465" i="39"/>
  <c r="V427" i="39"/>
  <c r="U465" i="39"/>
  <c r="AB465" i="39"/>
  <c r="L465" i="39"/>
  <c r="U427" i="39"/>
  <c r="V465" i="39"/>
  <c r="AA465" i="39"/>
  <c r="AJ427" i="39"/>
  <c r="T427" i="39"/>
  <c r="Y465" i="39"/>
  <c r="AC427" i="39"/>
  <c r="Z465" i="39"/>
  <c r="AI427" i="39"/>
  <c r="S427" i="39"/>
  <c r="R427" i="39"/>
  <c r="T465" i="39"/>
  <c r="AH427" i="39"/>
  <c r="O427" i="39"/>
  <c r="AD427" i="39"/>
  <c r="X465" i="39"/>
  <c r="AG427" i="39"/>
  <c r="Q427" i="39"/>
  <c r="M427" i="39"/>
  <c r="W465" i="39"/>
  <c r="AF427" i="39"/>
  <c r="P427" i="39"/>
  <c r="AI465" i="39"/>
  <c r="S465" i="39"/>
  <c r="AB427" i="39"/>
  <c r="L427" i="39"/>
  <c r="AH465" i="39"/>
  <c r="R465" i="39"/>
  <c r="AA427" i="39"/>
  <c r="AG465" i="39"/>
  <c r="Q465" i="39"/>
  <c r="Z427" i="39"/>
  <c r="AF465" i="39"/>
  <c r="P465" i="39"/>
  <c r="Y427" i="39"/>
  <c r="AJ465" i="39"/>
  <c r="AE465" i="39"/>
  <c r="O465" i="39"/>
  <c r="X427" i="39"/>
  <c r="M799" i="39"/>
  <c r="M801" i="39" s="1"/>
  <c r="T39" i="38"/>
  <c r="GL35" i="1"/>
  <c r="GK35" i="1"/>
  <c r="DU12" i="1"/>
  <c r="DY35" i="1"/>
  <c r="EA35" i="1"/>
  <c r="EB35" i="1"/>
  <c r="GF12" i="1"/>
  <c r="GH12" i="1"/>
  <c r="GH20" i="1"/>
  <c r="DS20" i="1"/>
  <c r="DV39" i="1"/>
  <c r="DW39" i="1"/>
  <c r="GD39" i="1"/>
  <c r="DU20" i="1"/>
  <c r="EZ20" i="1"/>
  <c r="DW12" i="1"/>
  <c r="DT20" i="1"/>
  <c r="DT12" i="1"/>
  <c r="GL12" i="1"/>
  <c r="GG12" i="1"/>
  <c r="GC39" i="1"/>
  <c r="GI12" i="1"/>
  <c r="DQ39" i="1"/>
  <c r="DP39" i="1"/>
  <c r="FX12" i="1"/>
  <c r="DO20" i="1"/>
  <c r="DQ20" i="1"/>
  <c r="DU39" i="1"/>
  <c r="DR20" i="1"/>
  <c r="DY39" i="1"/>
  <c r="EA39" i="1"/>
  <c r="DZ39" i="1"/>
  <c r="GG20" i="1"/>
  <c r="FB39" i="1"/>
  <c r="DV20" i="1"/>
  <c r="FF20" i="1"/>
  <c r="FF39" i="1"/>
  <c r="FG39" i="1"/>
  <c r="DN39" i="1"/>
  <c r="GG39" i="1"/>
  <c r="DO39" i="1"/>
  <c r="GJ35" i="1"/>
  <c r="FA20" i="1"/>
  <c r="DN20" i="1"/>
  <c r="GA12" i="1"/>
  <c r="GK20" i="1"/>
  <c r="DR39" i="1"/>
  <c r="GC12" i="1"/>
  <c r="FZ39" i="1"/>
  <c r="GD12" i="1"/>
  <c r="EY20" i="1"/>
  <c r="EB39" i="1"/>
  <c r="FY20" i="1"/>
  <c r="GF39" i="1"/>
  <c r="GB39" i="1"/>
  <c r="FG35" i="1"/>
  <c r="DX20" i="1"/>
  <c r="DT39" i="1"/>
  <c r="GD20" i="1"/>
  <c r="GI20" i="1"/>
  <c r="FG20" i="1"/>
  <c r="GE20" i="1"/>
  <c r="GI39" i="1"/>
  <c r="FE12" i="1"/>
  <c r="FG12" i="1"/>
  <c r="FD39" i="1"/>
  <c r="EB20" i="1"/>
  <c r="DX12" i="1"/>
  <c r="FZ12" i="1"/>
  <c r="GL39" i="1"/>
  <c r="FE39" i="1"/>
  <c r="GJ39" i="1"/>
  <c r="GE39" i="1"/>
  <c r="FD20" i="1"/>
  <c r="GH39" i="1"/>
  <c r="FC20" i="1"/>
  <c r="DP20" i="1"/>
  <c r="DS39" i="1"/>
  <c r="GB20" i="1"/>
  <c r="FC12" i="1"/>
  <c r="FB20" i="1"/>
  <c r="FC39" i="1"/>
  <c r="DZ35" i="1"/>
  <c r="GJ12" i="1"/>
  <c r="FZ20" i="1"/>
  <c r="GJ20" i="1"/>
  <c r="DV12" i="1"/>
  <c r="DX35" i="1"/>
  <c r="DX39" i="1"/>
  <c r="FY12" i="1"/>
  <c r="GL20" i="1"/>
  <c r="GF20" i="1"/>
  <c r="FY39" i="1"/>
  <c r="GE12" i="1"/>
  <c r="GA20" i="1"/>
  <c r="GK12" i="1"/>
  <c r="FX20" i="1"/>
  <c r="GH35" i="1"/>
  <c r="GK39" i="1"/>
  <c r="FX39" i="1"/>
  <c r="GA39" i="1"/>
  <c r="GB12" i="1"/>
  <c r="GC20" i="1"/>
  <c r="GI35" i="1"/>
  <c r="FD12" i="1"/>
  <c r="FE20" i="1"/>
  <c r="FA39" i="1"/>
  <c r="EU12" i="1"/>
  <c r="FF12" i="1"/>
  <c r="ES12" i="1"/>
  <c r="FA12" i="1"/>
  <c r="EZ12" i="1"/>
  <c r="FB12" i="1"/>
  <c r="DZ12" i="1"/>
  <c r="EB12" i="1"/>
  <c r="DY12" i="1"/>
  <c r="EA12" i="1"/>
  <c r="DN12" i="1"/>
  <c r="DP12" i="1"/>
  <c r="DO12" i="1"/>
  <c r="DQ12" i="1"/>
  <c r="DW20" i="1"/>
  <c r="EA20" i="1"/>
  <c r="DR12" i="1"/>
  <c r="DZ20" i="1"/>
  <c r="DS12" i="1"/>
  <c r="DY20" i="1"/>
  <c r="ET12" i="1"/>
  <c r="EV12" i="1"/>
  <c r="EW12" i="1"/>
  <c r="ES20" i="1"/>
  <c r="FC35" i="1"/>
  <c r="EX12" i="1"/>
  <c r="ET20" i="1"/>
  <c r="FD35" i="1"/>
  <c r="ES39" i="1"/>
  <c r="EY12" i="1"/>
  <c r="EU20" i="1"/>
  <c r="FE35" i="1"/>
  <c r="ET39" i="1"/>
  <c r="EV20" i="1"/>
  <c r="EX20" i="1"/>
  <c r="FF35" i="1"/>
  <c r="EU39" i="1"/>
  <c r="EW20" i="1"/>
  <c r="EV39" i="1"/>
  <c r="EW39" i="1"/>
  <c r="EX39" i="1"/>
  <c r="EZ39" i="1"/>
  <c r="EY39" i="1"/>
  <c r="Z3" i="31"/>
  <c r="D18" i="48"/>
  <c r="D17" i="48"/>
  <c r="D16" i="48"/>
  <c r="D15" i="48"/>
  <c r="D14" i="48"/>
  <c r="D13" i="48"/>
  <c r="D12" i="48"/>
  <c r="D11" i="48"/>
  <c r="D10" i="48"/>
  <c r="D9" i="48"/>
  <c r="D8" i="48"/>
  <c r="D7" i="48"/>
  <c r="D6" i="48"/>
  <c r="D5" i="48"/>
  <c r="D4" i="48"/>
  <c r="Z2" i="31"/>
  <c r="W14" i="38" s="1"/>
  <c r="N39" i="38" l="1"/>
  <c r="L962" i="39"/>
  <c r="M962" i="39" s="1"/>
  <c r="M964" i="39" s="1"/>
  <c r="W39" i="38"/>
  <c r="M473" i="39"/>
  <c r="L801" i="39"/>
  <c r="FB10" i="1"/>
  <c r="GE10" i="1"/>
  <c r="FX10" i="1"/>
  <c r="EW10" i="1"/>
  <c r="DT10" i="1"/>
  <c r="GG10" i="1"/>
  <c r="GK10" i="1"/>
  <c r="GK60" i="1" s="1"/>
  <c r="EZ10" i="1"/>
  <c r="DZ10" i="1"/>
  <c r="DZ60" i="1" s="1"/>
  <c r="FD10" i="1"/>
  <c r="FD60" i="1" s="1"/>
  <c r="DU10" i="1"/>
  <c r="EU10" i="1"/>
  <c r="GD10" i="1"/>
  <c r="FG10" i="1"/>
  <c r="FG60" i="1" s="1"/>
  <c r="FY10" i="1"/>
  <c r="DX10" i="1"/>
  <c r="DX60" i="1" s="1"/>
  <c r="FA10" i="1"/>
  <c r="FC10" i="1"/>
  <c r="FC60" i="1" s="1"/>
  <c r="FE10" i="1"/>
  <c r="FE60" i="1" s="1"/>
  <c r="GH10" i="1"/>
  <c r="GH60" i="1" s="1"/>
  <c r="DS10" i="1"/>
  <c r="GL10" i="1"/>
  <c r="GL60" i="1" s="1"/>
  <c r="GF10" i="1"/>
  <c r="DO10" i="1"/>
  <c r="GI10" i="1"/>
  <c r="GI60" i="1" s="1"/>
  <c r="GC10" i="1"/>
  <c r="DW10" i="1"/>
  <c r="FF10" i="1"/>
  <c r="FF60" i="1" s="1"/>
  <c r="DP10" i="1"/>
  <c r="GJ10" i="1"/>
  <c r="GJ60" i="1" s="1"/>
  <c r="DN10" i="1"/>
  <c r="EY10" i="1"/>
  <c r="DR10" i="1"/>
  <c r="GA10" i="1"/>
  <c r="DV10" i="1"/>
  <c r="DQ10" i="1"/>
  <c r="DY10" i="1"/>
  <c r="DY60" i="1" s="1"/>
  <c r="GB10" i="1"/>
  <c r="EB10" i="1"/>
  <c r="EB60" i="1" s="1"/>
  <c r="FZ10" i="1"/>
  <c r="ES10" i="1"/>
  <c r="EV10" i="1"/>
  <c r="EA10" i="1"/>
  <c r="EA60" i="1" s="1"/>
  <c r="ET10" i="1"/>
  <c r="EX10" i="1"/>
  <c r="HQ58" i="1"/>
  <c r="HP58" i="1"/>
  <c r="HO58" i="1"/>
  <c r="HN58" i="1"/>
  <c r="HM58" i="1"/>
  <c r="HL58" i="1"/>
  <c r="HK58" i="1"/>
  <c r="HJ58" i="1"/>
  <c r="HI58" i="1"/>
  <c r="HH58" i="1"/>
  <c r="HG58" i="1"/>
  <c r="HF58" i="1"/>
  <c r="HE58" i="1"/>
  <c r="HD58" i="1"/>
  <c r="HC58" i="1"/>
  <c r="HQ57" i="1"/>
  <c r="HP57" i="1"/>
  <c r="HO57" i="1"/>
  <c r="HN57" i="1"/>
  <c r="HM57" i="1"/>
  <c r="HL57" i="1"/>
  <c r="HK57" i="1"/>
  <c r="HJ57" i="1"/>
  <c r="HI57" i="1"/>
  <c r="HH57" i="1"/>
  <c r="HG57" i="1"/>
  <c r="HF57" i="1"/>
  <c r="HE57" i="1"/>
  <c r="HD57" i="1"/>
  <c r="HC57" i="1"/>
  <c r="HQ56" i="1"/>
  <c r="HP56" i="1"/>
  <c r="HO56" i="1"/>
  <c r="HN56" i="1"/>
  <c r="HM56" i="1"/>
  <c r="HL56" i="1"/>
  <c r="HK56" i="1"/>
  <c r="HJ56" i="1"/>
  <c r="HI56" i="1"/>
  <c r="HH56" i="1"/>
  <c r="HG56" i="1"/>
  <c r="HF56" i="1"/>
  <c r="HE56" i="1"/>
  <c r="HD56" i="1"/>
  <c r="HC56" i="1"/>
  <c r="HQ55" i="1"/>
  <c r="HP55" i="1"/>
  <c r="HO55" i="1"/>
  <c r="HN55" i="1"/>
  <c r="HM55" i="1"/>
  <c r="HL55" i="1"/>
  <c r="HK55" i="1"/>
  <c r="HJ55" i="1"/>
  <c r="HI55" i="1"/>
  <c r="HH55" i="1"/>
  <c r="HG55" i="1"/>
  <c r="HF55" i="1"/>
  <c r="HE55" i="1"/>
  <c r="HD55" i="1"/>
  <c r="HC55" i="1"/>
  <c r="HQ54" i="1"/>
  <c r="HP54" i="1"/>
  <c r="HO54" i="1"/>
  <c r="HN54" i="1"/>
  <c r="HM54" i="1"/>
  <c r="HL54" i="1"/>
  <c r="HK54" i="1"/>
  <c r="HJ54" i="1"/>
  <c r="HI54" i="1"/>
  <c r="HH54" i="1"/>
  <c r="HG54" i="1"/>
  <c r="HF54" i="1"/>
  <c r="HE54" i="1"/>
  <c r="HD54" i="1"/>
  <c r="HC54" i="1"/>
  <c r="HQ53" i="1"/>
  <c r="HP53" i="1"/>
  <c r="HO53" i="1"/>
  <c r="HN53" i="1"/>
  <c r="HM53" i="1"/>
  <c r="HL53" i="1"/>
  <c r="HK53" i="1"/>
  <c r="HJ53" i="1"/>
  <c r="HI53" i="1"/>
  <c r="HH53" i="1"/>
  <c r="HG53" i="1"/>
  <c r="HF53" i="1"/>
  <c r="HE53" i="1"/>
  <c r="HD53" i="1"/>
  <c r="HC53" i="1"/>
  <c r="HQ52" i="1"/>
  <c r="HP52" i="1"/>
  <c r="HO52" i="1"/>
  <c r="HN52" i="1"/>
  <c r="HM52" i="1"/>
  <c r="HL52" i="1"/>
  <c r="HK52" i="1"/>
  <c r="HJ52" i="1"/>
  <c r="HI52" i="1"/>
  <c r="HH52" i="1"/>
  <c r="HG52" i="1"/>
  <c r="HF52" i="1"/>
  <c r="HE52" i="1"/>
  <c r="HD52" i="1"/>
  <c r="HC52" i="1"/>
  <c r="HQ51" i="1"/>
  <c r="HP51" i="1"/>
  <c r="HO51" i="1"/>
  <c r="HN51" i="1"/>
  <c r="HM51" i="1"/>
  <c r="HL51" i="1"/>
  <c r="HK51" i="1"/>
  <c r="HJ51" i="1"/>
  <c r="HI51" i="1"/>
  <c r="HH51" i="1"/>
  <c r="HG51" i="1"/>
  <c r="HF51" i="1"/>
  <c r="HE51" i="1"/>
  <c r="HD51" i="1"/>
  <c r="HC51" i="1"/>
  <c r="HQ50" i="1"/>
  <c r="HP50" i="1"/>
  <c r="HO50" i="1"/>
  <c r="HN50" i="1"/>
  <c r="HM50" i="1"/>
  <c r="HL50" i="1"/>
  <c r="HK50" i="1"/>
  <c r="HJ50" i="1"/>
  <c r="HI50" i="1"/>
  <c r="HH50" i="1"/>
  <c r="HG50" i="1"/>
  <c r="HF50" i="1"/>
  <c r="HE50" i="1"/>
  <c r="HD50" i="1"/>
  <c r="HC50" i="1"/>
  <c r="HQ49" i="1"/>
  <c r="HP49" i="1"/>
  <c r="HO49" i="1"/>
  <c r="HN49" i="1"/>
  <c r="HM49" i="1"/>
  <c r="HL49" i="1"/>
  <c r="HK49" i="1"/>
  <c r="HJ49" i="1"/>
  <c r="HI49" i="1"/>
  <c r="HH49" i="1"/>
  <c r="HG49" i="1"/>
  <c r="HF49" i="1"/>
  <c r="HE49" i="1"/>
  <c r="HD49" i="1"/>
  <c r="HC49" i="1"/>
  <c r="HQ48" i="1"/>
  <c r="HP48" i="1"/>
  <c r="HO48" i="1"/>
  <c r="HN48" i="1"/>
  <c r="HM48" i="1"/>
  <c r="HL48" i="1"/>
  <c r="HK48" i="1"/>
  <c r="HJ48" i="1"/>
  <c r="HI48" i="1"/>
  <c r="HH48" i="1"/>
  <c r="HG48" i="1"/>
  <c r="HF48" i="1"/>
  <c r="HE48" i="1"/>
  <c r="HD48" i="1"/>
  <c r="HC48" i="1"/>
  <c r="HQ47" i="1"/>
  <c r="HP47" i="1"/>
  <c r="HO47" i="1"/>
  <c r="HN47" i="1"/>
  <c r="HM47" i="1"/>
  <c r="HL47" i="1"/>
  <c r="HK47" i="1"/>
  <c r="HJ47" i="1"/>
  <c r="HI47" i="1"/>
  <c r="HH47" i="1"/>
  <c r="HG47" i="1"/>
  <c r="HF47" i="1"/>
  <c r="HE47" i="1"/>
  <c r="HD47" i="1"/>
  <c r="HC47" i="1"/>
  <c r="HQ46" i="1"/>
  <c r="HP46" i="1"/>
  <c r="HO46" i="1"/>
  <c r="HN46" i="1"/>
  <c r="HM46" i="1"/>
  <c r="HL46" i="1"/>
  <c r="HK46" i="1"/>
  <c r="HJ46" i="1"/>
  <c r="HI46" i="1"/>
  <c r="HH46" i="1"/>
  <c r="HG46" i="1"/>
  <c r="HF46" i="1"/>
  <c r="HE46" i="1"/>
  <c r="HD46" i="1"/>
  <c r="HC46" i="1"/>
  <c r="HQ45" i="1"/>
  <c r="HP45" i="1"/>
  <c r="HO45" i="1"/>
  <c r="HN45" i="1"/>
  <c r="HM45" i="1"/>
  <c r="HL45" i="1"/>
  <c r="HK45" i="1"/>
  <c r="HJ45" i="1"/>
  <c r="HI45" i="1"/>
  <c r="HH45" i="1"/>
  <c r="HG45" i="1"/>
  <c r="HF45" i="1"/>
  <c r="HE45" i="1"/>
  <c r="HD45" i="1"/>
  <c r="HC45" i="1"/>
  <c r="HQ44" i="1"/>
  <c r="HP44" i="1"/>
  <c r="HO44" i="1"/>
  <c r="HN44" i="1"/>
  <c r="HM44" i="1"/>
  <c r="HL44" i="1"/>
  <c r="HK44" i="1"/>
  <c r="HJ44" i="1"/>
  <c r="HI44" i="1"/>
  <c r="HH44" i="1"/>
  <c r="HG44" i="1"/>
  <c r="HF44" i="1"/>
  <c r="HE44" i="1"/>
  <c r="HD44" i="1"/>
  <c r="HC44" i="1"/>
  <c r="HQ43" i="1"/>
  <c r="HP43" i="1"/>
  <c r="HO43" i="1"/>
  <c r="HN43" i="1"/>
  <c r="HM43" i="1"/>
  <c r="HL43" i="1"/>
  <c r="HK43" i="1"/>
  <c r="HJ43" i="1"/>
  <c r="HI43" i="1"/>
  <c r="HH43" i="1"/>
  <c r="HG43" i="1"/>
  <c r="HF43" i="1"/>
  <c r="HE43" i="1"/>
  <c r="HD43" i="1"/>
  <c r="HC43" i="1"/>
  <c r="HQ42" i="1"/>
  <c r="HP42" i="1"/>
  <c r="HO42" i="1"/>
  <c r="HN42" i="1"/>
  <c r="HM42" i="1"/>
  <c r="HL42" i="1"/>
  <c r="HK42" i="1"/>
  <c r="HJ42" i="1"/>
  <c r="HI42" i="1"/>
  <c r="HH42" i="1"/>
  <c r="HG42" i="1"/>
  <c r="HF42" i="1"/>
  <c r="HE42" i="1"/>
  <c r="HD42" i="1"/>
  <c r="HC42" i="1"/>
  <c r="HQ41" i="1"/>
  <c r="HP41" i="1"/>
  <c r="HO41" i="1"/>
  <c r="HN41" i="1"/>
  <c r="HM41" i="1"/>
  <c r="HL41" i="1"/>
  <c r="HK41" i="1"/>
  <c r="HJ41" i="1"/>
  <c r="HI41" i="1"/>
  <c r="HH41" i="1"/>
  <c r="HG41" i="1"/>
  <c r="HF41" i="1"/>
  <c r="HE41" i="1"/>
  <c r="HD41" i="1"/>
  <c r="HC41" i="1"/>
  <c r="HQ40" i="1"/>
  <c r="HP40" i="1"/>
  <c r="HO40" i="1"/>
  <c r="HN40" i="1"/>
  <c r="HM40" i="1"/>
  <c r="HL40" i="1"/>
  <c r="HK40" i="1"/>
  <c r="HJ40" i="1"/>
  <c r="HI40" i="1"/>
  <c r="HH40" i="1"/>
  <c r="HG40" i="1"/>
  <c r="HF40" i="1"/>
  <c r="HE40" i="1"/>
  <c r="HD40" i="1"/>
  <c r="HC40" i="1"/>
  <c r="HQ37" i="1"/>
  <c r="HP37" i="1"/>
  <c r="HO37" i="1"/>
  <c r="HN37" i="1"/>
  <c r="HM37" i="1"/>
  <c r="HQ36" i="1"/>
  <c r="HP36" i="1"/>
  <c r="HO36" i="1"/>
  <c r="HN36" i="1"/>
  <c r="HM36" i="1"/>
  <c r="HQ33" i="1"/>
  <c r="HP33" i="1"/>
  <c r="HO33" i="1"/>
  <c r="HN33" i="1"/>
  <c r="HM33" i="1"/>
  <c r="HL33" i="1"/>
  <c r="HK33" i="1"/>
  <c r="HJ33" i="1"/>
  <c r="HI33" i="1"/>
  <c r="HH33" i="1"/>
  <c r="HG33" i="1"/>
  <c r="HF33" i="1"/>
  <c r="HE33" i="1"/>
  <c r="HD33" i="1"/>
  <c r="HC33" i="1"/>
  <c r="HQ32" i="1"/>
  <c r="HP32" i="1"/>
  <c r="HO32" i="1"/>
  <c r="HN32" i="1"/>
  <c r="HM32" i="1"/>
  <c r="HL32" i="1"/>
  <c r="HK32" i="1"/>
  <c r="HJ32" i="1"/>
  <c r="HI32" i="1"/>
  <c r="HH32" i="1"/>
  <c r="HG32" i="1"/>
  <c r="HF32" i="1"/>
  <c r="HE32" i="1"/>
  <c r="HD32" i="1"/>
  <c r="HC32" i="1"/>
  <c r="HQ31" i="1"/>
  <c r="HP31" i="1"/>
  <c r="HO31" i="1"/>
  <c r="HN31" i="1"/>
  <c r="HM31" i="1"/>
  <c r="HL31" i="1"/>
  <c r="HK31" i="1"/>
  <c r="HJ31" i="1"/>
  <c r="HI31" i="1"/>
  <c r="HH31" i="1"/>
  <c r="HG31" i="1"/>
  <c r="HF31" i="1"/>
  <c r="HE31" i="1"/>
  <c r="HD31" i="1"/>
  <c r="HC31" i="1"/>
  <c r="HQ30" i="1"/>
  <c r="HP30" i="1"/>
  <c r="HO30" i="1"/>
  <c r="HN30" i="1"/>
  <c r="HM30" i="1"/>
  <c r="HL30" i="1"/>
  <c r="HK30" i="1"/>
  <c r="HJ30" i="1"/>
  <c r="HI30" i="1"/>
  <c r="HH30" i="1"/>
  <c r="HG30" i="1"/>
  <c r="HF30" i="1"/>
  <c r="HE30" i="1"/>
  <c r="HD30" i="1"/>
  <c r="HC30" i="1"/>
  <c r="HQ29" i="1"/>
  <c r="HP29" i="1"/>
  <c r="HO29" i="1"/>
  <c r="HN29" i="1"/>
  <c r="HM29" i="1"/>
  <c r="HL29" i="1"/>
  <c r="HK29" i="1"/>
  <c r="HJ29" i="1"/>
  <c r="HI29" i="1"/>
  <c r="HH29" i="1"/>
  <c r="HG29" i="1"/>
  <c r="HF29" i="1"/>
  <c r="HE29" i="1"/>
  <c r="HD29" i="1"/>
  <c r="HC29" i="1"/>
  <c r="HQ28" i="1"/>
  <c r="HP28" i="1"/>
  <c r="HO28" i="1"/>
  <c r="HN28" i="1"/>
  <c r="HM28" i="1"/>
  <c r="HL28" i="1"/>
  <c r="HK28" i="1"/>
  <c r="HJ28" i="1"/>
  <c r="HI28" i="1"/>
  <c r="HH28" i="1"/>
  <c r="HG28" i="1"/>
  <c r="HF28" i="1"/>
  <c r="HE28" i="1"/>
  <c r="HD28" i="1"/>
  <c r="HC28" i="1"/>
  <c r="HQ27" i="1"/>
  <c r="HP27" i="1"/>
  <c r="HO27" i="1"/>
  <c r="HN27" i="1"/>
  <c r="HM27" i="1"/>
  <c r="HL27" i="1"/>
  <c r="HK27" i="1"/>
  <c r="HJ27" i="1"/>
  <c r="HI27" i="1"/>
  <c r="HH27" i="1"/>
  <c r="HG27" i="1"/>
  <c r="HF27" i="1"/>
  <c r="HE27" i="1"/>
  <c r="HD27" i="1"/>
  <c r="HC27" i="1"/>
  <c r="HQ26" i="1"/>
  <c r="HP26" i="1"/>
  <c r="HO26" i="1"/>
  <c r="HN26" i="1"/>
  <c r="HM26" i="1"/>
  <c r="HL26" i="1"/>
  <c r="HK26" i="1"/>
  <c r="HJ26" i="1"/>
  <c r="HI26" i="1"/>
  <c r="HH26" i="1"/>
  <c r="HG26" i="1"/>
  <c r="HF26" i="1"/>
  <c r="HE26" i="1"/>
  <c r="HD26" i="1"/>
  <c r="HC26" i="1"/>
  <c r="HQ25" i="1"/>
  <c r="HP25" i="1"/>
  <c r="HO25" i="1"/>
  <c r="HN25" i="1"/>
  <c r="HM25" i="1"/>
  <c r="HL25" i="1"/>
  <c r="HK25" i="1"/>
  <c r="HJ25" i="1"/>
  <c r="HI25" i="1"/>
  <c r="HH25" i="1"/>
  <c r="HG25" i="1"/>
  <c r="HF25" i="1"/>
  <c r="HE25" i="1"/>
  <c r="HD25" i="1"/>
  <c r="HC25" i="1"/>
  <c r="HQ24" i="1"/>
  <c r="HP24" i="1"/>
  <c r="HO24" i="1"/>
  <c r="HN24" i="1"/>
  <c r="HM24" i="1"/>
  <c r="HL24" i="1"/>
  <c r="HK24" i="1"/>
  <c r="HJ24" i="1"/>
  <c r="HI24" i="1"/>
  <c r="HH24" i="1"/>
  <c r="HG24" i="1"/>
  <c r="HF24" i="1"/>
  <c r="HE24" i="1"/>
  <c r="HD24" i="1"/>
  <c r="HC24" i="1"/>
  <c r="HQ23" i="1"/>
  <c r="HP23" i="1"/>
  <c r="HO23" i="1"/>
  <c r="HN23" i="1"/>
  <c r="HM23" i="1"/>
  <c r="HL23" i="1"/>
  <c r="HK23" i="1"/>
  <c r="HJ23" i="1"/>
  <c r="HI23" i="1"/>
  <c r="HH23" i="1"/>
  <c r="HG23" i="1"/>
  <c r="HF23" i="1"/>
  <c r="HE23" i="1"/>
  <c r="HD23" i="1"/>
  <c r="HC23" i="1"/>
  <c r="HQ22" i="1"/>
  <c r="HP22" i="1"/>
  <c r="HO22" i="1"/>
  <c r="HN22" i="1"/>
  <c r="HM22" i="1"/>
  <c r="HL22" i="1"/>
  <c r="HK22" i="1"/>
  <c r="HJ22" i="1"/>
  <c r="HI22" i="1"/>
  <c r="HH22" i="1"/>
  <c r="HG22" i="1"/>
  <c r="HF22" i="1"/>
  <c r="HE22" i="1"/>
  <c r="HD22" i="1"/>
  <c r="HC22" i="1"/>
  <c r="HQ21" i="1"/>
  <c r="HP21" i="1"/>
  <c r="HO21" i="1"/>
  <c r="HN21" i="1"/>
  <c r="HM21" i="1"/>
  <c r="HL21" i="1"/>
  <c r="HK21" i="1"/>
  <c r="HJ21" i="1"/>
  <c r="HI21" i="1"/>
  <c r="HH21" i="1"/>
  <c r="HG21" i="1"/>
  <c r="HF21" i="1"/>
  <c r="HE21" i="1"/>
  <c r="HD21" i="1"/>
  <c r="HC21" i="1"/>
  <c r="HQ18" i="1"/>
  <c r="HP18" i="1"/>
  <c r="HO18" i="1"/>
  <c r="HN18" i="1"/>
  <c r="HM18" i="1"/>
  <c r="HL18" i="1"/>
  <c r="HK18" i="1"/>
  <c r="HJ18" i="1"/>
  <c r="HI18" i="1"/>
  <c r="HH18" i="1"/>
  <c r="HG18" i="1"/>
  <c r="HF18" i="1"/>
  <c r="HE18" i="1"/>
  <c r="HD18" i="1"/>
  <c r="HC18" i="1"/>
  <c r="HQ17" i="1"/>
  <c r="HP17" i="1"/>
  <c r="HO17" i="1"/>
  <c r="HN17" i="1"/>
  <c r="HM17" i="1"/>
  <c r="HL17" i="1"/>
  <c r="HK17" i="1"/>
  <c r="HJ17" i="1"/>
  <c r="HI17" i="1"/>
  <c r="HH17" i="1"/>
  <c r="HG17" i="1"/>
  <c r="HF17" i="1"/>
  <c r="HE17" i="1"/>
  <c r="HD17" i="1"/>
  <c r="HC17" i="1"/>
  <c r="HQ16" i="1"/>
  <c r="HP16" i="1"/>
  <c r="HO16" i="1"/>
  <c r="HN16" i="1"/>
  <c r="HM16" i="1"/>
  <c r="HL16" i="1"/>
  <c r="HK16" i="1"/>
  <c r="HJ16" i="1"/>
  <c r="HI16" i="1"/>
  <c r="HH16" i="1"/>
  <c r="HG16" i="1"/>
  <c r="HF16" i="1"/>
  <c r="HE16" i="1"/>
  <c r="HD16" i="1"/>
  <c r="HC16" i="1"/>
  <c r="HQ15" i="1"/>
  <c r="HP15" i="1"/>
  <c r="HO15" i="1"/>
  <c r="HN15" i="1"/>
  <c r="HM15" i="1"/>
  <c r="HL15" i="1"/>
  <c r="HK15" i="1"/>
  <c r="HJ15" i="1"/>
  <c r="HI15" i="1"/>
  <c r="HH15" i="1"/>
  <c r="HG15" i="1"/>
  <c r="HF15" i="1"/>
  <c r="HE15" i="1"/>
  <c r="HD15" i="1"/>
  <c r="HC15" i="1"/>
  <c r="HQ14" i="1"/>
  <c r="HP14" i="1"/>
  <c r="HO14" i="1"/>
  <c r="HN14" i="1"/>
  <c r="HM14" i="1"/>
  <c r="HL14" i="1"/>
  <c r="HK14" i="1"/>
  <c r="HJ14" i="1"/>
  <c r="HI14" i="1"/>
  <c r="HH14" i="1"/>
  <c r="HG14" i="1"/>
  <c r="HF14" i="1"/>
  <c r="HE14" i="1"/>
  <c r="HD14" i="1"/>
  <c r="HC14" i="1"/>
  <c r="HQ13" i="1"/>
  <c r="HP13" i="1"/>
  <c r="HO13" i="1"/>
  <c r="HN13" i="1"/>
  <c r="HM13" i="1"/>
  <c r="HL13" i="1"/>
  <c r="HK13" i="1"/>
  <c r="HJ13" i="1"/>
  <c r="HI13" i="1"/>
  <c r="HH13" i="1"/>
  <c r="HG13" i="1"/>
  <c r="HF13" i="1"/>
  <c r="HE13" i="1"/>
  <c r="HD13" i="1"/>
  <c r="HC13" i="1"/>
  <c r="CW58" i="1"/>
  <c r="CV58" i="1"/>
  <c r="CU58" i="1"/>
  <c r="CT58" i="1"/>
  <c r="CS58" i="1"/>
  <c r="CR58" i="1"/>
  <c r="CQ58" i="1"/>
  <c r="CP58" i="1"/>
  <c r="CO58" i="1"/>
  <c r="CN58" i="1"/>
  <c r="CM58" i="1"/>
  <c r="CL58" i="1"/>
  <c r="CK58" i="1"/>
  <c r="CJ58" i="1"/>
  <c r="CI58" i="1"/>
  <c r="CH58" i="1"/>
  <c r="CG58" i="1"/>
  <c r="CF58" i="1"/>
  <c r="CW57" i="1"/>
  <c r="CV57" i="1"/>
  <c r="CU57" i="1"/>
  <c r="CT57" i="1"/>
  <c r="CS57" i="1"/>
  <c r="CR57" i="1"/>
  <c r="CQ57" i="1"/>
  <c r="CP57" i="1"/>
  <c r="CO57" i="1"/>
  <c r="CN57" i="1"/>
  <c r="CM57" i="1"/>
  <c r="CL57" i="1"/>
  <c r="CK57" i="1"/>
  <c r="CJ57" i="1"/>
  <c r="CI57" i="1"/>
  <c r="CH57" i="1"/>
  <c r="CG57" i="1"/>
  <c r="CF57" i="1"/>
  <c r="CW56" i="1"/>
  <c r="CV56" i="1"/>
  <c r="CU56" i="1"/>
  <c r="CT56" i="1"/>
  <c r="CS56" i="1"/>
  <c r="CR56" i="1"/>
  <c r="CQ56" i="1"/>
  <c r="CP56" i="1"/>
  <c r="CO56" i="1"/>
  <c r="CN56" i="1"/>
  <c r="CM56" i="1"/>
  <c r="CL56" i="1"/>
  <c r="CK56" i="1"/>
  <c r="CJ56" i="1"/>
  <c r="CI56" i="1"/>
  <c r="CH56" i="1"/>
  <c r="CG56" i="1"/>
  <c r="CF56" i="1"/>
  <c r="CW55" i="1"/>
  <c r="CV55" i="1"/>
  <c r="CU55" i="1"/>
  <c r="CT55" i="1"/>
  <c r="CS55" i="1"/>
  <c r="CR55" i="1"/>
  <c r="CQ55" i="1"/>
  <c r="CP55" i="1"/>
  <c r="CO55" i="1"/>
  <c r="CN55" i="1"/>
  <c r="CM55" i="1"/>
  <c r="CL55" i="1"/>
  <c r="CK55" i="1"/>
  <c r="CJ55" i="1"/>
  <c r="CI55" i="1"/>
  <c r="CH55" i="1"/>
  <c r="CG55" i="1"/>
  <c r="CF55" i="1"/>
  <c r="CW54" i="1"/>
  <c r="CV54" i="1"/>
  <c r="CU54" i="1"/>
  <c r="CT54" i="1"/>
  <c r="CS54" i="1"/>
  <c r="CR54" i="1"/>
  <c r="CQ54" i="1"/>
  <c r="CP54" i="1"/>
  <c r="CO54" i="1"/>
  <c r="CN54" i="1"/>
  <c r="CM54" i="1"/>
  <c r="CL54" i="1"/>
  <c r="CK54" i="1"/>
  <c r="CJ54" i="1"/>
  <c r="CI54" i="1"/>
  <c r="CH54" i="1"/>
  <c r="CG54" i="1"/>
  <c r="CF54" i="1"/>
  <c r="CW53" i="1"/>
  <c r="CV53" i="1"/>
  <c r="CU53" i="1"/>
  <c r="CT53" i="1"/>
  <c r="CS53" i="1"/>
  <c r="CR53" i="1"/>
  <c r="CQ53" i="1"/>
  <c r="CP53" i="1"/>
  <c r="CO53" i="1"/>
  <c r="CN53" i="1"/>
  <c r="CM53" i="1"/>
  <c r="CL53" i="1"/>
  <c r="CK53" i="1"/>
  <c r="CJ53" i="1"/>
  <c r="CI53" i="1"/>
  <c r="CH53" i="1"/>
  <c r="CG53" i="1"/>
  <c r="CF53" i="1"/>
  <c r="CW52" i="1"/>
  <c r="CV52" i="1"/>
  <c r="CU52" i="1"/>
  <c r="CT52" i="1"/>
  <c r="CS52" i="1"/>
  <c r="CR52" i="1"/>
  <c r="CQ52" i="1"/>
  <c r="CP52" i="1"/>
  <c r="CO52" i="1"/>
  <c r="CN52" i="1"/>
  <c r="CM52" i="1"/>
  <c r="CL52" i="1"/>
  <c r="CK52" i="1"/>
  <c r="CJ52" i="1"/>
  <c r="CI52" i="1"/>
  <c r="CH52" i="1"/>
  <c r="CG52" i="1"/>
  <c r="CF52" i="1"/>
  <c r="CW51" i="1"/>
  <c r="CV51" i="1"/>
  <c r="CU51" i="1"/>
  <c r="CT51" i="1"/>
  <c r="CS51" i="1"/>
  <c r="CR51" i="1"/>
  <c r="CQ51" i="1"/>
  <c r="CP51" i="1"/>
  <c r="CO51" i="1"/>
  <c r="CN51" i="1"/>
  <c r="CM51" i="1"/>
  <c r="CL51" i="1"/>
  <c r="CK51" i="1"/>
  <c r="CJ51" i="1"/>
  <c r="CI51" i="1"/>
  <c r="CH51" i="1"/>
  <c r="CG51" i="1"/>
  <c r="CF51" i="1"/>
  <c r="CW50" i="1"/>
  <c r="CV50" i="1"/>
  <c r="CU50" i="1"/>
  <c r="CT50" i="1"/>
  <c r="CS50" i="1"/>
  <c r="CR50" i="1"/>
  <c r="CQ50" i="1"/>
  <c r="CP50" i="1"/>
  <c r="CO50" i="1"/>
  <c r="CN50" i="1"/>
  <c r="CM50" i="1"/>
  <c r="CL50" i="1"/>
  <c r="CK50" i="1"/>
  <c r="CJ50" i="1"/>
  <c r="CI50" i="1"/>
  <c r="CH50" i="1"/>
  <c r="CG50" i="1"/>
  <c r="CF50" i="1"/>
  <c r="CW49" i="1"/>
  <c r="CV49" i="1"/>
  <c r="CU49" i="1"/>
  <c r="CT49" i="1"/>
  <c r="CS49" i="1"/>
  <c r="CR49" i="1"/>
  <c r="CQ49" i="1"/>
  <c r="CP49" i="1"/>
  <c r="CO49" i="1"/>
  <c r="CN49" i="1"/>
  <c r="CM49" i="1"/>
  <c r="CL49" i="1"/>
  <c r="CK49" i="1"/>
  <c r="CJ49" i="1"/>
  <c r="CI49" i="1"/>
  <c r="CH49" i="1"/>
  <c r="CG49" i="1"/>
  <c r="CF49" i="1"/>
  <c r="CW48" i="1"/>
  <c r="CV48" i="1"/>
  <c r="CU48" i="1"/>
  <c r="CT48" i="1"/>
  <c r="CS48" i="1"/>
  <c r="CR48" i="1"/>
  <c r="CQ48" i="1"/>
  <c r="CP48" i="1"/>
  <c r="CO48" i="1"/>
  <c r="CN48" i="1"/>
  <c r="CM48" i="1"/>
  <c r="CL48" i="1"/>
  <c r="CK48" i="1"/>
  <c r="CJ48" i="1"/>
  <c r="CI48" i="1"/>
  <c r="CH48" i="1"/>
  <c r="CG48" i="1"/>
  <c r="CF48" i="1"/>
  <c r="CW47" i="1"/>
  <c r="CV47" i="1"/>
  <c r="CU47" i="1"/>
  <c r="CT47" i="1"/>
  <c r="CS47" i="1"/>
  <c r="CR47" i="1"/>
  <c r="CQ47" i="1"/>
  <c r="CP47" i="1"/>
  <c r="CO47" i="1"/>
  <c r="CN47" i="1"/>
  <c r="CM47" i="1"/>
  <c r="CL47" i="1"/>
  <c r="CK47" i="1"/>
  <c r="CJ47" i="1"/>
  <c r="CI47" i="1"/>
  <c r="CH47" i="1"/>
  <c r="CG47" i="1"/>
  <c r="CF47" i="1"/>
  <c r="CW46" i="1"/>
  <c r="CV46" i="1"/>
  <c r="CU46" i="1"/>
  <c r="CT46" i="1"/>
  <c r="CS46" i="1"/>
  <c r="CR46" i="1"/>
  <c r="CQ46" i="1"/>
  <c r="CP46" i="1"/>
  <c r="CO46" i="1"/>
  <c r="CN46" i="1"/>
  <c r="CM46" i="1"/>
  <c r="CL46" i="1"/>
  <c r="CK46" i="1"/>
  <c r="CJ46" i="1"/>
  <c r="CI46" i="1"/>
  <c r="CH46" i="1"/>
  <c r="CG46" i="1"/>
  <c r="CF46" i="1"/>
  <c r="CW45" i="1"/>
  <c r="CV45" i="1"/>
  <c r="CU45" i="1"/>
  <c r="CT45" i="1"/>
  <c r="CS45" i="1"/>
  <c r="CR45" i="1"/>
  <c r="CQ45" i="1"/>
  <c r="CP45" i="1"/>
  <c r="CO45" i="1"/>
  <c r="CN45" i="1"/>
  <c r="CM45" i="1"/>
  <c r="CL45" i="1"/>
  <c r="CK45" i="1"/>
  <c r="CJ45" i="1"/>
  <c r="CI45" i="1"/>
  <c r="CH45" i="1"/>
  <c r="CG45" i="1"/>
  <c r="CF45" i="1"/>
  <c r="CW44" i="1"/>
  <c r="CV44" i="1"/>
  <c r="CU44" i="1"/>
  <c r="CT44" i="1"/>
  <c r="CS44" i="1"/>
  <c r="CR44" i="1"/>
  <c r="CQ44" i="1"/>
  <c r="CP44" i="1"/>
  <c r="CO44" i="1"/>
  <c r="CN44" i="1"/>
  <c r="CM44" i="1"/>
  <c r="CL44" i="1"/>
  <c r="CK44" i="1"/>
  <c r="CJ44" i="1"/>
  <c r="CI44" i="1"/>
  <c r="CH44" i="1"/>
  <c r="CG44" i="1"/>
  <c r="CF44" i="1"/>
  <c r="CW43" i="1"/>
  <c r="CV43" i="1"/>
  <c r="CU43" i="1"/>
  <c r="CT43" i="1"/>
  <c r="CS43" i="1"/>
  <c r="CR43" i="1"/>
  <c r="CQ43" i="1"/>
  <c r="CP43" i="1"/>
  <c r="CO43" i="1"/>
  <c r="CN43" i="1"/>
  <c r="CM43" i="1"/>
  <c r="CL43" i="1"/>
  <c r="CK43" i="1"/>
  <c r="CJ43" i="1"/>
  <c r="CI43" i="1"/>
  <c r="CH43" i="1"/>
  <c r="CG43" i="1"/>
  <c r="CF43" i="1"/>
  <c r="CW42" i="1"/>
  <c r="CV42" i="1"/>
  <c r="CU42" i="1"/>
  <c r="CT42" i="1"/>
  <c r="CS42" i="1"/>
  <c r="CR42" i="1"/>
  <c r="CQ42" i="1"/>
  <c r="CP42" i="1"/>
  <c r="CO42" i="1"/>
  <c r="CN42" i="1"/>
  <c r="CM42" i="1"/>
  <c r="CL42" i="1"/>
  <c r="CK42" i="1"/>
  <c r="CJ42" i="1"/>
  <c r="CI42" i="1"/>
  <c r="CH42" i="1"/>
  <c r="CG42" i="1"/>
  <c r="CF42" i="1"/>
  <c r="CW41" i="1"/>
  <c r="CV41" i="1"/>
  <c r="CU41" i="1"/>
  <c r="CT41" i="1"/>
  <c r="CS41" i="1"/>
  <c r="CR41" i="1"/>
  <c r="CQ41" i="1"/>
  <c r="CP41" i="1"/>
  <c r="CO41" i="1"/>
  <c r="CN41" i="1"/>
  <c r="CM41" i="1"/>
  <c r="CL41" i="1"/>
  <c r="CK41" i="1"/>
  <c r="CJ41" i="1"/>
  <c r="CI41" i="1"/>
  <c r="CH41" i="1"/>
  <c r="CG41" i="1"/>
  <c r="CF41" i="1"/>
  <c r="CW40" i="1"/>
  <c r="CV40" i="1"/>
  <c r="CU40" i="1"/>
  <c r="CT40" i="1"/>
  <c r="CS40" i="1"/>
  <c r="CR40" i="1"/>
  <c r="CQ40" i="1"/>
  <c r="CP40" i="1"/>
  <c r="CO40" i="1"/>
  <c r="CN40" i="1"/>
  <c r="CM40" i="1"/>
  <c r="CL40" i="1"/>
  <c r="CK40" i="1"/>
  <c r="CJ40" i="1"/>
  <c r="CI40" i="1"/>
  <c r="CH40" i="1"/>
  <c r="CG40" i="1"/>
  <c r="CF40" i="1"/>
  <c r="CW37" i="1"/>
  <c r="CV37" i="1"/>
  <c r="CU37" i="1"/>
  <c r="CT37" i="1"/>
  <c r="CS37" i="1"/>
  <c r="CW36" i="1"/>
  <c r="CV36" i="1"/>
  <c r="CU36" i="1"/>
  <c r="CT36" i="1"/>
  <c r="CS36" i="1"/>
  <c r="CW33" i="1"/>
  <c r="CV33" i="1"/>
  <c r="CU33" i="1"/>
  <c r="CT33" i="1"/>
  <c r="CS33" i="1"/>
  <c r="CR33" i="1"/>
  <c r="CQ33" i="1"/>
  <c r="CP33" i="1"/>
  <c r="CO33" i="1"/>
  <c r="CN33" i="1"/>
  <c r="CM33" i="1"/>
  <c r="CL33" i="1"/>
  <c r="CK33" i="1"/>
  <c r="CJ33" i="1"/>
  <c r="CI33" i="1"/>
  <c r="CH33" i="1"/>
  <c r="CG33" i="1"/>
  <c r="CF33" i="1"/>
  <c r="CW32" i="1"/>
  <c r="CV32" i="1"/>
  <c r="CU32" i="1"/>
  <c r="CT32" i="1"/>
  <c r="CS32" i="1"/>
  <c r="CR32" i="1"/>
  <c r="CQ32" i="1"/>
  <c r="CP32" i="1"/>
  <c r="CO32" i="1"/>
  <c r="CN32" i="1"/>
  <c r="CM32" i="1"/>
  <c r="CL32" i="1"/>
  <c r="CK32" i="1"/>
  <c r="CJ32" i="1"/>
  <c r="CI32" i="1"/>
  <c r="CH32" i="1"/>
  <c r="CG32" i="1"/>
  <c r="CF32" i="1"/>
  <c r="CW31" i="1"/>
  <c r="CV31" i="1"/>
  <c r="CU31" i="1"/>
  <c r="CT31" i="1"/>
  <c r="CS31" i="1"/>
  <c r="CR31" i="1"/>
  <c r="CQ31" i="1"/>
  <c r="CP31" i="1"/>
  <c r="CO31" i="1"/>
  <c r="CN31" i="1"/>
  <c r="CM31" i="1"/>
  <c r="CL31" i="1"/>
  <c r="CK31" i="1"/>
  <c r="CJ31" i="1"/>
  <c r="CI31" i="1"/>
  <c r="CH31" i="1"/>
  <c r="CG31" i="1"/>
  <c r="CF31" i="1"/>
  <c r="CW30" i="1"/>
  <c r="CV30" i="1"/>
  <c r="CU30" i="1"/>
  <c r="CT30" i="1"/>
  <c r="CS30" i="1"/>
  <c r="CR30" i="1"/>
  <c r="CQ30" i="1"/>
  <c r="CP30" i="1"/>
  <c r="CO30" i="1"/>
  <c r="CN30" i="1"/>
  <c r="CM30" i="1"/>
  <c r="CL30" i="1"/>
  <c r="CK30" i="1"/>
  <c r="CJ30" i="1"/>
  <c r="CI30" i="1"/>
  <c r="CH30" i="1"/>
  <c r="CG30" i="1"/>
  <c r="CF30" i="1"/>
  <c r="CW29" i="1"/>
  <c r="CV29" i="1"/>
  <c r="CU29" i="1"/>
  <c r="CT29" i="1"/>
  <c r="CS29" i="1"/>
  <c r="CR29" i="1"/>
  <c r="CQ29" i="1"/>
  <c r="CP29" i="1"/>
  <c r="CO29" i="1"/>
  <c r="CN29" i="1"/>
  <c r="CM29" i="1"/>
  <c r="CL29" i="1"/>
  <c r="CK29" i="1"/>
  <c r="CJ29" i="1"/>
  <c r="CI29" i="1"/>
  <c r="CH29" i="1"/>
  <c r="CG29" i="1"/>
  <c r="CF29" i="1"/>
  <c r="CW28" i="1"/>
  <c r="CV28" i="1"/>
  <c r="CU28" i="1"/>
  <c r="CT28" i="1"/>
  <c r="CS28" i="1"/>
  <c r="CR28" i="1"/>
  <c r="CQ28" i="1"/>
  <c r="CP28" i="1"/>
  <c r="CO28" i="1"/>
  <c r="CN28" i="1"/>
  <c r="CM28" i="1"/>
  <c r="CL28" i="1"/>
  <c r="CK28" i="1"/>
  <c r="CJ28" i="1"/>
  <c r="CI28" i="1"/>
  <c r="CH28" i="1"/>
  <c r="CG28" i="1"/>
  <c r="CF28" i="1"/>
  <c r="CW27" i="1"/>
  <c r="CV27" i="1"/>
  <c r="CU27" i="1"/>
  <c r="CT27" i="1"/>
  <c r="CS27" i="1"/>
  <c r="CR27" i="1"/>
  <c r="CQ27" i="1"/>
  <c r="CP27" i="1"/>
  <c r="CO27" i="1"/>
  <c r="CN27" i="1"/>
  <c r="CM27" i="1"/>
  <c r="CL27" i="1"/>
  <c r="CK27" i="1"/>
  <c r="CJ27" i="1"/>
  <c r="CI27" i="1"/>
  <c r="CH27" i="1"/>
  <c r="CG27" i="1"/>
  <c r="CF27" i="1"/>
  <c r="CW26" i="1"/>
  <c r="CV26" i="1"/>
  <c r="CU26" i="1"/>
  <c r="CT26" i="1"/>
  <c r="CS26" i="1"/>
  <c r="CR26" i="1"/>
  <c r="CQ26" i="1"/>
  <c r="CP26" i="1"/>
  <c r="CO26" i="1"/>
  <c r="CN26" i="1"/>
  <c r="CM26" i="1"/>
  <c r="CL26" i="1"/>
  <c r="CK26" i="1"/>
  <c r="CJ26" i="1"/>
  <c r="CI26" i="1"/>
  <c r="CH26" i="1"/>
  <c r="CG26" i="1"/>
  <c r="CF26" i="1"/>
  <c r="CW25" i="1"/>
  <c r="CV25" i="1"/>
  <c r="CU25" i="1"/>
  <c r="CT25" i="1"/>
  <c r="CS25" i="1"/>
  <c r="CR25" i="1"/>
  <c r="CQ25" i="1"/>
  <c r="CP25" i="1"/>
  <c r="CO25" i="1"/>
  <c r="CN25" i="1"/>
  <c r="CM25" i="1"/>
  <c r="CL25" i="1"/>
  <c r="CK25" i="1"/>
  <c r="CJ25" i="1"/>
  <c r="CI25" i="1"/>
  <c r="CH25" i="1"/>
  <c r="CG25" i="1"/>
  <c r="CF25" i="1"/>
  <c r="CW24" i="1"/>
  <c r="CV24" i="1"/>
  <c r="CU24" i="1"/>
  <c r="CT24" i="1"/>
  <c r="CS24" i="1"/>
  <c r="CR24" i="1"/>
  <c r="CQ24" i="1"/>
  <c r="CP24" i="1"/>
  <c r="CO24" i="1"/>
  <c r="CN24" i="1"/>
  <c r="CM24" i="1"/>
  <c r="CL24" i="1"/>
  <c r="CK24" i="1"/>
  <c r="CJ24" i="1"/>
  <c r="CI24" i="1"/>
  <c r="CH24" i="1"/>
  <c r="CG24" i="1"/>
  <c r="CF24" i="1"/>
  <c r="CW23" i="1"/>
  <c r="CV23" i="1"/>
  <c r="CU23" i="1"/>
  <c r="CT23" i="1"/>
  <c r="CS23" i="1"/>
  <c r="CR23" i="1"/>
  <c r="CQ23" i="1"/>
  <c r="CP23" i="1"/>
  <c r="CO23" i="1"/>
  <c r="CN23" i="1"/>
  <c r="CM23" i="1"/>
  <c r="CL23" i="1"/>
  <c r="CK23" i="1"/>
  <c r="CJ23" i="1"/>
  <c r="CI23" i="1"/>
  <c r="CH23" i="1"/>
  <c r="CG23" i="1"/>
  <c r="CF23" i="1"/>
  <c r="CW22" i="1"/>
  <c r="CV22" i="1"/>
  <c r="CU22" i="1"/>
  <c r="CT22" i="1"/>
  <c r="CS22" i="1"/>
  <c r="CR22" i="1"/>
  <c r="CQ22" i="1"/>
  <c r="CP22" i="1"/>
  <c r="CO22" i="1"/>
  <c r="CN22" i="1"/>
  <c r="CM22" i="1"/>
  <c r="CL22" i="1"/>
  <c r="CK22" i="1"/>
  <c r="CJ22" i="1"/>
  <c r="CI22" i="1"/>
  <c r="CH22" i="1"/>
  <c r="CG22" i="1"/>
  <c r="CF22" i="1"/>
  <c r="CW21" i="1"/>
  <c r="CV21" i="1"/>
  <c r="CU21" i="1"/>
  <c r="CT21" i="1"/>
  <c r="CS21" i="1"/>
  <c r="CR21" i="1"/>
  <c r="CQ21" i="1"/>
  <c r="CP21" i="1"/>
  <c r="CO21" i="1"/>
  <c r="CN21" i="1"/>
  <c r="CM21" i="1"/>
  <c r="CL21" i="1"/>
  <c r="CK21" i="1"/>
  <c r="CJ21" i="1"/>
  <c r="CI21" i="1"/>
  <c r="CH21" i="1"/>
  <c r="CG21" i="1"/>
  <c r="CF21" i="1"/>
  <c r="CW18" i="1"/>
  <c r="CV18" i="1"/>
  <c r="CU18" i="1"/>
  <c r="CT18" i="1"/>
  <c r="CS18" i="1"/>
  <c r="CR18" i="1"/>
  <c r="CQ18" i="1"/>
  <c r="CP18" i="1"/>
  <c r="CO18" i="1"/>
  <c r="CN18" i="1"/>
  <c r="CM18" i="1"/>
  <c r="CL18" i="1"/>
  <c r="CK18" i="1"/>
  <c r="CJ18" i="1"/>
  <c r="CI18" i="1"/>
  <c r="CH18" i="1"/>
  <c r="CG18" i="1"/>
  <c r="CF18" i="1"/>
  <c r="CW17" i="1"/>
  <c r="CV17" i="1"/>
  <c r="CU17" i="1"/>
  <c r="CT17" i="1"/>
  <c r="CS17" i="1"/>
  <c r="CR17" i="1"/>
  <c r="CQ17" i="1"/>
  <c r="CP17" i="1"/>
  <c r="CO17" i="1"/>
  <c r="CN17" i="1"/>
  <c r="CM17" i="1"/>
  <c r="CL17" i="1"/>
  <c r="CK17" i="1"/>
  <c r="CJ17" i="1"/>
  <c r="CI17" i="1"/>
  <c r="CH17" i="1"/>
  <c r="CG17" i="1"/>
  <c r="CF17" i="1"/>
  <c r="CW16" i="1"/>
  <c r="CV16" i="1"/>
  <c r="CU16" i="1"/>
  <c r="CT16" i="1"/>
  <c r="CS16" i="1"/>
  <c r="CR16" i="1"/>
  <c r="CQ16" i="1"/>
  <c r="CP16" i="1"/>
  <c r="CO16" i="1"/>
  <c r="CN16" i="1"/>
  <c r="CM16" i="1"/>
  <c r="CL16" i="1"/>
  <c r="CK16" i="1"/>
  <c r="CJ16" i="1"/>
  <c r="CI16" i="1"/>
  <c r="CH16" i="1"/>
  <c r="CG16" i="1"/>
  <c r="CF16" i="1"/>
  <c r="CW15" i="1"/>
  <c r="CV15" i="1"/>
  <c r="CU15" i="1"/>
  <c r="CT15" i="1"/>
  <c r="CS15" i="1"/>
  <c r="CR15" i="1"/>
  <c r="CQ15" i="1"/>
  <c r="CP15" i="1"/>
  <c r="CO15" i="1"/>
  <c r="CN15" i="1"/>
  <c r="CM15" i="1"/>
  <c r="CL15" i="1"/>
  <c r="CK15" i="1"/>
  <c r="CJ15" i="1"/>
  <c r="CI15" i="1"/>
  <c r="CH15" i="1"/>
  <c r="CG15" i="1"/>
  <c r="CF15" i="1"/>
  <c r="CW14" i="1"/>
  <c r="CV14" i="1"/>
  <c r="CU14" i="1"/>
  <c r="CT14" i="1"/>
  <c r="CS14" i="1"/>
  <c r="CR14" i="1"/>
  <c r="CQ14" i="1"/>
  <c r="CP14" i="1"/>
  <c r="CO14" i="1"/>
  <c r="CN14" i="1"/>
  <c r="CM14" i="1"/>
  <c r="CL14" i="1"/>
  <c r="CK14" i="1"/>
  <c r="CJ14" i="1"/>
  <c r="CI14" i="1"/>
  <c r="CH14" i="1"/>
  <c r="CG14" i="1"/>
  <c r="CF14" i="1"/>
  <c r="CW13" i="1"/>
  <c r="CV13" i="1"/>
  <c r="CU13" i="1"/>
  <c r="CT13" i="1"/>
  <c r="CS13" i="1"/>
  <c r="CR13" i="1"/>
  <c r="CQ13" i="1"/>
  <c r="CP13" i="1"/>
  <c r="CO13" i="1"/>
  <c r="CN13" i="1"/>
  <c r="CM13" i="1"/>
  <c r="CL13" i="1"/>
  <c r="CK13" i="1"/>
  <c r="CJ13" i="1"/>
  <c r="CI13" i="1"/>
  <c r="CH13" i="1"/>
  <c r="CG13" i="1"/>
  <c r="CF13" i="1"/>
  <c r="BR58" i="1"/>
  <c r="BQ58" i="1"/>
  <c r="BP58" i="1"/>
  <c r="BO58" i="1"/>
  <c r="BN58" i="1"/>
  <c r="BM58" i="1"/>
  <c r="BL58" i="1"/>
  <c r="BK58" i="1"/>
  <c r="BJ58" i="1"/>
  <c r="BI58" i="1"/>
  <c r="BH58" i="1"/>
  <c r="BG58" i="1"/>
  <c r="BF58" i="1"/>
  <c r="BE58" i="1"/>
  <c r="BD58" i="1"/>
  <c r="BC58" i="1"/>
  <c r="BB58" i="1"/>
  <c r="BA58" i="1"/>
  <c r="BR57" i="1"/>
  <c r="BQ57" i="1"/>
  <c r="BP57" i="1"/>
  <c r="BO57" i="1"/>
  <c r="BN57" i="1"/>
  <c r="BM57" i="1"/>
  <c r="BL57" i="1"/>
  <c r="BK57" i="1"/>
  <c r="BJ57" i="1"/>
  <c r="BI57" i="1"/>
  <c r="BH57" i="1"/>
  <c r="BG57" i="1"/>
  <c r="BF57" i="1"/>
  <c r="BE57" i="1"/>
  <c r="BD57" i="1"/>
  <c r="BC57" i="1"/>
  <c r="BB57" i="1"/>
  <c r="BA57" i="1"/>
  <c r="BR56" i="1"/>
  <c r="BQ56" i="1"/>
  <c r="BP56" i="1"/>
  <c r="BO56" i="1"/>
  <c r="BN56" i="1"/>
  <c r="BM56" i="1"/>
  <c r="BL56" i="1"/>
  <c r="BK56" i="1"/>
  <c r="BJ56" i="1"/>
  <c r="BI56" i="1"/>
  <c r="BH56" i="1"/>
  <c r="BG56" i="1"/>
  <c r="BF56" i="1"/>
  <c r="BE56" i="1"/>
  <c r="BD56" i="1"/>
  <c r="BC56" i="1"/>
  <c r="BB56" i="1"/>
  <c r="BA56" i="1"/>
  <c r="BR55" i="1"/>
  <c r="BQ55" i="1"/>
  <c r="BP55" i="1"/>
  <c r="BO55" i="1"/>
  <c r="BN55" i="1"/>
  <c r="BM55" i="1"/>
  <c r="BL55" i="1"/>
  <c r="BK55" i="1"/>
  <c r="BJ55" i="1"/>
  <c r="BI55" i="1"/>
  <c r="BH55" i="1"/>
  <c r="BG55" i="1"/>
  <c r="BF55" i="1"/>
  <c r="BE55" i="1"/>
  <c r="BD55" i="1"/>
  <c r="BC55" i="1"/>
  <c r="BB55" i="1"/>
  <c r="BA55" i="1"/>
  <c r="BR54" i="1"/>
  <c r="BQ54" i="1"/>
  <c r="BP54" i="1"/>
  <c r="BO54" i="1"/>
  <c r="BN54" i="1"/>
  <c r="BM54" i="1"/>
  <c r="BL54" i="1"/>
  <c r="BK54" i="1"/>
  <c r="BJ54" i="1"/>
  <c r="BI54" i="1"/>
  <c r="BH54" i="1"/>
  <c r="BG54" i="1"/>
  <c r="BF54" i="1"/>
  <c r="BE54" i="1"/>
  <c r="BD54" i="1"/>
  <c r="BC54" i="1"/>
  <c r="BB54" i="1"/>
  <c r="BA54" i="1"/>
  <c r="BR53" i="1"/>
  <c r="BQ53" i="1"/>
  <c r="BP53" i="1"/>
  <c r="BO53" i="1"/>
  <c r="BN53" i="1"/>
  <c r="BM53" i="1"/>
  <c r="BL53" i="1"/>
  <c r="BK53" i="1"/>
  <c r="BJ53" i="1"/>
  <c r="BI53" i="1"/>
  <c r="BH53" i="1"/>
  <c r="BG53" i="1"/>
  <c r="BF53" i="1"/>
  <c r="BE53" i="1"/>
  <c r="BD53" i="1"/>
  <c r="BC53" i="1"/>
  <c r="BB53" i="1"/>
  <c r="BA53" i="1"/>
  <c r="BR52" i="1"/>
  <c r="BQ52" i="1"/>
  <c r="BP52" i="1"/>
  <c r="BO52" i="1"/>
  <c r="BN52" i="1"/>
  <c r="BM52" i="1"/>
  <c r="BL52" i="1"/>
  <c r="BK52" i="1"/>
  <c r="BJ52" i="1"/>
  <c r="BI52" i="1"/>
  <c r="BH52" i="1"/>
  <c r="BG52" i="1"/>
  <c r="BF52" i="1"/>
  <c r="BE52" i="1"/>
  <c r="BD52" i="1"/>
  <c r="BC52" i="1"/>
  <c r="BB52" i="1"/>
  <c r="BA52" i="1"/>
  <c r="BR51" i="1"/>
  <c r="BQ51" i="1"/>
  <c r="BP51" i="1"/>
  <c r="BO51" i="1"/>
  <c r="BN51" i="1"/>
  <c r="BM51" i="1"/>
  <c r="BL51" i="1"/>
  <c r="BK51" i="1"/>
  <c r="BJ51" i="1"/>
  <c r="BI51" i="1"/>
  <c r="BH51" i="1"/>
  <c r="BG51" i="1"/>
  <c r="BF51" i="1"/>
  <c r="BE51" i="1"/>
  <c r="BD51" i="1"/>
  <c r="BC51" i="1"/>
  <c r="BB51" i="1"/>
  <c r="BA51" i="1"/>
  <c r="BR50" i="1"/>
  <c r="BQ50" i="1"/>
  <c r="BP50" i="1"/>
  <c r="BO50" i="1"/>
  <c r="BN50" i="1"/>
  <c r="BM50" i="1"/>
  <c r="BL50" i="1"/>
  <c r="BK50" i="1"/>
  <c r="BJ50" i="1"/>
  <c r="BI50" i="1"/>
  <c r="BH50" i="1"/>
  <c r="BG50" i="1"/>
  <c r="BF50" i="1"/>
  <c r="BE50" i="1"/>
  <c r="BD50" i="1"/>
  <c r="BC50" i="1"/>
  <c r="BB50" i="1"/>
  <c r="BA50" i="1"/>
  <c r="BR49" i="1"/>
  <c r="BQ49" i="1"/>
  <c r="BP49" i="1"/>
  <c r="BO49" i="1"/>
  <c r="BN49" i="1"/>
  <c r="BM49" i="1"/>
  <c r="BL49" i="1"/>
  <c r="BK49" i="1"/>
  <c r="BJ49" i="1"/>
  <c r="BI49" i="1"/>
  <c r="BH49" i="1"/>
  <c r="BG49" i="1"/>
  <c r="BF49" i="1"/>
  <c r="BE49" i="1"/>
  <c r="BD49" i="1"/>
  <c r="BC49" i="1"/>
  <c r="BB49" i="1"/>
  <c r="BA49" i="1"/>
  <c r="BR48" i="1"/>
  <c r="BQ48" i="1"/>
  <c r="BP48" i="1"/>
  <c r="BO48" i="1"/>
  <c r="BN48" i="1"/>
  <c r="BM48" i="1"/>
  <c r="BL48" i="1"/>
  <c r="BK48" i="1"/>
  <c r="BJ48" i="1"/>
  <c r="BI48" i="1"/>
  <c r="BH48" i="1"/>
  <c r="BG48" i="1"/>
  <c r="BF48" i="1"/>
  <c r="BE48" i="1"/>
  <c r="BD48" i="1"/>
  <c r="BC48" i="1"/>
  <c r="BB48" i="1"/>
  <c r="BA48" i="1"/>
  <c r="BR47" i="1"/>
  <c r="BQ47" i="1"/>
  <c r="BP47" i="1"/>
  <c r="BO47" i="1"/>
  <c r="BN47" i="1"/>
  <c r="BM47" i="1"/>
  <c r="BL47" i="1"/>
  <c r="BK47" i="1"/>
  <c r="BJ47" i="1"/>
  <c r="BI47" i="1"/>
  <c r="BH47" i="1"/>
  <c r="BG47" i="1"/>
  <c r="BF47" i="1"/>
  <c r="BE47" i="1"/>
  <c r="BD47" i="1"/>
  <c r="BC47" i="1"/>
  <c r="BB47" i="1"/>
  <c r="BA47" i="1"/>
  <c r="BR46" i="1"/>
  <c r="BQ46" i="1"/>
  <c r="BP46" i="1"/>
  <c r="BO46" i="1"/>
  <c r="BN46" i="1"/>
  <c r="BM46" i="1"/>
  <c r="BL46" i="1"/>
  <c r="BK46" i="1"/>
  <c r="BJ46" i="1"/>
  <c r="BI46" i="1"/>
  <c r="BH46" i="1"/>
  <c r="BG46" i="1"/>
  <c r="BF46" i="1"/>
  <c r="BE46" i="1"/>
  <c r="BD46" i="1"/>
  <c r="BC46" i="1"/>
  <c r="BB46" i="1"/>
  <c r="BA46" i="1"/>
  <c r="BR45" i="1"/>
  <c r="BQ45" i="1"/>
  <c r="BP45" i="1"/>
  <c r="BO45" i="1"/>
  <c r="BN45" i="1"/>
  <c r="BM45" i="1"/>
  <c r="BL45" i="1"/>
  <c r="BK45" i="1"/>
  <c r="BJ45" i="1"/>
  <c r="BI45" i="1"/>
  <c r="BH45" i="1"/>
  <c r="BG45" i="1"/>
  <c r="BF45" i="1"/>
  <c r="BE45" i="1"/>
  <c r="BD45" i="1"/>
  <c r="BC45" i="1"/>
  <c r="BB45" i="1"/>
  <c r="BA45" i="1"/>
  <c r="BR44" i="1"/>
  <c r="BQ44" i="1"/>
  <c r="BP44" i="1"/>
  <c r="BO44" i="1"/>
  <c r="BN44" i="1"/>
  <c r="BM44" i="1"/>
  <c r="BL44" i="1"/>
  <c r="BK44" i="1"/>
  <c r="BJ44" i="1"/>
  <c r="BI44" i="1"/>
  <c r="BH44" i="1"/>
  <c r="BG44" i="1"/>
  <c r="BF44" i="1"/>
  <c r="BE44" i="1"/>
  <c r="BD44" i="1"/>
  <c r="BC44" i="1"/>
  <c r="BB44" i="1"/>
  <c r="BA44" i="1"/>
  <c r="BR43" i="1"/>
  <c r="BQ43" i="1"/>
  <c r="BP43" i="1"/>
  <c r="BO43" i="1"/>
  <c r="BN43" i="1"/>
  <c r="BM43" i="1"/>
  <c r="BL43" i="1"/>
  <c r="BK43" i="1"/>
  <c r="BJ43" i="1"/>
  <c r="BI43" i="1"/>
  <c r="BH43" i="1"/>
  <c r="BG43" i="1"/>
  <c r="BF43" i="1"/>
  <c r="BE43" i="1"/>
  <c r="BD43" i="1"/>
  <c r="BC43" i="1"/>
  <c r="BB43" i="1"/>
  <c r="BA43" i="1"/>
  <c r="BR42" i="1"/>
  <c r="BQ42" i="1"/>
  <c r="BP42" i="1"/>
  <c r="BO42" i="1"/>
  <c r="BN42" i="1"/>
  <c r="BM42" i="1"/>
  <c r="BL42" i="1"/>
  <c r="BK42" i="1"/>
  <c r="BJ42" i="1"/>
  <c r="BI42" i="1"/>
  <c r="BH42" i="1"/>
  <c r="BG42" i="1"/>
  <c r="BF42" i="1"/>
  <c r="BE42" i="1"/>
  <c r="BD42" i="1"/>
  <c r="BC42" i="1"/>
  <c r="BB42" i="1"/>
  <c r="BA42" i="1"/>
  <c r="BR41" i="1"/>
  <c r="BQ41" i="1"/>
  <c r="BP41" i="1"/>
  <c r="BO41" i="1"/>
  <c r="BN41" i="1"/>
  <c r="BM41" i="1"/>
  <c r="BL41" i="1"/>
  <c r="BK41" i="1"/>
  <c r="BJ41" i="1"/>
  <c r="BI41" i="1"/>
  <c r="BH41" i="1"/>
  <c r="BG41" i="1"/>
  <c r="BF41" i="1"/>
  <c r="BE41" i="1"/>
  <c r="BD41" i="1"/>
  <c r="BC41" i="1"/>
  <c r="BB41" i="1"/>
  <c r="BA41" i="1"/>
  <c r="BR40" i="1"/>
  <c r="BQ40" i="1"/>
  <c r="BP40" i="1"/>
  <c r="BO40" i="1"/>
  <c r="BN40" i="1"/>
  <c r="BM40" i="1"/>
  <c r="BL40" i="1"/>
  <c r="BK40" i="1"/>
  <c r="BJ40" i="1"/>
  <c r="BI40" i="1"/>
  <c r="BH40" i="1"/>
  <c r="BG40" i="1"/>
  <c r="BF40" i="1"/>
  <c r="BE40" i="1"/>
  <c r="BD40" i="1"/>
  <c r="BC40" i="1"/>
  <c r="BB40" i="1"/>
  <c r="BA40" i="1"/>
  <c r="BR37" i="1"/>
  <c r="BQ37" i="1"/>
  <c r="BP37" i="1"/>
  <c r="BO37" i="1"/>
  <c r="BN37" i="1"/>
  <c r="BR36" i="1"/>
  <c r="BQ36" i="1"/>
  <c r="BP36" i="1"/>
  <c r="BO36" i="1"/>
  <c r="BN36" i="1"/>
  <c r="BR33" i="1"/>
  <c r="BQ33" i="1"/>
  <c r="BP33" i="1"/>
  <c r="BO33" i="1"/>
  <c r="BN33" i="1"/>
  <c r="BM33" i="1"/>
  <c r="BL33" i="1"/>
  <c r="BK33" i="1"/>
  <c r="BJ33" i="1"/>
  <c r="BI33" i="1"/>
  <c r="BH33" i="1"/>
  <c r="BG33" i="1"/>
  <c r="BF33" i="1"/>
  <c r="BE33" i="1"/>
  <c r="BD33" i="1"/>
  <c r="BC33" i="1"/>
  <c r="BB33" i="1"/>
  <c r="BA33" i="1"/>
  <c r="BR32" i="1"/>
  <c r="BQ32" i="1"/>
  <c r="BP32" i="1"/>
  <c r="BO32" i="1"/>
  <c r="BN32" i="1"/>
  <c r="BM32" i="1"/>
  <c r="BL32" i="1"/>
  <c r="BK32" i="1"/>
  <c r="BJ32" i="1"/>
  <c r="BI32" i="1"/>
  <c r="BH32" i="1"/>
  <c r="BG32" i="1"/>
  <c r="BF32" i="1"/>
  <c r="BE32" i="1"/>
  <c r="BD32" i="1"/>
  <c r="BC32" i="1"/>
  <c r="BB32" i="1"/>
  <c r="BA32" i="1"/>
  <c r="BR31" i="1"/>
  <c r="BQ31" i="1"/>
  <c r="BP31" i="1"/>
  <c r="BO31" i="1"/>
  <c r="BN31" i="1"/>
  <c r="BM31" i="1"/>
  <c r="BL31" i="1"/>
  <c r="BK31" i="1"/>
  <c r="BJ31" i="1"/>
  <c r="BI31" i="1"/>
  <c r="BH31" i="1"/>
  <c r="BG31" i="1"/>
  <c r="BF31" i="1"/>
  <c r="BE31" i="1"/>
  <c r="BD31" i="1"/>
  <c r="BC31" i="1"/>
  <c r="BB31" i="1"/>
  <c r="BA31" i="1"/>
  <c r="BR30" i="1"/>
  <c r="BQ30" i="1"/>
  <c r="BP30" i="1"/>
  <c r="BO30" i="1"/>
  <c r="BN30" i="1"/>
  <c r="BM30" i="1"/>
  <c r="BL30" i="1"/>
  <c r="BK30" i="1"/>
  <c r="BJ30" i="1"/>
  <c r="BI30" i="1"/>
  <c r="BH30" i="1"/>
  <c r="BG30" i="1"/>
  <c r="BF30" i="1"/>
  <c r="BE30" i="1"/>
  <c r="BD30" i="1"/>
  <c r="BC30" i="1"/>
  <c r="BB30" i="1"/>
  <c r="BA30" i="1"/>
  <c r="BR29" i="1"/>
  <c r="BQ29" i="1"/>
  <c r="BP29" i="1"/>
  <c r="BO29" i="1"/>
  <c r="BN29" i="1"/>
  <c r="BM29" i="1"/>
  <c r="BL29" i="1"/>
  <c r="BK29" i="1"/>
  <c r="BJ29" i="1"/>
  <c r="BI29" i="1"/>
  <c r="BH29" i="1"/>
  <c r="BG29" i="1"/>
  <c r="BF29" i="1"/>
  <c r="BE29" i="1"/>
  <c r="BD29" i="1"/>
  <c r="BC29" i="1"/>
  <c r="BB29" i="1"/>
  <c r="BA29" i="1"/>
  <c r="BR28" i="1"/>
  <c r="BQ28" i="1"/>
  <c r="BP28" i="1"/>
  <c r="BO28" i="1"/>
  <c r="BN28" i="1"/>
  <c r="BM28" i="1"/>
  <c r="BL28" i="1"/>
  <c r="BK28" i="1"/>
  <c r="BJ28" i="1"/>
  <c r="BI28" i="1"/>
  <c r="BH28" i="1"/>
  <c r="BG28" i="1"/>
  <c r="BF28" i="1"/>
  <c r="BE28" i="1"/>
  <c r="BD28" i="1"/>
  <c r="BC28" i="1"/>
  <c r="BB28" i="1"/>
  <c r="BA28" i="1"/>
  <c r="BR27" i="1"/>
  <c r="BQ27" i="1"/>
  <c r="BP27" i="1"/>
  <c r="BO27" i="1"/>
  <c r="BN27" i="1"/>
  <c r="BM27" i="1"/>
  <c r="BL27" i="1"/>
  <c r="BK27" i="1"/>
  <c r="BJ27" i="1"/>
  <c r="BI27" i="1"/>
  <c r="BH27" i="1"/>
  <c r="BG27" i="1"/>
  <c r="BF27" i="1"/>
  <c r="BE27" i="1"/>
  <c r="BD27" i="1"/>
  <c r="BC27" i="1"/>
  <c r="BB27" i="1"/>
  <c r="BA27" i="1"/>
  <c r="BR26" i="1"/>
  <c r="BQ26" i="1"/>
  <c r="BP26" i="1"/>
  <c r="BO26" i="1"/>
  <c r="BN26" i="1"/>
  <c r="BM26" i="1"/>
  <c r="BL26" i="1"/>
  <c r="BK26" i="1"/>
  <c r="BJ26" i="1"/>
  <c r="BI26" i="1"/>
  <c r="BH26" i="1"/>
  <c r="BG26" i="1"/>
  <c r="BF26" i="1"/>
  <c r="BE26" i="1"/>
  <c r="BD26" i="1"/>
  <c r="BC26" i="1"/>
  <c r="BB26" i="1"/>
  <c r="BA26" i="1"/>
  <c r="BR25" i="1"/>
  <c r="BQ25" i="1"/>
  <c r="BP25" i="1"/>
  <c r="BO25" i="1"/>
  <c r="BN25" i="1"/>
  <c r="BM25" i="1"/>
  <c r="BL25" i="1"/>
  <c r="BK25" i="1"/>
  <c r="BJ25" i="1"/>
  <c r="BI25" i="1"/>
  <c r="BH25" i="1"/>
  <c r="BG25" i="1"/>
  <c r="BF25" i="1"/>
  <c r="BE25" i="1"/>
  <c r="BD25" i="1"/>
  <c r="BC25" i="1"/>
  <c r="BB25" i="1"/>
  <c r="BA25" i="1"/>
  <c r="BR24" i="1"/>
  <c r="BQ24" i="1"/>
  <c r="BP24" i="1"/>
  <c r="BO24" i="1"/>
  <c r="BN24" i="1"/>
  <c r="BM24" i="1"/>
  <c r="BL24" i="1"/>
  <c r="BK24" i="1"/>
  <c r="BJ24" i="1"/>
  <c r="BI24" i="1"/>
  <c r="BH24" i="1"/>
  <c r="BG24" i="1"/>
  <c r="BF24" i="1"/>
  <c r="BE24" i="1"/>
  <c r="BD24" i="1"/>
  <c r="BC24" i="1"/>
  <c r="BB24" i="1"/>
  <c r="BA24" i="1"/>
  <c r="BR23" i="1"/>
  <c r="BQ23" i="1"/>
  <c r="BP23" i="1"/>
  <c r="BO23" i="1"/>
  <c r="BN23" i="1"/>
  <c r="BM23" i="1"/>
  <c r="BL23" i="1"/>
  <c r="BK23" i="1"/>
  <c r="BJ23" i="1"/>
  <c r="BI23" i="1"/>
  <c r="BH23" i="1"/>
  <c r="BG23" i="1"/>
  <c r="BF23" i="1"/>
  <c r="BE23" i="1"/>
  <c r="BD23" i="1"/>
  <c r="BC23" i="1"/>
  <c r="BB23" i="1"/>
  <c r="BA23" i="1"/>
  <c r="BR22" i="1"/>
  <c r="BQ22" i="1"/>
  <c r="BP22" i="1"/>
  <c r="BO22" i="1"/>
  <c r="BN22" i="1"/>
  <c r="BM22" i="1"/>
  <c r="BL22" i="1"/>
  <c r="BK22" i="1"/>
  <c r="BJ22" i="1"/>
  <c r="BI22" i="1"/>
  <c r="BH22" i="1"/>
  <c r="BG22" i="1"/>
  <c r="BF22" i="1"/>
  <c r="BE22" i="1"/>
  <c r="BD22" i="1"/>
  <c r="BC22" i="1"/>
  <c r="BB22" i="1"/>
  <c r="BA22" i="1"/>
  <c r="BR21" i="1"/>
  <c r="BQ21" i="1"/>
  <c r="BP21" i="1"/>
  <c r="BO21" i="1"/>
  <c r="BN21" i="1"/>
  <c r="BM21" i="1"/>
  <c r="BL21" i="1"/>
  <c r="BK21" i="1"/>
  <c r="BJ21" i="1"/>
  <c r="BI21" i="1"/>
  <c r="BH21" i="1"/>
  <c r="BG21" i="1"/>
  <c r="BF21" i="1"/>
  <c r="BE21" i="1"/>
  <c r="BD21" i="1"/>
  <c r="BC21" i="1"/>
  <c r="BB21" i="1"/>
  <c r="BA21" i="1"/>
  <c r="BR18" i="1"/>
  <c r="BQ18" i="1"/>
  <c r="BP18" i="1"/>
  <c r="BO18" i="1"/>
  <c r="BN18" i="1"/>
  <c r="BM18" i="1"/>
  <c r="BL18" i="1"/>
  <c r="BK18" i="1"/>
  <c r="BJ18" i="1"/>
  <c r="BI18" i="1"/>
  <c r="BH18" i="1"/>
  <c r="BG18" i="1"/>
  <c r="BF18" i="1"/>
  <c r="BE18" i="1"/>
  <c r="BD18" i="1"/>
  <c r="BC18" i="1"/>
  <c r="BB18" i="1"/>
  <c r="BA18" i="1"/>
  <c r="BR17" i="1"/>
  <c r="BQ17" i="1"/>
  <c r="BP17" i="1"/>
  <c r="BO17" i="1"/>
  <c r="BN17" i="1"/>
  <c r="BM17" i="1"/>
  <c r="BL17" i="1"/>
  <c r="BK17" i="1"/>
  <c r="BJ17" i="1"/>
  <c r="BI17" i="1"/>
  <c r="BH17" i="1"/>
  <c r="BG17" i="1"/>
  <c r="BF17" i="1"/>
  <c r="BE17" i="1"/>
  <c r="BD17" i="1"/>
  <c r="BC17" i="1"/>
  <c r="BB17" i="1"/>
  <c r="BA17" i="1"/>
  <c r="BR16" i="1"/>
  <c r="BQ16" i="1"/>
  <c r="BP16" i="1"/>
  <c r="BO16" i="1"/>
  <c r="BN16" i="1"/>
  <c r="BM16" i="1"/>
  <c r="BL16" i="1"/>
  <c r="BK16" i="1"/>
  <c r="BJ16" i="1"/>
  <c r="BI16" i="1"/>
  <c r="BH16" i="1"/>
  <c r="BG16" i="1"/>
  <c r="BF16" i="1"/>
  <c r="BE16" i="1"/>
  <c r="BD16" i="1"/>
  <c r="BC16" i="1"/>
  <c r="BB16" i="1"/>
  <c r="BA16" i="1"/>
  <c r="BR15" i="1"/>
  <c r="BQ15" i="1"/>
  <c r="BP15" i="1"/>
  <c r="BO15" i="1"/>
  <c r="BN15" i="1"/>
  <c r="BM15" i="1"/>
  <c r="BL15" i="1"/>
  <c r="BK15" i="1"/>
  <c r="BJ15" i="1"/>
  <c r="BI15" i="1"/>
  <c r="BH15" i="1"/>
  <c r="BG15" i="1"/>
  <c r="BF15" i="1"/>
  <c r="BE15" i="1"/>
  <c r="BD15" i="1"/>
  <c r="BC15" i="1"/>
  <c r="BB15" i="1"/>
  <c r="BA15" i="1"/>
  <c r="BR14" i="1"/>
  <c r="BQ14" i="1"/>
  <c r="BP14" i="1"/>
  <c r="BO14" i="1"/>
  <c r="BN14" i="1"/>
  <c r="BM14" i="1"/>
  <c r="BL14" i="1"/>
  <c r="BK14" i="1"/>
  <c r="BJ14" i="1"/>
  <c r="BI14" i="1"/>
  <c r="BH14" i="1"/>
  <c r="BG14" i="1"/>
  <c r="BF14" i="1"/>
  <c r="BE14" i="1"/>
  <c r="BD14" i="1"/>
  <c r="BC14" i="1"/>
  <c r="BB14" i="1"/>
  <c r="BA14" i="1"/>
  <c r="BR13" i="1"/>
  <c r="BQ13" i="1"/>
  <c r="BP13" i="1"/>
  <c r="BO13" i="1"/>
  <c r="BN13" i="1"/>
  <c r="BM13" i="1"/>
  <c r="BL13" i="1"/>
  <c r="BK13" i="1"/>
  <c r="BJ13" i="1"/>
  <c r="BI13" i="1"/>
  <c r="BH13" i="1"/>
  <c r="BG13" i="1"/>
  <c r="BF13" i="1"/>
  <c r="BE13" i="1"/>
  <c r="BD13" i="1"/>
  <c r="BC13" i="1"/>
  <c r="BB13" i="1"/>
  <c r="BA13" i="1"/>
  <c r="L964" i="39" l="1"/>
  <c r="J12" i="48"/>
  <c r="K12" i="48" s="1"/>
  <c r="E33" i="46"/>
  <c r="K33" i="46"/>
  <c r="Q33" i="46"/>
  <c r="D19" i="48" l="1"/>
  <c r="L18" i="46"/>
  <c r="L17" i="46"/>
  <c r="L16" i="46"/>
  <c r="L15" i="46"/>
  <c r="L14" i="46"/>
  <c r="L13" i="46"/>
  <c r="L12" i="46"/>
  <c r="L11" i="46"/>
  <c r="L10" i="46"/>
  <c r="L9" i="46"/>
  <c r="L8" i="46"/>
  <c r="L7" i="46"/>
  <c r="L6" i="46"/>
  <c r="L5" i="46"/>
  <c r="L4" i="46"/>
  <c r="E18" i="48" l="1"/>
  <c r="E7" i="48"/>
  <c r="E17" i="48"/>
  <c r="E8" i="48"/>
  <c r="E4" i="48"/>
  <c r="E16" i="48"/>
  <c r="E15" i="48"/>
  <c r="E14" i="48"/>
  <c r="E13" i="48"/>
  <c r="E12" i="48"/>
  <c r="E11" i="48"/>
  <c r="E10" i="48"/>
  <c r="E9" i="48"/>
  <c r="E6" i="48"/>
  <c r="E5" i="48"/>
  <c r="E19" i="48"/>
  <c r="AC32" i="46"/>
  <c r="W32" i="46"/>
  <c r="Q32" i="46"/>
  <c r="K32" i="46"/>
  <c r="E32" i="46" l="1"/>
  <c r="H12" i="19"/>
  <c r="G12" i="19"/>
  <c r="D3" i="19"/>
  <c r="K39" i="7"/>
  <c r="D34" i="10"/>
  <c r="E56" i="10"/>
  <c r="AJ485" i="39"/>
  <c r="AI485" i="39"/>
  <c r="AH485" i="39"/>
  <c r="AG485" i="39"/>
  <c r="AF485" i="39"/>
  <c r="AE485" i="39"/>
  <c r="AD485" i="39"/>
  <c r="AC485" i="39"/>
  <c r="AB485" i="39"/>
  <c r="AA485" i="39"/>
  <c r="Z485" i="39"/>
  <c r="Y485" i="39"/>
  <c r="X485" i="39"/>
  <c r="W485" i="39"/>
  <c r="V485" i="39"/>
  <c r="U485" i="39"/>
  <c r="T485" i="39"/>
  <c r="S485" i="39"/>
  <c r="R485" i="39"/>
  <c r="Q485" i="39"/>
  <c r="P485" i="39"/>
  <c r="O485" i="39"/>
  <c r="N485" i="39"/>
  <c r="M485" i="39"/>
  <c r="L485" i="39"/>
  <c r="AJ467" i="39"/>
  <c r="AI467" i="39"/>
  <c r="AH467" i="39"/>
  <c r="AG467" i="39"/>
  <c r="AF467" i="39"/>
  <c r="AE467" i="39"/>
  <c r="AD467" i="39"/>
  <c r="AC467" i="39"/>
  <c r="AB467" i="39"/>
  <c r="AA467" i="39"/>
  <c r="Z467" i="39"/>
  <c r="Y467" i="39"/>
  <c r="X467" i="39"/>
  <c r="W467" i="39"/>
  <c r="V467" i="39"/>
  <c r="U467" i="39"/>
  <c r="T467" i="39"/>
  <c r="S467" i="39"/>
  <c r="R467" i="39"/>
  <c r="Q467" i="39"/>
  <c r="P467" i="39"/>
  <c r="O467" i="39"/>
  <c r="N467" i="39"/>
  <c r="M467" i="39"/>
  <c r="L467" i="39"/>
  <c r="K451" i="39"/>
  <c r="K448" i="39"/>
  <c r="K445" i="39"/>
  <c r="K436" i="39"/>
  <c r="K434" i="39" s="1"/>
  <c r="AJ429" i="39"/>
  <c r="AI429" i="39"/>
  <c r="AH429" i="39"/>
  <c r="AG429" i="39"/>
  <c r="AF429" i="39"/>
  <c r="AE429" i="39"/>
  <c r="AD429" i="39"/>
  <c r="AC429" i="39"/>
  <c r="AB429" i="39"/>
  <c r="AA429" i="39"/>
  <c r="Z429" i="39"/>
  <c r="Y429" i="39"/>
  <c r="X429" i="39"/>
  <c r="W429" i="39"/>
  <c r="V429" i="39"/>
  <c r="U429" i="39"/>
  <c r="T429" i="39"/>
  <c r="S429" i="39"/>
  <c r="R429" i="39"/>
  <c r="Q429" i="39"/>
  <c r="P429" i="39"/>
  <c r="O429" i="39"/>
  <c r="N429" i="39"/>
  <c r="M429" i="39"/>
  <c r="L429" i="39"/>
  <c r="K413" i="39"/>
  <c r="K410" i="39"/>
  <c r="K407" i="39"/>
  <c r="K398" i="39"/>
  <c r="K396" i="39" s="1"/>
  <c r="K381" i="39"/>
  <c r="K378" i="39"/>
  <c r="K375" i="39"/>
  <c r="K366" i="39"/>
  <c r="K364" i="39"/>
  <c r="AJ352" i="39"/>
  <c r="AI352" i="39"/>
  <c r="AH352" i="39"/>
  <c r="AG352" i="39"/>
  <c r="AF352" i="39"/>
  <c r="AE352" i="39"/>
  <c r="AD352" i="39"/>
  <c r="AC352" i="39"/>
  <c r="AB352" i="39"/>
  <c r="AA352" i="39"/>
  <c r="Z352" i="39"/>
  <c r="Y352" i="39"/>
  <c r="X352" i="39"/>
  <c r="W352" i="39"/>
  <c r="V352" i="39"/>
  <c r="U352" i="39"/>
  <c r="T352" i="39"/>
  <c r="S352" i="39"/>
  <c r="R352" i="39"/>
  <c r="Q352" i="39"/>
  <c r="P352" i="39"/>
  <c r="O352" i="39"/>
  <c r="N352" i="39"/>
  <c r="M352" i="39"/>
  <c r="L352" i="39"/>
  <c r="AJ322" i="39"/>
  <c r="AI322" i="39"/>
  <c r="AH322" i="39"/>
  <c r="AG322" i="39"/>
  <c r="AF322" i="39"/>
  <c r="AE322" i="39"/>
  <c r="AD322" i="39"/>
  <c r="AC322" i="39"/>
  <c r="AB322" i="39"/>
  <c r="AA322" i="39"/>
  <c r="Z322" i="39"/>
  <c r="Y322" i="39"/>
  <c r="X322" i="39"/>
  <c r="W322" i="39"/>
  <c r="V322" i="39"/>
  <c r="U322" i="39"/>
  <c r="T322" i="39"/>
  <c r="S322" i="39"/>
  <c r="R322" i="39"/>
  <c r="Q322" i="39"/>
  <c r="P322" i="39"/>
  <c r="O322" i="39"/>
  <c r="N322" i="39"/>
  <c r="M322" i="39"/>
  <c r="L322" i="39"/>
  <c r="AJ304" i="39"/>
  <c r="AI304" i="39"/>
  <c r="AH304" i="39"/>
  <c r="AG304" i="39"/>
  <c r="AF304" i="39"/>
  <c r="AE304" i="39"/>
  <c r="AD304" i="39"/>
  <c r="AC304" i="39"/>
  <c r="AB304" i="39"/>
  <c r="AA304" i="39"/>
  <c r="Z304" i="39"/>
  <c r="Y304" i="39"/>
  <c r="X304" i="39"/>
  <c r="W304" i="39"/>
  <c r="V304" i="39"/>
  <c r="U304" i="39"/>
  <c r="T304" i="39"/>
  <c r="S304" i="39"/>
  <c r="R304" i="39"/>
  <c r="Q304" i="39"/>
  <c r="P304" i="39"/>
  <c r="O304" i="39"/>
  <c r="N304" i="39"/>
  <c r="M304" i="39"/>
  <c r="L304" i="39"/>
  <c r="K288" i="39"/>
  <c r="K285" i="39"/>
  <c r="K282" i="39"/>
  <c r="K273" i="39"/>
  <c r="K271" i="39" s="1"/>
  <c r="AJ266" i="39"/>
  <c r="AI266" i="39"/>
  <c r="AH266" i="39"/>
  <c r="AG266" i="39"/>
  <c r="AF266" i="39"/>
  <c r="AE266" i="39"/>
  <c r="AD266" i="39"/>
  <c r="AC266" i="39"/>
  <c r="AB266" i="39"/>
  <c r="AA266" i="39"/>
  <c r="Z266" i="39"/>
  <c r="Y266" i="39"/>
  <c r="X266" i="39"/>
  <c r="W266" i="39"/>
  <c r="V266" i="39"/>
  <c r="U266" i="39"/>
  <c r="T266" i="39"/>
  <c r="S266" i="39"/>
  <c r="R266" i="39"/>
  <c r="Q266" i="39"/>
  <c r="P266" i="39"/>
  <c r="O266" i="39"/>
  <c r="N266" i="39"/>
  <c r="M266" i="39"/>
  <c r="L266" i="39"/>
  <c r="K250" i="39"/>
  <c r="K247" i="39"/>
  <c r="K244" i="39"/>
  <c r="K243" i="39"/>
  <c r="K235" i="39"/>
  <c r="K233" i="39" s="1"/>
  <c r="K218" i="39"/>
  <c r="K215" i="39"/>
  <c r="K212" i="39"/>
  <c r="K203" i="39"/>
  <c r="K201" i="39" s="1"/>
  <c r="AJ189" i="39"/>
  <c r="AI189" i="39"/>
  <c r="AH189" i="39"/>
  <c r="AG189" i="39"/>
  <c r="AF189" i="39"/>
  <c r="AE189" i="39"/>
  <c r="AD189" i="39"/>
  <c r="AC189" i="39"/>
  <c r="AB189" i="39"/>
  <c r="AA189" i="39"/>
  <c r="Z189" i="39"/>
  <c r="Y189" i="39"/>
  <c r="X189" i="39"/>
  <c r="W189" i="39"/>
  <c r="V189" i="39"/>
  <c r="U189" i="39"/>
  <c r="T189" i="39"/>
  <c r="S189" i="39"/>
  <c r="R189" i="39"/>
  <c r="Q189" i="39"/>
  <c r="P189" i="39"/>
  <c r="O189" i="39"/>
  <c r="N189" i="39"/>
  <c r="M189" i="39"/>
  <c r="L189" i="39"/>
  <c r="K122" i="39"/>
  <c r="K84" i="39"/>
  <c r="K52" i="39"/>
  <c r="K406" i="39" l="1"/>
  <c r="K418" i="39" s="1"/>
  <c r="K425" i="39" s="1"/>
  <c r="K211" i="39"/>
  <c r="K223" i="39"/>
  <c r="K230" i="39" s="1"/>
  <c r="K444" i="39"/>
  <c r="K456" i="39"/>
  <c r="K463" i="39" s="1"/>
  <c r="K281" i="39"/>
  <c r="K293" i="39" s="1"/>
  <c r="K300" i="39" s="1"/>
  <c r="K255" i="39"/>
  <c r="K262" i="39" s="1"/>
  <c r="K374" i="39"/>
  <c r="K386" i="39" s="1"/>
  <c r="K393" i="39" s="1"/>
  <c r="M54" i="47" l="1"/>
  <c r="M53" i="47"/>
  <c r="M52" i="47"/>
  <c r="M51" i="47"/>
  <c r="M50" i="47"/>
  <c r="M49" i="47"/>
  <c r="M48" i="47"/>
  <c r="M47" i="47"/>
  <c r="M46" i="47"/>
  <c r="M45" i="47"/>
  <c r="M44" i="47"/>
  <c r="M43" i="47"/>
  <c r="M42" i="47"/>
  <c r="M41" i="47"/>
  <c r="M40" i="47"/>
  <c r="M39" i="47"/>
  <c r="M38" i="47"/>
  <c r="M37" i="47"/>
  <c r="M36" i="47"/>
  <c r="M33" i="47"/>
  <c r="M32" i="47"/>
  <c r="M31" i="47"/>
  <c r="M29" i="47"/>
  <c r="M28" i="47"/>
  <c r="M27" i="47"/>
  <c r="M26" i="47"/>
  <c r="M25" i="47"/>
  <c r="M24" i="47"/>
  <c r="M23" i="47"/>
  <c r="M22" i="47"/>
  <c r="M16" i="47" s="1"/>
  <c r="M21" i="47"/>
  <c r="M20" i="47"/>
  <c r="M19" i="47"/>
  <c r="M18" i="47"/>
  <c r="M17" i="47"/>
  <c r="M14" i="47"/>
  <c r="M13" i="47"/>
  <c r="M12" i="47"/>
  <c r="M11" i="47"/>
  <c r="M10" i="47"/>
  <c r="M9" i="47"/>
  <c r="J54" i="47"/>
  <c r="J53" i="47"/>
  <c r="J52" i="47"/>
  <c r="J51" i="47"/>
  <c r="J50" i="47"/>
  <c r="J49" i="47"/>
  <c r="J48" i="47"/>
  <c r="J47" i="47"/>
  <c r="J46" i="47"/>
  <c r="J45" i="47"/>
  <c r="J44" i="47"/>
  <c r="J43" i="47"/>
  <c r="J42" i="47"/>
  <c r="J41" i="47"/>
  <c r="J40" i="47"/>
  <c r="J39" i="47"/>
  <c r="J38" i="47"/>
  <c r="J37" i="47"/>
  <c r="J36" i="47"/>
  <c r="J33" i="47"/>
  <c r="J32" i="47"/>
  <c r="J31" i="47"/>
  <c r="J29" i="47"/>
  <c r="J28" i="47"/>
  <c r="J27" i="47"/>
  <c r="J26" i="47"/>
  <c r="J25" i="47"/>
  <c r="J24" i="47"/>
  <c r="J23" i="47"/>
  <c r="J22" i="47"/>
  <c r="J21" i="47"/>
  <c r="J20" i="47"/>
  <c r="J19" i="47"/>
  <c r="J18" i="47"/>
  <c r="J17" i="47"/>
  <c r="J14" i="47"/>
  <c r="J13" i="47"/>
  <c r="J12" i="47"/>
  <c r="J11" i="47"/>
  <c r="J8" i="47" s="1"/>
  <c r="J10" i="47"/>
  <c r="J9" i="47"/>
  <c r="G54" i="47"/>
  <c r="G53" i="47"/>
  <c r="G52" i="47"/>
  <c r="G51" i="47"/>
  <c r="G50" i="47"/>
  <c r="G49" i="47"/>
  <c r="G48" i="47"/>
  <c r="G47" i="47"/>
  <c r="G46" i="47"/>
  <c r="G45" i="47"/>
  <c r="G44" i="47"/>
  <c r="G43" i="47"/>
  <c r="G42" i="47"/>
  <c r="G41" i="47"/>
  <c r="G40" i="47"/>
  <c r="G39" i="47"/>
  <c r="G38" i="47"/>
  <c r="G37" i="47"/>
  <c r="G36" i="47"/>
  <c r="G35" i="47" s="1"/>
  <c r="G33" i="47"/>
  <c r="G31" i="47" s="1"/>
  <c r="G32" i="47"/>
  <c r="G29" i="47"/>
  <c r="G28" i="47"/>
  <c r="G27" i="47"/>
  <c r="G26" i="47"/>
  <c r="G25" i="47"/>
  <c r="G24" i="47"/>
  <c r="G23" i="47"/>
  <c r="G22" i="47"/>
  <c r="G21" i="47"/>
  <c r="G20" i="47"/>
  <c r="G19" i="47"/>
  <c r="G18" i="47"/>
  <c r="G17" i="47"/>
  <c r="G16" i="47" s="1"/>
  <c r="G14" i="47"/>
  <c r="G13" i="47"/>
  <c r="G12" i="47"/>
  <c r="G11" i="47"/>
  <c r="G10" i="47"/>
  <c r="G9" i="47"/>
  <c r="F11" i="47"/>
  <c r="M35" i="47" l="1"/>
  <c r="M8" i="47"/>
  <c r="M6" i="47" s="1"/>
  <c r="J16" i="47"/>
  <c r="J35" i="47"/>
  <c r="M56" i="47"/>
  <c r="J6" i="47"/>
  <c r="J56" i="47" s="1"/>
  <c r="G8" i="47"/>
  <c r="G6" i="47" s="1"/>
  <c r="G56" i="47" s="1"/>
  <c r="E31" i="46"/>
  <c r="BG31" i="46"/>
  <c r="BA31" i="46"/>
  <c r="AU31" i="46"/>
  <c r="AO31" i="46"/>
  <c r="AI31" i="46"/>
  <c r="AC31" i="46"/>
  <c r="W31" i="46"/>
  <c r="Q31" i="46"/>
  <c r="K31" i="46"/>
  <c r="N79" i="7" l="1"/>
  <c r="I25" i="7"/>
  <c r="I24" i="7"/>
  <c r="I23" i="7"/>
  <c r="I22" i="7"/>
  <c r="I21" i="7"/>
  <c r="I20" i="7"/>
  <c r="I19" i="7"/>
  <c r="I18" i="7"/>
  <c r="I16" i="7"/>
  <c r="I15" i="7"/>
  <c r="I14" i="7"/>
  <c r="V17" i="7" l="1"/>
  <c r="V13" i="7"/>
  <c r="V12" i="7"/>
  <c r="H12" i="7" l="1"/>
  <c r="I17" i="7"/>
  <c r="I13" i="7"/>
  <c r="I12" i="7" s="1"/>
  <c r="K25" i="7"/>
  <c r="K24" i="7"/>
  <c r="K23" i="7"/>
  <c r="K22" i="7"/>
  <c r="K21" i="7"/>
  <c r="K20" i="7"/>
  <c r="K19" i="7"/>
  <c r="K18" i="7"/>
  <c r="K16" i="7"/>
  <c r="K15" i="7"/>
  <c r="K14" i="7"/>
  <c r="G1" i="31" l="1"/>
  <c r="U2" i="31"/>
  <c r="V2" i="31" l="1"/>
  <c r="K14" i="38" s="1"/>
  <c r="K39" i="38"/>
  <c r="L310" i="39"/>
  <c r="R79" i="7"/>
  <c r="M79" i="7"/>
  <c r="M310" i="39" l="1"/>
  <c r="ER33" i="10"/>
  <c r="EL33" i="10"/>
  <c r="EF33" i="10"/>
  <c r="DZ33" i="10"/>
  <c r="DT33" i="10"/>
  <c r="DN33" i="10"/>
  <c r="DH33" i="10"/>
  <c r="DB33" i="10"/>
  <c r="CV33" i="10"/>
  <c r="CP33" i="10"/>
  <c r="CJ33" i="10"/>
  <c r="CD33" i="10"/>
  <c r="BX33" i="10"/>
  <c r="BR33" i="10"/>
  <c r="BL33" i="10"/>
  <c r="BF33" i="10"/>
  <c r="AZ33" i="10"/>
  <c r="AT33" i="10"/>
  <c r="AN33" i="10"/>
  <c r="AH33" i="10"/>
  <c r="AB33" i="10"/>
  <c r="ER32" i="10"/>
  <c r="EL32" i="10"/>
  <c r="EF32" i="10"/>
  <c r="DZ32" i="10"/>
  <c r="DT32" i="10"/>
  <c r="DN32" i="10"/>
  <c r="DH32" i="10"/>
  <c r="DB32" i="10"/>
  <c r="CV32" i="10"/>
  <c r="CP32" i="10"/>
  <c r="CJ32" i="10"/>
  <c r="CD32" i="10"/>
  <c r="BX32" i="10"/>
  <c r="BR32" i="10"/>
  <c r="BL32" i="10"/>
  <c r="BF32" i="10"/>
  <c r="AZ32" i="10"/>
  <c r="AT32" i="10"/>
  <c r="AN32" i="10"/>
  <c r="AH32" i="10"/>
  <c r="AB32" i="10"/>
  <c r="ER28" i="10"/>
  <c r="ER21" i="10" s="1"/>
  <c r="EL28" i="10"/>
  <c r="EL21" i="10" s="1"/>
  <c r="EF28" i="10"/>
  <c r="EF21" i="10" s="1"/>
  <c r="DZ28" i="10"/>
  <c r="DZ21" i="10" s="1"/>
  <c r="DT28" i="10"/>
  <c r="DT21" i="10" s="1"/>
  <c r="DN28" i="10"/>
  <c r="DN21" i="10" s="1"/>
  <c r="DH28" i="10"/>
  <c r="DH21" i="10" s="1"/>
  <c r="DB28" i="10"/>
  <c r="DB21" i="10" s="1"/>
  <c r="CV28" i="10"/>
  <c r="CV21" i="10" s="1"/>
  <c r="CP28" i="10"/>
  <c r="CP21" i="10" s="1"/>
  <c r="CJ28" i="10"/>
  <c r="CJ21" i="10" s="1"/>
  <c r="CD28" i="10"/>
  <c r="CD21" i="10" s="1"/>
  <c r="BX28" i="10"/>
  <c r="BX21" i="10" s="1"/>
  <c r="BR28" i="10"/>
  <c r="BR21" i="10" s="1"/>
  <c r="BL28" i="10"/>
  <c r="BL21" i="10" s="1"/>
  <c r="BF28" i="10"/>
  <c r="BF21" i="10" s="1"/>
  <c r="AZ28" i="10"/>
  <c r="AZ21" i="10" s="1"/>
  <c r="AT28" i="10"/>
  <c r="AT21" i="10" s="1"/>
  <c r="AN28" i="10"/>
  <c r="AN21" i="10" s="1"/>
  <c r="AH28" i="10"/>
  <c r="AH21" i="10" s="1"/>
  <c r="AB28" i="10"/>
  <c r="AB21" i="10" s="1"/>
  <c r="ER27" i="10"/>
  <c r="EL27" i="10"/>
  <c r="EF27" i="10"/>
  <c r="DZ27" i="10"/>
  <c r="DT27" i="10"/>
  <c r="DN27" i="10"/>
  <c r="DH27" i="10"/>
  <c r="DB27" i="10"/>
  <c r="CV27" i="10"/>
  <c r="CP27" i="10"/>
  <c r="CJ27" i="10"/>
  <c r="CD27" i="10"/>
  <c r="BX27" i="10"/>
  <c r="BR27" i="10"/>
  <c r="BL27" i="10"/>
  <c r="BF27" i="10"/>
  <c r="AZ27" i="10"/>
  <c r="AT27" i="10"/>
  <c r="AN27" i="10"/>
  <c r="AH27" i="10"/>
  <c r="AB27" i="10"/>
  <c r="ER26" i="10"/>
  <c r="EL26" i="10"/>
  <c r="EF26" i="10"/>
  <c r="DZ26" i="10"/>
  <c r="DT26" i="10"/>
  <c r="DN26" i="10"/>
  <c r="DH26" i="10"/>
  <c r="DB26" i="10"/>
  <c r="CV26" i="10"/>
  <c r="CP26" i="10"/>
  <c r="CJ26" i="10"/>
  <c r="CD26" i="10"/>
  <c r="BX26" i="10"/>
  <c r="BR26" i="10"/>
  <c r="BL26" i="10"/>
  <c r="BF26" i="10"/>
  <c r="AZ26" i="10"/>
  <c r="AT26" i="10"/>
  <c r="AN26" i="10"/>
  <c r="AH26" i="10"/>
  <c r="AB26" i="10"/>
  <c r="ER25" i="10"/>
  <c r="EL25" i="10"/>
  <c r="EF25" i="10"/>
  <c r="DZ25" i="10"/>
  <c r="DT25" i="10"/>
  <c r="DN25" i="10"/>
  <c r="DH25" i="10"/>
  <c r="DB25" i="10"/>
  <c r="CV25" i="10"/>
  <c r="CP25" i="10"/>
  <c r="CJ25" i="10"/>
  <c r="CD25" i="10"/>
  <c r="BX25" i="10"/>
  <c r="BR25" i="10"/>
  <c r="BL25" i="10"/>
  <c r="BF25" i="10"/>
  <c r="AZ25" i="10"/>
  <c r="AT25" i="10"/>
  <c r="AN25" i="10"/>
  <c r="AH25" i="10"/>
  <c r="AB25" i="10"/>
  <c r="ER14" i="10"/>
  <c r="EL14" i="10"/>
  <c r="EF14" i="10"/>
  <c r="DZ14" i="10"/>
  <c r="DT14" i="10"/>
  <c r="DN14" i="10"/>
  <c r="DH14" i="10"/>
  <c r="DB14" i="10"/>
  <c r="CV14" i="10"/>
  <c r="CP14" i="10"/>
  <c r="CJ14" i="10"/>
  <c r="CD14" i="10"/>
  <c r="BX14" i="10"/>
  <c r="BR14" i="10"/>
  <c r="BL14" i="10"/>
  <c r="BF14" i="10"/>
  <c r="AZ14" i="10"/>
  <c r="AT14" i="10"/>
  <c r="AN14" i="10"/>
  <c r="AH14" i="10"/>
  <c r="AB14" i="10"/>
  <c r="ER13" i="10"/>
  <c r="EL13" i="10"/>
  <c r="EF13" i="10"/>
  <c r="DZ13" i="10"/>
  <c r="DT13" i="10"/>
  <c r="DN13" i="10"/>
  <c r="DH13" i="10"/>
  <c r="DB13" i="10"/>
  <c r="CV13" i="10"/>
  <c r="CP13" i="10"/>
  <c r="CJ13" i="10"/>
  <c r="CD13" i="10"/>
  <c r="BX13" i="10"/>
  <c r="BR13" i="10"/>
  <c r="BL13" i="10"/>
  <c r="BF13" i="10"/>
  <c r="AZ13" i="10"/>
  <c r="AT13" i="10"/>
  <c r="AN13" i="10"/>
  <c r="AH13" i="10"/>
  <c r="AB13" i="10"/>
  <c r="ER12" i="10"/>
  <c r="EL12" i="10"/>
  <c r="EF12" i="10"/>
  <c r="DZ12" i="10"/>
  <c r="DT12" i="10"/>
  <c r="DN12" i="10"/>
  <c r="DH12" i="10"/>
  <c r="DB12" i="10"/>
  <c r="CV12" i="10"/>
  <c r="CP12" i="10"/>
  <c r="CJ12" i="10"/>
  <c r="CD12" i="10"/>
  <c r="BX12" i="10"/>
  <c r="BR12" i="10"/>
  <c r="BL12" i="10"/>
  <c r="BF12" i="10"/>
  <c r="AZ12" i="10"/>
  <c r="AT12" i="10"/>
  <c r="AN12" i="10"/>
  <c r="AH12" i="10"/>
  <c r="AB12" i="10"/>
  <c r="ER11" i="10"/>
  <c r="EL11" i="10"/>
  <c r="EF11" i="10"/>
  <c r="DZ11" i="10"/>
  <c r="DT11" i="10"/>
  <c r="DN11" i="10"/>
  <c r="DH11" i="10"/>
  <c r="DB11" i="10"/>
  <c r="CV11" i="10"/>
  <c r="CP11" i="10"/>
  <c r="CJ11" i="10"/>
  <c r="CD11" i="10"/>
  <c r="BX11" i="10"/>
  <c r="BR11" i="10"/>
  <c r="BL11" i="10"/>
  <c r="BF11" i="10"/>
  <c r="AZ11" i="10"/>
  <c r="AT11" i="10"/>
  <c r="AN11" i="10"/>
  <c r="AH11" i="10"/>
  <c r="AB11" i="10"/>
  <c r="ER10" i="10"/>
  <c r="EL10" i="10"/>
  <c r="EF10" i="10"/>
  <c r="DZ10" i="10"/>
  <c r="DT10" i="10"/>
  <c r="DN10" i="10"/>
  <c r="DH10" i="10"/>
  <c r="DB10" i="10"/>
  <c r="CV10" i="10"/>
  <c r="CP10" i="10"/>
  <c r="CJ10" i="10"/>
  <c r="CD10" i="10"/>
  <c r="BX10" i="10"/>
  <c r="BR10" i="10"/>
  <c r="BL10" i="10"/>
  <c r="BF10" i="10"/>
  <c r="AZ10" i="10"/>
  <c r="AT10" i="10"/>
  <c r="AN10" i="10"/>
  <c r="AH10" i="10"/>
  <c r="AB10" i="10"/>
  <c r="ER9" i="10"/>
  <c r="EL9" i="10"/>
  <c r="EF9" i="10"/>
  <c r="DZ9" i="10"/>
  <c r="DT9" i="10"/>
  <c r="DN9" i="10"/>
  <c r="DH9" i="10"/>
  <c r="DB9" i="10"/>
  <c r="CV9" i="10"/>
  <c r="CP9" i="10"/>
  <c r="CJ9" i="10"/>
  <c r="CD9" i="10"/>
  <c r="BX9" i="10"/>
  <c r="BR9" i="10"/>
  <c r="BL9" i="10"/>
  <c r="BF9" i="10"/>
  <c r="AZ9" i="10"/>
  <c r="AT9" i="10"/>
  <c r="AN9" i="10"/>
  <c r="AH9" i="10"/>
  <c r="AB9" i="10"/>
  <c r="ER8" i="10"/>
  <c r="EL8" i="10"/>
  <c r="EF8" i="10"/>
  <c r="DZ8" i="10"/>
  <c r="DT8" i="10"/>
  <c r="DN8" i="10"/>
  <c r="DH8" i="10"/>
  <c r="DB8" i="10"/>
  <c r="CV8" i="10"/>
  <c r="CP8" i="10"/>
  <c r="CJ8" i="10"/>
  <c r="CD8" i="10"/>
  <c r="BX8" i="10"/>
  <c r="BR8" i="10"/>
  <c r="BL8" i="10"/>
  <c r="BF8" i="10"/>
  <c r="AZ8" i="10"/>
  <c r="AT8" i="10"/>
  <c r="AN8" i="10"/>
  <c r="AH8" i="10"/>
  <c r="AB8" i="10"/>
  <c r="ER7" i="10"/>
  <c r="EL7" i="10"/>
  <c r="EF7" i="10"/>
  <c r="DZ7" i="10"/>
  <c r="DT7" i="10"/>
  <c r="DN7" i="10"/>
  <c r="DH7" i="10"/>
  <c r="DB7" i="10"/>
  <c r="CV7" i="10"/>
  <c r="CP7" i="10"/>
  <c r="CJ7" i="10"/>
  <c r="CD7" i="10"/>
  <c r="BX7" i="10"/>
  <c r="BR7" i="10"/>
  <c r="BL7" i="10"/>
  <c r="BF7" i="10"/>
  <c r="AZ7" i="10"/>
  <c r="AT7" i="10"/>
  <c r="AN7" i="10"/>
  <c r="AH7" i="10"/>
  <c r="AB7" i="10"/>
  <c r="ER6" i="10"/>
  <c r="EL6" i="10"/>
  <c r="EF6" i="10"/>
  <c r="DZ6" i="10"/>
  <c r="DT6" i="10"/>
  <c r="DN6" i="10"/>
  <c r="DH6" i="10"/>
  <c r="DB6" i="10"/>
  <c r="CV6" i="10"/>
  <c r="CP6" i="10"/>
  <c r="CJ6" i="10"/>
  <c r="CD6" i="10"/>
  <c r="BX6" i="10"/>
  <c r="BR6" i="10"/>
  <c r="BL6" i="10"/>
  <c r="BF6" i="10"/>
  <c r="AZ6" i="10"/>
  <c r="AT6" i="10"/>
  <c r="AN6" i="10"/>
  <c r="AH6" i="10"/>
  <c r="AB6" i="10"/>
  <c r="ER5" i="10"/>
  <c r="EL5" i="10"/>
  <c r="EF5" i="10"/>
  <c r="DZ5" i="10"/>
  <c r="DT5" i="10"/>
  <c r="DN5" i="10"/>
  <c r="DH5" i="10"/>
  <c r="DB5" i="10"/>
  <c r="CV5" i="10"/>
  <c r="CP5" i="10"/>
  <c r="CJ5" i="10"/>
  <c r="CD5" i="10"/>
  <c r="BX5" i="10"/>
  <c r="BR5" i="10"/>
  <c r="BL5" i="10"/>
  <c r="BF5" i="10"/>
  <c r="AZ5" i="10"/>
  <c r="AT5" i="10"/>
  <c r="AN5" i="10"/>
  <c r="AH5" i="10"/>
  <c r="AB5" i="10"/>
  <c r="V33" i="10"/>
  <c r="V32" i="10"/>
  <c r="V28" i="10"/>
  <c r="V21" i="10" s="1"/>
  <c r="V27" i="10"/>
  <c r="V26" i="10"/>
  <c r="V25" i="10"/>
  <c r="V14" i="10"/>
  <c r="V13" i="10"/>
  <c r="V12" i="10"/>
  <c r="V11" i="10"/>
  <c r="V10" i="10"/>
  <c r="V9" i="10"/>
  <c r="V8" i="10"/>
  <c r="V7" i="10"/>
  <c r="V6" i="10"/>
  <c r="V5" i="10"/>
  <c r="P33" i="10"/>
  <c r="P32" i="10"/>
  <c r="P28" i="10"/>
  <c r="P21" i="10" s="1"/>
  <c r="P27" i="10"/>
  <c r="P26" i="10"/>
  <c r="P25" i="10"/>
  <c r="P14" i="10"/>
  <c r="P13" i="10"/>
  <c r="P12" i="10"/>
  <c r="P11" i="10"/>
  <c r="P10" i="10"/>
  <c r="P9" i="10"/>
  <c r="P8" i="10"/>
  <c r="P7" i="10"/>
  <c r="P6" i="10"/>
  <c r="P5" i="10"/>
  <c r="J33" i="10"/>
  <c r="J32" i="10"/>
  <c r="J28" i="10"/>
  <c r="J21" i="10" s="1"/>
  <c r="J27" i="10"/>
  <c r="J26" i="10"/>
  <c r="J25" i="10"/>
  <c r="J14" i="10"/>
  <c r="J13" i="10"/>
  <c r="J12" i="10"/>
  <c r="J11" i="10"/>
  <c r="J10" i="10"/>
  <c r="J9" i="10"/>
  <c r="J8" i="10"/>
  <c r="J7" i="10"/>
  <c r="J6" i="10"/>
  <c r="J5" i="10"/>
  <c r="N13" i="39"/>
  <c r="O13" i="39" s="1"/>
  <c r="P13" i="39" s="1"/>
  <c r="Q13" i="39" s="1"/>
  <c r="R13" i="39" s="1"/>
  <c r="S13" i="39" s="1"/>
  <c r="T13" i="39" s="1"/>
  <c r="U13" i="39" s="1"/>
  <c r="V13" i="39" s="1"/>
  <c r="W13" i="39" s="1"/>
  <c r="X13" i="39" s="1"/>
  <c r="Y13" i="39" s="1"/>
  <c r="Z13" i="39" s="1"/>
  <c r="AA13" i="39" s="1"/>
  <c r="AB13" i="39" s="1"/>
  <c r="AC13" i="39" s="1"/>
  <c r="AD13" i="39" s="1"/>
  <c r="AE13" i="39" s="1"/>
  <c r="AF13" i="39" s="1"/>
  <c r="AG13" i="39" s="1"/>
  <c r="AH13" i="39" s="1"/>
  <c r="AI13" i="39" s="1"/>
  <c r="AJ13" i="39" s="1"/>
  <c r="D25" i="10"/>
  <c r="O6" i="1"/>
  <c r="BX29" i="10" l="1"/>
  <c r="CD29" i="10"/>
  <c r="CJ29" i="10"/>
  <c r="CP29" i="10"/>
  <c r="BF29" i="10"/>
  <c r="BR29" i="10"/>
  <c r="AN29" i="10"/>
  <c r="EF29" i="10"/>
  <c r="BL29" i="10"/>
  <c r="J29" i="10"/>
  <c r="DB29" i="10"/>
  <c r="DN29" i="10"/>
  <c r="DH29" i="10"/>
  <c r="AB29" i="10"/>
  <c r="DT29" i="10"/>
  <c r="V29" i="10"/>
  <c r="CV29" i="10"/>
  <c r="AH29" i="10"/>
  <c r="DZ29" i="10"/>
  <c r="P29" i="10"/>
  <c r="AT29" i="10"/>
  <c r="EL29" i="10"/>
  <c r="AZ29" i="10"/>
  <c r="ER29" i="10"/>
  <c r="CV4" i="10"/>
  <c r="BX4" i="10"/>
  <c r="CD4" i="10"/>
  <c r="V4" i="10"/>
  <c r="BR4" i="10"/>
  <c r="AN4" i="10"/>
  <c r="EF4" i="10"/>
  <c r="J4" i="10"/>
  <c r="CP4" i="10"/>
  <c r="AZ4" i="10"/>
  <c r="ER4" i="10"/>
  <c r="CJ4" i="10"/>
  <c r="DZ4" i="10"/>
  <c r="AH4" i="10"/>
  <c r="EL4" i="10"/>
  <c r="DB4" i="10"/>
  <c r="DN4" i="10"/>
  <c r="AT4" i="10"/>
  <c r="BF4" i="10"/>
  <c r="BL4" i="10"/>
  <c r="DH4" i="10"/>
  <c r="AB4" i="10"/>
  <c r="DT4" i="10"/>
  <c r="P4" i="10"/>
  <c r="D24" i="19" l="1"/>
  <c r="C25" i="19"/>
  <c r="D25" i="19" s="1"/>
  <c r="C26" i="19" l="1"/>
  <c r="H14" i="38"/>
  <c r="H19" i="56" s="1"/>
  <c r="H39" i="38" l="1"/>
  <c r="L147" i="39"/>
  <c r="L312" i="39"/>
  <c r="L475" i="39"/>
  <c r="C27" i="19"/>
  <c r="D26" i="19"/>
  <c r="D2" i="42"/>
  <c r="C8" i="42"/>
  <c r="B8" i="42"/>
  <c r="M147" i="39" l="1"/>
  <c r="M475" i="39"/>
  <c r="M312" i="39"/>
  <c r="C28" i="19"/>
  <c r="D27" i="19"/>
  <c r="B84" i="31"/>
  <c r="B83" i="31"/>
  <c r="B82" i="31"/>
  <c r="B81" i="31"/>
  <c r="B80" i="31"/>
  <c r="B79" i="31"/>
  <c r="B78" i="31"/>
  <c r="B77" i="31"/>
  <c r="B76" i="31"/>
  <c r="B75" i="31"/>
  <c r="O68" i="31"/>
  <c r="G68" i="31"/>
  <c r="E68" i="31"/>
  <c r="B62" i="31"/>
  <c r="B61" i="31"/>
  <c r="B60" i="31"/>
  <c r="B59" i="31"/>
  <c r="B58" i="31"/>
  <c r="B57" i="31"/>
  <c r="B56" i="31"/>
  <c r="B55" i="31"/>
  <c r="B54" i="31"/>
  <c r="B53" i="31"/>
  <c r="C29" i="19" l="1"/>
  <c r="D29" i="19" s="1"/>
  <c r="D28" i="19"/>
  <c r="AI15" i="34" l="1"/>
  <c r="AI12" i="34" l="1"/>
  <c r="AH12" i="34"/>
  <c r="AJ9" i="34"/>
  <c r="AH6" i="34"/>
  <c r="AH3" i="34"/>
  <c r="AH4" i="34" s="1"/>
  <c r="AJ1" i="34"/>
  <c r="AD3" i="34"/>
  <c r="Z3" i="34"/>
  <c r="V3" i="34"/>
  <c r="R18" i="34"/>
  <c r="N18" i="34"/>
  <c r="J17" i="34"/>
  <c r="R17" i="34" s="1"/>
  <c r="F17" i="34"/>
  <c r="N17" i="34" s="1"/>
  <c r="R16" i="34"/>
  <c r="N16" i="34"/>
  <c r="J15" i="34"/>
  <c r="R15" i="34" s="1"/>
  <c r="F15" i="34"/>
  <c r="F14" i="34"/>
  <c r="R11" i="34"/>
  <c r="N11" i="34"/>
  <c r="J11" i="34"/>
  <c r="F11" i="34"/>
  <c r="F12" i="34" s="1"/>
  <c r="N12" i="39"/>
  <c r="ES67" i="10"/>
  <c r="ES64" i="10"/>
  <c r="ES65" i="10" s="1"/>
  <c r="ES62" i="10"/>
  <c r="ES56" i="10"/>
  <c r="EM67" i="10"/>
  <c r="EM64" i="10"/>
  <c r="EM65" i="10" s="1"/>
  <c r="EM62" i="10"/>
  <c r="EM56" i="10"/>
  <c r="EG67" i="10"/>
  <c r="EG64" i="10"/>
  <c r="EG65" i="10" s="1"/>
  <c r="EG62" i="10"/>
  <c r="EG56" i="10"/>
  <c r="EA67" i="10"/>
  <c r="EA64" i="10"/>
  <c r="EA65" i="10" s="1"/>
  <c r="EA62" i="10"/>
  <c r="EA56" i="10"/>
  <c r="DU67" i="10"/>
  <c r="DU64" i="10"/>
  <c r="DU65" i="10" s="1"/>
  <c r="DU62" i="10"/>
  <c r="DU56" i="10"/>
  <c r="DO67" i="10"/>
  <c r="DO64" i="10"/>
  <c r="DO65" i="10" s="1"/>
  <c r="DO62" i="10"/>
  <c r="DO56" i="10"/>
  <c r="DI67" i="10"/>
  <c r="DI64" i="10"/>
  <c r="DI65" i="10" s="1"/>
  <c r="DI62" i="10"/>
  <c r="DI56" i="10"/>
  <c r="DC67" i="10"/>
  <c r="DC64" i="10"/>
  <c r="DC65" i="10" s="1"/>
  <c r="DC62" i="10"/>
  <c r="DC56" i="10"/>
  <c r="CW67" i="10"/>
  <c r="CW64" i="10"/>
  <c r="CW65" i="10" s="1"/>
  <c r="CW62" i="10"/>
  <c r="CW56" i="10"/>
  <c r="CQ67" i="10"/>
  <c r="CQ64" i="10"/>
  <c r="CQ65" i="10" s="1"/>
  <c r="CQ62" i="10"/>
  <c r="CQ56" i="10"/>
  <c r="CK67" i="10"/>
  <c r="CK64" i="10"/>
  <c r="CK65" i="10" s="1"/>
  <c r="CK62" i="10"/>
  <c r="CK56" i="10"/>
  <c r="CE67" i="10"/>
  <c r="CE64" i="10"/>
  <c r="CE65" i="10" s="1"/>
  <c r="CE62" i="10"/>
  <c r="CE56" i="10"/>
  <c r="BY67" i="10"/>
  <c r="BY64" i="10"/>
  <c r="BY65" i="10" s="1"/>
  <c r="BY62" i="10"/>
  <c r="BY56" i="10"/>
  <c r="BS67" i="10"/>
  <c r="BS64" i="10"/>
  <c r="BS65" i="10" s="1"/>
  <c r="BS62" i="10"/>
  <c r="BS56" i="10"/>
  <c r="BM67" i="10"/>
  <c r="BM64" i="10"/>
  <c r="BM65" i="10" s="1"/>
  <c r="BM62" i="10"/>
  <c r="BM56" i="10"/>
  <c r="BG67" i="10"/>
  <c r="BG64" i="10"/>
  <c r="BG65" i="10" s="1"/>
  <c r="BG62" i="10"/>
  <c r="BG56" i="10"/>
  <c r="BA67" i="10"/>
  <c r="BA64" i="10"/>
  <c r="BA65" i="10" s="1"/>
  <c r="BA62" i="10"/>
  <c r="BA56" i="10"/>
  <c r="AU67" i="10"/>
  <c r="AU64" i="10"/>
  <c r="AU65" i="10" s="1"/>
  <c r="AU62" i="10"/>
  <c r="AU56" i="10"/>
  <c r="AO67" i="10"/>
  <c r="AO64" i="10"/>
  <c r="AO65" i="10" s="1"/>
  <c r="AO62" i="10"/>
  <c r="AO56" i="10"/>
  <c r="AI67" i="10"/>
  <c r="AI64" i="10"/>
  <c r="AI65" i="10" s="1"/>
  <c r="AI62" i="10"/>
  <c r="AI56" i="10"/>
  <c r="Y1" i="10"/>
  <c r="AE1" i="10" s="1"/>
  <c r="AK1" i="10" s="1"/>
  <c r="AQ1" i="10" s="1"/>
  <c r="AW1" i="10" s="1"/>
  <c r="BC1" i="10" s="1"/>
  <c r="BI1" i="10" s="1"/>
  <c r="BO1" i="10" s="1"/>
  <c r="BU1" i="10" s="1"/>
  <c r="CA1" i="10" s="1"/>
  <c r="CG1" i="10" s="1"/>
  <c r="CM1" i="10" s="1"/>
  <c r="CS1" i="10" s="1"/>
  <c r="CY1" i="10" s="1"/>
  <c r="DE1" i="10" s="1"/>
  <c r="DK1" i="10" s="1"/>
  <c r="DQ1" i="10" s="1"/>
  <c r="DW1" i="10" s="1"/>
  <c r="EC1" i="10" s="1"/>
  <c r="EI1" i="10" s="1"/>
  <c r="EO1" i="10" s="1"/>
  <c r="EU1" i="10" s="1"/>
  <c r="S1" i="10"/>
  <c r="AC67" i="10"/>
  <c r="AC64" i="10"/>
  <c r="AC65" i="10" s="1"/>
  <c r="AC62" i="10"/>
  <c r="AC56" i="10"/>
  <c r="W67" i="10"/>
  <c r="W64" i="10"/>
  <c r="W65" i="10" s="1"/>
  <c r="W62" i="10"/>
  <c r="W56" i="10"/>
  <c r="Q67" i="10"/>
  <c r="Q64" i="10"/>
  <c r="Q65" i="10" s="1"/>
  <c r="Q62" i="10"/>
  <c r="Q56" i="10"/>
  <c r="N8" i="7"/>
  <c r="N45" i="7"/>
  <c r="R45" i="7"/>
  <c r="N799" i="39" l="1"/>
  <c r="N801" i="39" s="1"/>
  <c r="N473" i="39"/>
  <c r="N962" i="39"/>
  <c r="N964" i="39" s="1"/>
  <c r="N310" i="39"/>
  <c r="N147" i="39"/>
  <c r="O12" i="39"/>
  <c r="BR37" i="10"/>
  <c r="CP37" i="10"/>
  <c r="BL37" i="10"/>
  <c r="BF37" i="10"/>
  <c r="EL37" i="10"/>
  <c r="DB37" i="10"/>
  <c r="ER37" i="10"/>
  <c r="AZ37" i="10"/>
  <c r="AT37" i="10"/>
  <c r="EF37" i="10"/>
  <c r="AN37" i="10"/>
  <c r="DZ37" i="10"/>
  <c r="AH37" i="10"/>
  <c r="DH37" i="10"/>
  <c r="CV37" i="10"/>
  <c r="DT37" i="10"/>
  <c r="AB37" i="10"/>
  <c r="V37" i="10"/>
  <c r="DN37" i="10"/>
  <c r="CJ37" i="10"/>
  <c r="P37" i="10"/>
  <c r="CD37" i="10"/>
  <c r="J37" i="10"/>
  <c r="BX37" i="10"/>
  <c r="D37" i="10"/>
  <c r="J12" i="34"/>
  <c r="J13" i="34" s="1"/>
  <c r="N12" i="34"/>
  <c r="N13" i="34" s="1"/>
  <c r="R12" i="34"/>
  <c r="R13" i="34" s="1"/>
  <c r="N15" i="34"/>
  <c r="N14" i="34" s="1"/>
  <c r="R14" i="34"/>
  <c r="J14" i="34"/>
  <c r="F13" i="34"/>
  <c r="O799" i="39" l="1"/>
  <c r="O801" i="39" s="1"/>
  <c r="O962" i="39"/>
  <c r="O964" i="39" s="1"/>
  <c r="O473" i="39"/>
  <c r="O310" i="39"/>
  <c r="O147" i="39"/>
  <c r="N312" i="39"/>
  <c r="P12" i="39"/>
  <c r="N475" i="39"/>
  <c r="N19" i="34"/>
  <c r="P15" i="34" s="1"/>
  <c r="P14" i="34"/>
  <c r="P17" i="34"/>
  <c r="P16" i="34"/>
  <c r="F19" i="34"/>
  <c r="R19" i="34"/>
  <c r="P19" i="34"/>
  <c r="P18" i="34"/>
  <c r="P13" i="34"/>
  <c r="J19" i="34"/>
  <c r="L14" i="34" s="1"/>
  <c r="P799" i="39" l="1"/>
  <c r="P801" i="39" s="1"/>
  <c r="P473" i="39"/>
  <c r="P962" i="39"/>
  <c r="P964" i="39" s="1"/>
  <c r="P310" i="39"/>
  <c r="P147" i="39"/>
  <c r="O475" i="39"/>
  <c r="O312" i="39"/>
  <c r="Q12" i="39"/>
  <c r="T19" i="34"/>
  <c r="T16" i="34"/>
  <c r="T18" i="34"/>
  <c r="T15" i="34"/>
  <c r="T17" i="34"/>
  <c r="T13" i="34"/>
  <c r="T14" i="34"/>
  <c r="H15" i="34"/>
  <c r="H18" i="34"/>
  <c r="H16" i="34"/>
  <c r="H19" i="34"/>
  <c r="H17" i="34"/>
  <c r="H14" i="34"/>
  <c r="H13" i="34"/>
  <c r="L18" i="34"/>
  <c r="L19" i="34"/>
  <c r="L15" i="34"/>
  <c r="L17" i="34"/>
  <c r="L13" i="34"/>
  <c r="B21" i="31"/>
  <c r="O12" i="31"/>
  <c r="E12" i="31"/>
  <c r="O11" i="39"/>
  <c r="P11" i="39" s="1"/>
  <c r="Q11" i="39" s="1"/>
  <c r="R11" i="39" s="1"/>
  <c r="S11" i="39" s="1"/>
  <c r="T11" i="39" s="1"/>
  <c r="U11" i="39" s="1"/>
  <c r="V11" i="39" s="1"/>
  <c r="W11" i="39" s="1"/>
  <c r="X11" i="39" s="1"/>
  <c r="Y11" i="39" s="1"/>
  <c r="Z11" i="39" s="1"/>
  <c r="AA11" i="39" s="1"/>
  <c r="AB11" i="39" s="1"/>
  <c r="AC11" i="39" s="1"/>
  <c r="AD11" i="39" s="1"/>
  <c r="AE11" i="39" s="1"/>
  <c r="AF11" i="39" s="1"/>
  <c r="AG11" i="39" s="1"/>
  <c r="AH11" i="39" s="1"/>
  <c r="AI11" i="39" s="1"/>
  <c r="AJ11" i="39" s="1"/>
  <c r="Q799" i="39" l="1"/>
  <c r="Q801" i="39" s="1"/>
  <c r="Q962" i="39"/>
  <c r="Q964" i="39" s="1"/>
  <c r="Q473" i="39"/>
  <c r="Q310" i="39"/>
  <c r="Q147" i="39"/>
  <c r="B22" i="31"/>
  <c r="P312" i="39"/>
  <c r="P475" i="39"/>
  <c r="R12" i="39"/>
  <c r="O11" i="31"/>
  <c r="E11" i="31"/>
  <c r="D32" i="10"/>
  <c r="R799" i="39" l="1"/>
  <c r="R801" i="39" s="1"/>
  <c r="R473" i="39"/>
  <c r="R962" i="39"/>
  <c r="R964" i="39" s="1"/>
  <c r="R310" i="39"/>
  <c r="R147" i="39"/>
  <c r="B23" i="31"/>
  <c r="Q312" i="39"/>
  <c r="Q475" i="39"/>
  <c r="S12" i="39"/>
  <c r="AB1" i="34"/>
  <c r="AF1" i="34" s="1"/>
  <c r="S799" i="39" l="1"/>
  <c r="S801" i="39" s="1"/>
  <c r="S962" i="39"/>
  <c r="S964" i="39" s="1"/>
  <c r="S473" i="39"/>
  <c r="S310" i="39"/>
  <c r="S147" i="39"/>
  <c r="B24" i="31"/>
  <c r="R312" i="39"/>
  <c r="T12" i="39"/>
  <c r="R475" i="39"/>
  <c r="B1" i="41"/>
  <c r="T799" i="39" l="1"/>
  <c r="T801" i="39" s="1"/>
  <c r="T962" i="39"/>
  <c r="T964" i="39" s="1"/>
  <c r="T473" i="39"/>
  <c r="T310" i="39"/>
  <c r="T147" i="39"/>
  <c r="C18" i="41"/>
  <c r="C33" i="41"/>
  <c r="C30" i="41"/>
  <c r="C26" i="41"/>
  <c r="C28" i="41"/>
  <c r="C32" i="41"/>
  <c r="C31" i="41"/>
  <c r="C27" i="41"/>
  <c r="C25" i="41"/>
  <c r="C23" i="41"/>
  <c r="C22" i="41"/>
  <c r="C21" i="41"/>
  <c r="C20" i="41"/>
  <c r="B25" i="31"/>
  <c r="S475" i="39"/>
  <c r="S312" i="39"/>
  <c r="U12" i="39"/>
  <c r="C5" i="41"/>
  <c r="C6" i="41"/>
  <c r="C7" i="41"/>
  <c r="C8" i="41"/>
  <c r="C10" i="41"/>
  <c r="C11" i="41"/>
  <c r="C12" i="41"/>
  <c r="C13" i="41"/>
  <c r="C15" i="41"/>
  <c r="C16" i="41"/>
  <c r="C17" i="41"/>
  <c r="AJ1" i="31"/>
  <c r="AK1" i="31" s="1"/>
  <c r="K67" i="10"/>
  <c r="K64" i="10"/>
  <c r="K65" i="10" s="1"/>
  <c r="K62" i="10"/>
  <c r="K56" i="10"/>
  <c r="D26" i="10"/>
  <c r="D28" i="10"/>
  <c r="D27" i="10"/>
  <c r="N2" i="10"/>
  <c r="U799" i="39" l="1"/>
  <c r="U801" i="39" s="1"/>
  <c r="U962" i="39"/>
  <c r="U964" i="39" s="1"/>
  <c r="U473" i="39"/>
  <c r="U310" i="39"/>
  <c r="U147" i="39"/>
  <c r="B26" i="31"/>
  <c r="T475" i="39"/>
  <c r="T312" i="39"/>
  <c r="V12" i="39"/>
  <c r="T2" i="10"/>
  <c r="J2" i="10"/>
  <c r="J1" i="11" s="1"/>
  <c r="D14" i="10"/>
  <c r="D13" i="10"/>
  <c r="D12" i="10"/>
  <c r="D11" i="10"/>
  <c r="D10" i="10"/>
  <c r="D9" i="10"/>
  <c r="D8" i="10"/>
  <c r="D7" i="10"/>
  <c r="D6" i="10"/>
  <c r="D5" i="10"/>
  <c r="V799" i="39" l="1"/>
  <c r="V801" i="39" s="1"/>
  <c r="V962" i="39"/>
  <c r="V964" i="39" s="1"/>
  <c r="V473" i="39"/>
  <c r="V310" i="39"/>
  <c r="V147" i="39"/>
  <c r="B27" i="31"/>
  <c r="U312" i="39"/>
  <c r="U475" i="39"/>
  <c r="W12" i="39"/>
  <c r="P2" i="10"/>
  <c r="P1" i="11" s="1"/>
  <c r="Z2" i="10"/>
  <c r="D33" i="10"/>
  <c r="E67" i="10"/>
  <c r="W799" i="39" l="1"/>
  <c r="W801" i="39" s="1"/>
  <c r="W962" i="39"/>
  <c r="W964" i="39" s="1"/>
  <c r="W473" i="39"/>
  <c r="W310" i="39"/>
  <c r="W147" i="39"/>
  <c r="B28" i="31"/>
  <c r="V475" i="39"/>
  <c r="V312" i="39"/>
  <c r="X12" i="39"/>
  <c r="AF2" i="10"/>
  <c r="V2" i="10"/>
  <c r="V1" i="11" s="1"/>
  <c r="X799" i="39" l="1"/>
  <c r="X801" i="39" s="1"/>
  <c r="X473" i="39"/>
  <c r="X962" i="39"/>
  <c r="X964" i="39" s="1"/>
  <c r="X310" i="39"/>
  <c r="X147" i="39"/>
  <c r="B29" i="31"/>
  <c r="W475" i="39"/>
  <c r="W312" i="39"/>
  <c r="Y12" i="39"/>
  <c r="AB2" i="10"/>
  <c r="AB1" i="11" s="1"/>
  <c r="AL2" i="10"/>
  <c r="C1" i="10"/>
  <c r="E62" i="10"/>
  <c r="E64" i="10"/>
  <c r="D21" i="10"/>
  <c r="DO50" i="10" l="1" a="1"/>
  <c r="DO50" i="10" s="1"/>
  <c r="DO51" i="10" s="1"/>
  <c r="AI50" i="10" a="1"/>
  <c r="AI50" i="10" s="1"/>
  <c r="AI51" i="10" s="1"/>
  <c r="CQ46" i="10" a="1"/>
  <c r="CQ46" i="10" s="1"/>
  <c r="CQ47" i="10" s="1"/>
  <c r="ES50" i="10" a="1"/>
  <c r="ES50" i="10" s="1"/>
  <c r="ES51" i="10" s="1"/>
  <c r="DU46" i="10" a="1"/>
  <c r="DU46" i="10" s="1"/>
  <c r="DU47" i="10" s="1"/>
  <c r="DO46" i="10" a="1"/>
  <c r="DO46" i="10" s="1"/>
  <c r="DO47" i="10" s="1"/>
  <c r="BA50" i="10" a="1"/>
  <c r="BA50" i="10" s="1"/>
  <c r="BA51" i="10" s="1"/>
  <c r="CW46" i="10" a="1"/>
  <c r="CW46" i="10" s="1"/>
  <c r="CW47" i="10" s="1"/>
  <c r="DI50" i="10" a="1"/>
  <c r="DI50" i="10" s="1"/>
  <c r="DI51" i="10" s="1"/>
  <c r="CK46" i="10" a="1"/>
  <c r="CK46" i="10" s="1"/>
  <c r="CK47" i="10" s="1"/>
  <c r="DC50" i="10" a="1"/>
  <c r="DC50" i="10" s="1"/>
  <c r="DC51" i="10" s="1"/>
  <c r="CE46" i="10" a="1"/>
  <c r="CE46" i="10" s="1"/>
  <c r="CE47" i="10" s="1"/>
  <c r="E50" i="10" a="1"/>
  <c r="E50" i="10" s="1"/>
  <c r="AU46" i="10" a="1"/>
  <c r="AU46" i="10" s="1"/>
  <c r="AU47" i="10" s="1"/>
  <c r="AI46" i="10" a="1"/>
  <c r="AI46" i="10" s="1"/>
  <c r="AI47" i="10" s="1"/>
  <c r="AU50" i="10" a="1"/>
  <c r="AU50" i="10" s="1"/>
  <c r="AU51" i="10" s="1"/>
  <c r="AO50" i="10" a="1"/>
  <c r="AO50" i="10" s="1"/>
  <c r="AO51" i="10" s="1"/>
  <c r="AC50" i="10" a="1"/>
  <c r="AC50" i="10" s="1"/>
  <c r="AC51" i="10" s="1"/>
  <c r="EM46" i="10" a="1"/>
  <c r="EM46" i="10" s="1"/>
  <c r="EM47" i="10" s="1"/>
  <c r="AO46" i="10" a="1"/>
  <c r="AO46" i="10" s="1"/>
  <c r="AO47" i="10" s="1"/>
  <c r="EM50" i="10" a="1"/>
  <c r="EM50" i="10" s="1"/>
  <c r="EM51" i="10" s="1"/>
  <c r="BG50" i="10" a="1"/>
  <c r="BG50" i="10" s="1"/>
  <c r="BG51" i="10" s="1"/>
  <c r="Q46" i="10" a="1"/>
  <c r="Q46" i="10" s="1"/>
  <c r="Q47" i="10" s="1"/>
  <c r="CW50" i="10" a="1"/>
  <c r="CW50" i="10" s="1"/>
  <c r="CW51" i="10" s="1"/>
  <c r="BY46" i="10" a="1"/>
  <c r="BY46" i="10" s="1"/>
  <c r="BY47" i="10" s="1"/>
  <c r="CQ50" i="10" a="1"/>
  <c r="CQ50" i="10" s="1"/>
  <c r="CQ51" i="10" s="1"/>
  <c r="W50" i="10" a="1"/>
  <c r="W50" i="10" s="1"/>
  <c r="W51" i="10" s="1"/>
  <c r="BS46" i="10" a="1"/>
  <c r="BS46" i="10" s="1"/>
  <c r="BS47" i="10" s="1"/>
  <c r="E46" i="10" a="1"/>
  <c r="E46" i="10" s="1"/>
  <c r="E47" i="10" s="1"/>
  <c r="CK50" i="10" a="1"/>
  <c r="CK50" i="10" s="1"/>
  <c r="CK51" i="10" s="1"/>
  <c r="Q50" i="10" a="1"/>
  <c r="Q50" i="10" s="1"/>
  <c r="Q51" i="10" s="1"/>
  <c r="BM46" i="10" a="1"/>
  <c r="BM46" i="10" s="1"/>
  <c r="BM47" i="10" s="1"/>
  <c r="CE50" i="10" a="1"/>
  <c r="CE50" i="10" s="1"/>
  <c r="CE51" i="10" s="1"/>
  <c r="BG46" i="10" a="1"/>
  <c r="BG46" i="10" s="1"/>
  <c r="BG47" i="10" s="1"/>
  <c r="BY50" i="10" a="1"/>
  <c r="BY50" i="10" s="1"/>
  <c r="BY51" i="10" s="1"/>
  <c r="EG46" i="10" a="1"/>
  <c r="EG46" i="10" s="1"/>
  <c r="EG47" i="10" s="1"/>
  <c r="EA46" i="10" a="1"/>
  <c r="EA46" i="10" s="1"/>
  <c r="EA47" i="10" s="1"/>
  <c r="AC46" i="10" a="1"/>
  <c r="AC46" i="10" s="1"/>
  <c r="AC47" i="10" s="1"/>
  <c r="W46" i="10" a="1"/>
  <c r="W46" i="10" s="1"/>
  <c r="W47" i="10" s="1"/>
  <c r="K50" i="10" a="1"/>
  <c r="K50" i="10" s="1"/>
  <c r="K51" i="10" s="1"/>
  <c r="ES46" i="10" a="1"/>
  <c r="ES46" i="10" s="1"/>
  <c r="ES47" i="10" s="1"/>
  <c r="BA46" i="10" a="1"/>
  <c r="BA46" i="10" s="1"/>
  <c r="BA47" i="10" s="1"/>
  <c r="BS50" i="10" a="1"/>
  <c r="BS50" i="10" s="1"/>
  <c r="BS51" i="10" s="1"/>
  <c r="EA50" i="10" a="1"/>
  <c r="EA50" i="10" s="1"/>
  <c r="EA51" i="10" s="1"/>
  <c r="K46" i="10" a="1"/>
  <c r="K46" i="10" s="1"/>
  <c r="K47" i="10" s="1"/>
  <c r="DU50" i="10" a="1"/>
  <c r="DU50" i="10" s="1"/>
  <c r="DU51" i="10" s="1"/>
  <c r="EG50" i="10" a="1"/>
  <c r="EG50" i="10" s="1"/>
  <c r="EG51" i="10" s="1"/>
  <c r="BM50" i="10" a="1"/>
  <c r="BM50" i="10" s="1"/>
  <c r="BM51" i="10" s="1"/>
  <c r="DI46" i="10" a="1"/>
  <c r="DI46" i="10" s="1"/>
  <c r="DI47" i="10" s="1"/>
  <c r="DC46" i="10" a="1"/>
  <c r="DC46" i="10" s="1"/>
  <c r="DC47" i="10" s="1"/>
  <c r="Y799" i="39"/>
  <c r="Y801" i="39" s="1"/>
  <c r="Y473" i="39"/>
  <c r="Y962" i="39"/>
  <c r="Y964" i="39" s="1"/>
  <c r="Y310" i="39"/>
  <c r="Y147" i="39"/>
  <c r="B30" i="31"/>
  <c r="X475" i="39"/>
  <c r="X312" i="39"/>
  <c r="Z12" i="39"/>
  <c r="AR2" i="10"/>
  <c r="AH2" i="10"/>
  <c r="AH1" i="11" s="1"/>
  <c r="AE12" i="34"/>
  <c r="AD12" i="34"/>
  <c r="AA12" i="34"/>
  <c r="Z12" i="34"/>
  <c r="Z799" i="39" l="1"/>
  <c r="Z801" i="39" s="1"/>
  <c r="Z962" i="39"/>
  <c r="Z964" i="39" s="1"/>
  <c r="Z473" i="39"/>
  <c r="Z310" i="39"/>
  <c r="Z147" i="39"/>
  <c r="B31" i="31"/>
  <c r="Y475" i="39"/>
  <c r="Y312" i="39"/>
  <c r="AA12" i="39"/>
  <c r="AN2" i="10"/>
  <c r="AN1" i="11" s="1"/>
  <c r="AX2" i="10"/>
  <c r="L14" i="39"/>
  <c r="AJ159" i="39"/>
  <c r="AI159" i="39"/>
  <c r="AH159" i="39"/>
  <c r="AG159" i="39"/>
  <c r="AF159" i="39"/>
  <c r="AE159" i="39"/>
  <c r="AD159" i="39"/>
  <c r="AC159" i="39"/>
  <c r="AB159" i="39"/>
  <c r="AA159" i="39"/>
  <c r="AJ141" i="39"/>
  <c r="AI141" i="39"/>
  <c r="AH141" i="39"/>
  <c r="AG141" i="39"/>
  <c r="AF141" i="39"/>
  <c r="AE141" i="39"/>
  <c r="AD141" i="39"/>
  <c r="AC141" i="39"/>
  <c r="AB141" i="39"/>
  <c r="AA141" i="39"/>
  <c r="AJ103" i="39"/>
  <c r="AI103" i="39"/>
  <c r="AH103" i="39"/>
  <c r="AG103" i="39"/>
  <c r="AF103" i="39"/>
  <c r="AE103" i="39"/>
  <c r="AD103" i="39"/>
  <c r="AC103" i="39"/>
  <c r="AB103" i="39"/>
  <c r="AA103" i="39"/>
  <c r="AJ26" i="39"/>
  <c r="AI26" i="39"/>
  <c r="AH26" i="39"/>
  <c r="AG26" i="39"/>
  <c r="AF26" i="39"/>
  <c r="AE26" i="39"/>
  <c r="AD26" i="39"/>
  <c r="AC26" i="39"/>
  <c r="AB26" i="39"/>
  <c r="AA26" i="39"/>
  <c r="AA799" i="39" l="1"/>
  <c r="AA801" i="39" s="1"/>
  <c r="AA962" i="39"/>
  <c r="AA964" i="39" s="1"/>
  <c r="AA473" i="39"/>
  <c r="AA310" i="39"/>
  <c r="AA147" i="39"/>
  <c r="B32" i="31"/>
  <c r="Z312" i="39"/>
  <c r="AB12" i="39"/>
  <c r="Z475" i="39"/>
  <c r="BD2" i="10"/>
  <c r="AT2" i="10"/>
  <c r="AT1" i="11" s="1"/>
  <c r="D24" i="10"/>
  <c r="M14" i="39"/>
  <c r="Z141" i="39"/>
  <c r="Y141" i="39"/>
  <c r="X141" i="39"/>
  <c r="W141" i="39"/>
  <c r="V141" i="39"/>
  <c r="U141" i="39"/>
  <c r="T141" i="39"/>
  <c r="S141" i="39"/>
  <c r="R141" i="39"/>
  <c r="Q141" i="39"/>
  <c r="P141" i="39"/>
  <c r="O141" i="39"/>
  <c r="N141" i="39"/>
  <c r="M141" i="39"/>
  <c r="L141" i="39"/>
  <c r="K12" i="38"/>
  <c r="H12" i="38"/>
  <c r="AG302" i="39" l="1"/>
  <c r="Q302" i="39"/>
  <c r="Z264" i="39"/>
  <c r="AB302" i="39"/>
  <c r="AF302" i="39"/>
  <c r="P302" i="39"/>
  <c r="Y264" i="39"/>
  <c r="V264" i="39"/>
  <c r="L302" i="39"/>
  <c r="AF264" i="39"/>
  <c r="AE302" i="39"/>
  <c r="O302" i="39"/>
  <c r="X264" i="39"/>
  <c r="S264" i="39"/>
  <c r="W302" i="39"/>
  <c r="AD302" i="39"/>
  <c r="N302" i="39"/>
  <c r="W264" i="39"/>
  <c r="AH264" i="39"/>
  <c r="AC302" i="39"/>
  <c r="M302" i="39"/>
  <c r="U264" i="39"/>
  <c r="Y302" i="39"/>
  <c r="AG264" i="39"/>
  <c r="AA302" i="39"/>
  <c r="AJ264" i="39"/>
  <c r="T264" i="39"/>
  <c r="R264" i="39"/>
  <c r="Z302" i="39"/>
  <c r="AI264" i="39"/>
  <c r="Q264" i="39"/>
  <c r="P264" i="39"/>
  <c r="V302" i="39"/>
  <c r="AE264" i="39"/>
  <c r="O264" i="39"/>
  <c r="X302" i="39"/>
  <c r="U302" i="39"/>
  <c r="AD264" i="39"/>
  <c r="N264" i="39"/>
  <c r="AJ302" i="39"/>
  <c r="T302" i="39"/>
  <c r="AC264" i="39"/>
  <c r="M264" i="39"/>
  <c r="L264" i="39"/>
  <c r="AI302" i="39"/>
  <c r="S302" i="39"/>
  <c r="AB264" i="39"/>
  <c r="AH302" i="39"/>
  <c r="R302" i="39"/>
  <c r="AA264" i="39"/>
  <c r="AJ139" i="39"/>
  <c r="T139" i="39"/>
  <c r="AC101" i="39"/>
  <c r="M101" i="39"/>
  <c r="P139" i="39"/>
  <c r="AI101" i="39"/>
  <c r="AI139" i="39"/>
  <c r="S139" i="39"/>
  <c r="AB101" i="39"/>
  <c r="L101" i="39"/>
  <c r="Q139" i="39"/>
  <c r="Y101" i="39"/>
  <c r="X101" i="39"/>
  <c r="V101" i="39"/>
  <c r="U101" i="39"/>
  <c r="AH139" i="39"/>
  <c r="R139" i="39"/>
  <c r="AA101" i="39"/>
  <c r="AG139" i="39"/>
  <c r="L139" i="39"/>
  <c r="Z101" i="39"/>
  <c r="O139" i="39"/>
  <c r="AA139" i="39"/>
  <c r="AF139" i="39"/>
  <c r="M139" i="39"/>
  <c r="S101" i="39"/>
  <c r="AE139" i="39"/>
  <c r="Z139" i="39"/>
  <c r="AD139" i="39"/>
  <c r="N139" i="39"/>
  <c r="W101" i="39"/>
  <c r="AC139" i="39"/>
  <c r="T101" i="39"/>
  <c r="AB139" i="39"/>
  <c r="Y139" i="39"/>
  <c r="AH101" i="39"/>
  <c r="R101" i="39"/>
  <c r="AF101" i="39"/>
  <c r="V139" i="39"/>
  <c r="X139" i="39"/>
  <c r="AG101" i="39"/>
  <c r="Q101" i="39"/>
  <c r="P101" i="39"/>
  <c r="AE101" i="39"/>
  <c r="AD101" i="39"/>
  <c r="W139" i="39"/>
  <c r="N101" i="39"/>
  <c r="O101" i="39"/>
  <c r="AJ101" i="39"/>
  <c r="U139" i="39"/>
  <c r="AB799" i="39"/>
  <c r="AB801" i="39" s="1"/>
  <c r="AB473" i="39"/>
  <c r="AB962" i="39"/>
  <c r="AB964" i="39" s="1"/>
  <c r="AB310" i="39"/>
  <c r="AB147" i="39"/>
  <c r="B33" i="31"/>
  <c r="AA312" i="39"/>
  <c r="AA475" i="39"/>
  <c r="AC12" i="39"/>
  <c r="AZ2" i="10"/>
  <c r="AZ1" i="11" s="1"/>
  <c r="BJ2" i="10"/>
  <c r="J24" i="10"/>
  <c r="J30" i="10" s="1"/>
  <c r="J31" i="10" s="1"/>
  <c r="J29" i="11" s="1"/>
  <c r="AJ18" i="34"/>
  <c r="X18" i="34"/>
  <c r="AB18" i="34"/>
  <c r="AF18" i="34"/>
  <c r="N14" i="39"/>
  <c r="Z103" i="39"/>
  <c r="Y103" i="39"/>
  <c r="X103" i="39"/>
  <c r="W103" i="39"/>
  <c r="V103" i="39"/>
  <c r="U103" i="39"/>
  <c r="T103" i="39"/>
  <c r="S103" i="39"/>
  <c r="R103" i="39"/>
  <c r="Q103" i="39"/>
  <c r="P103" i="39"/>
  <c r="O103" i="39"/>
  <c r="N103" i="39"/>
  <c r="M103" i="39"/>
  <c r="L103" i="39"/>
  <c r="AD6" i="34"/>
  <c r="Z6" i="34"/>
  <c r="V6" i="34"/>
  <c r="AD4" i="34"/>
  <c r="Z4" i="34"/>
  <c r="V4" i="34"/>
  <c r="Z159" i="39"/>
  <c r="Y159" i="39"/>
  <c r="X159" i="39"/>
  <c r="W159" i="39"/>
  <c r="V159" i="39"/>
  <c r="U159" i="39"/>
  <c r="T159" i="39"/>
  <c r="L159" i="39"/>
  <c r="K125" i="39"/>
  <c r="K119" i="39"/>
  <c r="K118" i="39" s="1"/>
  <c r="K110" i="39"/>
  <c r="K108" i="39" s="1"/>
  <c r="K87" i="39"/>
  <c r="K81" i="39"/>
  <c r="K72" i="39"/>
  <c r="K70" i="39" s="1"/>
  <c r="Z26" i="39"/>
  <c r="Y26" i="39"/>
  <c r="X26" i="39"/>
  <c r="W26" i="39"/>
  <c r="V26" i="39"/>
  <c r="U26" i="39"/>
  <c r="T26" i="39"/>
  <c r="S26" i="39"/>
  <c r="R26" i="39"/>
  <c r="Q26" i="39"/>
  <c r="P26" i="39"/>
  <c r="O26" i="39"/>
  <c r="N26" i="39"/>
  <c r="M26" i="39"/>
  <c r="L26" i="39"/>
  <c r="K55" i="39"/>
  <c r="K49" i="39"/>
  <c r="K48" i="39" s="1"/>
  <c r="A33" i="38"/>
  <c r="AC799" i="39" l="1"/>
  <c r="AC801" i="39" s="1"/>
  <c r="AC962" i="39"/>
  <c r="AC964" i="39" s="1"/>
  <c r="AC473" i="39"/>
  <c r="AC310" i="39"/>
  <c r="AC147" i="39"/>
  <c r="E113" i="38"/>
  <c r="E112" i="38"/>
  <c r="E111" i="38"/>
  <c r="E108" i="38"/>
  <c r="E110" i="38"/>
  <c r="E109" i="38"/>
  <c r="E122" i="38"/>
  <c r="E106" i="38"/>
  <c r="E114" i="38"/>
  <c r="E98" i="38"/>
  <c r="E123" i="38"/>
  <c r="E107" i="38"/>
  <c r="E121" i="38"/>
  <c r="E105" i="38"/>
  <c r="E120" i="38"/>
  <c r="E104" i="38"/>
  <c r="E119" i="38"/>
  <c r="E103" i="38"/>
  <c r="E116" i="38"/>
  <c r="E100" i="38"/>
  <c r="E115" i="38"/>
  <c r="E99" i="38"/>
  <c r="E118" i="38"/>
  <c r="E102" i="38"/>
  <c r="E117" i="38"/>
  <c r="E101" i="38"/>
  <c r="B34" i="31"/>
  <c r="AB475" i="39"/>
  <c r="AB312" i="39"/>
  <c r="AD12" i="39"/>
  <c r="K80" i="39"/>
  <c r="K92" i="39" s="1"/>
  <c r="K99" i="39" s="1"/>
  <c r="BF2" i="10"/>
  <c r="BF1" i="11" s="1"/>
  <c r="BP2" i="10"/>
  <c r="P24" i="10"/>
  <c r="P30" i="10" s="1"/>
  <c r="P31" i="10" s="1"/>
  <c r="P29" i="11" s="1"/>
  <c r="E44" i="38"/>
  <c r="E54" i="38"/>
  <c r="E46" i="38"/>
  <c r="E55" i="38"/>
  <c r="E53" i="38"/>
  <c r="E45" i="38"/>
  <c r="E58" i="38"/>
  <c r="E57" i="38"/>
  <c r="E68" i="38"/>
  <c r="E52" i="38"/>
  <c r="E60" i="38"/>
  <c r="E43" i="38"/>
  <c r="E56" i="38"/>
  <c r="E67" i="38"/>
  <c r="E51" i="38"/>
  <c r="E59" i="38"/>
  <c r="E42" i="38"/>
  <c r="E66" i="38"/>
  <c r="E50" i="38"/>
  <c r="E65" i="38"/>
  <c r="E49" i="38"/>
  <c r="E64" i="38"/>
  <c r="E48" i="38"/>
  <c r="E63" i="38"/>
  <c r="E47" i="38"/>
  <c r="AN1" i="34"/>
  <c r="AO1" i="34" s="1"/>
  <c r="E62" i="38"/>
  <c r="E61" i="38"/>
  <c r="E85" i="38"/>
  <c r="E90" i="38"/>
  <c r="E74" i="38"/>
  <c r="E84" i="38"/>
  <c r="E83" i="38"/>
  <c r="E82" i="38"/>
  <c r="E81" i="38"/>
  <c r="E96" i="38"/>
  <c r="E80" i="38"/>
  <c r="E95" i="38"/>
  <c r="E79" i="38"/>
  <c r="E92" i="38"/>
  <c r="E76" i="38"/>
  <c r="E91" i="38"/>
  <c r="E75" i="38"/>
  <c r="E94" i="38"/>
  <c r="E78" i="38"/>
  <c r="E89" i="38"/>
  <c r="E73" i="38"/>
  <c r="E93" i="38"/>
  <c r="E77" i="38"/>
  <c r="E86" i="38"/>
  <c r="E88" i="38"/>
  <c r="E72" i="38"/>
  <c r="E87" i="38"/>
  <c r="D1" i="10"/>
  <c r="E71" i="38"/>
  <c r="O14" i="39"/>
  <c r="H9" i="39"/>
  <c r="M159" i="39"/>
  <c r="N159" i="39"/>
  <c r="O159" i="39"/>
  <c r="P159" i="39"/>
  <c r="Q159" i="39"/>
  <c r="R159" i="39"/>
  <c r="S159" i="39"/>
  <c r="K130" i="39"/>
  <c r="K137" i="39" s="1"/>
  <c r="E34" i="38"/>
  <c r="A34" i="38"/>
  <c r="AD799" i="39" l="1"/>
  <c r="AD801" i="39" s="1"/>
  <c r="AD962" i="39"/>
  <c r="AD964" i="39" s="1"/>
  <c r="AD473" i="39"/>
  <c r="AD310" i="39"/>
  <c r="AD147" i="39"/>
  <c r="I989" i="39"/>
  <c r="I940" i="39"/>
  <c r="I905" i="39"/>
  <c r="I891" i="39"/>
  <c r="I871" i="39"/>
  <c r="I855" i="39"/>
  <c r="I786" i="39"/>
  <c r="I771" i="39"/>
  <c r="I736" i="39"/>
  <c r="I719" i="39"/>
  <c r="I700" i="39"/>
  <c r="I977" i="39"/>
  <c r="I943" i="39"/>
  <c r="I929" i="39"/>
  <c r="I911" i="39"/>
  <c r="I896" i="39"/>
  <c r="I877" i="39"/>
  <c r="I858" i="39"/>
  <c r="I976" i="39"/>
  <c r="I918" i="39"/>
  <c r="I909" i="39"/>
  <c r="I893" i="39"/>
  <c r="I856" i="39"/>
  <c r="I986" i="39"/>
  <c r="I939" i="39"/>
  <c r="I925" i="39"/>
  <c r="I904" i="39"/>
  <c r="I890" i="39"/>
  <c r="I826" i="39"/>
  <c r="I785" i="39"/>
  <c r="I770" i="39"/>
  <c r="I753" i="39"/>
  <c r="I735" i="39"/>
  <c r="I717" i="39"/>
  <c r="I698" i="39"/>
  <c r="I942" i="39"/>
  <c r="I910" i="39"/>
  <c r="I895" i="39"/>
  <c r="I857" i="39"/>
  <c r="I985" i="39"/>
  <c r="I938" i="39"/>
  <c r="I924" i="39"/>
  <c r="I903" i="39"/>
  <c r="I889" i="39"/>
  <c r="I870" i="39"/>
  <c r="I823" i="39"/>
  <c r="I813" i="39"/>
  <c r="I793" i="39"/>
  <c r="I784" i="39"/>
  <c r="I768" i="39"/>
  <c r="I751" i="39"/>
  <c r="I734" i="39"/>
  <c r="I716" i="39"/>
  <c r="I697" i="39"/>
  <c r="I928" i="39"/>
  <c r="I875" i="39"/>
  <c r="I808" i="39"/>
  <c r="I923" i="39"/>
  <c r="I888" i="39"/>
  <c r="I854" i="39"/>
  <c r="I822" i="39"/>
  <c r="I792" i="39"/>
  <c r="I782" i="39"/>
  <c r="I767" i="39"/>
  <c r="I749" i="39"/>
  <c r="I715" i="39"/>
  <c r="I696" i="39"/>
  <c r="I780" i="39"/>
  <c r="I766" i="39"/>
  <c r="I748" i="39"/>
  <c r="I733" i="39"/>
  <c r="I714" i="39"/>
  <c r="I695" i="39"/>
  <c r="I978" i="39"/>
  <c r="I968" i="39"/>
  <c r="I955" i="39"/>
  <c r="I931" i="39"/>
  <c r="I914" i="39"/>
  <c r="I897" i="39"/>
  <c r="I879" i="39"/>
  <c r="I860" i="39"/>
  <c r="I816" i="39"/>
  <c r="I775" i="39"/>
  <c r="I761" i="39"/>
  <c r="I740" i="39"/>
  <c r="I726" i="39"/>
  <c r="I707" i="39"/>
  <c r="I957" i="39"/>
  <c r="I926" i="39"/>
  <c r="I917" i="39"/>
  <c r="I907" i="39"/>
  <c r="I892" i="39"/>
  <c r="I872" i="39"/>
  <c r="I983" i="39"/>
  <c r="I954" i="39"/>
  <c r="I937" i="39"/>
  <c r="I919" i="39"/>
  <c r="I902" i="39"/>
  <c r="I866" i="39"/>
  <c r="I941" i="39"/>
  <c r="I927" i="39"/>
  <c r="I873" i="39"/>
  <c r="I982" i="39"/>
  <c r="I952" i="39"/>
  <c r="I936" i="39"/>
  <c r="I901" i="39"/>
  <c r="I887" i="39"/>
  <c r="I865" i="39"/>
  <c r="I853" i="39"/>
  <c r="I820" i="39"/>
  <c r="I779" i="39"/>
  <c r="I765" i="39"/>
  <c r="I747" i="39"/>
  <c r="I732" i="39"/>
  <c r="I712" i="39"/>
  <c r="I694" i="39"/>
  <c r="I794" i="39"/>
  <c r="I777" i="39"/>
  <c r="I742" i="39"/>
  <c r="I728" i="39"/>
  <c r="I708" i="39"/>
  <c r="I692" i="39"/>
  <c r="I690" i="39"/>
  <c r="I966" i="39"/>
  <c r="I945" i="39"/>
  <c r="I930" i="39"/>
  <c r="I912" i="39"/>
  <c r="I878" i="39"/>
  <c r="I859" i="39"/>
  <c r="I791" i="39"/>
  <c r="I773" i="39"/>
  <c r="I738" i="39"/>
  <c r="I724" i="39"/>
  <c r="I702" i="39"/>
  <c r="I981" i="39"/>
  <c r="I950" i="39"/>
  <c r="I935" i="39"/>
  <c r="I900" i="39"/>
  <c r="I886" i="39"/>
  <c r="I819" i="39"/>
  <c r="I778" i="39"/>
  <c r="I764" i="39"/>
  <c r="I755" i="39"/>
  <c r="I746" i="39"/>
  <c r="I730" i="39"/>
  <c r="I710" i="39"/>
  <c r="I693" i="39"/>
  <c r="I691" i="39"/>
  <c r="I818" i="39"/>
  <c r="I763" i="39"/>
  <c r="I754" i="39"/>
  <c r="I744" i="39"/>
  <c r="I729" i="39"/>
  <c r="I709" i="39"/>
  <c r="I971" i="39"/>
  <c r="I956" i="39"/>
  <c r="I947" i="39"/>
  <c r="I933" i="39"/>
  <c r="I916" i="39"/>
  <c r="I898" i="39"/>
  <c r="I880" i="39"/>
  <c r="I861" i="39"/>
  <c r="I815" i="39"/>
  <c r="I811" i="39"/>
  <c r="I774" i="39"/>
  <c r="I756" i="39"/>
  <c r="I739" i="39"/>
  <c r="I703" i="39"/>
  <c r="I814" i="39"/>
  <c r="I803" i="39"/>
  <c r="I787" i="39"/>
  <c r="I722" i="39"/>
  <c r="I701" i="39"/>
  <c r="I949" i="39"/>
  <c r="I885" i="39"/>
  <c r="I864" i="39"/>
  <c r="I979" i="39"/>
  <c r="I974" i="39"/>
  <c r="I948" i="39"/>
  <c r="I934" i="39"/>
  <c r="I899" i="39"/>
  <c r="I882" i="39"/>
  <c r="I863" i="39"/>
  <c r="I776" i="39"/>
  <c r="I762" i="39"/>
  <c r="I741" i="39"/>
  <c r="I727" i="39"/>
  <c r="I760" i="39"/>
  <c r="I725" i="39"/>
  <c r="I805" i="39"/>
  <c r="I789" i="39"/>
  <c r="I772" i="39"/>
  <c r="I737" i="39"/>
  <c r="I723" i="39"/>
  <c r="I597" i="39"/>
  <c r="I563" i="39"/>
  <c r="I532" i="39"/>
  <c r="I531" i="39"/>
  <c r="I663" i="39"/>
  <c r="I611" i="39"/>
  <c r="I593" i="39"/>
  <c r="I576" i="39"/>
  <c r="I562" i="39"/>
  <c r="I660" i="39"/>
  <c r="I628" i="39"/>
  <c r="I610" i="39"/>
  <c r="I575" i="39"/>
  <c r="I545" i="39"/>
  <c r="I601" i="39"/>
  <c r="I659" i="39"/>
  <c r="I626" i="39"/>
  <c r="I609" i="39"/>
  <c r="I574" i="39"/>
  <c r="I561" i="39"/>
  <c r="I554" i="39"/>
  <c r="I624" i="39"/>
  <c r="I560" i="39"/>
  <c r="I553" i="39"/>
  <c r="I544" i="39"/>
  <c r="I645" i="39"/>
  <c r="I530" i="39"/>
  <c r="I657" i="39"/>
  <c r="I623" i="39"/>
  <c r="I608" i="39"/>
  <c r="I573" i="39"/>
  <c r="I552" i="39"/>
  <c r="I652" i="39"/>
  <c r="I583" i="39"/>
  <c r="I569" i="39"/>
  <c r="I656" i="39"/>
  <c r="I622" i="39"/>
  <c r="I607" i="39"/>
  <c r="I590" i="39"/>
  <c r="I572" i="39"/>
  <c r="I559" i="39"/>
  <c r="I551" i="39"/>
  <c r="I540" i="39"/>
  <c r="I534" i="39"/>
  <c r="I533" i="39"/>
  <c r="I528" i="39"/>
  <c r="I655" i="39"/>
  <c r="I630" i="39"/>
  <c r="I621" i="39"/>
  <c r="I605" i="39"/>
  <c r="I588" i="39"/>
  <c r="I571" i="39"/>
  <c r="I556" i="39"/>
  <c r="I549" i="39"/>
  <c r="I539" i="39"/>
  <c r="I527" i="39"/>
  <c r="I629" i="39"/>
  <c r="I619" i="39"/>
  <c r="I604" i="39"/>
  <c r="I586" i="39"/>
  <c r="I547" i="39"/>
  <c r="I642" i="39"/>
  <c r="I537" i="39"/>
  <c r="I653" i="39"/>
  <c r="I648" i="39"/>
  <c r="I617" i="39"/>
  <c r="I603" i="39"/>
  <c r="I585" i="39"/>
  <c r="I570" i="39"/>
  <c r="I546" i="39"/>
  <c r="I538" i="39"/>
  <c r="I616" i="39"/>
  <c r="I602" i="39"/>
  <c r="I584" i="39"/>
  <c r="I640" i="39"/>
  <c r="I600" i="39"/>
  <c r="I591" i="39"/>
  <c r="I581" i="39"/>
  <c r="I567" i="39"/>
  <c r="I535" i="39"/>
  <c r="I529" i="39"/>
  <c r="I615" i="39"/>
  <c r="I651" i="39"/>
  <c r="I631" i="39"/>
  <c r="I614" i="39"/>
  <c r="I579" i="39"/>
  <c r="I566" i="39"/>
  <c r="I613" i="39"/>
  <c r="I599" i="39"/>
  <c r="I578" i="39"/>
  <c r="I565" i="39"/>
  <c r="I592" i="39"/>
  <c r="I650" i="39"/>
  <c r="I612" i="39"/>
  <c r="I598" i="39"/>
  <c r="I577" i="39"/>
  <c r="I564" i="39"/>
  <c r="B35" i="31"/>
  <c r="I497" i="39"/>
  <c r="I454" i="39"/>
  <c r="I439" i="39"/>
  <c r="I425" i="39"/>
  <c r="I493" i="39"/>
  <c r="I489" i="39"/>
  <c r="I446" i="39"/>
  <c r="I442" i="39"/>
  <c r="I500" i="39"/>
  <c r="I485" i="39"/>
  <c r="I465" i="39"/>
  <c r="I437" i="39"/>
  <c r="I410" i="39"/>
  <c r="I488" i="39"/>
  <c r="I456" i="39"/>
  <c r="I452" i="39"/>
  <c r="I449" i="39"/>
  <c r="I428" i="39"/>
  <c r="I422" i="39"/>
  <c r="I403" i="39"/>
  <c r="I492" i="39"/>
  <c r="I477" i="39"/>
  <c r="I434" i="39"/>
  <c r="I412" i="39"/>
  <c r="I438" i="39"/>
  <c r="I408" i="39"/>
  <c r="I396" i="39"/>
  <c r="I416" i="39"/>
  <c r="I461" i="39"/>
  <c r="I448" i="39"/>
  <c r="I413" i="39"/>
  <c r="I427" i="39"/>
  <c r="I401" i="39"/>
  <c r="I490" i="39"/>
  <c r="I460" i="39"/>
  <c r="I423" i="39"/>
  <c r="I391" i="39"/>
  <c r="I327" i="39"/>
  <c r="I482" i="39"/>
  <c r="I466" i="39"/>
  <c r="I447" i="39"/>
  <c r="I409" i="39"/>
  <c r="I496" i="39"/>
  <c r="I487" i="39"/>
  <c r="I453" i="39"/>
  <c r="I390" i="39"/>
  <c r="I376" i="39"/>
  <c r="I440" i="39"/>
  <c r="I435" i="39"/>
  <c r="I393" i="39"/>
  <c r="I386" i="39"/>
  <c r="I407" i="39"/>
  <c r="I402" i="39"/>
  <c r="I398" i="39"/>
  <c r="I369" i="39"/>
  <c r="I322" i="39"/>
  <c r="I314" i="39"/>
  <c r="I463" i="39"/>
  <c r="I436" i="39"/>
  <c r="I441" i="39"/>
  <c r="I300" i="39"/>
  <c r="I286" i="39"/>
  <c r="I255" i="39"/>
  <c r="I239" i="39"/>
  <c r="I494" i="39"/>
  <c r="I467" i="39"/>
  <c r="I444" i="39"/>
  <c r="I421" i="39"/>
  <c r="I377" i="39"/>
  <c r="I365" i="39"/>
  <c r="I374" i="39"/>
  <c r="I459" i="39"/>
  <c r="I414" i="39"/>
  <c r="I411" i="39"/>
  <c r="I383" i="39"/>
  <c r="I479" i="39"/>
  <c r="I418" i="39"/>
  <c r="I366" i="39"/>
  <c r="I325" i="39"/>
  <c r="I297" i="39"/>
  <c r="I451" i="39"/>
  <c r="I406" i="39"/>
  <c r="I400" i="39"/>
  <c r="I450" i="39"/>
  <c r="I430" i="39"/>
  <c r="I384" i="39"/>
  <c r="I468" i="39"/>
  <c r="I397" i="39"/>
  <c r="I399" i="39"/>
  <c r="I388" i="39"/>
  <c r="I404" i="39"/>
  <c r="I293" i="39"/>
  <c r="I250" i="39"/>
  <c r="I236" i="39"/>
  <c r="I296" i="39"/>
  <c r="I287" i="39"/>
  <c r="I277" i="39"/>
  <c r="I246" i="39"/>
  <c r="I367" i="39"/>
  <c r="I445" i="39"/>
  <c r="I429" i="39"/>
  <c r="I329" i="39"/>
  <c r="I298" i="39"/>
  <c r="I281" i="39"/>
  <c r="I276" i="39"/>
  <c r="I371" i="39"/>
  <c r="I381" i="39"/>
  <c r="I326" i="39"/>
  <c r="I288" i="39"/>
  <c r="I284" i="39"/>
  <c r="I368" i="39"/>
  <c r="I420" i="39"/>
  <c r="I382" i="39"/>
  <c r="I415" i="39"/>
  <c r="I291" i="39"/>
  <c r="I282" i="39"/>
  <c r="I272" i="39"/>
  <c r="I258" i="39"/>
  <c r="I253" i="39"/>
  <c r="I230" i="39"/>
  <c r="I223" i="39"/>
  <c r="I221" i="39"/>
  <c r="I211" i="39"/>
  <c r="I289" i="39"/>
  <c r="I279" i="39"/>
  <c r="I372" i="39"/>
  <c r="I330" i="39"/>
  <c r="I319" i="39"/>
  <c r="I458" i="39"/>
  <c r="I305" i="39"/>
  <c r="I243" i="39"/>
  <c r="I285" i="39"/>
  <c r="I267" i="39"/>
  <c r="I247" i="39"/>
  <c r="I241" i="39"/>
  <c r="I370" i="39"/>
  <c r="I303" i="39"/>
  <c r="I271" i="39"/>
  <c r="I264" i="39"/>
  <c r="I262" i="39"/>
  <c r="I251" i="39"/>
  <c r="I316" i="39"/>
  <c r="I252" i="39"/>
  <c r="I324" i="39"/>
  <c r="I304" i="39"/>
  <c r="I375" i="39"/>
  <c r="I337" i="39"/>
  <c r="I333" i="39"/>
  <c r="I266" i="39"/>
  <c r="I265" i="39"/>
  <c r="I234" i="39"/>
  <c r="I228" i="39"/>
  <c r="I257" i="39"/>
  <c r="I295" i="39"/>
  <c r="I273" i="39"/>
  <c r="I237" i="39"/>
  <c r="I235" i="39"/>
  <c r="I233" i="39"/>
  <c r="I364" i="39"/>
  <c r="I290" i="39"/>
  <c r="I278" i="39"/>
  <c r="I274" i="39"/>
  <c r="I220" i="39"/>
  <c r="I302" i="39"/>
  <c r="I240" i="39"/>
  <c r="I227" i="39"/>
  <c r="I259" i="39"/>
  <c r="I238" i="39"/>
  <c r="I389" i="39"/>
  <c r="I331" i="39"/>
  <c r="I248" i="39"/>
  <c r="I208" i="39"/>
  <c r="I207" i="39"/>
  <c r="I218" i="39"/>
  <c r="I212" i="39"/>
  <c r="I245" i="39"/>
  <c r="I275" i="39"/>
  <c r="I226" i="39"/>
  <c r="I225" i="39"/>
  <c r="I206" i="39"/>
  <c r="I283" i="39"/>
  <c r="I244" i="39"/>
  <c r="I203" i="39"/>
  <c r="I205" i="39"/>
  <c r="I249" i="39"/>
  <c r="I214" i="39"/>
  <c r="I213" i="39"/>
  <c r="I202" i="39"/>
  <c r="I334" i="39"/>
  <c r="I219" i="39"/>
  <c r="I260" i="39"/>
  <c r="I209" i="39"/>
  <c r="I201" i="39"/>
  <c r="I204" i="39"/>
  <c r="AC312" i="39"/>
  <c r="AC475" i="39"/>
  <c r="AE12" i="39"/>
  <c r="I124" i="39"/>
  <c r="I123" i="39"/>
  <c r="I122" i="39"/>
  <c r="I84" i="39"/>
  <c r="I85" i="39"/>
  <c r="I86" i="39"/>
  <c r="I132" i="39"/>
  <c r="I62" i="39"/>
  <c r="I94" i="39"/>
  <c r="BL2" i="10"/>
  <c r="BL1" i="11" s="1"/>
  <c r="BV2" i="10"/>
  <c r="V24" i="10"/>
  <c r="V30" i="10" s="1"/>
  <c r="V31" i="10" s="1"/>
  <c r="V29" i="11" s="1"/>
  <c r="E1" i="10"/>
  <c r="I116" i="39"/>
  <c r="I78" i="39"/>
  <c r="I115" i="39"/>
  <c r="I46" i="39"/>
  <c r="P14" i="39"/>
  <c r="I57" i="39"/>
  <c r="I87" i="39"/>
  <c r="I83" i="39"/>
  <c r="I126" i="39"/>
  <c r="I170" i="39"/>
  <c r="I127" i="39"/>
  <c r="I58" i="39"/>
  <c r="I80" i="39"/>
  <c r="I55" i="39"/>
  <c r="I112" i="39"/>
  <c r="I140" i="39"/>
  <c r="I50" i="39"/>
  <c r="I137" i="39"/>
  <c r="I141" i="39"/>
  <c r="I139" i="39"/>
  <c r="I109" i="39"/>
  <c r="I72" i="39"/>
  <c r="I104" i="39"/>
  <c r="I142" i="39"/>
  <c r="I67" i="39"/>
  <c r="I118" i="39"/>
  <c r="I95" i="39"/>
  <c r="I99" i="39"/>
  <c r="I40" i="39"/>
  <c r="I92" i="39"/>
  <c r="I113" i="39"/>
  <c r="I73" i="39"/>
  <c r="I111" i="39"/>
  <c r="I163" i="39"/>
  <c r="I56" i="39"/>
  <c r="I162" i="39"/>
  <c r="I74" i="39"/>
  <c r="H10" i="39"/>
  <c r="I71" i="39"/>
  <c r="I110" i="39"/>
  <c r="I43" i="39"/>
  <c r="I70" i="39"/>
  <c r="I134" i="39"/>
  <c r="I51" i="39"/>
  <c r="I75" i="39"/>
  <c r="I128" i="39"/>
  <c r="I164" i="39"/>
  <c r="I48" i="39"/>
  <c r="I174" i="39"/>
  <c r="I135" i="39"/>
  <c r="I39" i="39"/>
  <c r="I90" i="39"/>
  <c r="I121" i="39"/>
  <c r="I151" i="39"/>
  <c r="I38" i="39"/>
  <c r="I89" i="39"/>
  <c r="I125" i="39"/>
  <c r="I153" i="39"/>
  <c r="I49" i="39"/>
  <c r="I82" i="39"/>
  <c r="I114" i="39"/>
  <c r="I161" i="39"/>
  <c r="I156" i="39"/>
  <c r="I45" i="39"/>
  <c r="I60" i="39"/>
  <c r="I81" i="39"/>
  <c r="I119" i="39"/>
  <c r="I108" i="39"/>
  <c r="I168" i="39"/>
  <c r="I44" i="39"/>
  <c r="I63" i="39"/>
  <c r="I88" i="39"/>
  <c r="I120" i="39"/>
  <c r="I159" i="39"/>
  <c r="I102" i="39"/>
  <c r="I167" i="39"/>
  <c r="I42" i="39"/>
  <c r="I65" i="39"/>
  <c r="I77" i="39"/>
  <c r="I130" i="39"/>
  <c r="I97" i="39"/>
  <c r="I103" i="39"/>
  <c r="I166" i="39"/>
  <c r="I41" i="39"/>
  <c r="I64" i="39"/>
  <c r="I76" i="39"/>
  <c r="I133" i="39"/>
  <c r="I96" i="39"/>
  <c r="I101" i="39"/>
  <c r="I171" i="39"/>
  <c r="AE799" i="39" l="1"/>
  <c r="AE801" i="39" s="1"/>
  <c r="AE962" i="39"/>
  <c r="AE964" i="39" s="1"/>
  <c r="AE473" i="39"/>
  <c r="AE310" i="39"/>
  <c r="AE147" i="39"/>
  <c r="B36" i="31"/>
  <c r="AD475" i="39"/>
  <c r="AD312" i="39"/>
  <c r="AF12" i="39"/>
  <c r="BR2" i="10"/>
  <c r="BR1" i="11" s="1"/>
  <c r="CB2" i="10"/>
  <c r="AB24" i="10"/>
  <c r="AB30" i="10" s="1"/>
  <c r="AB31" i="10" s="1"/>
  <c r="Q14" i="39"/>
  <c r="AF799" i="39" l="1"/>
  <c r="AF801" i="39" s="1"/>
  <c r="AF473" i="39"/>
  <c r="AF962" i="39"/>
  <c r="AF964" i="39" s="1"/>
  <c r="AF310" i="39"/>
  <c r="AF147" i="39"/>
  <c r="B37" i="31"/>
  <c r="AE475" i="39"/>
  <c r="AE312" i="39"/>
  <c r="AG12" i="39"/>
  <c r="CH2" i="10"/>
  <c r="BX2" i="10"/>
  <c r="BX1" i="11" s="1"/>
  <c r="AB29" i="11"/>
  <c r="R14" i="39"/>
  <c r="AG799" i="39" l="1"/>
  <c r="AG801" i="39" s="1"/>
  <c r="AG962" i="39"/>
  <c r="AG964" i="39" s="1"/>
  <c r="AG473" i="39"/>
  <c r="AG310" i="39"/>
  <c r="AG147" i="39"/>
  <c r="B38" i="31"/>
  <c r="AF475" i="39"/>
  <c r="AH12" i="39"/>
  <c r="AF312" i="39"/>
  <c r="CD2" i="10"/>
  <c r="CD1" i="11" s="1"/>
  <c r="CN2" i="10"/>
  <c r="S14" i="39"/>
  <c r="AH799" i="39" l="1"/>
  <c r="AH801" i="39" s="1"/>
  <c r="AH962" i="39"/>
  <c r="AH964" i="39" s="1"/>
  <c r="AH473" i="39"/>
  <c r="AH310" i="39"/>
  <c r="AH147" i="39"/>
  <c r="B39" i="31"/>
  <c r="AG312" i="39"/>
  <c r="AG475" i="39"/>
  <c r="AI12" i="39"/>
  <c r="CT2" i="10"/>
  <c r="CJ2" i="10"/>
  <c r="CJ1" i="11" s="1"/>
  <c r="T14" i="39"/>
  <c r="AI799" i="39" l="1"/>
  <c r="AI801" i="39" s="1"/>
  <c r="AI962" i="39"/>
  <c r="AI964" i="39" s="1"/>
  <c r="AI473" i="39"/>
  <c r="AI310" i="39"/>
  <c r="AI147" i="39"/>
  <c r="B40" i="31"/>
  <c r="AH312" i="39"/>
  <c r="AH475" i="39"/>
  <c r="AJ12" i="39"/>
  <c r="CP2" i="10"/>
  <c r="CP1" i="11" s="1"/>
  <c r="CZ2" i="10"/>
  <c r="CR41" i="10"/>
  <c r="CS41" i="10" s="1"/>
  <c r="CR43" i="10"/>
  <c r="CS43" i="10" s="1"/>
  <c r="CR45" i="10"/>
  <c r="CS45" i="10" s="1"/>
  <c r="CR42" i="10"/>
  <c r="CS42" i="10" s="1"/>
  <c r="CR44" i="10"/>
  <c r="CS44" i="10" s="1"/>
  <c r="U14" i="39"/>
  <c r="AJ799" i="39" l="1"/>
  <c r="AJ801" i="39" s="1"/>
  <c r="AJ962" i="39"/>
  <c r="AJ964" i="39" s="1"/>
  <c r="AJ473" i="39"/>
  <c r="AJ310" i="39"/>
  <c r="AJ147" i="39"/>
  <c r="B41" i="31"/>
  <c r="AI475" i="39"/>
  <c r="AI312" i="39"/>
  <c r="CX45" i="10"/>
  <c r="CY45" i="10" s="1"/>
  <c r="DF2" i="10"/>
  <c r="CV2" i="10"/>
  <c r="CV1" i="11" s="1"/>
  <c r="CX44" i="10"/>
  <c r="CY44" i="10" s="1"/>
  <c r="CX41" i="10"/>
  <c r="CY41" i="10" s="1"/>
  <c r="CX43" i="10"/>
  <c r="CY43" i="10" s="1"/>
  <c r="CX42" i="10"/>
  <c r="CY42" i="10" s="1"/>
  <c r="V14" i="39"/>
  <c r="B42" i="31" l="1"/>
  <c r="AJ475" i="39"/>
  <c r="AJ312" i="39"/>
  <c r="DD45" i="10"/>
  <c r="DE45" i="10" s="1"/>
  <c r="DL2" i="10"/>
  <c r="DB2" i="10"/>
  <c r="DB1" i="11" s="1"/>
  <c r="DD43" i="10"/>
  <c r="DE43" i="10" s="1"/>
  <c r="DD42" i="10"/>
  <c r="DE42" i="10" s="1"/>
  <c r="DD41" i="10"/>
  <c r="DE41" i="10" s="1"/>
  <c r="DD44" i="10"/>
  <c r="DE44" i="10" s="1"/>
  <c r="W14" i="39"/>
  <c r="B43" i="31" l="1"/>
  <c r="U149" i="39"/>
  <c r="X149" i="39"/>
  <c r="N149" i="39"/>
  <c r="V149" i="39"/>
  <c r="T149" i="39"/>
  <c r="S149" i="39"/>
  <c r="O149" i="39"/>
  <c r="P149" i="39"/>
  <c r="L149" i="39"/>
  <c r="R149" i="39"/>
  <c r="W149" i="39"/>
  <c r="Q149" i="39"/>
  <c r="M149" i="39"/>
  <c r="DJ45" i="10"/>
  <c r="DK45" i="10" s="1"/>
  <c r="DH2" i="10"/>
  <c r="DH1" i="11" s="1"/>
  <c r="DJ43" i="10"/>
  <c r="DK43" i="10" s="1"/>
  <c r="DR2" i="10"/>
  <c r="DJ41" i="10"/>
  <c r="DK41" i="10" s="1"/>
  <c r="DJ42" i="10"/>
  <c r="DK42" i="10" s="1"/>
  <c r="DJ44" i="10"/>
  <c r="DK44" i="10" s="1"/>
  <c r="X14" i="39"/>
  <c r="Y149" i="39"/>
  <c r="DX2" i="10" l="1"/>
  <c r="DN2" i="10"/>
  <c r="DN1" i="11" s="1"/>
  <c r="DP41" i="10"/>
  <c r="DQ41" i="10" s="1"/>
  <c r="DP42" i="10"/>
  <c r="DQ42" i="10" s="1"/>
  <c r="DP43" i="10"/>
  <c r="DQ43" i="10" s="1"/>
  <c r="DP44" i="10"/>
  <c r="DQ44" i="10" s="1"/>
  <c r="DP45" i="10"/>
  <c r="DQ45" i="10" s="1"/>
  <c r="Y14" i="39"/>
  <c r="DT2" i="10" l="1"/>
  <c r="DT1" i="11" s="1"/>
  <c r="ED2" i="10"/>
  <c r="DV43" i="10"/>
  <c r="DW43" i="10" s="1"/>
  <c r="DV41" i="10"/>
  <c r="DW41" i="10" s="1"/>
  <c r="DV42" i="10"/>
  <c r="DW42" i="10" s="1"/>
  <c r="DV45" i="10"/>
  <c r="DW45" i="10" s="1"/>
  <c r="DV44" i="10"/>
  <c r="DW44" i="10" s="1"/>
  <c r="Z14" i="39"/>
  <c r="AA149" i="39"/>
  <c r="Z149" i="39"/>
  <c r="EJ2" i="10" l="1"/>
  <c r="DZ2" i="10"/>
  <c r="DZ1" i="11" s="1"/>
  <c r="EB45" i="10"/>
  <c r="EC45" i="10" s="1"/>
  <c r="EB43" i="10"/>
  <c r="EC43" i="10" s="1"/>
  <c r="EB44" i="10"/>
  <c r="EC44" i="10" s="1"/>
  <c r="EB42" i="10"/>
  <c r="EC42" i="10" s="1"/>
  <c r="EB41" i="10"/>
  <c r="EC41" i="10" s="1"/>
  <c r="AA14" i="39"/>
  <c r="AB149" i="39"/>
  <c r="EF2" i="10" l="1"/>
  <c r="EF1" i="11" s="1"/>
  <c r="EP2" i="10"/>
  <c r="EH42" i="10"/>
  <c r="EI42" i="10" s="1"/>
  <c r="EH45" i="10"/>
  <c r="EI45" i="10" s="1"/>
  <c r="EH43" i="10"/>
  <c r="EI43" i="10" s="1"/>
  <c r="EH41" i="10"/>
  <c r="EI41" i="10" s="1"/>
  <c r="EH44" i="10"/>
  <c r="EI44" i="10" s="1"/>
  <c r="AB14" i="39"/>
  <c r="AC149" i="39"/>
  <c r="EV2" i="10" l="1"/>
  <c r="EL2" i="10"/>
  <c r="EL1" i="11" s="1"/>
  <c r="EN41" i="10"/>
  <c r="EO41" i="10" s="1"/>
  <c r="EN44" i="10"/>
  <c r="EO44" i="10" s="1"/>
  <c r="EN42" i="10"/>
  <c r="EO42" i="10" s="1"/>
  <c r="EN43" i="10"/>
  <c r="EO43" i="10" s="1"/>
  <c r="EN45" i="10"/>
  <c r="EO45" i="10" s="1"/>
  <c r="AC14" i="39"/>
  <c r="AD149" i="39"/>
  <c r="ER2" i="10" l="1"/>
  <c r="ER1" i="11" s="1"/>
  <c r="ET45" i="10"/>
  <c r="EU45" i="10" s="1"/>
  <c r="ET41" i="10"/>
  <c r="EU41" i="10" s="1"/>
  <c r="ET43" i="10"/>
  <c r="EU43" i="10" s="1"/>
  <c r="ET42" i="10"/>
  <c r="EU42" i="10" s="1"/>
  <c r="ET44" i="10"/>
  <c r="EU44" i="10" s="1"/>
  <c r="AD14" i="39"/>
  <c r="AE149" i="39"/>
  <c r="AE14" i="39" l="1"/>
  <c r="AF149" i="39"/>
  <c r="AF14" i="39" l="1"/>
  <c r="AG149" i="39"/>
  <c r="AG14" i="39" l="1"/>
  <c r="AH149" i="39"/>
  <c r="AH14" i="39" l="1"/>
  <c r="AI149" i="39"/>
  <c r="AI14" i="39" l="1"/>
  <c r="AJ149" i="39"/>
  <c r="AJ14" i="39" l="1"/>
  <c r="DB24" i="10" l="1"/>
  <c r="DB30" i="10" s="1"/>
  <c r="DB31" i="10" s="1"/>
  <c r="EL24" i="10"/>
  <c r="EL30" i="10" s="1"/>
  <c r="EL31" i="10" s="1"/>
  <c r="BX24" i="10"/>
  <c r="BX30" i="10" s="1"/>
  <c r="BX31" i="10" s="1"/>
  <c r="AN24" i="10"/>
  <c r="AN30" i="10" s="1"/>
  <c r="AN31" i="10" s="1"/>
  <c r="DN24" i="10"/>
  <c r="DN30" i="10" s="1"/>
  <c r="DN31" i="10" s="1"/>
  <c r="EF24" i="10"/>
  <c r="EF30" i="10" s="1"/>
  <c r="EF31" i="10" s="1"/>
  <c r="AT24" i="10"/>
  <c r="AT30" i="10" s="1"/>
  <c r="AT31" i="10" s="1"/>
  <c r="AH24" i="10"/>
  <c r="AH30" i="10" s="1"/>
  <c r="AH31" i="10" s="1"/>
  <c r="AH29" i="11" s="1"/>
  <c r="BF24" i="10"/>
  <c r="BF30" i="10" s="1"/>
  <c r="BF31" i="10" s="1"/>
  <c r="CJ24" i="10"/>
  <c r="CJ30" i="10" s="1"/>
  <c r="CJ31" i="10" s="1"/>
  <c r="BL24" i="10"/>
  <c r="BL30" i="10" s="1"/>
  <c r="BL31" i="10" s="1"/>
  <c r="DT24" i="10"/>
  <c r="DT30" i="10" s="1"/>
  <c r="DT31" i="10" s="1"/>
  <c r="DH24" i="10"/>
  <c r="DH30" i="10" s="1"/>
  <c r="DH31" i="10" s="1"/>
  <c r="CV24" i="10"/>
  <c r="CV30" i="10" s="1"/>
  <c r="CV31" i="10" s="1"/>
  <c r="ER24" i="10"/>
  <c r="ER30" i="10" s="1"/>
  <c r="ER31" i="10" s="1"/>
  <c r="DZ24" i="10"/>
  <c r="DZ30" i="10" s="1"/>
  <c r="DZ31" i="10" s="1"/>
  <c r="CD24" i="10"/>
  <c r="CD30" i="10" s="1"/>
  <c r="CD31" i="10" s="1"/>
  <c r="BR24" i="10"/>
  <c r="BR30" i="10" s="1"/>
  <c r="BR31" i="10" s="1"/>
  <c r="CP24" i="10"/>
  <c r="CP30" i="10" s="1"/>
  <c r="CP31" i="10" s="1"/>
  <c r="AZ24" i="10"/>
  <c r="AZ30" i="10" s="1"/>
  <c r="AZ31" i="10" s="1"/>
  <c r="AP7" i="1"/>
  <c r="AQ7" i="1" s="1"/>
  <c r="AR7" i="1" s="1"/>
  <c r="AS7" i="1" s="1"/>
  <c r="AT7" i="1" s="1"/>
  <c r="AU7" i="1" s="1"/>
  <c r="AV7" i="1" s="1"/>
  <c r="AW7" i="1" s="1"/>
  <c r="AX7" i="1" s="1"/>
  <c r="AY7" i="1" s="1"/>
  <c r="AZ7" i="1" s="1"/>
  <c r="BA7" i="1" s="1"/>
  <c r="BB7" i="1" s="1"/>
  <c r="BC7" i="1" s="1"/>
  <c r="BD7" i="1" s="1"/>
  <c r="BE7" i="1" s="1"/>
  <c r="BF7" i="1" s="1"/>
  <c r="BG7" i="1" s="1"/>
  <c r="BH7" i="1" s="1"/>
  <c r="BI7" i="1" s="1"/>
  <c r="BJ7" i="1" s="1"/>
  <c r="BK7" i="1" s="1"/>
  <c r="BL7" i="1" s="1"/>
  <c r="BM7" i="1" s="1"/>
  <c r="BN7" i="1" s="1"/>
  <c r="BO7" i="1" s="1"/>
  <c r="BP7" i="1" s="1"/>
  <c r="BQ7" i="1" s="1"/>
  <c r="BR7" i="1" s="1"/>
  <c r="BU7" i="1"/>
  <c r="BV7" i="1" s="1"/>
  <c r="BW7" i="1" s="1"/>
  <c r="BX7" i="1" s="1"/>
  <c r="BY7" i="1" s="1"/>
  <c r="BZ7" i="1" s="1"/>
  <c r="CA7" i="1" s="1"/>
  <c r="CB7" i="1" s="1"/>
  <c r="CC7" i="1" s="1"/>
  <c r="CD7" i="1" s="1"/>
  <c r="CE7" i="1" s="1"/>
  <c r="CF7" i="1" s="1"/>
  <c r="CG7" i="1" s="1"/>
  <c r="CH7" i="1" s="1"/>
  <c r="CI7" i="1" s="1"/>
  <c r="CJ7" i="1" s="1"/>
  <c r="CK7" i="1" s="1"/>
  <c r="CL7" i="1" s="1"/>
  <c r="CM7" i="1" s="1"/>
  <c r="CN7" i="1" s="1"/>
  <c r="CO7" i="1" s="1"/>
  <c r="CP7" i="1" s="1"/>
  <c r="CQ7" i="1" s="1"/>
  <c r="CR7" i="1" s="1"/>
  <c r="CS7" i="1" s="1"/>
  <c r="CT7" i="1" s="1"/>
  <c r="CU7" i="1" s="1"/>
  <c r="CV7" i="1" s="1"/>
  <c r="CW7" i="1" s="1"/>
  <c r="K40" i="39"/>
  <c r="K38" i="39" s="1"/>
  <c r="F30" i="38"/>
  <c r="T13" i="38" l="1"/>
  <c r="T15" i="38" s="1"/>
  <c r="T40" i="38" s="1"/>
  <c r="W13" i="38"/>
  <c r="W15" i="38" s="1"/>
  <c r="N13" i="38"/>
  <c r="N15" i="38" s="1"/>
  <c r="N40" i="38" s="1"/>
  <c r="L798" i="39"/>
  <c r="L800" i="39" s="1"/>
  <c r="W798" i="39"/>
  <c r="W800" i="39" s="1"/>
  <c r="P798" i="39"/>
  <c r="P800" i="39" s="1"/>
  <c r="AA798" i="39"/>
  <c r="AA800" i="39" s="1"/>
  <c r="AE961" i="39"/>
  <c r="AE963" i="39" s="1"/>
  <c r="L961" i="39"/>
  <c r="L963" i="39" s="1"/>
  <c r="T798" i="39"/>
  <c r="T800" i="39" s="1"/>
  <c r="S798" i="39"/>
  <c r="S800" i="39" s="1"/>
  <c r="X798" i="39"/>
  <c r="X800" i="39" s="1"/>
  <c r="AD798" i="39"/>
  <c r="AD800" i="39" s="1"/>
  <c r="AH961" i="39"/>
  <c r="AH963" i="39" s="1"/>
  <c r="X961" i="39"/>
  <c r="X963" i="39" s="1"/>
  <c r="R798" i="39"/>
  <c r="R800" i="39" s="1"/>
  <c r="M798" i="39"/>
  <c r="M800" i="39" s="1"/>
  <c r="T961" i="39"/>
  <c r="T963" i="39" s="1"/>
  <c r="AC961" i="39"/>
  <c r="AC963" i="39" s="1"/>
  <c r="N798" i="39"/>
  <c r="N800" i="39" s="1"/>
  <c r="S961" i="39"/>
  <c r="S963" i="39" s="1"/>
  <c r="R961" i="39"/>
  <c r="R963" i="39" s="1"/>
  <c r="Q961" i="39"/>
  <c r="Q963" i="39" s="1"/>
  <c r="W961" i="39"/>
  <c r="W963" i="39" s="1"/>
  <c r="AJ798" i="39"/>
  <c r="AJ800" i="39" s="1"/>
  <c r="AF961" i="39"/>
  <c r="AF963" i="39" s="1"/>
  <c r="AB798" i="39"/>
  <c r="AB800" i="39" s="1"/>
  <c r="Y961" i="39"/>
  <c r="Y963" i="39" s="1"/>
  <c r="N961" i="39"/>
  <c r="N963" i="39" s="1"/>
  <c r="AG961" i="39"/>
  <c r="AG963" i="39" s="1"/>
  <c r="Y798" i="39"/>
  <c r="Y800" i="39" s="1"/>
  <c r="Z961" i="39"/>
  <c r="Z963" i="39" s="1"/>
  <c r="AH798" i="39"/>
  <c r="AH800" i="39" s="1"/>
  <c r="O961" i="39"/>
  <c r="O963" i="39" s="1"/>
  <c r="AI961" i="39"/>
  <c r="AI963" i="39" s="1"/>
  <c r="U961" i="39"/>
  <c r="U963" i="39" s="1"/>
  <c r="AE798" i="39"/>
  <c r="AE800" i="39" s="1"/>
  <c r="V798" i="39"/>
  <c r="V800" i="39" s="1"/>
  <c r="AG798" i="39"/>
  <c r="AG800" i="39" s="1"/>
  <c r="AI798" i="39"/>
  <c r="AI800" i="39" s="1"/>
  <c r="AF798" i="39"/>
  <c r="AF800" i="39" s="1"/>
  <c r="V961" i="39"/>
  <c r="V963" i="39" s="1"/>
  <c r="AA961" i="39"/>
  <c r="AA963" i="39" s="1"/>
  <c r="U798" i="39"/>
  <c r="U800" i="39" s="1"/>
  <c r="O798" i="39"/>
  <c r="O800" i="39" s="1"/>
  <c r="Q798" i="39"/>
  <c r="Q800" i="39" s="1"/>
  <c r="AC798" i="39"/>
  <c r="AC800" i="39" s="1"/>
  <c r="AJ961" i="39"/>
  <c r="AJ963" i="39" s="1"/>
  <c r="P961" i="39"/>
  <c r="P963" i="39" s="1"/>
  <c r="AD961" i="39"/>
  <c r="AD963" i="39" s="1"/>
  <c r="M961" i="39"/>
  <c r="M963" i="39" s="1"/>
  <c r="Z798" i="39"/>
  <c r="Z800" i="39" s="1"/>
  <c r="AB961" i="39"/>
  <c r="AB963" i="39" s="1"/>
  <c r="L309" i="39"/>
  <c r="L311" i="39" s="1"/>
  <c r="L472" i="39"/>
  <c r="L474" i="39" s="1"/>
  <c r="M472" i="39"/>
  <c r="M474" i="39" s="1"/>
  <c r="M309" i="39"/>
  <c r="M311" i="39" s="1"/>
  <c r="N309" i="39"/>
  <c r="N311" i="39" s="1"/>
  <c r="N472" i="39"/>
  <c r="N474" i="39" s="1"/>
  <c r="O472" i="39"/>
  <c r="O474" i="39" s="1"/>
  <c r="O309" i="39"/>
  <c r="O311" i="39" s="1"/>
  <c r="P309" i="39"/>
  <c r="P311" i="39" s="1"/>
  <c r="P472" i="39"/>
  <c r="P474" i="39" s="1"/>
  <c r="Q309" i="39"/>
  <c r="Q311" i="39" s="1"/>
  <c r="Q472" i="39"/>
  <c r="Q474" i="39" s="1"/>
  <c r="R309" i="39"/>
  <c r="R311" i="39" s="1"/>
  <c r="R472" i="39"/>
  <c r="R474" i="39" s="1"/>
  <c r="S472" i="39"/>
  <c r="S474" i="39" s="1"/>
  <c r="S309" i="39"/>
  <c r="S311" i="39" s="1"/>
  <c r="T309" i="39"/>
  <c r="T311" i="39" s="1"/>
  <c r="T472" i="39"/>
  <c r="T474" i="39" s="1"/>
  <c r="U309" i="39"/>
  <c r="U311" i="39" s="1"/>
  <c r="U472" i="39"/>
  <c r="U474" i="39" s="1"/>
  <c r="V472" i="39"/>
  <c r="V474" i="39" s="1"/>
  <c r="V309" i="39"/>
  <c r="V311" i="39" s="1"/>
  <c r="W472" i="39"/>
  <c r="W474" i="39" s="1"/>
  <c r="W309" i="39"/>
  <c r="W311" i="39" s="1"/>
  <c r="X472" i="39"/>
  <c r="X474" i="39" s="1"/>
  <c r="X309" i="39"/>
  <c r="X311" i="39" s="1"/>
  <c r="Y472" i="39"/>
  <c r="Y474" i="39" s="1"/>
  <c r="Y309" i="39"/>
  <c r="Y311" i="39" s="1"/>
  <c r="Z309" i="39"/>
  <c r="Z311" i="39" s="1"/>
  <c r="Z472" i="39"/>
  <c r="Z474" i="39" s="1"/>
  <c r="AA309" i="39"/>
  <c r="AA311" i="39" s="1"/>
  <c r="AA472" i="39"/>
  <c r="AA474" i="39" s="1"/>
  <c r="AB472" i="39"/>
  <c r="AB474" i="39" s="1"/>
  <c r="AB309" i="39"/>
  <c r="AB311" i="39" s="1"/>
  <c r="AC309" i="39"/>
  <c r="AC311" i="39" s="1"/>
  <c r="AC472" i="39"/>
  <c r="AC474" i="39" s="1"/>
  <c r="AD472" i="39"/>
  <c r="AD474" i="39" s="1"/>
  <c r="AD309" i="39"/>
  <c r="AD311" i="39" s="1"/>
  <c r="AE309" i="39"/>
  <c r="AE311" i="39" s="1"/>
  <c r="AE472" i="39"/>
  <c r="AE474" i="39" s="1"/>
  <c r="AF472" i="39"/>
  <c r="AF474" i="39" s="1"/>
  <c r="AF309" i="39"/>
  <c r="AF311" i="39" s="1"/>
  <c r="AG309" i="39"/>
  <c r="AG311" i="39" s="1"/>
  <c r="AG472" i="39"/>
  <c r="AG474" i="39" s="1"/>
  <c r="AH309" i="39"/>
  <c r="AH311" i="39" s="1"/>
  <c r="AH472" i="39"/>
  <c r="AH474" i="39" s="1"/>
  <c r="AI472" i="39"/>
  <c r="AI474" i="39" s="1"/>
  <c r="AI309" i="39"/>
  <c r="AI311" i="39" s="1"/>
  <c r="AJ472" i="39"/>
  <c r="AJ474" i="39" s="1"/>
  <c r="AJ309" i="39"/>
  <c r="AJ311" i="39" s="1"/>
  <c r="DT29" i="11"/>
  <c r="DU4" i="11" s="1"/>
  <c r="EF29" i="11"/>
  <c r="EG4" i="11" s="1"/>
  <c r="CP29" i="11"/>
  <c r="CQ4" i="11" s="1"/>
  <c r="CD29" i="11"/>
  <c r="EL29" i="11"/>
  <c r="EM4" i="11" s="1"/>
  <c r="CV29" i="11"/>
  <c r="CW4" i="11" s="1"/>
  <c r="CJ29" i="11"/>
  <c r="DB29" i="11"/>
  <c r="DC4" i="11" s="1"/>
  <c r="DZ29" i="11"/>
  <c r="EA4" i="11" s="1"/>
  <c r="DN29" i="11"/>
  <c r="DO4" i="11" s="1"/>
  <c r="BX29" i="11"/>
  <c r="ER29" i="11"/>
  <c r="ES4" i="11" s="1"/>
  <c r="DH29" i="11"/>
  <c r="DI4" i="11" s="1"/>
  <c r="H13" i="38"/>
  <c r="K60" i="39"/>
  <c r="K67" i="39" s="1"/>
  <c r="L146" i="39"/>
  <c r="M146" i="39"/>
  <c r="M148" i="39" s="1"/>
  <c r="N146" i="39"/>
  <c r="N148" i="39" s="1"/>
  <c r="O146" i="39"/>
  <c r="O148" i="39" s="1"/>
  <c r="P146" i="39"/>
  <c r="P148" i="39" s="1"/>
  <c r="Q146" i="39"/>
  <c r="Q148" i="39" s="1"/>
  <c r="R146" i="39"/>
  <c r="R148" i="39" s="1"/>
  <c r="S146" i="39"/>
  <c r="S148" i="39" s="1"/>
  <c r="T146" i="39"/>
  <c r="T148" i="39" s="1"/>
  <c r="U146" i="39"/>
  <c r="U148" i="39" s="1"/>
  <c r="V146" i="39"/>
  <c r="V148" i="39" s="1"/>
  <c r="W146" i="39"/>
  <c r="W148" i="39" s="1"/>
  <c r="X146" i="39"/>
  <c r="X148" i="39" s="1"/>
  <c r="Y146" i="39"/>
  <c r="Y148" i="39" s="1"/>
  <c r="Z146" i="39"/>
  <c r="Z148" i="39" s="1"/>
  <c r="AA146" i="39"/>
  <c r="AA148" i="39" s="1"/>
  <c r="AB146" i="39"/>
  <c r="AB148" i="39" s="1"/>
  <c r="AC146" i="39"/>
  <c r="AC148" i="39" s="1"/>
  <c r="AD146" i="39"/>
  <c r="AD148" i="39" s="1"/>
  <c r="AE146" i="39"/>
  <c r="AE148" i="39" s="1"/>
  <c r="AF146" i="39"/>
  <c r="AF148" i="39" s="1"/>
  <c r="AG146" i="39"/>
  <c r="AG148" i="39" s="1"/>
  <c r="AH146" i="39"/>
  <c r="AH148" i="39" s="1"/>
  <c r="AI146" i="39"/>
  <c r="AI148" i="39" s="1"/>
  <c r="AJ146" i="39"/>
  <c r="AJ148" i="39" s="1"/>
  <c r="CM39" i="1"/>
  <c r="HK12" i="1"/>
  <c r="CW12" i="1"/>
  <c r="HL12" i="1"/>
  <c r="HH20" i="1"/>
  <c r="HE39" i="1"/>
  <c r="HI39" i="1"/>
  <c r="BP39" i="1"/>
  <c r="HC12" i="1"/>
  <c r="HC39" i="1"/>
  <c r="HK39" i="1"/>
  <c r="HD39" i="1"/>
  <c r="HJ39" i="1"/>
  <c r="HK20" i="1"/>
  <c r="HL20" i="1"/>
  <c r="HM20" i="1"/>
  <c r="HN20" i="1"/>
  <c r="HF20" i="1"/>
  <c r="CG20" i="1"/>
  <c r="HE20" i="1"/>
  <c r="CU39" i="1"/>
  <c r="HO20" i="1"/>
  <c r="CF39" i="1"/>
  <c r="CN39" i="1"/>
  <c r="HP20" i="1"/>
  <c r="HN39" i="1"/>
  <c r="HF39" i="1"/>
  <c r="HJ20" i="1"/>
  <c r="HI20" i="1"/>
  <c r="BO20" i="1"/>
  <c r="BG39" i="1"/>
  <c r="BH39" i="1"/>
  <c r="CO20" i="1"/>
  <c r="CW39" i="1"/>
  <c r="HQ20" i="1"/>
  <c r="HG20" i="1"/>
  <c r="HO39" i="1"/>
  <c r="HG39" i="1"/>
  <c r="HP39" i="1"/>
  <c r="HH39" i="1"/>
  <c r="HL39" i="1"/>
  <c r="HC20" i="1"/>
  <c r="HD20" i="1"/>
  <c r="BN20" i="1"/>
  <c r="CQ20" i="1"/>
  <c r="HQ39" i="1"/>
  <c r="HM39" i="1"/>
  <c r="CQ39" i="1"/>
  <c r="BD39" i="1"/>
  <c r="HQ12" i="1"/>
  <c r="CU12" i="1"/>
  <c r="HN12" i="1"/>
  <c r="HM12" i="1"/>
  <c r="HE12" i="1"/>
  <c r="HO12" i="1"/>
  <c r="HJ12" i="1"/>
  <c r="HP12" i="1"/>
  <c r="CN12" i="1"/>
  <c r="CL12" i="1"/>
  <c r="HG12" i="1"/>
  <c r="HH12" i="1"/>
  <c r="HI12" i="1"/>
  <c r="HF12" i="1"/>
  <c r="HD12" i="1"/>
  <c r="CT12" i="1"/>
  <c r="BE39" i="1"/>
  <c r="BK39" i="1"/>
  <c r="BF39" i="1"/>
  <c r="BL39" i="1"/>
  <c r="CO39" i="1"/>
  <c r="BI39" i="1"/>
  <c r="BL12" i="1"/>
  <c r="BP20" i="1"/>
  <c r="BB20" i="1"/>
  <c r="BA20" i="1"/>
  <c r="BQ20" i="1"/>
  <c r="BD20" i="1"/>
  <c r="CJ20" i="1"/>
  <c r="BE20" i="1"/>
  <c r="CG39" i="1"/>
  <c r="CH39" i="1"/>
  <c r="CJ12" i="1"/>
  <c r="CI39" i="1"/>
  <c r="CJ39" i="1"/>
  <c r="BR20" i="1"/>
  <c r="CV12" i="1"/>
  <c r="CP39" i="1"/>
  <c r="BM39" i="1"/>
  <c r="BO39" i="1"/>
  <c r="CH20" i="1"/>
  <c r="CK39" i="1"/>
  <c r="BJ39" i="1"/>
  <c r="CI20" i="1"/>
  <c r="CL39" i="1"/>
  <c r="BF20" i="1"/>
  <c r="BC20" i="1"/>
  <c r="BH20" i="1"/>
  <c r="BH12" i="1"/>
  <c r="BF12" i="1"/>
  <c r="BI12" i="1"/>
  <c r="BA39" i="1"/>
  <c r="BQ39" i="1"/>
  <c r="CT20" i="1"/>
  <c r="CK20" i="1"/>
  <c r="CN20" i="1"/>
  <c r="BJ12" i="1"/>
  <c r="BB39" i="1"/>
  <c r="BR39" i="1"/>
  <c r="CR20" i="1"/>
  <c r="CU20" i="1"/>
  <c r="BK12" i="1"/>
  <c r="BL20" i="1"/>
  <c r="BC39" i="1"/>
  <c r="CI12" i="1"/>
  <c r="CV20" i="1"/>
  <c r="CT39" i="1"/>
  <c r="CP12" i="1"/>
  <c r="BK20" i="1"/>
  <c r="BN39" i="1"/>
  <c r="CQ12" i="1"/>
  <c r="CP20" i="1"/>
  <c r="CV39" i="1"/>
  <c r="CR12" i="1"/>
  <c r="CL20" i="1"/>
  <c r="BM20" i="1"/>
  <c r="BJ20" i="1"/>
  <c r="CS12" i="1"/>
  <c r="CF20" i="1"/>
  <c r="CM20" i="1"/>
  <c r="CR39" i="1"/>
  <c r="BE12" i="1"/>
  <c r="BG12" i="1"/>
  <c r="BG20" i="1"/>
  <c r="BI20" i="1"/>
  <c r="CK12" i="1"/>
  <c r="CS20" i="1"/>
  <c r="CW20" i="1"/>
  <c r="CS39" i="1"/>
  <c r="CM12" i="1"/>
  <c r="CO12" i="1"/>
  <c r="BR12" i="1"/>
  <c r="BM12" i="1"/>
  <c r="BN12" i="1"/>
  <c r="BO12" i="1"/>
  <c r="BP12" i="1"/>
  <c r="BQ12" i="1"/>
  <c r="BD12" i="1"/>
  <c r="H15" i="38" l="1"/>
  <c r="H18" i="56" s="1"/>
  <c r="H17" i="56"/>
  <c r="W16" i="38"/>
  <c r="W40" i="38"/>
  <c r="H16" i="38"/>
  <c r="H40" i="38"/>
  <c r="L148" i="39"/>
  <c r="BR29" i="11"/>
  <c r="AT29" i="11"/>
  <c r="BF29" i="11"/>
  <c r="AZ29" i="11"/>
  <c r="AN29" i="11"/>
  <c r="BL29" i="11"/>
  <c r="CW10" i="1"/>
  <c r="HM10" i="1"/>
  <c r="CU10" i="1"/>
  <c r="HJ10" i="1"/>
  <c r="HH10" i="1"/>
  <c r="HQ10" i="1"/>
  <c r="HL10" i="1"/>
  <c r="BL10" i="1"/>
  <c r="BH10" i="1"/>
  <c r="HG10" i="1"/>
  <c r="CR10" i="1"/>
  <c r="CQ10" i="1"/>
  <c r="HN10" i="1"/>
  <c r="HK10" i="1"/>
  <c r="HO10" i="1"/>
  <c r="BN10" i="1"/>
  <c r="HC10" i="1"/>
  <c r="HP10" i="1"/>
  <c r="BJ10" i="1"/>
  <c r="BM10" i="1"/>
  <c r="BR10" i="1"/>
  <c r="CP10" i="1"/>
  <c r="BE10" i="1"/>
  <c r="CI10" i="1"/>
  <c r="CT10" i="1"/>
  <c r="BG10" i="1"/>
  <c r="HE10" i="1"/>
  <c r="HF10" i="1"/>
  <c r="BK10" i="1"/>
  <c r="HI10" i="1"/>
  <c r="CL10" i="1"/>
  <c r="CO10" i="1"/>
  <c r="HD10" i="1"/>
  <c r="BO10" i="1"/>
  <c r="CK10" i="1"/>
  <c r="CN10" i="1"/>
  <c r="BQ10" i="1"/>
  <c r="BD10" i="1"/>
  <c r="BF10" i="1"/>
  <c r="CJ10" i="1"/>
  <c r="CS10" i="1"/>
  <c r="BI10" i="1"/>
  <c r="CM10" i="1"/>
  <c r="CV10" i="1"/>
  <c r="BP10" i="1"/>
  <c r="F28" i="38" l="1"/>
  <c r="E5" i="7"/>
  <c r="F77" i="7" s="1"/>
  <c r="AA837" i="39" l="1"/>
  <c r="AJ836" i="39"/>
  <c r="T836" i="39"/>
  <c r="AH674" i="39"/>
  <c r="R674" i="39"/>
  <c r="AA673" i="39"/>
  <c r="W511" i="39"/>
  <c r="AF510" i="39"/>
  <c r="P510" i="39"/>
  <c r="W673" i="39"/>
  <c r="S511" i="39"/>
  <c r="L510" i="39"/>
  <c r="AE836" i="39"/>
  <c r="AC674" i="39"/>
  <c r="R511" i="39"/>
  <c r="U673" i="39"/>
  <c r="AG511" i="39"/>
  <c r="AJ837" i="39"/>
  <c r="T673" i="39"/>
  <c r="P511" i="39"/>
  <c r="AI837" i="39"/>
  <c r="AE511" i="39"/>
  <c r="R837" i="39"/>
  <c r="W510" i="39"/>
  <c r="T510" i="39"/>
  <c r="N837" i="39"/>
  <c r="AD673" i="39"/>
  <c r="Z511" i="39"/>
  <c r="M837" i="39"/>
  <c r="V836" i="39"/>
  <c r="AJ674" i="39"/>
  <c r="M673" i="39"/>
  <c r="AH510" i="39"/>
  <c r="R510" i="39"/>
  <c r="L837" i="39"/>
  <c r="AI674" i="39"/>
  <c r="AG510" i="39"/>
  <c r="Z837" i="39"/>
  <c r="AI836" i="39"/>
  <c r="S836" i="39"/>
  <c r="AG674" i="39"/>
  <c r="Q674" i="39"/>
  <c r="Z673" i="39"/>
  <c r="V511" i="39"/>
  <c r="AE510" i="39"/>
  <c r="O510" i="39"/>
  <c r="P836" i="39"/>
  <c r="N674" i="39"/>
  <c r="AB510" i="39"/>
  <c r="V837" i="39"/>
  <c r="Z674" i="39"/>
  <c r="AA836" i="39"/>
  <c r="R673" i="39"/>
  <c r="AD511" i="39"/>
  <c r="AJ510" i="39"/>
  <c r="AC673" i="39"/>
  <c r="Y511" i="39"/>
  <c r="AB673" i="39"/>
  <c r="X511" i="39"/>
  <c r="Y837" i="39"/>
  <c r="AH836" i="39"/>
  <c r="R836" i="39"/>
  <c r="AF674" i="39"/>
  <c r="P674" i="39"/>
  <c r="Y673" i="39"/>
  <c r="U511" i="39"/>
  <c r="AD510" i="39"/>
  <c r="N510" i="39"/>
  <c r="AF836" i="39"/>
  <c r="AD674" i="39"/>
  <c r="AI511" i="39"/>
  <c r="AC836" i="39"/>
  <c r="Y510" i="39"/>
  <c r="L836" i="39"/>
  <c r="W836" i="39"/>
  <c r="N673" i="39"/>
  <c r="AI510" i="39"/>
  <c r="S674" i="39"/>
  <c r="Q510" i="39"/>
  <c r="X837" i="39"/>
  <c r="AG836" i="39"/>
  <c r="Q836" i="39"/>
  <c r="AE674" i="39"/>
  <c r="O674" i="39"/>
  <c r="X673" i="39"/>
  <c r="AJ511" i="39"/>
  <c r="T511" i="39"/>
  <c r="AC510" i="39"/>
  <c r="M510" i="39"/>
  <c r="O836" i="39"/>
  <c r="M674" i="39"/>
  <c r="V673" i="39"/>
  <c r="AH511" i="39"/>
  <c r="AA510" i="39"/>
  <c r="U837" i="39"/>
  <c r="N836" i="39"/>
  <c r="AB674" i="39"/>
  <c r="Q511" i="39"/>
  <c r="M836" i="39"/>
  <c r="AJ673" i="39"/>
  <c r="S837" i="39"/>
  <c r="AI673" i="39"/>
  <c r="O511" i="39"/>
  <c r="Y674" i="39"/>
  <c r="N511" i="39"/>
  <c r="AD837" i="39"/>
  <c r="U674" i="39"/>
  <c r="S510" i="39"/>
  <c r="AC837" i="39"/>
  <c r="T674" i="39"/>
  <c r="U836" i="39"/>
  <c r="L673" i="39"/>
  <c r="W837" i="39"/>
  <c r="AD836" i="39"/>
  <c r="L674" i="39"/>
  <c r="Z510" i="39"/>
  <c r="T837" i="39"/>
  <c r="AA674" i="39"/>
  <c r="AF511" i="39"/>
  <c r="AB836" i="39"/>
  <c r="S673" i="39"/>
  <c r="X510" i="39"/>
  <c r="AH837" i="39"/>
  <c r="AH673" i="39"/>
  <c r="AB837" i="39"/>
  <c r="AG837" i="39"/>
  <c r="Q837" i="39"/>
  <c r="Z836" i="39"/>
  <c r="X674" i="39"/>
  <c r="AG673" i="39"/>
  <c r="Q673" i="39"/>
  <c r="AC511" i="39"/>
  <c r="M511" i="39"/>
  <c r="V510" i="39"/>
  <c r="AF837" i="39"/>
  <c r="P837" i="39"/>
  <c r="Y836" i="39"/>
  <c r="W674" i="39"/>
  <c r="AF673" i="39"/>
  <c r="P673" i="39"/>
  <c r="AB511" i="39"/>
  <c r="L511" i="39"/>
  <c r="U510" i="39"/>
  <c r="AE837" i="39"/>
  <c r="O837" i="39"/>
  <c r="X836" i="39"/>
  <c r="V674" i="39"/>
  <c r="AE673" i="39"/>
  <c r="O673" i="39"/>
  <c r="AA511" i="39"/>
  <c r="F37" i="7"/>
  <c r="Q10" i="7"/>
  <c r="P10" i="7"/>
  <c r="O10" i="7"/>
  <c r="AF348" i="39"/>
  <c r="P348" i="39"/>
  <c r="Y347" i="39"/>
  <c r="X185" i="39"/>
  <c r="AG184" i="39"/>
  <c r="Q184" i="39"/>
  <c r="P184" i="39"/>
  <c r="AC348" i="39"/>
  <c r="V347" i="39"/>
  <c r="U185" i="39"/>
  <c r="N184" i="39"/>
  <c r="W184" i="39"/>
  <c r="U348" i="39"/>
  <c r="AD347" i="39"/>
  <c r="AC185" i="39"/>
  <c r="T348" i="39"/>
  <c r="L185" i="39"/>
  <c r="AB347" i="39"/>
  <c r="S184" i="39"/>
  <c r="AG348" i="39"/>
  <c r="Z347" i="39"/>
  <c r="R184" i="39"/>
  <c r="AE348" i="39"/>
  <c r="O348" i="39"/>
  <c r="X347" i="39"/>
  <c r="W185" i="39"/>
  <c r="AF184" i="39"/>
  <c r="AE185" i="39"/>
  <c r="L347" i="39"/>
  <c r="T184" i="39"/>
  <c r="AD348" i="39"/>
  <c r="N348" i="39"/>
  <c r="W347" i="39"/>
  <c r="V185" i="39"/>
  <c r="AE184" i="39"/>
  <c r="O184" i="39"/>
  <c r="M348" i="39"/>
  <c r="AD184" i="39"/>
  <c r="O185" i="39"/>
  <c r="V348" i="39"/>
  <c r="AB348" i="39"/>
  <c r="L348" i="39"/>
  <c r="U347" i="39"/>
  <c r="AJ185" i="39"/>
  <c r="T185" i="39"/>
  <c r="AC184" i="39"/>
  <c r="M184" i="39"/>
  <c r="AA184" i="39"/>
  <c r="Q185" i="39"/>
  <c r="O347" i="39"/>
  <c r="AH184" i="39"/>
  <c r="AA348" i="39"/>
  <c r="AJ347" i="39"/>
  <c r="T347" i="39"/>
  <c r="AI185" i="39"/>
  <c r="S185" i="39"/>
  <c r="AB184" i="39"/>
  <c r="L184" i="39"/>
  <c r="R185" i="39"/>
  <c r="AH347" i="39"/>
  <c r="Z184" i="39"/>
  <c r="AF347" i="39"/>
  <c r="X184" i="39"/>
  <c r="AE347" i="39"/>
  <c r="N185" i="39"/>
  <c r="V184" i="39"/>
  <c r="AI348" i="39"/>
  <c r="AA185" i="39"/>
  <c r="AJ184" i="39"/>
  <c r="AH348" i="39"/>
  <c r="R348" i="39"/>
  <c r="AA347" i="39"/>
  <c r="AI184" i="39"/>
  <c r="Q348" i="39"/>
  <c r="Z348" i="39"/>
  <c r="AI347" i="39"/>
  <c r="S347" i="39"/>
  <c r="AH185" i="39"/>
  <c r="Y348" i="39"/>
  <c r="R347" i="39"/>
  <c r="AG185" i="39"/>
  <c r="N347" i="39"/>
  <c r="M185" i="39"/>
  <c r="AJ348" i="39"/>
  <c r="AC347" i="39"/>
  <c r="AB185" i="39"/>
  <c r="U184" i="39"/>
  <c r="S348" i="39"/>
  <c r="Z185" i="39"/>
  <c r="Y185" i="39"/>
  <c r="X348" i="39"/>
  <c r="AG347" i="39"/>
  <c r="Q347" i="39"/>
  <c r="AF185" i="39"/>
  <c r="P185" i="39"/>
  <c r="Y184" i="39"/>
  <c r="W348" i="39"/>
  <c r="P347" i="39"/>
  <c r="AD185" i="39"/>
  <c r="M347" i="39"/>
  <c r="M21" i="39"/>
  <c r="F81" i="7"/>
  <c r="F51" i="7"/>
  <c r="F50" i="7"/>
  <c r="F46" i="7"/>
  <c r="F65" i="7"/>
  <c r="F64" i="7"/>
  <c r="F39" i="7"/>
  <c r="F38" i="7"/>
  <c r="F31" i="7"/>
  <c r="F30" i="7"/>
  <c r="F29" i="7"/>
  <c r="F56" i="7"/>
  <c r="F75" i="7"/>
  <c r="E6" i="7"/>
  <c r="AH21" i="39"/>
  <c r="AG21" i="39"/>
  <c r="AF21" i="39"/>
  <c r="AE21" i="39"/>
  <c r="AJ22" i="39"/>
  <c r="AD21" i="39"/>
  <c r="AI22" i="39"/>
  <c r="AC21" i="39"/>
  <c r="AH22" i="39"/>
  <c r="AB21" i="39"/>
  <c r="AG22" i="39"/>
  <c r="AA21" i="39"/>
  <c r="AF22" i="39"/>
  <c r="AE22" i="39"/>
  <c r="AD22" i="39"/>
  <c r="AC22" i="39"/>
  <c r="AB22" i="39"/>
  <c r="AA22" i="39"/>
  <c r="AJ21" i="39"/>
  <c r="AI21" i="39"/>
  <c r="F69" i="7"/>
  <c r="F71" i="7"/>
  <c r="R10" i="7"/>
  <c r="F49" i="7"/>
  <c r="F44" i="7"/>
  <c r="F48" i="7"/>
  <c r="F29" i="38"/>
  <c r="Z21" i="39"/>
  <c r="W22" i="39"/>
  <c r="U21" i="39"/>
  <c r="R21" i="39"/>
  <c r="O21" i="39"/>
  <c r="X21" i="39"/>
  <c r="Y22" i="39"/>
  <c r="V22" i="39"/>
  <c r="T21" i="39"/>
  <c r="S21" i="39"/>
  <c r="T22" i="39"/>
  <c r="S22" i="39"/>
  <c r="R22" i="39"/>
  <c r="Q22" i="39"/>
  <c r="N21" i="39"/>
  <c r="O22" i="39"/>
  <c r="L22" i="39"/>
  <c r="L21" i="39"/>
  <c r="W21" i="39"/>
  <c r="X22" i="39"/>
  <c r="U22" i="39"/>
  <c r="Q21" i="39"/>
  <c r="P21" i="39"/>
  <c r="P22" i="39"/>
  <c r="N22" i="39"/>
  <c r="M22" i="39"/>
  <c r="Y21" i="39"/>
  <c r="Z22" i="39"/>
  <c r="V21" i="39"/>
  <c r="L10" i="7"/>
  <c r="M10" i="7"/>
  <c r="N10" i="7"/>
  <c r="P46" i="7" l="1"/>
  <c r="R64" i="7"/>
  <c r="Q64" i="7"/>
  <c r="O64" i="7"/>
  <c r="N64" i="7"/>
  <c r="P64" i="7"/>
  <c r="P56" i="7"/>
  <c r="M56" i="7"/>
  <c r="C16" i="56" s="1"/>
  <c r="M77" i="7"/>
  <c r="M46" i="7"/>
  <c r="C25" i="56" s="1"/>
  <c r="L39" i="7"/>
  <c r="L38" i="7"/>
  <c r="M64" i="7"/>
  <c r="C19" i="56" s="1"/>
  <c r="L24" i="7"/>
  <c r="L23" i="7"/>
  <c r="L22" i="7"/>
  <c r="L21" i="7"/>
  <c r="L20" i="7"/>
  <c r="L19" i="7"/>
  <c r="L18" i="7"/>
  <c r="L16" i="7"/>
  <c r="L15" i="7"/>
  <c r="L14" i="7"/>
  <c r="L25" i="7"/>
  <c r="R71" i="7"/>
  <c r="O71" i="7"/>
  <c r="N71" i="7"/>
  <c r="R69" i="7"/>
  <c r="Q71" i="7"/>
  <c r="Q69" i="7"/>
  <c r="O69" i="7"/>
  <c r="N69" i="7"/>
  <c r="Q65" i="7"/>
  <c r="M65" i="7"/>
  <c r="R46" i="7"/>
  <c r="R44" i="7" s="1"/>
  <c r="R65" i="7"/>
  <c r="P65" i="7"/>
  <c r="O65" i="7"/>
  <c r="N65" i="7"/>
  <c r="Q46" i="7"/>
  <c r="Q44" i="7" s="1"/>
  <c r="Q56" i="7"/>
  <c r="R56" i="7" s="1"/>
  <c r="P44" i="7"/>
  <c r="O46" i="7"/>
  <c r="O44" i="7" s="1"/>
  <c r="N46" i="7"/>
  <c r="D5" i="1"/>
  <c r="W22" i="38"/>
  <c r="W23" i="38" s="1"/>
  <c r="K984" i="39" s="1"/>
  <c r="K22" i="38"/>
  <c r="K23" i="38" s="1"/>
  <c r="K332" i="39" s="1"/>
  <c r="H22" i="38"/>
  <c r="H23" i="38" s="1"/>
  <c r="N77" i="7" l="1"/>
  <c r="R77" i="7"/>
  <c r="Q77" i="7"/>
  <c r="P77" i="7"/>
  <c r="O77" i="7"/>
  <c r="K169" i="39"/>
  <c r="H25" i="56"/>
  <c r="C32" i="56"/>
  <c r="M75" i="7"/>
  <c r="M81" i="7" s="1"/>
  <c r="EF15" i="10" a="1"/>
  <c r="EF15" i="10" s="1"/>
  <c r="EG5" i="10" s="1"/>
  <c r="EH5" i="10" s="1"/>
  <c r="AZ15" i="10" a="1"/>
  <c r="AZ15" i="10" s="1"/>
  <c r="BA5" i="10" s="1"/>
  <c r="BB5" i="10" s="1"/>
  <c r="CD15" i="10" a="1"/>
  <c r="CD15" i="10" s="1"/>
  <c r="CE5" i="10" s="1"/>
  <c r="CF5" i="10" s="1"/>
  <c r="AT15" i="10" a="1"/>
  <c r="AT15" i="10" s="1"/>
  <c r="AU5" i="10" s="1"/>
  <c r="AV5" i="10" s="1"/>
  <c r="DZ15" i="10" a="1"/>
  <c r="DZ15" i="10" s="1"/>
  <c r="EA5" i="10" s="1"/>
  <c r="EB5" i="10" s="1"/>
  <c r="P15" i="10" a="1"/>
  <c r="P15" i="10" s="1"/>
  <c r="Q5" i="10" s="1"/>
  <c r="R5" i="10" s="1"/>
  <c r="DT15" i="10" a="1"/>
  <c r="DT15" i="10" s="1"/>
  <c r="DU5" i="10" s="1"/>
  <c r="DV5" i="10" s="1"/>
  <c r="DN15" i="10" a="1"/>
  <c r="DN15" i="10" s="1"/>
  <c r="DO5" i="10" s="1"/>
  <c r="DP5" i="10" s="1"/>
  <c r="DB15" i="10" a="1"/>
  <c r="DB15" i="10" s="1"/>
  <c r="DC5" i="10" s="1"/>
  <c r="DD5" i="10" s="1"/>
  <c r="BR15" i="10" a="1"/>
  <c r="BR15" i="10" s="1"/>
  <c r="BS5" i="10" s="1"/>
  <c r="BT5" i="10" s="1"/>
  <c r="AB15" i="10" a="1"/>
  <c r="AB15" i="10" s="1"/>
  <c r="AC5" i="10" s="1"/>
  <c r="AD5" i="10" s="1"/>
  <c r="CV15" i="10" a="1"/>
  <c r="CV15" i="10" s="1"/>
  <c r="CW5" i="10" s="1"/>
  <c r="CX5" i="10" s="1"/>
  <c r="ER15" i="10" a="1"/>
  <c r="ER15" i="10" s="1"/>
  <c r="ES5" i="10" s="1"/>
  <c r="AH15" i="10" a="1"/>
  <c r="AH15" i="10" s="1"/>
  <c r="AI5" i="10" s="1"/>
  <c r="AJ5" i="10" s="1"/>
  <c r="DH15" i="10" a="1"/>
  <c r="DH15" i="10" s="1"/>
  <c r="DI5" i="10" s="1"/>
  <c r="DJ5" i="10" s="1"/>
  <c r="V15" i="10" a="1"/>
  <c r="V15" i="10" s="1"/>
  <c r="W5" i="10" s="1"/>
  <c r="X5" i="10" s="1"/>
  <c r="AN15" i="10" a="1"/>
  <c r="AN15" i="10" s="1"/>
  <c r="AO5" i="10" s="1"/>
  <c r="AP5" i="10" s="1"/>
  <c r="CP15" i="10" a="1"/>
  <c r="CP15" i="10" s="1"/>
  <c r="CQ5" i="10" s="1"/>
  <c r="CR5" i="10" s="1"/>
  <c r="BX15" i="10" a="1"/>
  <c r="BX15" i="10" s="1"/>
  <c r="BY5" i="10" s="1"/>
  <c r="BZ5" i="10" s="1"/>
  <c r="CJ15" i="10" a="1"/>
  <c r="CJ15" i="10" s="1"/>
  <c r="CK5" i="10" s="1"/>
  <c r="CL5" i="10" s="1"/>
  <c r="J15" i="10" a="1"/>
  <c r="J15" i="10" s="1"/>
  <c r="K5" i="10" s="1"/>
  <c r="L5" i="10" s="1"/>
  <c r="EL15" i="10" a="1"/>
  <c r="EL15" i="10" s="1"/>
  <c r="EM5" i="10" s="1"/>
  <c r="EN5" i="10" s="1"/>
  <c r="D15" i="10" a="1"/>
  <c r="D15" i="10" s="1"/>
  <c r="BL15" i="10" a="1"/>
  <c r="BL15" i="10" s="1"/>
  <c r="BM5" i="10" s="1"/>
  <c r="BN5" i="10" s="1"/>
  <c r="BF15" i="10" a="1"/>
  <c r="BF15" i="10" s="1"/>
  <c r="BG5" i="10" s="1"/>
  <c r="BH5" i="10" s="1"/>
  <c r="Q19" i="7"/>
  <c r="O19" i="7"/>
  <c r="P19" i="7"/>
  <c r="P21" i="7"/>
  <c r="Q21" i="7"/>
  <c r="O21" i="7"/>
  <c r="U56" i="7"/>
  <c r="Q23" i="7"/>
  <c r="P23" i="7"/>
  <c r="O23" i="7"/>
  <c r="Q24" i="7"/>
  <c r="P24" i="7"/>
  <c r="O24" i="7"/>
  <c r="Q22" i="7"/>
  <c r="P22" i="7"/>
  <c r="O22" i="7"/>
  <c r="Q20" i="7"/>
  <c r="P20" i="7"/>
  <c r="O20" i="7"/>
  <c r="Q25" i="7"/>
  <c r="P25" i="7"/>
  <c r="O25" i="7"/>
  <c r="P18" i="7"/>
  <c r="Q18" i="7"/>
  <c r="O18" i="7"/>
  <c r="P14" i="7"/>
  <c r="O14" i="7"/>
  <c r="Q14" i="7"/>
  <c r="Q15" i="7"/>
  <c r="P15" i="7"/>
  <c r="O15" i="7"/>
  <c r="O16" i="7"/>
  <c r="Q16" i="7"/>
  <c r="P16" i="7"/>
  <c r="T8" i="1"/>
  <c r="S8" i="1"/>
  <c r="R8" i="1"/>
  <c r="X8" i="1"/>
  <c r="W8" i="1"/>
  <c r="AD8" i="1"/>
  <c r="Y8" i="1"/>
  <c r="AC8" i="1"/>
  <c r="AB8" i="1"/>
  <c r="M8" i="1"/>
  <c r="AG8" i="1"/>
  <c r="ES54" i="10"/>
  <c r="BA54" i="10"/>
  <c r="EM54" i="10"/>
  <c r="AU54" i="10"/>
  <c r="EG54" i="10"/>
  <c r="AO54" i="10"/>
  <c r="EA54" i="10"/>
  <c r="AI54" i="10"/>
  <c r="DU54" i="10"/>
  <c r="AC54" i="10"/>
  <c r="DO54" i="10"/>
  <c r="W54" i="10"/>
  <c r="DI54" i="10"/>
  <c r="Q54" i="10"/>
  <c r="DC54" i="10"/>
  <c r="K54" i="10"/>
  <c r="CW54" i="10"/>
  <c r="E54" i="10"/>
  <c r="CQ54" i="10"/>
  <c r="CK54" i="10"/>
  <c r="CE54" i="10"/>
  <c r="BY54" i="10"/>
  <c r="BS54" i="10"/>
  <c r="BM54" i="10"/>
  <c r="BG54" i="10"/>
  <c r="J38" i="10"/>
  <c r="ER38" i="10"/>
  <c r="AZ38" i="10"/>
  <c r="EL38" i="10"/>
  <c r="AT38" i="10"/>
  <c r="AB38" i="10"/>
  <c r="DN38" i="10"/>
  <c r="BR38" i="10"/>
  <c r="EF38" i="10"/>
  <c r="AN38" i="10"/>
  <c r="DZ38" i="10"/>
  <c r="AH38" i="10"/>
  <c r="DT38" i="10"/>
  <c r="DH38" i="10"/>
  <c r="DB38" i="10"/>
  <c r="CD38" i="10"/>
  <c r="CV38" i="10"/>
  <c r="P38" i="10"/>
  <c r="BX38" i="10"/>
  <c r="CP38" i="10"/>
  <c r="V38" i="10"/>
  <c r="CJ38" i="10"/>
  <c r="BL38" i="10"/>
  <c r="BF38" i="10"/>
  <c r="N44" i="7"/>
  <c r="D38" i="10"/>
  <c r="M24" i="7"/>
  <c r="N24" i="7"/>
  <c r="R24" i="7"/>
  <c r="N25" i="7"/>
  <c r="M25" i="7"/>
  <c r="R25" i="7"/>
  <c r="M18" i="7"/>
  <c r="N18" i="7"/>
  <c r="R18" i="7"/>
  <c r="N14" i="7"/>
  <c r="M14" i="7"/>
  <c r="R14" i="7"/>
  <c r="N15" i="7"/>
  <c r="M15" i="7"/>
  <c r="R15" i="7"/>
  <c r="N23" i="7"/>
  <c r="M23" i="7"/>
  <c r="R23" i="7"/>
  <c r="M22" i="7"/>
  <c r="N22" i="7"/>
  <c r="R22" i="7"/>
  <c r="M20" i="7"/>
  <c r="N20" i="7"/>
  <c r="R20" i="7"/>
  <c r="M16" i="7"/>
  <c r="N16" i="7"/>
  <c r="R16" i="7"/>
  <c r="M19" i="7"/>
  <c r="N19" i="7"/>
  <c r="R19" i="7"/>
  <c r="M21" i="7"/>
  <c r="N21" i="7"/>
  <c r="R21" i="7"/>
  <c r="M44" i="7"/>
  <c r="AI8" i="1"/>
  <c r="AH8" i="1"/>
  <c r="O8" i="1"/>
  <c r="N8" i="1"/>
  <c r="H8" i="1"/>
  <c r="D6" i="1"/>
  <c r="H15" i="1" s="1"/>
  <c r="W15" i="1" s="1"/>
  <c r="E35" i="1"/>
  <c r="J8" i="1"/>
  <c r="N75" i="7" l="1"/>
  <c r="N81" i="7" s="1"/>
  <c r="P75" i="7"/>
  <c r="P81" i="7" s="1"/>
  <c r="R75" i="7"/>
  <c r="R81" i="7" s="1"/>
  <c r="O75" i="7"/>
  <c r="O81" i="7" s="1"/>
  <c r="Q75" i="7"/>
  <c r="Q81" i="7" s="1"/>
  <c r="M15" i="1"/>
  <c r="AG15" i="1"/>
  <c r="R15" i="1"/>
  <c r="AB15" i="1"/>
  <c r="ET5" i="10"/>
  <c r="EU5" i="10" s="1"/>
  <c r="H13" i="1"/>
  <c r="H37" i="1"/>
  <c r="W37" i="1" s="1"/>
  <c r="X37" i="1" s="1"/>
  <c r="H36" i="1"/>
  <c r="W36" i="1" s="1"/>
  <c r="X36" i="1" s="1"/>
  <c r="W56" i="7"/>
  <c r="V56" i="7"/>
  <c r="H58" i="1"/>
  <c r="W58" i="1" s="1"/>
  <c r="H57" i="1"/>
  <c r="W57" i="1" s="1"/>
  <c r="H41" i="1"/>
  <c r="W41" i="1" s="1"/>
  <c r="H21" i="1"/>
  <c r="W21" i="1" s="1"/>
  <c r="H56" i="1"/>
  <c r="W56" i="1" s="1"/>
  <c r="H40" i="1"/>
  <c r="W40" i="1" s="1"/>
  <c r="H18" i="1"/>
  <c r="H55" i="1"/>
  <c r="W55" i="1" s="1"/>
  <c r="H17" i="1"/>
  <c r="H22" i="1"/>
  <c r="W22" i="1" s="1"/>
  <c r="H54" i="1"/>
  <c r="W54" i="1" s="1"/>
  <c r="H16" i="1"/>
  <c r="H53" i="1"/>
  <c r="W53" i="1" s="1"/>
  <c r="H33" i="1"/>
  <c r="W33" i="1" s="1"/>
  <c r="H52" i="1"/>
  <c r="W52" i="1" s="1"/>
  <c r="H32" i="1"/>
  <c r="W32" i="1" s="1"/>
  <c r="H14" i="1"/>
  <c r="H51" i="1"/>
  <c r="W51" i="1" s="1"/>
  <c r="H31" i="1"/>
  <c r="W31" i="1" s="1"/>
  <c r="H50" i="1"/>
  <c r="W50" i="1" s="1"/>
  <c r="H30" i="1"/>
  <c r="W30" i="1" s="1"/>
  <c r="H49" i="1"/>
  <c r="W49" i="1" s="1"/>
  <c r="H29" i="1"/>
  <c r="W29" i="1" s="1"/>
  <c r="H48" i="1"/>
  <c r="W48" i="1" s="1"/>
  <c r="H28" i="1"/>
  <c r="W28" i="1" s="1"/>
  <c r="H47" i="1"/>
  <c r="W47" i="1" s="1"/>
  <c r="H27" i="1"/>
  <c r="W27" i="1" s="1"/>
  <c r="H46" i="1"/>
  <c r="W46" i="1" s="1"/>
  <c r="H26" i="1"/>
  <c r="W26" i="1" s="1"/>
  <c r="H45" i="1"/>
  <c r="W45" i="1" s="1"/>
  <c r="H25" i="1"/>
  <c r="W25" i="1" s="1"/>
  <c r="H44" i="1"/>
  <c r="W44" i="1" s="1"/>
  <c r="H24" i="1"/>
  <c r="W24" i="1" s="1"/>
  <c r="H43" i="1"/>
  <c r="W43" i="1" s="1"/>
  <c r="H23" i="1"/>
  <c r="W23" i="1" s="1"/>
  <c r="H42" i="1"/>
  <c r="W42" i="1" s="1"/>
  <c r="S5" i="10"/>
  <c r="BI5" i="10"/>
  <c r="CY5" i="10"/>
  <c r="CA5" i="10"/>
  <c r="AC10" i="11"/>
  <c r="EI5" i="10"/>
  <c r="AW5" i="10"/>
  <c r="BS10" i="11"/>
  <c r="EA10" i="11"/>
  <c r="AE5" i="10"/>
  <c r="DK5" i="10"/>
  <c r="BY10" i="11"/>
  <c r="AO10" i="11"/>
  <c r="DQ5" i="10"/>
  <c r="EC5" i="10"/>
  <c r="BM10" i="11"/>
  <c r="EO5" i="10"/>
  <c r="BU5" i="10"/>
  <c r="CE10" i="11"/>
  <c r="EG10" i="11"/>
  <c r="CG5" i="10"/>
  <c r="CM5" i="10"/>
  <c r="M5" i="10"/>
  <c r="CK10" i="11"/>
  <c r="AU10" i="11"/>
  <c r="AI10" i="11"/>
  <c r="Y5" i="10"/>
  <c r="CQ10" i="11"/>
  <c r="EM10" i="11"/>
  <c r="DI10" i="11"/>
  <c r="DW5" i="10"/>
  <c r="DU10" i="11"/>
  <c r="AK5" i="10"/>
  <c r="BG10" i="11"/>
  <c r="CS5" i="10"/>
  <c r="E10" i="11"/>
  <c r="BA10" i="11"/>
  <c r="BC5" i="10"/>
  <c r="W10" i="11"/>
  <c r="CW10" i="11"/>
  <c r="ES10" i="11"/>
  <c r="AQ5" i="10"/>
  <c r="K10" i="11"/>
  <c r="Q10" i="11"/>
  <c r="J10" i="48" s="1"/>
  <c r="K10" i="48" s="1"/>
  <c r="DO10" i="11"/>
  <c r="BO5" i="10"/>
  <c r="DE5" i="10"/>
  <c r="DC10" i="11"/>
  <c r="P13" i="7"/>
  <c r="P17" i="7"/>
  <c r="O13" i="7"/>
  <c r="Q13" i="7"/>
  <c r="Q17" i="7"/>
  <c r="O17" i="7"/>
  <c r="R36" i="1"/>
  <c r="S36" i="1" s="1"/>
  <c r="AB37" i="1"/>
  <c r="AC37" i="1" s="1"/>
  <c r="AB36" i="1"/>
  <c r="AC36" i="1" s="1"/>
  <c r="AD36" i="1" s="1"/>
  <c r="R37" i="1"/>
  <c r="S37" i="1" s="1"/>
  <c r="T37" i="1" s="1"/>
  <c r="Y37" i="1"/>
  <c r="AG37" i="1"/>
  <c r="AG36" i="1"/>
  <c r="AH36" i="1" s="1"/>
  <c r="M37" i="1"/>
  <c r="N37" i="1" s="1"/>
  <c r="O37" i="1" s="1"/>
  <c r="M36" i="1"/>
  <c r="N36" i="1" s="1"/>
  <c r="O36" i="1" s="1"/>
  <c r="R17" i="7"/>
  <c r="L51" i="7"/>
  <c r="L50" i="7"/>
  <c r="I8" i="1"/>
  <c r="L34" i="7"/>
  <c r="AG18" i="1" l="1"/>
  <c r="W18" i="1"/>
  <c r="AG17" i="1"/>
  <c r="W17" i="1"/>
  <c r="AG14" i="1"/>
  <c r="W14" i="1"/>
  <c r="AG16" i="1"/>
  <c r="W16" i="1"/>
  <c r="AG13" i="1"/>
  <c r="AH13" i="1" s="1"/>
  <c r="W13" i="1"/>
  <c r="X13" i="1" s="1"/>
  <c r="Y13" i="1" s="1"/>
  <c r="W55" i="10" a="1"/>
  <c r="W55" i="10" s="1"/>
  <c r="ES55" i="10" a="1"/>
  <c r="ES55" i="10" s="1"/>
  <c r="E55" i="10" a="1"/>
  <c r="E55" i="10" s="1"/>
  <c r="EA55" i="10" a="1"/>
  <c r="EA55" i="10" s="1"/>
  <c r="DI55" i="10" a="1"/>
  <c r="DI55" i="10" s="1"/>
  <c r="DC55" i="10" a="1"/>
  <c r="DC55" i="10" s="1"/>
  <c r="CW55" i="10" a="1"/>
  <c r="CW55" i="10" s="1"/>
  <c r="AC55" i="10" a="1"/>
  <c r="AC55" i="10" s="1"/>
  <c r="CK55" i="10" a="1"/>
  <c r="CK55" i="10" s="1"/>
  <c r="Q55" i="10" a="1"/>
  <c r="Q55" i="10" s="1"/>
  <c r="EM55" i="10" a="1"/>
  <c r="EM55" i="10" s="1"/>
  <c r="CE55" i="10" a="1"/>
  <c r="CE55" i="10" s="1"/>
  <c r="BY55" i="10" a="1"/>
  <c r="BY55" i="10" s="1"/>
  <c r="K55" i="10" a="1"/>
  <c r="K55" i="10" s="1"/>
  <c r="EG55" i="10" a="1"/>
  <c r="EG55" i="10" s="1"/>
  <c r="BS55" i="10" a="1"/>
  <c r="BS55" i="10" s="1"/>
  <c r="BM55" i="10" a="1"/>
  <c r="BM55" i="10" s="1"/>
  <c r="DU55" i="10" a="1"/>
  <c r="DU55" i="10" s="1"/>
  <c r="BG55" i="10" a="1"/>
  <c r="BG55" i="10" s="1"/>
  <c r="DO55" i="10" a="1"/>
  <c r="DO55" i="10" s="1"/>
  <c r="BA55" i="10" a="1"/>
  <c r="BA55" i="10" s="1"/>
  <c r="AU55" i="10" a="1"/>
  <c r="AU55" i="10" s="1"/>
  <c r="AO55" i="10" a="1"/>
  <c r="AO55" i="10" s="1"/>
  <c r="AI55" i="10" a="1"/>
  <c r="AI55" i="10" s="1"/>
  <c r="CQ55" i="10" a="1"/>
  <c r="CQ55" i="10" s="1"/>
  <c r="EF35" i="10" a="1"/>
  <c r="EF35" i="10" s="1"/>
  <c r="CD35" i="10" a="1"/>
  <c r="CD35" i="10" s="1"/>
  <c r="DZ35" i="10" a="1"/>
  <c r="DZ35" i="10" s="1"/>
  <c r="BX35" i="10" a="1"/>
  <c r="BX35" i="10" s="1"/>
  <c r="BL35" i="10" a="1"/>
  <c r="BL35" i="10" s="1"/>
  <c r="DN35" i="10" a="1"/>
  <c r="DN35" i="10" s="1"/>
  <c r="J35" i="10" a="1"/>
  <c r="J35" i="10" s="1"/>
  <c r="DH35" i="10" a="1"/>
  <c r="DH35" i="10" s="1"/>
  <c r="D35" i="10" a="1"/>
  <c r="D35" i="10" s="1"/>
  <c r="CJ35" i="10" a="1"/>
  <c r="CJ35" i="10" s="1"/>
  <c r="AH35" i="10" a="1"/>
  <c r="AH35" i="10" s="1"/>
  <c r="AB35" i="10" a="1"/>
  <c r="AB35" i="10" s="1"/>
  <c r="CP35" i="10" a="1"/>
  <c r="CP35" i="10" s="1"/>
  <c r="EL35" i="10" a="1"/>
  <c r="EL35" i="10" s="1"/>
  <c r="V35" i="10" a="1"/>
  <c r="V35" i="10" s="1"/>
  <c r="DT35" i="10" a="1"/>
  <c r="DT35" i="10" s="1"/>
  <c r="BR35" i="10" a="1"/>
  <c r="BR35" i="10" s="1"/>
  <c r="P35" i="10" a="1"/>
  <c r="P35" i="10" s="1"/>
  <c r="BF35" i="10" a="1"/>
  <c r="BF35" i="10" s="1"/>
  <c r="DB35" i="10" a="1"/>
  <c r="DB35" i="10" s="1"/>
  <c r="AZ35" i="10" a="1"/>
  <c r="AZ35" i="10" s="1"/>
  <c r="CV35" i="10" a="1"/>
  <c r="CV35" i="10" s="1"/>
  <c r="AT35" i="10" a="1"/>
  <c r="AT35" i="10" s="1"/>
  <c r="ER35" i="10" a="1"/>
  <c r="ER35" i="10" s="1"/>
  <c r="AN35" i="10" a="1"/>
  <c r="AN35" i="10" s="1"/>
  <c r="DI57" i="10" a="1"/>
  <c r="DI57" i="10" s="1"/>
  <c r="AO57" i="10" a="1"/>
  <c r="AO57" i="10" s="1"/>
  <c r="CK57" i="10" a="1"/>
  <c r="CK57" i="10" s="1"/>
  <c r="ES57" i="10" a="1"/>
  <c r="ES57" i="10" s="1"/>
  <c r="EM57" i="10" a="1"/>
  <c r="EM57" i="10" s="1"/>
  <c r="Q57" i="10" a="1"/>
  <c r="Q57" i="10" s="1"/>
  <c r="BY57" i="10" a="1"/>
  <c r="BY57" i="10" s="1"/>
  <c r="EA57" i="10" a="1"/>
  <c r="EA57" i="10" s="1"/>
  <c r="BS57" i="10" a="1"/>
  <c r="BS57" i="10" s="1"/>
  <c r="E57" i="10" a="1"/>
  <c r="E57" i="10" s="1"/>
  <c r="BM57" i="10" a="1"/>
  <c r="BM57" i="10" s="1"/>
  <c r="AU57" i="10" a="1"/>
  <c r="AU57" i="10" s="1"/>
  <c r="AI57" i="10" a="1"/>
  <c r="AI57" i="10" s="1"/>
  <c r="AC57" i="10" a="1"/>
  <c r="AC57" i="10" s="1"/>
  <c r="W57" i="10" a="1"/>
  <c r="W57" i="10" s="1"/>
  <c r="K57" i="10" a="1"/>
  <c r="K57" i="10" s="1"/>
  <c r="DU57" i="10" a="1"/>
  <c r="DU57" i="10" s="1"/>
  <c r="BG57" i="10" a="1"/>
  <c r="BG57" i="10" s="1"/>
  <c r="DO57" i="10" a="1"/>
  <c r="DO57" i="10" s="1"/>
  <c r="BA57" i="10" a="1"/>
  <c r="BA57" i="10" s="1"/>
  <c r="DC57" i="10" a="1"/>
  <c r="DC57" i="10" s="1"/>
  <c r="CW57" i="10" a="1"/>
  <c r="CW57" i="10" s="1"/>
  <c r="CQ57" i="10" a="1"/>
  <c r="CQ57" i="10" s="1"/>
  <c r="CE57" i="10" a="1"/>
  <c r="CE57" i="10" s="1"/>
  <c r="EG57" i="10" a="1"/>
  <c r="EG57" i="10" s="1"/>
  <c r="DO68" i="10" a="1"/>
  <c r="DO68" i="10" s="1"/>
  <c r="DP69" i="10" s="1"/>
  <c r="DQ69" i="10" s="1"/>
  <c r="AI68" i="10" a="1"/>
  <c r="AI68" i="10" s="1"/>
  <c r="AJ69" i="10" s="1"/>
  <c r="AK69" i="10" s="1"/>
  <c r="DC68" i="10" a="1"/>
  <c r="DC68" i="10" s="1"/>
  <c r="DD69" i="10" s="1"/>
  <c r="DE69" i="10" s="1"/>
  <c r="K68" i="10" a="1"/>
  <c r="K68" i="10" s="1"/>
  <c r="L69" i="10" s="1"/>
  <c r="M69" i="10" s="1"/>
  <c r="BY68" i="10" a="1"/>
  <c r="BY68" i="10" s="1"/>
  <c r="BZ69" i="10" s="1"/>
  <c r="CA69" i="10" s="1"/>
  <c r="EM68" i="10" a="1"/>
  <c r="EM68" i="10" s="1"/>
  <c r="EN69" i="10" s="1"/>
  <c r="EO69" i="10" s="1"/>
  <c r="BA68" i="10" a="1"/>
  <c r="BA68" i="10" s="1"/>
  <c r="BB69" i="10" s="1"/>
  <c r="BC69" i="10" s="1"/>
  <c r="AU68" i="10" a="1"/>
  <c r="AU68" i="10" s="1"/>
  <c r="AV69" i="10" s="1"/>
  <c r="AW69" i="10" s="1"/>
  <c r="AO68" i="10" a="1"/>
  <c r="AO68" i="10" s="1"/>
  <c r="AP69" i="10" s="1"/>
  <c r="AQ69" i="10" s="1"/>
  <c r="DI68" i="10" a="1"/>
  <c r="DI68" i="10" s="1"/>
  <c r="DJ69" i="10" s="1"/>
  <c r="DK69" i="10" s="1"/>
  <c r="AC68" i="10" a="1"/>
  <c r="AC68" i="10" s="1"/>
  <c r="AD69" i="10" s="1"/>
  <c r="AE69" i="10" s="1"/>
  <c r="BM68" i="10" a="1"/>
  <c r="BM68" i="10" s="1"/>
  <c r="BN69" i="10" s="1"/>
  <c r="BO69" i="10" s="1"/>
  <c r="CW68" i="10" a="1"/>
  <c r="CW68" i="10" s="1"/>
  <c r="CX69" i="10" s="1"/>
  <c r="CY69" i="10" s="1"/>
  <c r="W68" i="10" a="1"/>
  <c r="W68" i="10" s="1"/>
  <c r="X69" i="10" s="1"/>
  <c r="Y69" i="10" s="1"/>
  <c r="CQ68" i="10" a="1"/>
  <c r="CQ68" i="10" s="1"/>
  <c r="CR69" i="10" s="1"/>
  <c r="CS69" i="10" s="1"/>
  <c r="Q68" i="10" a="1"/>
  <c r="Q68" i="10" s="1"/>
  <c r="R69" i="10" s="1"/>
  <c r="S69" i="10" s="1"/>
  <c r="CK68" i="10" a="1"/>
  <c r="CK68" i="10" s="1"/>
  <c r="CL69" i="10" s="1"/>
  <c r="CM69" i="10" s="1"/>
  <c r="CE68" i="10" a="1"/>
  <c r="CE68" i="10" s="1"/>
  <c r="CF69" i="10" s="1"/>
  <c r="CG69" i="10" s="1"/>
  <c r="E68" i="10" a="1"/>
  <c r="E68" i="10" s="1"/>
  <c r="BS68" i="10" a="1"/>
  <c r="BS68" i="10" s="1"/>
  <c r="BT69" i="10" s="1"/>
  <c r="BU69" i="10" s="1"/>
  <c r="ES68" i="10" a="1"/>
  <c r="ES68" i="10" s="1"/>
  <c r="ET69" i="10" s="1"/>
  <c r="EU69" i="10" s="1"/>
  <c r="BG68" i="10" a="1"/>
  <c r="BG68" i="10" s="1"/>
  <c r="BH69" i="10" s="1"/>
  <c r="BI69" i="10" s="1"/>
  <c r="EG68" i="10" a="1"/>
  <c r="EG68" i="10" s="1"/>
  <c r="EH69" i="10" s="1"/>
  <c r="EI69" i="10" s="1"/>
  <c r="EA68" i="10" a="1"/>
  <c r="EA68" i="10" s="1"/>
  <c r="EB69" i="10" s="1"/>
  <c r="EC69" i="10" s="1"/>
  <c r="DU68" i="10" a="1"/>
  <c r="DU68" i="10" s="1"/>
  <c r="DV69" i="10" s="1"/>
  <c r="DW69" i="10" s="1"/>
  <c r="DH36" i="10" a="1"/>
  <c r="DH36" i="10" s="1"/>
  <c r="BF36" i="10" a="1"/>
  <c r="BF36" i="10" s="1"/>
  <c r="DB36" i="10" a="1"/>
  <c r="DB36" i="10" s="1"/>
  <c r="CJ36" i="10" a="1"/>
  <c r="CJ36" i="10" s="1"/>
  <c r="EL36" i="10" a="1"/>
  <c r="EL36" i="10" s="1"/>
  <c r="EF36" i="10" a="1"/>
  <c r="EF36" i="10" s="1"/>
  <c r="CD36" i="10" a="1"/>
  <c r="CD36" i="10" s="1"/>
  <c r="V36" i="10" a="1"/>
  <c r="V36" i="10" s="1"/>
  <c r="DZ36" i="10" a="1"/>
  <c r="DZ36" i="10" s="1"/>
  <c r="D36" i="10" a="1"/>
  <c r="D36" i="10" s="1"/>
  <c r="BR36" i="10" a="1"/>
  <c r="BR36" i="10" s="1"/>
  <c r="BL36" i="10" a="1"/>
  <c r="BL36" i="10" s="1"/>
  <c r="AZ36" i="10" a="1"/>
  <c r="AZ36" i="10" s="1"/>
  <c r="J36" i="10" a="1"/>
  <c r="J36" i="10" s="1"/>
  <c r="AT36" i="10" a="1"/>
  <c r="AT36" i="10" s="1"/>
  <c r="CV36" i="10" a="1"/>
  <c r="CV36" i="10" s="1"/>
  <c r="AN36" i="10" a="1"/>
  <c r="AN36" i="10" s="1"/>
  <c r="CP36" i="10" a="1"/>
  <c r="CP36" i="10" s="1"/>
  <c r="ER36" i="10" a="1"/>
  <c r="ER36" i="10" s="1"/>
  <c r="AH36" i="10" a="1"/>
  <c r="AH36" i="10" s="1"/>
  <c r="AB36" i="10" a="1"/>
  <c r="AB36" i="10" s="1"/>
  <c r="P36" i="10" a="1"/>
  <c r="P36" i="10" s="1"/>
  <c r="BX36" i="10" a="1"/>
  <c r="BX36" i="10" s="1"/>
  <c r="DT36" i="10" a="1"/>
  <c r="DT36" i="10" s="1"/>
  <c r="DN36" i="10" a="1"/>
  <c r="DN36" i="10" s="1"/>
  <c r="AH37" i="1"/>
  <c r="AH35" i="1" s="1"/>
  <c r="O35" i="1"/>
  <c r="Q12" i="7"/>
  <c r="O12" i="7"/>
  <c r="P12" i="7"/>
  <c r="DT37" i="1"/>
  <c r="DJ37" i="1"/>
  <c r="DI37" i="1"/>
  <c r="DV37" i="1"/>
  <c r="DE37" i="1"/>
  <c r="DC37" i="1"/>
  <c r="DS37" i="1"/>
  <c r="CZ37" i="1"/>
  <c r="DR37" i="1"/>
  <c r="CY37" i="1"/>
  <c r="DM37" i="1"/>
  <c r="DL37" i="1"/>
  <c r="DK37" i="1"/>
  <c r="DG37" i="1"/>
  <c r="DF37" i="1"/>
  <c r="DD37" i="1"/>
  <c r="DW37" i="1"/>
  <c r="DA37" i="1"/>
  <c r="DU37" i="1"/>
  <c r="DQ37" i="1"/>
  <c r="DP37" i="1"/>
  <c r="DO37" i="1"/>
  <c r="DN37" i="1"/>
  <c r="DH37" i="1"/>
  <c r="DB37" i="1"/>
  <c r="AI36" i="1"/>
  <c r="AC35" i="1"/>
  <c r="AD37" i="1"/>
  <c r="Y36" i="1"/>
  <c r="X35" i="1"/>
  <c r="EW37" i="1"/>
  <c r="EG37" i="1"/>
  <c r="ES37" i="1"/>
  <c r="EN37" i="1"/>
  <c r="EQ37" i="1"/>
  <c r="EK37" i="1"/>
  <c r="ET37" i="1"/>
  <c r="ER37" i="1"/>
  <c r="EL37" i="1"/>
  <c r="EJ37" i="1"/>
  <c r="FB37" i="1"/>
  <c r="EF37" i="1"/>
  <c r="EP37" i="1"/>
  <c r="EO37" i="1"/>
  <c r="EM37" i="1"/>
  <c r="EI37" i="1"/>
  <c r="EH37" i="1"/>
  <c r="FA37" i="1"/>
  <c r="EZ37" i="1"/>
  <c r="EV37" i="1"/>
  <c r="EX37" i="1"/>
  <c r="EU37" i="1"/>
  <c r="EY37" i="1"/>
  <c r="EE37" i="1"/>
  <c r="ED37" i="1"/>
  <c r="GB36" i="1"/>
  <c r="FL36" i="1"/>
  <c r="FR36" i="1"/>
  <c r="GD36" i="1"/>
  <c r="FM36" i="1"/>
  <c r="FX36" i="1"/>
  <c r="FS36" i="1"/>
  <c r="GA36" i="1"/>
  <c r="FZ36" i="1"/>
  <c r="FU36" i="1"/>
  <c r="FO36" i="1"/>
  <c r="GF36" i="1"/>
  <c r="GE36" i="1"/>
  <c r="FY36" i="1"/>
  <c r="FW36" i="1"/>
  <c r="FJ36" i="1"/>
  <c r="FI36" i="1"/>
  <c r="GC36" i="1"/>
  <c r="FN36" i="1"/>
  <c r="FT36" i="1"/>
  <c r="FP36" i="1"/>
  <c r="GG36" i="1"/>
  <c r="FV36" i="1"/>
  <c r="FK36" i="1"/>
  <c r="FQ36" i="1"/>
  <c r="T36" i="1"/>
  <c r="S35" i="1"/>
  <c r="R16" i="1"/>
  <c r="S16" i="1" s="1"/>
  <c r="T16" i="1" s="1"/>
  <c r="X16" i="1"/>
  <c r="Y16" i="1" s="1"/>
  <c r="AB16" i="1"/>
  <c r="AC16" i="1" s="1"/>
  <c r="AD16" i="1" s="1"/>
  <c r="AG53" i="1"/>
  <c r="AB53" i="1"/>
  <c r="AC53" i="1" s="1"/>
  <c r="AD53" i="1" s="1"/>
  <c r="X53" i="1"/>
  <c r="Y53" i="1" s="1"/>
  <c r="R53" i="1"/>
  <c r="S53" i="1" s="1"/>
  <c r="T53" i="1" s="1"/>
  <c r="AH14" i="1"/>
  <c r="AI14" i="1" s="1"/>
  <c r="X14" i="1"/>
  <c r="Y14" i="1" s="1"/>
  <c r="AB14" i="1"/>
  <c r="AC14" i="1" s="1"/>
  <c r="AD14" i="1" s="1"/>
  <c r="R14" i="1"/>
  <c r="S14" i="1" s="1"/>
  <c r="T14" i="1" s="1"/>
  <c r="AH18" i="1"/>
  <c r="AI18" i="1" s="1"/>
  <c r="AB18" i="1"/>
  <c r="AC18" i="1" s="1"/>
  <c r="AD18" i="1" s="1"/>
  <c r="R18" i="1"/>
  <c r="S18" i="1" s="1"/>
  <c r="T18" i="1" s="1"/>
  <c r="X18" i="1"/>
  <c r="Y18" i="1" s="1"/>
  <c r="X17" i="1"/>
  <c r="R17" i="1"/>
  <c r="S17" i="1" s="1"/>
  <c r="T17" i="1" s="1"/>
  <c r="AB17" i="1"/>
  <c r="AC17" i="1" s="1"/>
  <c r="AD17" i="1" s="1"/>
  <c r="X15" i="1"/>
  <c r="Y15" i="1" s="1"/>
  <c r="S15" i="1"/>
  <c r="T15" i="1" s="1"/>
  <c r="AC15" i="1"/>
  <c r="AD15" i="1" s="1"/>
  <c r="AB13" i="1"/>
  <c r="AC13" i="1" s="1"/>
  <c r="R13" i="1"/>
  <c r="S13" i="1" s="1"/>
  <c r="I15" i="1"/>
  <c r="J15" i="1" s="1"/>
  <c r="AH15" i="1"/>
  <c r="AI15" i="1" s="1"/>
  <c r="I16" i="1"/>
  <c r="J16" i="1" s="1"/>
  <c r="AH16" i="1"/>
  <c r="AI16" i="1" s="1"/>
  <c r="I17" i="1"/>
  <c r="J17" i="1" s="1"/>
  <c r="AH17" i="1"/>
  <c r="AI17" i="1" s="1"/>
  <c r="I14" i="1"/>
  <c r="J14" i="1" s="1"/>
  <c r="M14" i="1"/>
  <c r="N14" i="1" s="1"/>
  <c r="O14" i="1" s="1"/>
  <c r="M53" i="1"/>
  <c r="N53" i="1" s="1"/>
  <c r="O53" i="1" s="1"/>
  <c r="I53" i="1"/>
  <c r="J53" i="1" s="1"/>
  <c r="I13" i="1"/>
  <c r="J13" i="1" s="1"/>
  <c r="M13" i="1"/>
  <c r="N13" i="1" s="1"/>
  <c r="O13" i="1" s="1"/>
  <c r="M18" i="1"/>
  <c r="N18" i="1" s="1"/>
  <c r="O18" i="1" s="1"/>
  <c r="I18" i="1"/>
  <c r="J18" i="1" s="1"/>
  <c r="M16" i="1"/>
  <c r="N16" i="1" s="1"/>
  <c r="O16" i="1" s="1"/>
  <c r="M17" i="1"/>
  <c r="N17" i="1" s="1"/>
  <c r="O17" i="1" s="1"/>
  <c r="N15" i="1"/>
  <c r="O15" i="1" s="1"/>
  <c r="L49" i="7"/>
  <c r="ES6" i="11"/>
  <c r="AO6" i="11"/>
  <c r="DO6" i="11"/>
  <c r="DU6" i="11"/>
  <c r="BS6" i="11"/>
  <c r="DC6" i="11"/>
  <c r="AI6" i="11"/>
  <c r="AU6" i="11"/>
  <c r="DI6" i="11"/>
  <c r="BA6" i="11"/>
  <c r="BM6" i="11"/>
  <c r="CW6" i="11"/>
  <c r="W6" i="11"/>
  <c r="CQ6" i="11"/>
  <c r="EM6" i="11"/>
  <c r="Q6" i="11"/>
  <c r="J6" i="48" s="1"/>
  <c r="K6" i="48" s="1"/>
  <c r="EA6" i="11"/>
  <c r="EG6" i="11"/>
  <c r="CK6" i="11"/>
  <c r="AC6" i="11"/>
  <c r="BG6" i="11"/>
  <c r="CE6" i="11"/>
  <c r="BY6" i="11"/>
  <c r="DO7" i="11"/>
  <c r="AI7" i="11"/>
  <c r="DC7" i="11"/>
  <c r="W7" i="11"/>
  <c r="BA7" i="11"/>
  <c r="BM7" i="11"/>
  <c r="BY7" i="11"/>
  <c r="CW7" i="11"/>
  <c r="EM7" i="11"/>
  <c r="EG7" i="11"/>
  <c r="CE7" i="11"/>
  <c r="Q7" i="11"/>
  <c r="J7" i="48" s="1"/>
  <c r="K7" i="48" s="1"/>
  <c r="BS7" i="11"/>
  <c r="BG7" i="11"/>
  <c r="AC7" i="11"/>
  <c r="ES7" i="11"/>
  <c r="AO7" i="11"/>
  <c r="DU7" i="11"/>
  <c r="DI7" i="11"/>
  <c r="CK7" i="11"/>
  <c r="EA7" i="11"/>
  <c r="AU7" i="11"/>
  <c r="CQ7" i="11"/>
  <c r="K6" i="11"/>
  <c r="M33" i="7"/>
  <c r="C30" i="56" s="1"/>
  <c r="M37" i="7"/>
  <c r="C27" i="56" s="1"/>
  <c r="I37" i="1"/>
  <c r="J37" i="1" s="1"/>
  <c r="I36" i="1"/>
  <c r="J36" i="1" s="1"/>
  <c r="W12" i="34"/>
  <c r="V12" i="34"/>
  <c r="P9" i="34"/>
  <c r="T9" i="34" s="1"/>
  <c r="X9" i="34" s="1"/>
  <c r="AB9" i="34" s="1"/>
  <c r="AF9" i="34" s="1"/>
  <c r="R8" i="34"/>
  <c r="N8" i="34"/>
  <c r="K9" i="34"/>
  <c r="G9" i="34"/>
  <c r="D6" i="34"/>
  <c r="D4" i="34"/>
  <c r="CE18" i="1" l="1"/>
  <c r="CD18" i="1"/>
  <c r="CE13" i="1"/>
  <c r="CD13" i="1"/>
  <c r="CE14" i="1"/>
  <c r="CD14" i="1"/>
  <c r="CE53" i="1"/>
  <c r="CD53" i="1"/>
  <c r="CE16" i="1"/>
  <c r="CD16" i="1"/>
  <c r="CE17" i="1"/>
  <c r="CD17" i="1"/>
  <c r="CD15" i="1"/>
  <c r="CE15" i="1"/>
  <c r="AY53" i="1"/>
  <c r="AZ53" i="1"/>
  <c r="AY14" i="1"/>
  <c r="AZ14" i="1"/>
  <c r="AZ18" i="1"/>
  <c r="AY18" i="1"/>
  <c r="AZ17" i="1"/>
  <c r="AY17" i="1"/>
  <c r="AZ13" i="1"/>
  <c r="AY13" i="1"/>
  <c r="AZ16" i="1"/>
  <c r="AY16" i="1"/>
  <c r="AZ15" i="1"/>
  <c r="AY15" i="1"/>
  <c r="AI37" i="1"/>
  <c r="AI35" i="1" s="1"/>
  <c r="R37" i="7"/>
  <c r="O37" i="7"/>
  <c r="P37" i="7"/>
  <c r="Q37" i="7"/>
  <c r="N37" i="7"/>
  <c r="P33" i="7"/>
  <c r="O33" i="7"/>
  <c r="N33" i="7"/>
  <c r="R33" i="7"/>
  <c r="Q33" i="7"/>
  <c r="FN14" i="1"/>
  <c r="FI14" i="1"/>
  <c r="FS14" i="1"/>
  <c r="FL14" i="1"/>
  <c r="FK14" i="1"/>
  <c r="FP14" i="1"/>
  <c r="FJ14" i="1"/>
  <c r="FW14" i="1"/>
  <c r="FV14" i="1"/>
  <c r="FU14" i="1"/>
  <c r="FT14" i="1"/>
  <c r="FR14" i="1"/>
  <c r="FQ14" i="1"/>
  <c r="FO14" i="1"/>
  <c r="FM14" i="1"/>
  <c r="EU36" i="1"/>
  <c r="EU35" i="1" s="1"/>
  <c r="EU60" i="1" s="1"/>
  <c r="EE36" i="1"/>
  <c r="EE35" i="1" s="1"/>
  <c r="EO36" i="1"/>
  <c r="EO35" i="1" s="1"/>
  <c r="FA36" i="1"/>
  <c r="FA35" i="1" s="1"/>
  <c r="FA60" i="1" s="1"/>
  <c r="EJ36" i="1"/>
  <c r="EJ35" i="1" s="1"/>
  <c r="EI36" i="1"/>
  <c r="EI35" i="1" s="1"/>
  <c r="EW36" i="1"/>
  <c r="EW35" i="1" s="1"/>
  <c r="EW60" i="1" s="1"/>
  <c r="EG36" i="1"/>
  <c r="EG35" i="1" s="1"/>
  <c r="FB36" i="1"/>
  <c r="FB35" i="1" s="1"/>
  <c r="FB60" i="1" s="1"/>
  <c r="EF36" i="1"/>
  <c r="EF35" i="1" s="1"/>
  <c r="EV36" i="1"/>
  <c r="EV35" i="1" s="1"/>
  <c r="EV60" i="1" s="1"/>
  <c r="ET36" i="1"/>
  <c r="ET35" i="1" s="1"/>
  <c r="ET60" i="1" s="1"/>
  <c r="EQ36" i="1"/>
  <c r="EQ35" i="1" s="1"/>
  <c r="ER36" i="1"/>
  <c r="ER35" i="1" s="1"/>
  <c r="EP36" i="1"/>
  <c r="EP35" i="1" s="1"/>
  <c r="EN36" i="1"/>
  <c r="EN35" i="1" s="1"/>
  <c r="EM36" i="1"/>
  <c r="EM35" i="1" s="1"/>
  <c r="EL36" i="1"/>
  <c r="EL35" i="1" s="1"/>
  <c r="Y35" i="1"/>
  <c r="EZ36" i="1"/>
  <c r="EZ35" i="1" s="1"/>
  <c r="EZ60" i="1" s="1"/>
  <c r="EY36" i="1"/>
  <c r="EY35" i="1" s="1"/>
  <c r="EY60" i="1" s="1"/>
  <c r="EX36" i="1"/>
  <c r="EX35" i="1" s="1"/>
  <c r="EX60" i="1" s="1"/>
  <c r="EK36" i="1"/>
  <c r="EK35" i="1" s="1"/>
  <c r="ES36" i="1"/>
  <c r="ES35" i="1" s="1"/>
  <c r="ES60" i="1" s="1"/>
  <c r="EH36" i="1"/>
  <c r="EH35" i="1" s="1"/>
  <c r="ED36" i="1"/>
  <c r="ED35" i="1" s="1"/>
  <c r="EN15" i="1"/>
  <c r="EI15" i="1"/>
  <c r="EK15" i="1"/>
  <c r="EE15" i="1"/>
  <c r="ER15" i="1"/>
  <c r="EQ15" i="1"/>
  <c r="EL15" i="1"/>
  <c r="EJ15" i="1"/>
  <c r="EF15" i="1"/>
  <c r="EM15" i="1"/>
  <c r="EH15" i="1"/>
  <c r="EG15" i="1"/>
  <c r="ED15" i="1"/>
  <c r="EO15" i="1"/>
  <c r="EP15" i="1"/>
  <c r="FL16" i="1"/>
  <c r="FT16" i="1"/>
  <c r="FO16" i="1"/>
  <c r="FJ16" i="1"/>
  <c r="FS16" i="1"/>
  <c r="FM16" i="1"/>
  <c r="FW16" i="1"/>
  <c r="FV16" i="1"/>
  <c r="FU16" i="1"/>
  <c r="FR16" i="1"/>
  <c r="FQ16" i="1"/>
  <c r="FP16" i="1"/>
  <c r="FN16" i="1"/>
  <c r="FK16" i="1"/>
  <c r="FI16" i="1"/>
  <c r="O12" i="1"/>
  <c r="FN17" i="1"/>
  <c r="FW17" i="1"/>
  <c r="FR17" i="1"/>
  <c r="FP17" i="1"/>
  <c r="FK17" i="1"/>
  <c r="FJ17" i="1"/>
  <c r="FU17" i="1"/>
  <c r="FT17" i="1"/>
  <c r="FS17" i="1"/>
  <c r="FO17" i="1"/>
  <c r="FM17" i="1"/>
  <c r="FL17" i="1"/>
  <c r="FI17" i="1"/>
  <c r="FQ17" i="1"/>
  <c r="FV17" i="1"/>
  <c r="EE16" i="1"/>
  <c r="EQ16" i="1"/>
  <c r="EL16" i="1"/>
  <c r="EP16" i="1"/>
  <c r="EJ16" i="1"/>
  <c r="ED16" i="1"/>
  <c r="EN16" i="1"/>
  <c r="ER16" i="1"/>
  <c r="EO16" i="1"/>
  <c r="EM16" i="1"/>
  <c r="EH16" i="1"/>
  <c r="EK16" i="1"/>
  <c r="EI16" i="1"/>
  <c r="EG16" i="1"/>
  <c r="EF16" i="1"/>
  <c r="EQ14" i="1"/>
  <c r="EK14" i="1"/>
  <c r="EF14" i="1"/>
  <c r="EE14" i="1"/>
  <c r="EJ14" i="1"/>
  <c r="EI14" i="1"/>
  <c r="ER14" i="1"/>
  <c r="EP14" i="1"/>
  <c r="EH14" i="1"/>
  <c r="EG14" i="1"/>
  <c r="ED14" i="1"/>
  <c r="EM14" i="1"/>
  <c r="EL14" i="1"/>
  <c r="EN14" i="1"/>
  <c r="EO14" i="1"/>
  <c r="EG53" i="1"/>
  <c r="EM53" i="1"/>
  <c r="EH53" i="1"/>
  <c r="EP53" i="1"/>
  <c r="EL53" i="1"/>
  <c r="EK53" i="1"/>
  <c r="EJ53" i="1"/>
  <c r="EI53" i="1"/>
  <c r="EF53" i="1"/>
  <c r="EE53" i="1"/>
  <c r="ED53" i="1"/>
  <c r="EO53" i="1"/>
  <c r="EN53" i="1"/>
  <c r="EQ53" i="1"/>
  <c r="ER53" i="1"/>
  <c r="FJ53" i="1"/>
  <c r="FO53" i="1"/>
  <c r="FI53" i="1"/>
  <c r="FQ53" i="1"/>
  <c r="FK53" i="1"/>
  <c r="FW53" i="1"/>
  <c r="FT53" i="1"/>
  <c r="FP53" i="1"/>
  <c r="FN53" i="1"/>
  <c r="FM53" i="1"/>
  <c r="FL53" i="1"/>
  <c r="FS53" i="1"/>
  <c r="FR53" i="1"/>
  <c r="FV53" i="1"/>
  <c r="FU53" i="1"/>
  <c r="DF17" i="1"/>
  <c r="DA17" i="1"/>
  <c r="DI17" i="1"/>
  <c r="DE17" i="1"/>
  <c r="DD17" i="1"/>
  <c r="CY17" i="1"/>
  <c r="CZ17" i="1"/>
  <c r="DK17" i="1"/>
  <c r="DJ17" i="1"/>
  <c r="DM17" i="1"/>
  <c r="DG17" i="1"/>
  <c r="DH17" i="1"/>
  <c r="DL17" i="1"/>
  <c r="DC17" i="1"/>
  <c r="DB17" i="1"/>
  <c r="DD16" i="1"/>
  <c r="CY16" i="1"/>
  <c r="DE16" i="1"/>
  <c r="DA16" i="1"/>
  <c r="CZ16" i="1"/>
  <c r="DM16" i="1"/>
  <c r="DL16" i="1"/>
  <c r="DK16" i="1"/>
  <c r="DI16" i="1"/>
  <c r="DG16" i="1"/>
  <c r="DH16" i="1"/>
  <c r="DJ16" i="1"/>
  <c r="DF16" i="1"/>
  <c r="DC16" i="1"/>
  <c r="DB16" i="1"/>
  <c r="X12" i="1"/>
  <c r="P29" i="7" s="1"/>
  <c r="Y17" i="1"/>
  <c r="Y12" i="1" s="1"/>
  <c r="S12" i="1"/>
  <c r="O29" i="7" s="1"/>
  <c r="T13" i="1"/>
  <c r="GD37" i="1"/>
  <c r="GD35" i="1" s="1"/>
  <c r="GD60" i="1" s="1"/>
  <c r="FN37" i="1"/>
  <c r="FN35" i="1" s="1"/>
  <c r="FV37" i="1"/>
  <c r="FV35" i="1" s="1"/>
  <c r="FQ37" i="1"/>
  <c r="FQ35" i="1" s="1"/>
  <c r="GF37" i="1"/>
  <c r="GF35" i="1" s="1"/>
  <c r="GF60" i="1" s="1"/>
  <c r="FL37" i="1"/>
  <c r="FL35" i="1" s="1"/>
  <c r="FZ37" i="1"/>
  <c r="FZ35" i="1" s="1"/>
  <c r="FZ60" i="1" s="1"/>
  <c r="FR37" i="1"/>
  <c r="FR35" i="1" s="1"/>
  <c r="FP37" i="1"/>
  <c r="FP35" i="1" s="1"/>
  <c r="GG37" i="1"/>
  <c r="GG35" i="1" s="1"/>
  <c r="GG60" i="1" s="1"/>
  <c r="FJ37" i="1"/>
  <c r="FJ35" i="1" s="1"/>
  <c r="GA37" i="1"/>
  <c r="GA35" i="1" s="1"/>
  <c r="GA60" i="1" s="1"/>
  <c r="FY37" i="1"/>
  <c r="FY35" i="1" s="1"/>
  <c r="FY60" i="1" s="1"/>
  <c r="FX37" i="1"/>
  <c r="FX35" i="1" s="1"/>
  <c r="FX60" i="1" s="1"/>
  <c r="FU37" i="1"/>
  <c r="FU35" i="1" s="1"/>
  <c r="FT37" i="1"/>
  <c r="FT35" i="1" s="1"/>
  <c r="FM37" i="1"/>
  <c r="FM35" i="1" s="1"/>
  <c r="FK37" i="1"/>
  <c r="FK35" i="1" s="1"/>
  <c r="FI37" i="1"/>
  <c r="FI35" i="1" s="1"/>
  <c r="FS37" i="1"/>
  <c r="FS35" i="1" s="1"/>
  <c r="GC37" i="1"/>
  <c r="GC35" i="1" s="1"/>
  <c r="GC60" i="1" s="1"/>
  <c r="GB37" i="1"/>
  <c r="GB35" i="1" s="1"/>
  <c r="GB60" i="1" s="1"/>
  <c r="FW37" i="1"/>
  <c r="FW35" i="1" s="1"/>
  <c r="FO37" i="1"/>
  <c r="FO35" i="1" s="1"/>
  <c r="GE37" i="1"/>
  <c r="GE35" i="1" s="1"/>
  <c r="GE60" i="1" s="1"/>
  <c r="AD13" i="1"/>
  <c r="AC12" i="1"/>
  <c r="Q29" i="7" s="1"/>
  <c r="AI13" i="1"/>
  <c r="AI12" i="1" s="1"/>
  <c r="AH12" i="1"/>
  <c r="FJ15" i="1"/>
  <c r="FQ15" i="1"/>
  <c r="FL15" i="1"/>
  <c r="FS15" i="1"/>
  <c r="FR15" i="1"/>
  <c r="FM15" i="1"/>
  <c r="FV15" i="1"/>
  <c r="FU15" i="1"/>
  <c r="FK15" i="1"/>
  <c r="FI15" i="1"/>
  <c r="FW15" i="1"/>
  <c r="FP15" i="1"/>
  <c r="FT15" i="1"/>
  <c r="FO15" i="1"/>
  <c r="FN15" i="1"/>
  <c r="EI18" i="1"/>
  <c r="EF18" i="1"/>
  <c r="ER18" i="1"/>
  <c r="EH18" i="1"/>
  <c r="EN18" i="1"/>
  <c r="EM18" i="1"/>
  <c r="EJ18" i="1"/>
  <c r="ED18" i="1"/>
  <c r="EK18" i="1"/>
  <c r="EG18" i="1"/>
  <c r="EE18" i="1"/>
  <c r="EO18" i="1"/>
  <c r="EL18" i="1"/>
  <c r="EQ18" i="1"/>
  <c r="EP18" i="1"/>
  <c r="DH36" i="1"/>
  <c r="DH35" i="1" s="1"/>
  <c r="DW36" i="1"/>
  <c r="DW35" i="1" s="1"/>
  <c r="DW60" i="1" s="1"/>
  <c r="DG36" i="1"/>
  <c r="DG35" i="1" s="1"/>
  <c r="DS36" i="1"/>
  <c r="DS35" i="1" s="1"/>
  <c r="DS60" i="1" s="1"/>
  <c r="DC36" i="1"/>
  <c r="DC35" i="1" s="1"/>
  <c r="DO36" i="1"/>
  <c r="DO35" i="1" s="1"/>
  <c r="DO60" i="1" s="1"/>
  <c r="DL36" i="1"/>
  <c r="DL35" i="1" s="1"/>
  <c r="DK36" i="1"/>
  <c r="DK35" i="1" s="1"/>
  <c r="DT36" i="1"/>
  <c r="DT35" i="1" s="1"/>
  <c r="DT60" i="1" s="1"/>
  <c r="DR36" i="1"/>
  <c r="DR35" i="1" s="1"/>
  <c r="DR60" i="1" s="1"/>
  <c r="T35" i="1"/>
  <c r="DQ36" i="1"/>
  <c r="DQ35" i="1" s="1"/>
  <c r="DQ60" i="1" s="1"/>
  <c r="DN36" i="1"/>
  <c r="DN35" i="1" s="1"/>
  <c r="DN60" i="1" s="1"/>
  <c r="DJ36" i="1"/>
  <c r="DJ35" i="1" s="1"/>
  <c r="DM36" i="1"/>
  <c r="DM35" i="1" s="1"/>
  <c r="DV36" i="1"/>
  <c r="DV35" i="1" s="1"/>
  <c r="DV60" i="1" s="1"/>
  <c r="DU36" i="1"/>
  <c r="DU35" i="1" s="1"/>
  <c r="DU60" i="1" s="1"/>
  <c r="DP36" i="1"/>
  <c r="DP35" i="1" s="1"/>
  <c r="DP60" i="1" s="1"/>
  <c r="DI36" i="1"/>
  <c r="DI35" i="1" s="1"/>
  <c r="CY36" i="1"/>
  <c r="CY35" i="1" s="1"/>
  <c r="DF36" i="1"/>
  <c r="DF35" i="1" s="1"/>
  <c r="DD36" i="1"/>
  <c r="DD35" i="1" s="1"/>
  <c r="DA36" i="1"/>
  <c r="DA35" i="1" s="1"/>
  <c r="DE36" i="1"/>
  <c r="DE35" i="1" s="1"/>
  <c r="DB36" i="1"/>
  <c r="DB35" i="1" s="1"/>
  <c r="CZ36" i="1"/>
  <c r="CZ35" i="1" s="1"/>
  <c r="AD35" i="1"/>
  <c r="CZ14" i="1"/>
  <c r="DK14" i="1"/>
  <c r="DM14" i="1"/>
  <c r="DI14" i="1"/>
  <c r="DH14" i="1"/>
  <c r="DJ14" i="1"/>
  <c r="DG14" i="1"/>
  <c r="DF14" i="1"/>
  <c r="CY14" i="1"/>
  <c r="DL14" i="1"/>
  <c r="DE14" i="1"/>
  <c r="DC14" i="1"/>
  <c r="DB14" i="1"/>
  <c r="DA14" i="1"/>
  <c r="DD14" i="1"/>
  <c r="AH53" i="1"/>
  <c r="AI53" i="1" s="1"/>
  <c r="HB53" i="1" s="1"/>
  <c r="DH18" i="1"/>
  <c r="DC18" i="1"/>
  <c r="DM18" i="1"/>
  <c r="DJ18" i="1"/>
  <c r="DI18" i="1"/>
  <c r="DG18" i="1"/>
  <c r="DF18" i="1"/>
  <c r="DE18" i="1"/>
  <c r="DB18" i="1"/>
  <c r="DA18" i="1"/>
  <c r="CZ18" i="1"/>
  <c r="DD18" i="1"/>
  <c r="CY18" i="1"/>
  <c r="DL18" i="1"/>
  <c r="DK18" i="1"/>
  <c r="EL13" i="1"/>
  <c r="EP13" i="1"/>
  <c r="EJ13" i="1"/>
  <c r="EO13" i="1"/>
  <c r="EE13" i="1"/>
  <c r="ED13" i="1"/>
  <c r="ER13" i="1"/>
  <c r="EQ13" i="1"/>
  <c r="EN13" i="1"/>
  <c r="EM13" i="1"/>
  <c r="EI13" i="1"/>
  <c r="EH13" i="1"/>
  <c r="EG13" i="1"/>
  <c r="EF13" i="1"/>
  <c r="EK13" i="1"/>
  <c r="DL53" i="1"/>
  <c r="DJ53" i="1"/>
  <c r="DA53" i="1"/>
  <c r="CZ53" i="1"/>
  <c r="CY53" i="1"/>
  <c r="DG53" i="1"/>
  <c r="DF53" i="1"/>
  <c r="DE53" i="1"/>
  <c r="DC53" i="1"/>
  <c r="DB53" i="1"/>
  <c r="DH53" i="1"/>
  <c r="DD53" i="1"/>
  <c r="DM53" i="1"/>
  <c r="DK53" i="1"/>
  <c r="DI53" i="1"/>
  <c r="FP18" i="1"/>
  <c r="FI18" i="1"/>
  <c r="FU18" i="1"/>
  <c r="FW18" i="1"/>
  <c r="FS18" i="1"/>
  <c r="FR18" i="1"/>
  <c r="FM18" i="1"/>
  <c r="FL18" i="1"/>
  <c r="FQ18" i="1"/>
  <c r="FN18" i="1"/>
  <c r="FT18" i="1"/>
  <c r="FO18" i="1"/>
  <c r="FV18" i="1"/>
  <c r="FK18" i="1"/>
  <c r="FJ18" i="1"/>
  <c r="DB15" i="1"/>
  <c r="DM15" i="1"/>
  <c r="CY15" i="1"/>
  <c r="DL15" i="1"/>
  <c r="DD15" i="1"/>
  <c r="DC15" i="1"/>
  <c r="DA15" i="1"/>
  <c r="DK15" i="1"/>
  <c r="CZ15" i="1"/>
  <c r="DJ15" i="1"/>
  <c r="DH15" i="1"/>
  <c r="DI15" i="1"/>
  <c r="DG15" i="1"/>
  <c r="DF15" i="1"/>
  <c r="DE15" i="1"/>
  <c r="AG50" i="1"/>
  <c r="AH50" i="1" s="1"/>
  <c r="AI50" i="1" s="1"/>
  <c r="GY50" i="1" s="1"/>
  <c r="X50" i="1"/>
  <c r="Y50" i="1" s="1"/>
  <c r="R50" i="1"/>
  <c r="S50" i="1" s="1"/>
  <c r="T50" i="1" s="1"/>
  <c r="AB50" i="1"/>
  <c r="AC50" i="1" s="1"/>
  <c r="AD50" i="1" s="1"/>
  <c r="AG29" i="1"/>
  <c r="AB29" i="1"/>
  <c r="AC29" i="1" s="1"/>
  <c r="AD29" i="1" s="1"/>
  <c r="X29" i="1"/>
  <c r="Y29" i="1" s="1"/>
  <c r="R29" i="1"/>
  <c r="S29" i="1" s="1"/>
  <c r="T29" i="1" s="1"/>
  <c r="AG45" i="1"/>
  <c r="X45" i="1"/>
  <c r="Y45" i="1" s="1"/>
  <c r="AB45" i="1"/>
  <c r="AC45" i="1" s="1"/>
  <c r="AD45" i="1" s="1"/>
  <c r="R45" i="1"/>
  <c r="S45" i="1" s="1"/>
  <c r="T45" i="1" s="1"/>
  <c r="AG32" i="1"/>
  <c r="X32" i="1"/>
  <c r="Y32" i="1" s="1"/>
  <c r="AB32" i="1"/>
  <c r="AC32" i="1" s="1"/>
  <c r="AD32" i="1" s="1"/>
  <c r="R32" i="1"/>
  <c r="S32" i="1" s="1"/>
  <c r="T32" i="1" s="1"/>
  <c r="AG48" i="1"/>
  <c r="AH48" i="1" s="1"/>
  <c r="AI48" i="1" s="1"/>
  <c r="HB48" i="1" s="1"/>
  <c r="R48" i="1"/>
  <c r="S48" i="1" s="1"/>
  <c r="T48" i="1" s="1"/>
  <c r="X48" i="1"/>
  <c r="Y48" i="1" s="1"/>
  <c r="AB48" i="1"/>
  <c r="AC48" i="1" s="1"/>
  <c r="AD48" i="1" s="1"/>
  <c r="AG42" i="1"/>
  <c r="R42" i="1"/>
  <c r="S42" i="1" s="1"/>
  <c r="T42" i="1" s="1"/>
  <c r="X42" i="1"/>
  <c r="Y42" i="1" s="1"/>
  <c r="AB42" i="1"/>
  <c r="AC42" i="1" s="1"/>
  <c r="AG58" i="1"/>
  <c r="AH58" i="1" s="1"/>
  <c r="AI58" i="1" s="1"/>
  <c r="R58" i="1"/>
  <c r="S58" i="1" s="1"/>
  <c r="T58" i="1" s="1"/>
  <c r="X58" i="1"/>
  <c r="Y58" i="1" s="1"/>
  <c r="AB58" i="1"/>
  <c r="AC58" i="1" s="1"/>
  <c r="AD58" i="1" s="1"/>
  <c r="AG24" i="1"/>
  <c r="AH24" i="1" s="1"/>
  <c r="AI24" i="1" s="1"/>
  <c r="GX24" i="1" s="1"/>
  <c r="R24" i="1"/>
  <c r="S24" i="1" s="1"/>
  <c r="T24" i="1" s="1"/>
  <c r="X24" i="1"/>
  <c r="Y24" i="1" s="1"/>
  <c r="AB24" i="1"/>
  <c r="AC24" i="1" s="1"/>
  <c r="AG28" i="1"/>
  <c r="R28" i="1"/>
  <c r="S28" i="1" s="1"/>
  <c r="T28" i="1" s="1"/>
  <c r="AB28" i="1"/>
  <c r="AC28" i="1" s="1"/>
  <c r="AD28" i="1" s="1"/>
  <c r="X28" i="1"/>
  <c r="Y28" i="1" s="1"/>
  <c r="AG40" i="1"/>
  <c r="X40" i="1"/>
  <c r="AB40" i="1"/>
  <c r="AC40" i="1" s="1"/>
  <c r="AD40" i="1" s="1"/>
  <c r="R40" i="1"/>
  <c r="S40" i="1" s="1"/>
  <c r="T40" i="1" s="1"/>
  <c r="AG26" i="1"/>
  <c r="X26" i="1"/>
  <c r="Y26" i="1" s="1"/>
  <c r="AB26" i="1"/>
  <c r="AC26" i="1" s="1"/>
  <c r="AD26" i="1" s="1"/>
  <c r="R26" i="1"/>
  <c r="S26" i="1" s="1"/>
  <c r="T26" i="1" s="1"/>
  <c r="AG51" i="1"/>
  <c r="X51" i="1"/>
  <c r="Y51" i="1" s="1"/>
  <c r="R51" i="1"/>
  <c r="S51" i="1" s="1"/>
  <c r="T51" i="1" s="1"/>
  <c r="AB51" i="1"/>
  <c r="AC51" i="1" s="1"/>
  <c r="AD51" i="1" s="1"/>
  <c r="AG27" i="1"/>
  <c r="X27" i="1"/>
  <c r="Y27" i="1" s="1"/>
  <c r="AB27" i="1"/>
  <c r="AC27" i="1" s="1"/>
  <c r="AD27" i="1" s="1"/>
  <c r="R27" i="1"/>
  <c r="S27" i="1" s="1"/>
  <c r="T27" i="1" s="1"/>
  <c r="AG52" i="1"/>
  <c r="R52" i="1"/>
  <c r="S52" i="1" s="1"/>
  <c r="T52" i="1" s="1"/>
  <c r="AB52" i="1"/>
  <c r="AC52" i="1" s="1"/>
  <c r="AD52" i="1" s="1"/>
  <c r="X52" i="1"/>
  <c r="Y52" i="1" s="1"/>
  <c r="AG55" i="1"/>
  <c r="X55" i="1"/>
  <c r="Y55" i="1" s="1"/>
  <c r="R55" i="1"/>
  <c r="S55" i="1" s="1"/>
  <c r="T55" i="1" s="1"/>
  <c r="AB55" i="1"/>
  <c r="AC55" i="1" s="1"/>
  <c r="AD55" i="1" s="1"/>
  <c r="AG23" i="1"/>
  <c r="R23" i="1"/>
  <c r="S23" i="1" s="1"/>
  <c r="T23" i="1" s="1"/>
  <c r="X23" i="1"/>
  <c r="Y23" i="1" s="1"/>
  <c r="AB23" i="1"/>
  <c r="AC23" i="1" s="1"/>
  <c r="AD23" i="1" s="1"/>
  <c r="AG47" i="1"/>
  <c r="R47" i="1"/>
  <c r="S47" i="1" s="1"/>
  <c r="T47" i="1" s="1"/>
  <c r="AB47" i="1"/>
  <c r="AC47" i="1" s="1"/>
  <c r="AD47" i="1" s="1"/>
  <c r="X47" i="1"/>
  <c r="Y47" i="1" s="1"/>
  <c r="X56" i="1"/>
  <c r="Y56" i="1" s="1"/>
  <c r="R56" i="1"/>
  <c r="S56" i="1" s="1"/>
  <c r="T56" i="1" s="1"/>
  <c r="AB56" i="1"/>
  <c r="AC56" i="1" s="1"/>
  <c r="AD56" i="1" s="1"/>
  <c r="AG33" i="1"/>
  <c r="AH33" i="1" s="1"/>
  <c r="AI33" i="1" s="1"/>
  <c r="GY33" i="1" s="1"/>
  <c r="R33" i="1"/>
  <c r="S33" i="1" s="1"/>
  <c r="T33" i="1" s="1"/>
  <c r="X33" i="1"/>
  <c r="Y33" i="1" s="1"/>
  <c r="AB33" i="1"/>
  <c r="AC33" i="1" s="1"/>
  <c r="AD33" i="1" s="1"/>
  <c r="AG30" i="1"/>
  <c r="AH30" i="1" s="1"/>
  <c r="AI30" i="1" s="1"/>
  <c r="HA30" i="1" s="1"/>
  <c r="AB30" i="1"/>
  <c r="AC30" i="1" s="1"/>
  <c r="AD30" i="1" s="1"/>
  <c r="R30" i="1"/>
  <c r="S30" i="1" s="1"/>
  <c r="T30" i="1" s="1"/>
  <c r="X30" i="1"/>
  <c r="Y30" i="1" s="1"/>
  <c r="AG21" i="1"/>
  <c r="X21" i="1"/>
  <c r="Y21" i="1" s="1"/>
  <c r="AB21" i="1"/>
  <c r="AC21" i="1" s="1"/>
  <c r="AD21" i="1" s="1"/>
  <c r="R21" i="1"/>
  <c r="S21" i="1" s="1"/>
  <c r="AG31" i="1"/>
  <c r="R31" i="1"/>
  <c r="S31" i="1" s="1"/>
  <c r="T31" i="1" s="1"/>
  <c r="X31" i="1"/>
  <c r="Y31" i="1" s="1"/>
  <c r="AB31" i="1"/>
  <c r="AC31" i="1" s="1"/>
  <c r="AD31" i="1" s="1"/>
  <c r="AG43" i="1"/>
  <c r="AH43" i="1" s="1"/>
  <c r="AI43" i="1" s="1"/>
  <c r="GZ43" i="1" s="1"/>
  <c r="AB43" i="1"/>
  <c r="AC43" i="1" s="1"/>
  <c r="AD43" i="1" s="1"/>
  <c r="X43" i="1"/>
  <c r="Y43" i="1" s="1"/>
  <c r="R43" i="1"/>
  <c r="S43" i="1" s="1"/>
  <c r="T43" i="1" s="1"/>
  <c r="AG49" i="1"/>
  <c r="AB49" i="1"/>
  <c r="AC49" i="1" s="1"/>
  <c r="AD49" i="1" s="1"/>
  <c r="R49" i="1"/>
  <c r="S49" i="1" s="1"/>
  <c r="T49" i="1" s="1"/>
  <c r="X49" i="1"/>
  <c r="Y49" i="1" s="1"/>
  <c r="AG41" i="1"/>
  <c r="R41" i="1"/>
  <c r="S41" i="1" s="1"/>
  <c r="T41" i="1" s="1"/>
  <c r="X41" i="1"/>
  <c r="Y41" i="1" s="1"/>
  <c r="AB41" i="1"/>
  <c r="AC41" i="1" s="1"/>
  <c r="AD41" i="1" s="1"/>
  <c r="AG44" i="1"/>
  <c r="AB44" i="1"/>
  <c r="AC44" i="1" s="1"/>
  <c r="AD44" i="1" s="1"/>
  <c r="X44" i="1"/>
  <c r="Y44" i="1" s="1"/>
  <c r="R44" i="1"/>
  <c r="S44" i="1" s="1"/>
  <c r="AG57" i="1"/>
  <c r="AH57" i="1" s="1"/>
  <c r="AI57" i="1" s="1"/>
  <c r="HA57" i="1" s="1"/>
  <c r="R57" i="1"/>
  <c r="S57" i="1" s="1"/>
  <c r="T57" i="1" s="1"/>
  <c r="X57" i="1"/>
  <c r="Y57" i="1" s="1"/>
  <c r="AB57" i="1"/>
  <c r="AC57" i="1" s="1"/>
  <c r="AD57" i="1" s="1"/>
  <c r="AG54" i="1"/>
  <c r="AB54" i="1"/>
  <c r="AC54" i="1" s="1"/>
  <c r="AD54" i="1" s="1"/>
  <c r="X54" i="1"/>
  <c r="Y54" i="1" s="1"/>
  <c r="R54" i="1"/>
  <c r="S54" i="1" s="1"/>
  <c r="T54" i="1" s="1"/>
  <c r="AG46" i="1"/>
  <c r="R46" i="1"/>
  <c r="S46" i="1" s="1"/>
  <c r="T46" i="1" s="1"/>
  <c r="AB46" i="1"/>
  <c r="AC46" i="1" s="1"/>
  <c r="AD46" i="1" s="1"/>
  <c r="X46" i="1"/>
  <c r="Y46" i="1" s="1"/>
  <c r="AG25" i="1"/>
  <c r="AB25" i="1"/>
  <c r="AC25" i="1" s="1"/>
  <c r="AD25" i="1" s="1"/>
  <c r="R25" i="1"/>
  <c r="S25" i="1" s="1"/>
  <c r="T25" i="1" s="1"/>
  <c r="X25" i="1"/>
  <c r="Y25" i="1" s="1"/>
  <c r="AG22" i="1"/>
  <c r="R22" i="1"/>
  <c r="S22" i="1" s="1"/>
  <c r="T22" i="1" s="1"/>
  <c r="AB22" i="1"/>
  <c r="AC22" i="1" s="1"/>
  <c r="AD22" i="1" s="1"/>
  <c r="X22" i="1"/>
  <c r="GU17" i="1"/>
  <c r="HB17" i="1"/>
  <c r="GV17" i="1"/>
  <c r="GT17" i="1"/>
  <c r="GY17" i="1"/>
  <c r="GX17" i="1"/>
  <c r="GP17" i="1"/>
  <c r="GN17" i="1"/>
  <c r="GZ17" i="1"/>
  <c r="GW17" i="1"/>
  <c r="GQ17" i="1"/>
  <c r="GO17" i="1"/>
  <c r="HA17" i="1"/>
  <c r="GS17" i="1"/>
  <c r="GR17" i="1"/>
  <c r="AR53" i="1"/>
  <c r="AX53" i="1"/>
  <c r="AW53" i="1"/>
  <c r="AP53" i="1"/>
  <c r="AS53" i="1"/>
  <c r="AT53" i="1"/>
  <c r="AO53" i="1"/>
  <c r="AV53" i="1"/>
  <c r="AU53" i="1"/>
  <c r="AQ53" i="1"/>
  <c r="AP14" i="1"/>
  <c r="AO14" i="1"/>
  <c r="AX14" i="1"/>
  <c r="AU14" i="1"/>
  <c r="AQ14" i="1"/>
  <c r="AR14" i="1"/>
  <c r="AV14" i="1"/>
  <c r="AW14" i="1"/>
  <c r="AS14" i="1"/>
  <c r="AT14" i="1"/>
  <c r="AX18" i="1"/>
  <c r="AS18" i="1"/>
  <c r="AP18" i="1"/>
  <c r="AT18" i="1"/>
  <c r="AR18" i="1"/>
  <c r="AO18" i="1"/>
  <c r="AW18" i="1"/>
  <c r="AV18" i="1"/>
  <c r="AU18" i="1"/>
  <c r="AQ18" i="1"/>
  <c r="I56" i="1"/>
  <c r="J56" i="1" s="1"/>
  <c r="AG56" i="1"/>
  <c r="AH56" i="1" s="1"/>
  <c r="AI56" i="1" s="1"/>
  <c r="AT16" i="1"/>
  <c r="AV16" i="1"/>
  <c r="AU16" i="1"/>
  <c r="AS16" i="1"/>
  <c r="AW16" i="1"/>
  <c r="AX16" i="1"/>
  <c r="AR16" i="1"/>
  <c r="AQ16" i="1"/>
  <c r="AP16" i="1"/>
  <c r="AO16" i="1"/>
  <c r="AU13" i="1"/>
  <c r="AP13" i="1"/>
  <c r="AT13" i="1"/>
  <c r="AR13" i="1"/>
  <c r="AQ13" i="1"/>
  <c r="AX13" i="1"/>
  <c r="AW13" i="1"/>
  <c r="AV13" i="1"/>
  <c r="AS13" i="1"/>
  <c r="AO13" i="1"/>
  <c r="AV17" i="1"/>
  <c r="AX17" i="1"/>
  <c r="AW17" i="1"/>
  <c r="AP17" i="1"/>
  <c r="AU17" i="1"/>
  <c r="AR17" i="1"/>
  <c r="AQ17" i="1"/>
  <c r="AT17" i="1"/>
  <c r="AS17" i="1"/>
  <c r="AO17" i="1"/>
  <c r="AR15" i="1"/>
  <c r="AS15" i="1"/>
  <c r="AQ15" i="1"/>
  <c r="AP15" i="1"/>
  <c r="AW15" i="1"/>
  <c r="AV15" i="1"/>
  <c r="AU15" i="1"/>
  <c r="AX15" i="1"/>
  <c r="AT15" i="1"/>
  <c r="AO15" i="1"/>
  <c r="M52" i="1"/>
  <c r="N52" i="1" s="1"/>
  <c r="O52" i="1" s="1"/>
  <c r="I52" i="1"/>
  <c r="J52" i="1" s="1"/>
  <c r="M45" i="1"/>
  <c r="N45" i="1" s="1"/>
  <c r="O45" i="1" s="1"/>
  <c r="I45" i="1"/>
  <c r="J45" i="1" s="1"/>
  <c r="M48" i="1"/>
  <c r="N48" i="1" s="1"/>
  <c r="O48" i="1" s="1"/>
  <c r="I48" i="1"/>
  <c r="J48" i="1" s="1"/>
  <c r="M41" i="1"/>
  <c r="N41" i="1" s="1"/>
  <c r="O41" i="1" s="1"/>
  <c r="I41" i="1"/>
  <c r="J41" i="1" s="1"/>
  <c r="M58" i="1"/>
  <c r="N58" i="1" s="1"/>
  <c r="O58" i="1" s="1"/>
  <c r="I58" i="1"/>
  <c r="J58" i="1" s="1"/>
  <c r="M23" i="1"/>
  <c r="N23" i="1" s="1"/>
  <c r="O23" i="1" s="1"/>
  <c r="I23" i="1"/>
  <c r="J23" i="1" s="1"/>
  <c r="M21" i="1"/>
  <c r="N21" i="1" s="1"/>
  <c r="O21" i="1" s="1"/>
  <c r="I21" i="1"/>
  <c r="J21" i="1" s="1"/>
  <c r="M24" i="1"/>
  <c r="N24" i="1" s="1"/>
  <c r="O24" i="1" s="1"/>
  <c r="I24" i="1"/>
  <c r="J24" i="1" s="1"/>
  <c r="M51" i="1"/>
  <c r="N51" i="1" s="1"/>
  <c r="O51" i="1" s="1"/>
  <c r="I51" i="1"/>
  <c r="J51" i="1" s="1"/>
  <c r="M30" i="1"/>
  <c r="N30" i="1" s="1"/>
  <c r="O30" i="1" s="1"/>
  <c r="I30" i="1"/>
  <c r="J30" i="1" s="1"/>
  <c r="M55" i="1"/>
  <c r="N55" i="1" s="1"/>
  <c r="O55" i="1" s="1"/>
  <c r="I55" i="1"/>
  <c r="J55" i="1" s="1"/>
  <c r="M32" i="1"/>
  <c r="N32" i="1" s="1"/>
  <c r="O32" i="1" s="1"/>
  <c r="I32" i="1"/>
  <c r="J32" i="1" s="1"/>
  <c r="M40" i="1"/>
  <c r="N40" i="1" s="1"/>
  <c r="O40" i="1" s="1"/>
  <c r="I40" i="1"/>
  <c r="J40" i="1" s="1"/>
  <c r="M26" i="1"/>
  <c r="N26" i="1" s="1"/>
  <c r="O26" i="1" s="1"/>
  <c r="I26" i="1"/>
  <c r="J26" i="1" s="1"/>
  <c r="M44" i="1"/>
  <c r="N44" i="1" s="1"/>
  <c r="O44" i="1" s="1"/>
  <c r="I44" i="1"/>
  <c r="J44" i="1" s="1"/>
  <c r="M27" i="1"/>
  <c r="N27" i="1" s="1"/>
  <c r="O27" i="1" s="1"/>
  <c r="I27" i="1"/>
  <c r="J27" i="1" s="1"/>
  <c r="M46" i="1"/>
  <c r="N46" i="1" s="1"/>
  <c r="O46" i="1" s="1"/>
  <c r="I46" i="1"/>
  <c r="J46" i="1" s="1"/>
  <c r="M25" i="1"/>
  <c r="N25" i="1" s="1"/>
  <c r="O25" i="1" s="1"/>
  <c r="I25" i="1"/>
  <c r="J25" i="1" s="1"/>
  <c r="M22" i="1"/>
  <c r="N22" i="1" s="1"/>
  <c r="O22" i="1" s="1"/>
  <c r="I22" i="1"/>
  <c r="J22" i="1" s="1"/>
  <c r="M31" i="1"/>
  <c r="N31" i="1" s="1"/>
  <c r="O31" i="1" s="1"/>
  <c r="I31" i="1"/>
  <c r="J31" i="1" s="1"/>
  <c r="M43" i="1"/>
  <c r="N43" i="1" s="1"/>
  <c r="O43" i="1" s="1"/>
  <c r="I43" i="1"/>
  <c r="J43" i="1" s="1"/>
  <c r="M47" i="1"/>
  <c r="N47" i="1" s="1"/>
  <c r="O47" i="1" s="1"/>
  <c r="I47" i="1"/>
  <c r="J47" i="1" s="1"/>
  <c r="M49" i="1"/>
  <c r="N49" i="1" s="1"/>
  <c r="O49" i="1" s="1"/>
  <c r="I49" i="1"/>
  <c r="J49" i="1" s="1"/>
  <c r="M57" i="1"/>
  <c r="N57" i="1" s="1"/>
  <c r="O57" i="1" s="1"/>
  <c r="I57" i="1"/>
  <c r="J57" i="1" s="1"/>
  <c r="M54" i="1"/>
  <c r="N54" i="1" s="1"/>
  <c r="O54" i="1" s="1"/>
  <c r="I54" i="1"/>
  <c r="J54" i="1" s="1"/>
  <c r="M28" i="1"/>
  <c r="N28" i="1" s="1"/>
  <c r="O28" i="1" s="1"/>
  <c r="I28" i="1"/>
  <c r="J28" i="1" s="1"/>
  <c r="M50" i="1"/>
  <c r="N50" i="1" s="1"/>
  <c r="O50" i="1" s="1"/>
  <c r="I50" i="1"/>
  <c r="J50" i="1" s="1"/>
  <c r="M29" i="1"/>
  <c r="N29" i="1" s="1"/>
  <c r="O29" i="1" s="1"/>
  <c r="I29" i="1"/>
  <c r="J29" i="1" s="1"/>
  <c r="M33" i="1"/>
  <c r="N33" i="1" s="1"/>
  <c r="O33" i="1" s="1"/>
  <c r="I33" i="1"/>
  <c r="J33" i="1" s="1"/>
  <c r="M42" i="1"/>
  <c r="N42" i="1" s="1"/>
  <c r="O42" i="1" s="1"/>
  <c r="I42" i="1"/>
  <c r="J42" i="1" s="1"/>
  <c r="M56" i="1"/>
  <c r="N56" i="1" s="1"/>
  <c r="O56" i="1" s="1"/>
  <c r="EA9" i="11"/>
  <c r="CE9" i="11"/>
  <c r="CQ9" i="11"/>
  <c r="W9" i="11"/>
  <c r="BY9" i="11"/>
  <c r="AC9" i="11"/>
  <c r="DC9" i="11"/>
  <c r="CW9" i="11"/>
  <c r="EM9" i="11"/>
  <c r="DO9" i="11"/>
  <c r="CK9" i="11"/>
  <c r="K9" i="11"/>
  <c r="EG9" i="11"/>
  <c r="ES9" i="11"/>
  <c r="AO9" i="11"/>
  <c r="AI9" i="11"/>
  <c r="E9" i="11"/>
  <c r="BG9" i="11"/>
  <c r="DU9" i="11"/>
  <c r="BA9" i="11"/>
  <c r="DI9" i="11"/>
  <c r="AU9" i="11"/>
  <c r="BS9" i="11"/>
  <c r="Q9" i="11"/>
  <c r="J9" i="48" s="1"/>
  <c r="K9" i="48" s="1"/>
  <c r="BM9" i="11"/>
  <c r="CR34" i="10"/>
  <c r="CS34" i="10" s="1"/>
  <c r="CX34" i="10"/>
  <c r="CY34" i="10" s="1"/>
  <c r="BN34" i="10"/>
  <c r="BO34" i="10" s="1"/>
  <c r="BZ34" i="10"/>
  <c r="CA34" i="10" s="1"/>
  <c r="DJ34" i="10"/>
  <c r="DK34" i="10" s="1"/>
  <c r="AV34" i="10"/>
  <c r="AW34" i="10" s="1"/>
  <c r="CF34" i="10"/>
  <c r="CG34" i="10" s="1"/>
  <c r="AP34" i="10"/>
  <c r="AQ34" i="10" s="1"/>
  <c r="DV34" i="10"/>
  <c r="DW34" i="10" s="1"/>
  <c r="EN34" i="10"/>
  <c r="EO34" i="10" s="1"/>
  <c r="BT34" i="10"/>
  <c r="BU34" i="10" s="1"/>
  <c r="CL34" i="10"/>
  <c r="CM34" i="10" s="1"/>
  <c r="ET34" i="10"/>
  <c r="EU34" i="10" s="1"/>
  <c r="R34" i="10"/>
  <c r="S34" i="10" s="1"/>
  <c r="AD34" i="10"/>
  <c r="AE34" i="10" s="1"/>
  <c r="BB34" i="10"/>
  <c r="BC34" i="10" s="1"/>
  <c r="DP34" i="10"/>
  <c r="DQ34" i="10" s="1"/>
  <c r="EB34" i="10"/>
  <c r="EC34" i="10" s="1"/>
  <c r="X34" i="10"/>
  <c r="Y34" i="10" s="1"/>
  <c r="BH34" i="10"/>
  <c r="BI34" i="10" s="1"/>
  <c r="DD34" i="10"/>
  <c r="DE34" i="10" s="1"/>
  <c r="EH34" i="10"/>
  <c r="EI34" i="10" s="1"/>
  <c r="AJ34" i="10"/>
  <c r="AK34" i="10" s="1"/>
  <c r="L34" i="10"/>
  <c r="M34" i="10" s="1"/>
  <c r="DC13" i="11"/>
  <c r="BG13" i="11"/>
  <c r="ES13" i="11"/>
  <c r="DO13" i="11"/>
  <c r="AC23" i="11"/>
  <c r="AC24" i="11" s="1"/>
  <c r="AC26" i="11" s="1"/>
  <c r="CW13" i="11"/>
  <c r="CK13" i="11"/>
  <c r="AO13" i="11"/>
  <c r="AC13" i="11"/>
  <c r="CQ13" i="11"/>
  <c r="BS13" i="11"/>
  <c r="Q13" i="11"/>
  <c r="J13" i="48" s="1"/>
  <c r="K13" i="48" s="1"/>
  <c r="BM13" i="11"/>
  <c r="W13" i="11"/>
  <c r="BA13" i="11"/>
  <c r="EA13" i="11"/>
  <c r="CE13" i="11"/>
  <c r="EG13" i="11"/>
  <c r="BY13" i="11"/>
  <c r="DI13" i="11"/>
  <c r="AU13" i="11"/>
  <c r="DU13" i="11"/>
  <c r="K13" i="11"/>
  <c r="EM13" i="11"/>
  <c r="AI13" i="11"/>
  <c r="O18" i="34"/>
  <c r="K15" i="34"/>
  <c r="K14" i="34" s="1"/>
  <c r="G17" i="34"/>
  <c r="S18" i="34"/>
  <c r="G15" i="34"/>
  <c r="G14" i="34" s="1"/>
  <c r="S16" i="34"/>
  <c r="G11" i="34"/>
  <c r="S11" i="34"/>
  <c r="K17" i="34"/>
  <c r="K11" i="34"/>
  <c r="S15" i="34"/>
  <c r="S14" i="34" s="1"/>
  <c r="O11" i="34"/>
  <c r="O12" i="34" s="1"/>
  <c r="O13" i="34" s="1"/>
  <c r="O16" i="34"/>
  <c r="O17" i="34"/>
  <c r="S17" i="34"/>
  <c r="O15" i="34"/>
  <c r="F34" i="10"/>
  <c r="G34" i="10" s="1"/>
  <c r="E5" i="10"/>
  <c r="CE46" i="1" l="1"/>
  <c r="CD46" i="1"/>
  <c r="CE57" i="1"/>
  <c r="CD57" i="1"/>
  <c r="CE49" i="1"/>
  <c r="CD49" i="1"/>
  <c r="CE44" i="1"/>
  <c r="CD44" i="1"/>
  <c r="CD42" i="1"/>
  <c r="CE42" i="1"/>
  <c r="CE47" i="1"/>
  <c r="CD47" i="1"/>
  <c r="CE26" i="1"/>
  <c r="CD26" i="1"/>
  <c r="CE23" i="1"/>
  <c r="CD23" i="1"/>
  <c r="CE51" i="1"/>
  <c r="CD51" i="1"/>
  <c r="CE24" i="1"/>
  <c r="CD24" i="1"/>
  <c r="CE33" i="1"/>
  <c r="CD33" i="1"/>
  <c r="CE43" i="1"/>
  <c r="CD43" i="1"/>
  <c r="CE40" i="1"/>
  <c r="CD40" i="1"/>
  <c r="CE58" i="1"/>
  <c r="CD58" i="1"/>
  <c r="CE27" i="1"/>
  <c r="CD27" i="1"/>
  <c r="CE56" i="1"/>
  <c r="CD56" i="1"/>
  <c r="CD29" i="1"/>
  <c r="CE29" i="1"/>
  <c r="CE31" i="1"/>
  <c r="CD31" i="1"/>
  <c r="CE32" i="1"/>
  <c r="CD32" i="1"/>
  <c r="CE41" i="1"/>
  <c r="CD41" i="1"/>
  <c r="CD21" i="1"/>
  <c r="CE21" i="1"/>
  <c r="CE50" i="1"/>
  <c r="CD50" i="1"/>
  <c r="CE22" i="1"/>
  <c r="CD22" i="1"/>
  <c r="CE55" i="1"/>
  <c r="CD55" i="1"/>
  <c r="CE48" i="1"/>
  <c r="CD48" i="1"/>
  <c r="CE54" i="1"/>
  <c r="CD54" i="1"/>
  <c r="CE28" i="1"/>
  <c r="CD28" i="1"/>
  <c r="CD25" i="1"/>
  <c r="CE25" i="1"/>
  <c r="CE30" i="1"/>
  <c r="CD30" i="1"/>
  <c r="CE45" i="1"/>
  <c r="CD45" i="1"/>
  <c r="CE52" i="1"/>
  <c r="CD52" i="1"/>
  <c r="AZ26" i="1"/>
  <c r="AY26" i="1"/>
  <c r="AZ32" i="1"/>
  <c r="AY32" i="1"/>
  <c r="AZ56" i="1"/>
  <c r="AY56" i="1"/>
  <c r="AZ33" i="1"/>
  <c r="AY33" i="1"/>
  <c r="AY49" i="1"/>
  <c r="AZ49" i="1"/>
  <c r="AZ43" i="1"/>
  <c r="AY43" i="1"/>
  <c r="AZ29" i="1"/>
  <c r="AY29" i="1"/>
  <c r="AZ44" i="1"/>
  <c r="AY44" i="1"/>
  <c r="AZ21" i="1"/>
  <c r="AY21" i="1"/>
  <c r="AZ42" i="1"/>
  <c r="AY42" i="1"/>
  <c r="AZ23" i="1"/>
  <c r="AY23" i="1"/>
  <c r="AZ40" i="1"/>
  <c r="AY40" i="1"/>
  <c r="AY41" i="1"/>
  <c r="AZ41" i="1"/>
  <c r="AZ22" i="1"/>
  <c r="AY22" i="1"/>
  <c r="AZ48" i="1"/>
  <c r="AY48" i="1"/>
  <c r="AZ25" i="1"/>
  <c r="AY25" i="1"/>
  <c r="AY45" i="1"/>
  <c r="AZ45" i="1"/>
  <c r="AZ54" i="1"/>
  <c r="AY54" i="1"/>
  <c r="AZ46" i="1"/>
  <c r="AY46" i="1"/>
  <c r="AZ51" i="1"/>
  <c r="AY51" i="1"/>
  <c r="AZ52" i="1"/>
  <c r="AY52" i="1"/>
  <c r="AZ47" i="1"/>
  <c r="AY47" i="1"/>
  <c r="AZ31" i="1"/>
  <c r="AY31" i="1"/>
  <c r="AZ50" i="1"/>
  <c r="AY50" i="1"/>
  <c r="AZ30" i="1"/>
  <c r="AY30" i="1"/>
  <c r="AZ58" i="1"/>
  <c r="AY58" i="1"/>
  <c r="AZ55" i="1"/>
  <c r="AY55" i="1"/>
  <c r="AZ28" i="1"/>
  <c r="AY28" i="1"/>
  <c r="AZ57" i="1"/>
  <c r="AY57" i="1"/>
  <c r="AZ27" i="1"/>
  <c r="AY27" i="1"/>
  <c r="AZ24" i="1"/>
  <c r="AY24" i="1"/>
  <c r="O39" i="1"/>
  <c r="HB30" i="1"/>
  <c r="GX30" i="1"/>
  <c r="GZ30" i="1"/>
  <c r="GX48" i="1"/>
  <c r="HA48" i="1"/>
  <c r="GY53" i="1"/>
  <c r="GZ48" i="1"/>
  <c r="HB33" i="1"/>
  <c r="GP53" i="1"/>
  <c r="GY48" i="1"/>
  <c r="HA33" i="1"/>
  <c r="GO53" i="1"/>
  <c r="GQ53" i="1"/>
  <c r="GV53" i="1"/>
  <c r="GW53" i="1"/>
  <c r="E23" i="11"/>
  <c r="E24" i="11" s="1"/>
  <c r="E26" i="11" s="1"/>
  <c r="AU23" i="11"/>
  <c r="AU24" i="11" s="1"/>
  <c r="AU26" i="11" s="1"/>
  <c r="CK23" i="11"/>
  <c r="CK24" i="11" s="1"/>
  <c r="CK26" i="11" s="1"/>
  <c r="GY30" i="1"/>
  <c r="HA50" i="1"/>
  <c r="GZ50" i="1"/>
  <c r="GX50" i="1"/>
  <c r="HB50" i="1"/>
  <c r="FR57" i="1"/>
  <c r="FJ57" i="1"/>
  <c r="FV57" i="1"/>
  <c r="FS57" i="1"/>
  <c r="FM57" i="1"/>
  <c r="FU57" i="1"/>
  <c r="FT57" i="1"/>
  <c r="FN57" i="1"/>
  <c r="FL57" i="1"/>
  <c r="FW57" i="1"/>
  <c r="FQ57" i="1"/>
  <c r="FP57" i="1"/>
  <c r="FI57" i="1"/>
  <c r="FK57" i="1"/>
  <c r="FO57" i="1"/>
  <c r="GZ33" i="1"/>
  <c r="FT22" i="1"/>
  <c r="FO22" i="1"/>
  <c r="FJ22" i="1"/>
  <c r="FN22" i="1"/>
  <c r="FP22" i="1"/>
  <c r="FM22" i="1"/>
  <c r="FQ22" i="1"/>
  <c r="FI22" i="1"/>
  <c r="FR22" i="1"/>
  <c r="FL22" i="1"/>
  <c r="FK22" i="1"/>
  <c r="FW22" i="1"/>
  <c r="FV22" i="1"/>
  <c r="FS22" i="1"/>
  <c r="FU22" i="1"/>
  <c r="EO57" i="1"/>
  <c r="EK57" i="1"/>
  <c r="EL57" i="1"/>
  <c r="EF57" i="1"/>
  <c r="EH57" i="1"/>
  <c r="ED57" i="1"/>
  <c r="ER57" i="1"/>
  <c r="EP57" i="1"/>
  <c r="EN57" i="1"/>
  <c r="EM57" i="1"/>
  <c r="EJ57" i="1"/>
  <c r="EI57" i="1"/>
  <c r="EG57" i="1"/>
  <c r="EE57" i="1"/>
  <c r="EQ57" i="1"/>
  <c r="EO43" i="1"/>
  <c r="EP43" i="1"/>
  <c r="EJ43" i="1"/>
  <c r="ED43" i="1"/>
  <c r="ER43" i="1"/>
  <c r="EM43" i="1"/>
  <c r="EL43" i="1"/>
  <c r="EG43" i="1"/>
  <c r="EF43" i="1"/>
  <c r="EI43" i="1"/>
  <c r="EH43" i="1"/>
  <c r="EE43" i="1"/>
  <c r="EQ43" i="1"/>
  <c r="EN43" i="1"/>
  <c r="EK43" i="1"/>
  <c r="EL33" i="1"/>
  <c r="EG33" i="1"/>
  <c r="ED33" i="1"/>
  <c r="EQ33" i="1"/>
  <c r="EN33" i="1"/>
  <c r="EM33" i="1"/>
  <c r="EI33" i="1"/>
  <c r="EP33" i="1"/>
  <c r="EF33" i="1"/>
  <c r="EE33" i="1"/>
  <c r="ER33" i="1"/>
  <c r="EO33" i="1"/>
  <c r="EK33" i="1"/>
  <c r="EJ33" i="1"/>
  <c r="EH33" i="1"/>
  <c r="CZ55" i="1"/>
  <c r="CY55" i="1"/>
  <c r="DK55" i="1"/>
  <c r="DH55" i="1"/>
  <c r="DM55" i="1"/>
  <c r="DG55" i="1"/>
  <c r="DJ55" i="1"/>
  <c r="DI55" i="1"/>
  <c r="DF55" i="1"/>
  <c r="DD55" i="1"/>
  <c r="DB55" i="1"/>
  <c r="DC55" i="1"/>
  <c r="DL55" i="1"/>
  <c r="DE55" i="1"/>
  <c r="DA55" i="1"/>
  <c r="CY26" i="1"/>
  <c r="DJ26" i="1"/>
  <c r="DM26" i="1"/>
  <c r="DL26" i="1"/>
  <c r="DK26" i="1"/>
  <c r="DI26" i="1"/>
  <c r="DG26" i="1"/>
  <c r="DE26" i="1"/>
  <c r="DF26" i="1"/>
  <c r="DH26" i="1"/>
  <c r="DD26" i="1"/>
  <c r="DC26" i="1"/>
  <c r="DB26" i="1"/>
  <c r="DA26" i="1"/>
  <c r="CZ26" i="1"/>
  <c r="FT58" i="1"/>
  <c r="FM58" i="1"/>
  <c r="FR58" i="1"/>
  <c r="FV58" i="1"/>
  <c r="FU58" i="1"/>
  <c r="FP58" i="1"/>
  <c r="FL58" i="1"/>
  <c r="FK58" i="1"/>
  <c r="FJ58" i="1"/>
  <c r="FI58" i="1"/>
  <c r="FW58" i="1"/>
  <c r="FS58" i="1"/>
  <c r="FQ58" i="1"/>
  <c r="FO58" i="1"/>
  <c r="FN58" i="1"/>
  <c r="DJ45" i="1"/>
  <c r="DF45" i="1"/>
  <c r="DE45" i="1"/>
  <c r="DA45" i="1"/>
  <c r="CZ45" i="1"/>
  <c r="DH45" i="1"/>
  <c r="DG45" i="1"/>
  <c r="DD45" i="1"/>
  <c r="DB45" i="1"/>
  <c r="CY45" i="1"/>
  <c r="DC45" i="1"/>
  <c r="DM45" i="1"/>
  <c r="DL45" i="1"/>
  <c r="DK45" i="1"/>
  <c r="DI45" i="1"/>
  <c r="EQ58" i="1"/>
  <c r="EM58" i="1"/>
  <c r="EP58" i="1"/>
  <c r="EJ58" i="1"/>
  <c r="EO58" i="1"/>
  <c r="EH58" i="1"/>
  <c r="EN58" i="1"/>
  <c r="EL58" i="1"/>
  <c r="EK58" i="1"/>
  <c r="EI58" i="1"/>
  <c r="EG58" i="1"/>
  <c r="EF58" i="1"/>
  <c r="EE58" i="1"/>
  <c r="ED58" i="1"/>
  <c r="ER58" i="1"/>
  <c r="AH55" i="1"/>
  <c r="AI55" i="1" s="1"/>
  <c r="GQ55" i="1" s="1"/>
  <c r="FV31" i="1"/>
  <c r="FI31" i="1"/>
  <c r="FT31" i="1"/>
  <c r="FS31" i="1"/>
  <c r="FW31" i="1"/>
  <c r="FP31" i="1"/>
  <c r="FL31" i="1"/>
  <c r="FK31" i="1"/>
  <c r="FJ31" i="1"/>
  <c r="FM31" i="1"/>
  <c r="FO31" i="1"/>
  <c r="FU31" i="1"/>
  <c r="FR31" i="1"/>
  <c r="FQ31" i="1"/>
  <c r="FN31" i="1"/>
  <c r="DE29" i="1"/>
  <c r="DD29" i="1"/>
  <c r="CZ29" i="1"/>
  <c r="DL29" i="1"/>
  <c r="DI29" i="1"/>
  <c r="DH29" i="1"/>
  <c r="DK29" i="1"/>
  <c r="DM29" i="1"/>
  <c r="DG29" i="1"/>
  <c r="DF29" i="1"/>
  <c r="DC29" i="1"/>
  <c r="DB29" i="1"/>
  <c r="DA29" i="1"/>
  <c r="CY29" i="1"/>
  <c r="DJ29" i="1"/>
  <c r="FP40" i="1"/>
  <c r="FI40" i="1"/>
  <c r="FU40" i="1"/>
  <c r="FT40" i="1"/>
  <c r="FN40" i="1"/>
  <c r="FR40" i="1"/>
  <c r="FV40" i="1"/>
  <c r="FS40" i="1"/>
  <c r="FO40" i="1"/>
  <c r="FM40" i="1"/>
  <c r="FW40" i="1"/>
  <c r="FQ40" i="1"/>
  <c r="FL40" i="1"/>
  <c r="FK40" i="1"/>
  <c r="FJ40" i="1"/>
  <c r="FR29" i="1"/>
  <c r="FT29" i="1"/>
  <c r="FN29" i="1"/>
  <c r="FM29" i="1"/>
  <c r="FV29" i="1"/>
  <c r="FP29" i="1"/>
  <c r="FI29" i="1"/>
  <c r="FW29" i="1"/>
  <c r="FU29" i="1"/>
  <c r="FS29" i="1"/>
  <c r="FL29" i="1"/>
  <c r="FQ29" i="1"/>
  <c r="FO29" i="1"/>
  <c r="FK29" i="1"/>
  <c r="FJ29" i="1"/>
  <c r="EA23" i="11"/>
  <c r="EA24" i="11" s="1"/>
  <c r="EA26" i="11" s="1"/>
  <c r="GS53" i="1"/>
  <c r="HB57" i="1"/>
  <c r="GX43" i="1"/>
  <c r="GZ24" i="1"/>
  <c r="EE46" i="1"/>
  <c r="EH46" i="1"/>
  <c r="EN46" i="1"/>
  <c r="EQ46" i="1"/>
  <c r="EP46" i="1"/>
  <c r="EO46" i="1"/>
  <c r="EL46" i="1"/>
  <c r="EK46" i="1"/>
  <c r="EJ46" i="1"/>
  <c r="EF46" i="1"/>
  <c r="EG46" i="1"/>
  <c r="ED46" i="1"/>
  <c r="ER46" i="1"/>
  <c r="EM46" i="1"/>
  <c r="EI46" i="1"/>
  <c r="FR41" i="1"/>
  <c r="FL41" i="1"/>
  <c r="FT41" i="1"/>
  <c r="FP41" i="1"/>
  <c r="FO41" i="1"/>
  <c r="FJ41" i="1"/>
  <c r="FI41" i="1"/>
  <c r="FK41" i="1"/>
  <c r="FW41" i="1"/>
  <c r="FN41" i="1"/>
  <c r="FU41" i="1"/>
  <c r="FV41" i="1"/>
  <c r="FS41" i="1"/>
  <c r="FQ41" i="1"/>
  <c r="FM41" i="1"/>
  <c r="S20" i="1"/>
  <c r="T21" i="1"/>
  <c r="EG47" i="1"/>
  <c r="EK47" i="1"/>
  <c r="EE47" i="1"/>
  <c r="EF47" i="1"/>
  <c r="ER47" i="1"/>
  <c r="EQ47" i="1"/>
  <c r="EN47" i="1"/>
  <c r="EP47" i="1"/>
  <c r="EO47" i="1"/>
  <c r="EM47" i="1"/>
  <c r="EL47" i="1"/>
  <c r="EJ47" i="1"/>
  <c r="ED47" i="1"/>
  <c r="EI47" i="1"/>
  <c r="EH47" i="1"/>
  <c r="GX53" i="1"/>
  <c r="AH40" i="1"/>
  <c r="AH42" i="1"/>
  <c r="AI42" i="1" s="1"/>
  <c r="HB42" i="1" s="1"/>
  <c r="AH29" i="1"/>
  <c r="AI29" i="1" s="1"/>
  <c r="GZ29" i="1" s="1"/>
  <c r="X20" i="1"/>
  <c r="P30" i="7" s="1"/>
  <c r="Y22" i="1"/>
  <c r="Y20" i="1" s="1"/>
  <c r="Y10" i="1" s="1"/>
  <c r="DF58" i="1"/>
  <c r="DI58" i="1"/>
  <c r="DC58" i="1"/>
  <c r="DE58" i="1"/>
  <c r="DJ58" i="1"/>
  <c r="DH58" i="1"/>
  <c r="DB58" i="1"/>
  <c r="DA58" i="1"/>
  <c r="DD58" i="1"/>
  <c r="CZ58" i="1"/>
  <c r="CY58" i="1"/>
  <c r="DM58" i="1"/>
  <c r="DK58" i="1"/>
  <c r="DG58" i="1"/>
  <c r="DL58" i="1"/>
  <c r="EQ44" i="1"/>
  <c r="EM44" i="1"/>
  <c r="EI44" i="1"/>
  <c r="ED44" i="1"/>
  <c r="ER44" i="1"/>
  <c r="EP44" i="1"/>
  <c r="EO44" i="1"/>
  <c r="EK44" i="1"/>
  <c r="EH44" i="1"/>
  <c r="EG44" i="1"/>
  <c r="EF44" i="1"/>
  <c r="EE44" i="1"/>
  <c r="EL44" i="1"/>
  <c r="EJ44" i="1"/>
  <c r="EN44" i="1"/>
  <c r="DD42" i="1"/>
  <c r="DM42" i="1"/>
  <c r="DI42" i="1"/>
  <c r="CZ42" i="1"/>
  <c r="DK42" i="1"/>
  <c r="DL42" i="1"/>
  <c r="DA42" i="1"/>
  <c r="CY42" i="1"/>
  <c r="DF42" i="1"/>
  <c r="DH42" i="1"/>
  <c r="DG42" i="1"/>
  <c r="DE42" i="1"/>
  <c r="DJ42" i="1"/>
  <c r="DC42" i="1"/>
  <c r="DB42" i="1"/>
  <c r="GZ57" i="1"/>
  <c r="GY43" i="1"/>
  <c r="GY24" i="1"/>
  <c r="FL46" i="1"/>
  <c r="FJ46" i="1"/>
  <c r="FV46" i="1"/>
  <c r="FO46" i="1"/>
  <c r="FP46" i="1"/>
  <c r="FN46" i="1"/>
  <c r="FW46" i="1"/>
  <c r="FU46" i="1"/>
  <c r="FT46" i="1"/>
  <c r="FS46" i="1"/>
  <c r="FR46" i="1"/>
  <c r="FQ46" i="1"/>
  <c r="FI46" i="1"/>
  <c r="FM46" i="1"/>
  <c r="FK46" i="1"/>
  <c r="EK41" i="1"/>
  <c r="EI41" i="1"/>
  <c r="ED41" i="1"/>
  <c r="EM41" i="1"/>
  <c r="EF41" i="1"/>
  <c r="ER41" i="1"/>
  <c r="EQ41" i="1"/>
  <c r="EL41" i="1"/>
  <c r="EJ41" i="1"/>
  <c r="EE41" i="1"/>
  <c r="EP41" i="1"/>
  <c r="EO41" i="1"/>
  <c r="EN41" i="1"/>
  <c r="EH41" i="1"/>
  <c r="EG41" i="1"/>
  <c r="FR21" i="1"/>
  <c r="FL21" i="1"/>
  <c r="FI21" i="1"/>
  <c r="FV21" i="1"/>
  <c r="FU21" i="1"/>
  <c r="FP21" i="1"/>
  <c r="FW21" i="1"/>
  <c r="FT21" i="1"/>
  <c r="FS21" i="1"/>
  <c r="FQ21" i="1"/>
  <c r="FO21" i="1"/>
  <c r="FN21" i="1"/>
  <c r="FM21" i="1"/>
  <c r="FK21" i="1"/>
  <c r="FJ21" i="1"/>
  <c r="FN47" i="1"/>
  <c r="FM47" i="1"/>
  <c r="FT47" i="1"/>
  <c r="FO47" i="1"/>
  <c r="FW47" i="1"/>
  <c r="FV47" i="1"/>
  <c r="FQ47" i="1"/>
  <c r="FP47" i="1"/>
  <c r="FJ47" i="1"/>
  <c r="FU47" i="1"/>
  <c r="FS47" i="1"/>
  <c r="FR47" i="1"/>
  <c r="FK47" i="1"/>
  <c r="FI47" i="1"/>
  <c r="FL47" i="1"/>
  <c r="DA27" i="1"/>
  <c r="DL27" i="1"/>
  <c r="DC27" i="1"/>
  <c r="CY27" i="1"/>
  <c r="DB27" i="1"/>
  <c r="CZ27" i="1"/>
  <c r="DE27" i="1"/>
  <c r="DD27" i="1"/>
  <c r="DK27" i="1"/>
  <c r="DJ27" i="1"/>
  <c r="DI27" i="1"/>
  <c r="DM27" i="1"/>
  <c r="DG27" i="1"/>
  <c r="DF27" i="1"/>
  <c r="DH27" i="1"/>
  <c r="EI28" i="1"/>
  <c r="EN28" i="1"/>
  <c r="EH28" i="1"/>
  <c r="EO28" i="1"/>
  <c r="EG28" i="1"/>
  <c r="EP28" i="1"/>
  <c r="EM28" i="1"/>
  <c r="EJ28" i="1"/>
  <c r="EF28" i="1"/>
  <c r="EE28" i="1"/>
  <c r="ED28" i="1"/>
  <c r="EL28" i="1"/>
  <c r="EK28" i="1"/>
  <c r="ER28" i="1"/>
  <c r="EQ28" i="1"/>
  <c r="FP48" i="1"/>
  <c r="FQ48" i="1"/>
  <c r="FK48" i="1"/>
  <c r="FT48" i="1"/>
  <c r="FI48" i="1"/>
  <c r="FW48" i="1"/>
  <c r="FS48" i="1"/>
  <c r="FM48" i="1"/>
  <c r="FL48" i="1"/>
  <c r="FJ48" i="1"/>
  <c r="FO48" i="1"/>
  <c r="FN48" i="1"/>
  <c r="FV48" i="1"/>
  <c r="FU48" i="1"/>
  <c r="FR48" i="1"/>
  <c r="FT50" i="1"/>
  <c r="FW50" i="1"/>
  <c r="FQ50" i="1"/>
  <c r="FP50" i="1"/>
  <c r="FK50" i="1"/>
  <c r="FS50" i="1"/>
  <c r="FR50" i="1"/>
  <c r="FM50" i="1"/>
  <c r="FU50" i="1"/>
  <c r="FO50" i="1"/>
  <c r="FN50" i="1"/>
  <c r="FL50" i="1"/>
  <c r="FJ50" i="1"/>
  <c r="FV50" i="1"/>
  <c r="FI50" i="1"/>
  <c r="FN55" i="1"/>
  <c r="FU55" i="1"/>
  <c r="FP55" i="1"/>
  <c r="FV55" i="1"/>
  <c r="FS55" i="1"/>
  <c r="FR55" i="1"/>
  <c r="FM55" i="1"/>
  <c r="FW55" i="1"/>
  <c r="FT55" i="1"/>
  <c r="FQ55" i="1"/>
  <c r="FO55" i="1"/>
  <c r="FL55" i="1"/>
  <c r="FK55" i="1"/>
  <c r="FJ55" i="1"/>
  <c r="FI55" i="1"/>
  <c r="O20" i="1"/>
  <c r="O10" i="1" s="1"/>
  <c r="DG22" i="1"/>
  <c r="DB22" i="1"/>
  <c r="DM22" i="1"/>
  <c r="DL22" i="1"/>
  <c r="CZ22" i="1"/>
  <c r="CY22" i="1"/>
  <c r="DC22" i="1"/>
  <c r="DK22" i="1"/>
  <c r="DJ22" i="1"/>
  <c r="DA22" i="1"/>
  <c r="DI22" i="1"/>
  <c r="DH22" i="1"/>
  <c r="DF22" i="1"/>
  <c r="DE22" i="1"/>
  <c r="DD22" i="1"/>
  <c r="FL26" i="1"/>
  <c r="FJ26" i="1"/>
  <c r="FV26" i="1"/>
  <c r="FQ26" i="1"/>
  <c r="FK26" i="1"/>
  <c r="FS26" i="1"/>
  <c r="FN26" i="1"/>
  <c r="FT26" i="1"/>
  <c r="FO26" i="1"/>
  <c r="FM26" i="1"/>
  <c r="FU26" i="1"/>
  <c r="FW26" i="1"/>
  <c r="FP26" i="1"/>
  <c r="FI26" i="1"/>
  <c r="FR26" i="1"/>
  <c r="EE45" i="1"/>
  <c r="EP45" i="1"/>
  <c r="EN45" i="1"/>
  <c r="EI45" i="1"/>
  <c r="EJ45" i="1"/>
  <c r="EH45" i="1"/>
  <c r="EG45" i="1"/>
  <c r="ED45" i="1"/>
  <c r="ER45" i="1"/>
  <c r="EQ45" i="1"/>
  <c r="EO45" i="1"/>
  <c r="EM45" i="1"/>
  <c r="EK45" i="1"/>
  <c r="EF45" i="1"/>
  <c r="EL45" i="1"/>
  <c r="AH26" i="1"/>
  <c r="AI26" i="1" s="1"/>
  <c r="GY26" i="1" s="1"/>
  <c r="GX57" i="1"/>
  <c r="FP56" i="1"/>
  <c r="FS56" i="1"/>
  <c r="FM56" i="1"/>
  <c r="FL56" i="1"/>
  <c r="FK56" i="1"/>
  <c r="FV56" i="1"/>
  <c r="FI56" i="1"/>
  <c r="FJ56" i="1"/>
  <c r="FW56" i="1"/>
  <c r="FO56" i="1"/>
  <c r="FN56" i="1"/>
  <c r="FT56" i="1"/>
  <c r="FU56" i="1"/>
  <c r="FR56" i="1"/>
  <c r="FQ56" i="1"/>
  <c r="EK29" i="1"/>
  <c r="EQ29" i="1"/>
  <c r="EL29" i="1"/>
  <c r="EN29" i="1"/>
  <c r="EG29" i="1"/>
  <c r="EF29" i="1"/>
  <c r="ER29" i="1"/>
  <c r="EP29" i="1"/>
  <c r="EO29" i="1"/>
  <c r="EM29" i="1"/>
  <c r="EJ29" i="1"/>
  <c r="EI29" i="1"/>
  <c r="ED29" i="1"/>
  <c r="EH29" i="1"/>
  <c r="EE29" i="1"/>
  <c r="AH52" i="1"/>
  <c r="AI52" i="1" s="1"/>
  <c r="HA52" i="1" s="1"/>
  <c r="EI48" i="1"/>
  <c r="EN48" i="1"/>
  <c r="EH48" i="1"/>
  <c r="EL48" i="1"/>
  <c r="EE48" i="1"/>
  <c r="EM48" i="1"/>
  <c r="EK48" i="1"/>
  <c r="EJ48" i="1"/>
  <c r="EF48" i="1"/>
  <c r="ED48" i="1"/>
  <c r="ER48" i="1"/>
  <c r="EQ48" i="1"/>
  <c r="EP48" i="1"/>
  <c r="EO48" i="1"/>
  <c r="EG48" i="1"/>
  <c r="FJ33" i="1"/>
  <c r="FO33" i="1"/>
  <c r="FI33" i="1"/>
  <c r="FS33" i="1"/>
  <c r="FM33" i="1"/>
  <c r="FT33" i="1"/>
  <c r="FR33" i="1"/>
  <c r="FL33" i="1"/>
  <c r="FP33" i="1"/>
  <c r="FN33" i="1"/>
  <c r="FW33" i="1"/>
  <c r="FV33" i="1"/>
  <c r="FU33" i="1"/>
  <c r="FQ33" i="1"/>
  <c r="FK33" i="1"/>
  <c r="AH32" i="1"/>
  <c r="AI32" i="1" s="1"/>
  <c r="HA32" i="1" s="1"/>
  <c r="DB13" i="1"/>
  <c r="DB12" i="1" s="1"/>
  <c r="DC13" i="1"/>
  <c r="DC12" i="1" s="1"/>
  <c r="DE13" i="1"/>
  <c r="DE12" i="1" s="1"/>
  <c r="DF13" i="1"/>
  <c r="DF12" i="1" s="1"/>
  <c r="DJ13" i="1"/>
  <c r="DJ12" i="1" s="1"/>
  <c r="DG13" i="1"/>
  <c r="DG12" i="1" s="1"/>
  <c r="DK13" i="1"/>
  <c r="DK12" i="1" s="1"/>
  <c r="DL13" i="1"/>
  <c r="DL12" i="1" s="1"/>
  <c r="CZ13" i="1"/>
  <c r="CZ12" i="1" s="1"/>
  <c r="DA13" i="1"/>
  <c r="DA12" i="1" s="1"/>
  <c r="T12" i="1"/>
  <c r="DD13" i="1"/>
  <c r="DD12" i="1" s="1"/>
  <c r="DH13" i="1"/>
  <c r="DH12" i="1" s="1"/>
  <c r="DI13" i="1"/>
  <c r="DI12" i="1" s="1"/>
  <c r="DM13" i="1"/>
  <c r="DM12" i="1" s="1"/>
  <c r="CY13" i="1"/>
  <c r="CY12" i="1" s="1"/>
  <c r="FV43" i="1"/>
  <c r="FR43" i="1"/>
  <c r="FM43" i="1"/>
  <c r="FQ43" i="1"/>
  <c r="FK43" i="1"/>
  <c r="FJ43" i="1"/>
  <c r="FI43" i="1"/>
  <c r="FU43" i="1"/>
  <c r="FO43" i="1"/>
  <c r="FN43" i="1"/>
  <c r="FW43" i="1"/>
  <c r="FT43" i="1"/>
  <c r="FS43" i="1"/>
  <c r="FP43" i="1"/>
  <c r="FL43" i="1"/>
  <c r="EK55" i="1"/>
  <c r="EG55" i="1"/>
  <c r="EP55" i="1"/>
  <c r="EO55" i="1"/>
  <c r="EI55" i="1"/>
  <c r="EH55" i="1"/>
  <c r="EF55" i="1"/>
  <c r="EE55" i="1"/>
  <c r="ED55" i="1"/>
  <c r="EQ55" i="1"/>
  <c r="EN55" i="1"/>
  <c r="EM55" i="1"/>
  <c r="EL55" i="1"/>
  <c r="EJ55" i="1"/>
  <c r="ER55" i="1"/>
  <c r="GX33" i="1"/>
  <c r="EQ52" i="1"/>
  <c r="EI52" i="1"/>
  <c r="ED52" i="1"/>
  <c r="EO52" i="1"/>
  <c r="EJ52" i="1"/>
  <c r="ER52" i="1"/>
  <c r="EP52" i="1"/>
  <c r="EM52" i="1"/>
  <c r="EN52" i="1"/>
  <c r="EL52" i="1"/>
  <c r="EK52" i="1"/>
  <c r="EH52" i="1"/>
  <c r="EG52" i="1"/>
  <c r="EE52" i="1"/>
  <c r="EF52" i="1"/>
  <c r="GT53" i="1"/>
  <c r="AC39" i="1"/>
  <c r="Q31" i="7" s="1"/>
  <c r="AD42" i="1"/>
  <c r="AD39" i="1" s="1"/>
  <c r="GU53" i="1"/>
  <c r="GY57" i="1"/>
  <c r="DJ52" i="1"/>
  <c r="DG52" i="1"/>
  <c r="DL52" i="1"/>
  <c r="DH52" i="1"/>
  <c r="DM52" i="1"/>
  <c r="DF52" i="1"/>
  <c r="DE52" i="1"/>
  <c r="DI52" i="1"/>
  <c r="DK52" i="1"/>
  <c r="CY52" i="1"/>
  <c r="DD52" i="1"/>
  <c r="DB52" i="1"/>
  <c r="DC52" i="1"/>
  <c r="DA52" i="1"/>
  <c r="CZ52" i="1"/>
  <c r="DU23" i="11"/>
  <c r="DU24" i="11" s="1"/>
  <c r="DU26" i="11" s="1"/>
  <c r="AH44" i="1"/>
  <c r="AI44" i="1" s="1"/>
  <c r="GY44" i="1" s="1"/>
  <c r="EM56" i="1"/>
  <c r="EI56" i="1"/>
  <c r="EG56" i="1"/>
  <c r="EP56" i="1"/>
  <c r="ER56" i="1"/>
  <c r="EQ56" i="1"/>
  <c r="EO56" i="1"/>
  <c r="EN56" i="1"/>
  <c r="EL56" i="1"/>
  <c r="EK56" i="1"/>
  <c r="EJ56" i="1"/>
  <c r="EH56" i="1"/>
  <c r="EE56" i="1"/>
  <c r="EF56" i="1"/>
  <c r="ED56" i="1"/>
  <c r="HA43" i="1"/>
  <c r="DB41" i="1"/>
  <c r="DK41" i="1"/>
  <c r="DJ41" i="1"/>
  <c r="DF41" i="1"/>
  <c r="DI41" i="1"/>
  <c r="DH41" i="1"/>
  <c r="DL41" i="1"/>
  <c r="DG41" i="1"/>
  <c r="DE41" i="1"/>
  <c r="DC41" i="1"/>
  <c r="CZ41" i="1"/>
  <c r="DA41" i="1"/>
  <c r="DM41" i="1"/>
  <c r="DD41" i="1"/>
  <c r="CY41" i="1"/>
  <c r="FN27" i="1"/>
  <c r="FM27" i="1"/>
  <c r="FV27" i="1"/>
  <c r="FQ27" i="1"/>
  <c r="FK27" i="1"/>
  <c r="FJ27" i="1"/>
  <c r="FU27" i="1"/>
  <c r="FS27" i="1"/>
  <c r="FR27" i="1"/>
  <c r="FP27" i="1"/>
  <c r="FO27" i="1"/>
  <c r="FL27" i="1"/>
  <c r="FI27" i="1"/>
  <c r="FW27" i="1"/>
  <c r="FT27" i="1"/>
  <c r="FP28" i="1"/>
  <c r="FQ28" i="1"/>
  <c r="FK28" i="1"/>
  <c r="FV28" i="1"/>
  <c r="FT28" i="1"/>
  <c r="FS28" i="1"/>
  <c r="FM28" i="1"/>
  <c r="FW28" i="1"/>
  <c r="FU28" i="1"/>
  <c r="FO28" i="1"/>
  <c r="FN28" i="1"/>
  <c r="FR28" i="1"/>
  <c r="FL28" i="1"/>
  <c r="FJ28" i="1"/>
  <c r="FI28" i="1"/>
  <c r="DF50" i="1"/>
  <c r="DD50" i="1"/>
  <c r="DE50" i="1"/>
  <c r="DC50" i="1"/>
  <c r="CY50" i="1"/>
  <c r="DM50" i="1"/>
  <c r="DL50" i="1"/>
  <c r="DJ50" i="1"/>
  <c r="DI50" i="1"/>
  <c r="DH50" i="1"/>
  <c r="DK50" i="1"/>
  <c r="DG50" i="1"/>
  <c r="DB50" i="1"/>
  <c r="DA50" i="1"/>
  <c r="CZ50" i="1"/>
  <c r="HB43" i="1"/>
  <c r="HB24" i="1"/>
  <c r="AH46" i="1"/>
  <c r="AI46" i="1" s="1"/>
  <c r="GO46" i="1" s="1"/>
  <c r="AH41" i="1"/>
  <c r="AI41" i="1" s="1"/>
  <c r="GT41" i="1" s="1"/>
  <c r="AH21" i="1"/>
  <c r="AI21" i="1" s="1"/>
  <c r="HB21" i="1" s="1"/>
  <c r="AH47" i="1"/>
  <c r="AI47" i="1" s="1"/>
  <c r="HB47" i="1" s="1"/>
  <c r="EG27" i="1"/>
  <c r="EK27" i="1"/>
  <c r="EE27" i="1"/>
  <c r="EI27" i="1"/>
  <c r="EN27" i="1"/>
  <c r="EM27" i="1"/>
  <c r="EF27" i="1"/>
  <c r="ED27" i="1"/>
  <c r="EO27" i="1"/>
  <c r="EL27" i="1"/>
  <c r="EJ27" i="1"/>
  <c r="EH27" i="1"/>
  <c r="ER27" i="1"/>
  <c r="EQ27" i="1"/>
  <c r="EP27" i="1"/>
  <c r="DC28" i="1"/>
  <c r="DG28" i="1"/>
  <c r="DD28" i="1"/>
  <c r="DB28" i="1"/>
  <c r="DJ28" i="1"/>
  <c r="DI28" i="1"/>
  <c r="DH28" i="1"/>
  <c r="DE28" i="1"/>
  <c r="DA28" i="1"/>
  <c r="CZ28" i="1"/>
  <c r="DF28" i="1"/>
  <c r="DL28" i="1"/>
  <c r="DM28" i="1"/>
  <c r="DK28" i="1"/>
  <c r="CY28" i="1"/>
  <c r="CZ48" i="1"/>
  <c r="DJ48" i="1"/>
  <c r="DB48" i="1"/>
  <c r="DM48" i="1"/>
  <c r="DL48" i="1"/>
  <c r="DI48" i="1"/>
  <c r="DH48" i="1"/>
  <c r="DG48" i="1"/>
  <c r="DD48" i="1"/>
  <c r="DC48" i="1"/>
  <c r="DA48" i="1"/>
  <c r="CY48" i="1"/>
  <c r="DF48" i="1"/>
  <c r="DK48" i="1"/>
  <c r="DE48" i="1"/>
  <c r="EM50" i="1"/>
  <c r="EO50" i="1"/>
  <c r="ED50" i="1"/>
  <c r="EQ50" i="1"/>
  <c r="EH50" i="1"/>
  <c r="EG50" i="1"/>
  <c r="EF50" i="1"/>
  <c r="ER50" i="1"/>
  <c r="EE50" i="1"/>
  <c r="EJ50" i="1"/>
  <c r="EI50" i="1"/>
  <c r="EP50" i="1"/>
  <c r="EL50" i="1"/>
  <c r="EN50" i="1"/>
  <c r="EK50" i="1"/>
  <c r="AH22" i="1"/>
  <c r="FL52" i="1"/>
  <c r="FW52" i="1"/>
  <c r="FJ52" i="1"/>
  <c r="FV52" i="1"/>
  <c r="FT52" i="1"/>
  <c r="FS52" i="1"/>
  <c r="FO52" i="1"/>
  <c r="FN52" i="1"/>
  <c r="FI52" i="1"/>
  <c r="FU52" i="1"/>
  <c r="FR52" i="1"/>
  <c r="FM52" i="1"/>
  <c r="FQ52" i="1"/>
  <c r="FP52" i="1"/>
  <c r="FK52" i="1"/>
  <c r="DI31" i="1"/>
  <c r="DH31" i="1"/>
  <c r="DD31" i="1"/>
  <c r="DC31" i="1"/>
  <c r="CZ31" i="1"/>
  <c r="CY31" i="1"/>
  <c r="DL31" i="1"/>
  <c r="DJ31" i="1"/>
  <c r="DK31" i="1"/>
  <c r="DA31" i="1"/>
  <c r="DM31" i="1"/>
  <c r="DG31" i="1"/>
  <c r="DF31" i="1"/>
  <c r="DE31" i="1"/>
  <c r="DB31" i="1"/>
  <c r="DL47" i="1"/>
  <c r="DK47" i="1"/>
  <c r="DG47" i="1"/>
  <c r="DJ47" i="1"/>
  <c r="DI47" i="1"/>
  <c r="DD47" i="1"/>
  <c r="DC47" i="1"/>
  <c r="DB47" i="1"/>
  <c r="CZ47" i="1"/>
  <c r="CY47" i="1"/>
  <c r="DM47" i="1"/>
  <c r="DH47" i="1"/>
  <c r="DF47" i="1"/>
  <c r="DE47" i="1"/>
  <c r="DA47" i="1"/>
  <c r="DM54" i="1"/>
  <c r="DH54" i="1"/>
  <c r="DB54" i="1"/>
  <c r="DF54" i="1"/>
  <c r="DE54" i="1"/>
  <c r="CZ54" i="1"/>
  <c r="DJ54" i="1"/>
  <c r="DD54" i="1"/>
  <c r="DC54" i="1"/>
  <c r="DL54" i="1"/>
  <c r="DK54" i="1"/>
  <c r="DI54" i="1"/>
  <c r="DG54" i="1"/>
  <c r="DA54" i="1"/>
  <c r="CY54" i="1"/>
  <c r="EK49" i="1"/>
  <c r="EQ49" i="1"/>
  <c r="EL49" i="1"/>
  <c r="ER49" i="1"/>
  <c r="EJ49" i="1"/>
  <c r="EO49" i="1"/>
  <c r="EN49" i="1"/>
  <c r="EM49" i="1"/>
  <c r="EI49" i="1"/>
  <c r="EG49" i="1"/>
  <c r="EF49" i="1"/>
  <c r="EE49" i="1"/>
  <c r="ED49" i="1"/>
  <c r="EP49" i="1"/>
  <c r="EH49" i="1"/>
  <c r="EM30" i="1"/>
  <c r="EO30" i="1"/>
  <c r="EF30" i="1"/>
  <c r="EP30" i="1"/>
  <c r="EN30" i="1"/>
  <c r="EI30" i="1"/>
  <c r="EH30" i="1"/>
  <c r="ED30" i="1"/>
  <c r="EE30" i="1"/>
  <c r="ER30" i="1"/>
  <c r="EQ30" i="1"/>
  <c r="EJ30" i="1"/>
  <c r="EL30" i="1"/>
  <c r="EK30" i="1"/>
  <c r="EG30" i="1"/>
  <c r="FV23" i="1"/>
  <c r="FR23" i="1"/>
  <c r="FM23" i="1"/>
  <c r="FT23" i="1"/>
  <c r="FN23" i="1"/>
  <c r="FW23" i="1"/>
  <c r="FP23" i="1"/>
  <c r="FJ23" i="1"/>
  <c r="FU23" i="1"/>
  <c r="FS23" i="1"/>
  <c r="FQ23" i="1"/>
  <c r="FO23" i="1"/>
  <c r="FL23" i="1"/>
  <c r="FK23" i="1"/>
  <c r="FI23" i="1"/>
  <c r="AH27" i="1"/>
  <c r="AI27" i="1" s="1"/>
  <c r="HB27" i="1" s="1"/>
  <c r="AH28" i="1"/>
  <c r="AI28" i="1" s="1"/>
  <c r="HA28" i="1" s="1"/>
  <c r="DB56" i="1"/>
  <c r="DC56" i="1"/>
  <c r="DM56" i="1"/>
  <c r="CZ56" i="1"/>
  <c r="CY56" i="1"/>
  <c r="DI56" i="1"/>
  <c r="DF56" i="1"/>
  <c r="DE56" i="1"/>
  <c r="DA56" i="1"/>
  <c r="DK56" i="1"/>
  <c r="DJ56" i="1"/>
  <c r="DH56" i="1"/>
  <c r="DL56" i="1"/>
  <c r="DG56" i="1"/>
  <c r="DD56" i="1"/>
  <c r="HA24" i="1"/>
  <c r="EI54" i="1"/>
  <c r="EE54" i="1"/>
  <c r="EQ54" i="1"/>
  <c r="EL54" i="1"/>
  <c r="EH54" i="1"/>
  <c r="ER54" i="1"/>
  <c r="EP54" i="1"/>
  <c r="EO54" i="1"/>
  <c r="EN54" i="1"/>
  <c r="EM54" i="1"/>
  <c r="EJ54" i="1"/>
  <c r="EK54" i="1"/>
  <c r="EF54" i="1"/>
  <c r="EG54" i="1"/>
  <c r="ED54" i="1"/>
  <c r="DB49" i="1"/>
  <c r="DA49" i="1"/>
  <c r="CZ49" i="1"/>
  <c r="DM49" i="1"/>
  <c r="DH49" i="1"/>
  <c r="DE49" i="1"/>
  <c r="DD49" i="1"/>
  <c r="DC49" i="1"/>
  <c r="CY49" i="1"/>
  <c r="DG49" i="1"/>
  <c r="DJ49" i="1"/>
  <c r="DI49" i="1"/>
  <c r="DF49" i="1"/>
  <c r="DL49" i="1"/>
  <c r="DK49" i="1"/>
  <c r="DG30" i="1"/>
  <c r="DF30" i="1"/>
  <c r="DB30" i="1"/>
  <c r="DM30" i="1"/>
  <c r="DE30" i="1"/>
  <c r="DD30" i="1"/>
  <c r="DC30" i="1"/>
  <c r="CZ30" i="1"/>
  <c r="CY30" i="1"/>
  <c r="DK30" i="1"/>
  <c r="DL30" i="1"/>
  <c r="DJ30" i="1"/>
  <c r="DH30" i="1"/>
  <c r="DI30" i="1"/>
  <c r="DA30" i="1"/>
  <c r="EO23" i="1"/>
  <c r="EP23" i="1"/>
  <c r="EJ23" i="1"/>
  <c r="EF23" i="1"/>
  <c r="ER23" i="1"/>
  <c r="EQ23" i="1"/>
  <c r="EL23" i="1"/>
  <c r="EN23" i="1"/>
  <c r="EM23" i="1"/>
  <c r="EK23" i="1"/>
  <c r="EI23" i="1"/>
  <c r="EH23" i="1"/>
  <c r="EE23" i="1"/>
  <c r="EG23" i="1"/>
  <c r="ED23" i="1"/>
  <c r="FV51" i="1"/>
  <c r="FI51" i="1"/>
  <c r="FT51" i="1"/>
  <c r="FQ51" i="1"/>
  <c r="FM51" i="1"/>
  <c r="FL51" i="1"/>
  <c r="FW51" i="1"/>
  <c r="FP51" i="1"/>
  <c r="FO51" i="1"/>
  <c r="FN51" i="1"/>
  <c r="FK51" i="1"/>
  <c r="FJ51" i="1"/>
  <c r="FS51" i="1"/>
  <c r="FR51" i="1"/>
  <c r="FU51" i="1"/>
  <c r="AC20" i="1"/>
  <c r="AD24" i="1"/>
  <c r="DK32" i="1"/>
  <c r="DJ32" i="1"/>
  <c r="DF32" i="1"/>
  <c r="DI32" i="1"/>
  <c r="DE32" i="1"/>
  <c r="DD32" i="1"/>
  <c r="DB32" i="1"/>
  <c r="DA32" i="1"/>
  <c r="CZ32" i="1"/>
  <c r="DM32" i="1"/>
  <c r="DL32" i="1"/>
  <c r="DH32" i="1"/>
  <c r="DG32" i="1"/>
  <c r="DC32" i="1"/>
  <c r="CY32" i="1"/>
  <c r="HA53" i="1"/>
  <c r="DD57" i="1"/>
  <c r="DF57" i="1"/>
  <c r="CZ57" i="1"/>
  <c r="CY57" i="1"/>
  <c r="DI57" i="1"/>
  <c r="DH57" i="1"/>
  <c r="DB57" i="1"/>
  <c r="DM57" i="1"/>
  <c r="DK57" i="1"/>
  <c r="DG57" i="1"/>
  <c r="DJ57" i="1"/>
  <c r="DL57" i="1"/>
  <c r="DE57" i="1"/>
  <c r="DA57" i="1"/>
  <c r="DC57" i="1"/>
  <c r="S39" i="1"/>
  <c r="O31" i="7" s="1"/>
  <c r="T44" i="1"/>
  <c r="EO31" i="1"/>
  <c r="EF31" i="1"/>
  <c r="ER31" i="1"/>
  <c r="EK31" i="1"/>
  <c r="EE31" i="1"/>
  <c r="EQ31" i="1"/>
  <c r="EP31" i="1"/>
  <c r="EL31" i="1"/>
  <c r="EN31" i="1"/>
  <c r="EM31" i="1"/>
  <c r="EJ31" i="1"/>
  <c r="EI31" i="1"/>
  <c r="EH31" i="1"/>
  <c r="EG31" i="1"/>
  <c r="ED31" i="1"/>
  <c r="FU44" i="1"/>
  <c r="FP44" i="1"/>
  <c r="FW44" i="1"/>
  <c r="FQ44" i="1"/>
  <c r="FS44" i="1"/>
  <c r="FR44" i="1"/>
  <c r="FL44" i="1"/>
  <c r="FK44" i="1"/>
  <c r="FJ44" i="1"/>
  <c r="FI44" i="1"/>
  <c r="FN44" i="1"/>
  <c r="FV44" i="1"/>
  <c r="FT44" i="1"/>
  <c r="FO44" i="1"/>
  <c r="FM44" i="1"/>
  <c r="FV13" i="1"/>
  <c r="FV12" i="1" s="1"/>
  <c r="FK13" i="1"/>
  <c r="FK12" i="1" s="1"/>
  <c r="FW13" i="1"/>
  <c r="FW12" i="1" s="1"/>
  <c r="FM13" i="1"/>
  <c r="FM12" i="1" s="1"/>
  <c r="FR13" i="1"/>
  <c r="FR12" i="1" s="1"/>
  <c r="FU13" i="1"/>
  <c r="FU12" i="1" s="1"/>
  <c r="FT13" i="1"/>
  <c r="FT12" i="1" s="1"/>
  <c r="AD12" i="1"/>
  <c r="FI13" i="1"/>
  <c r="FI12" i="1" s="1"/>
  <c r="FQ13" i="1"/>
  <c r="FQ12" i="1" s="1"/>
  <c r="FP13" i="1"/>
  <c r="FP12" i="1" s="1"/>
  <c r="FO13" i="1"/>
  <c r="FO12" i="1" s="1"/>
  <c r="FN13" i="1"/>
  <c r="FN12" i="1" s="1"/>
  <c r="FS13" i="1"/>
  <c r="FS12" i="1" s="1"/>
  <c r="FL13" i="1"/>
  <c r="FL12" i="1" s="1"/>
  <c r="FJ13" i="1"/>
  <c r="FJ12" i="1" s="1"/>
  <c r="X39" i="1"/>
  <c r="P31" i="7" s="1"/>
  <c r="Y40" i="1"/>
  <c r="DL46" i="1"/>
  <c r="DI46" i="1"/>
  <c r="DH46" i="1"/>
  <c r="DD46" i="1"/>
  <c r="DG46" i="1"/>
  <c r="DC46" i="1"/>
  <c r="DB46" i="1"/>
  <c r="DM46" i="1"/>
  <c r="DK46" i="1"/>
  <c r="CZ46" i="1"/>
  <c r="CY46" i="1"/>
  <c r="DF46" i="1"/>
  <c r="DJ46" i="1"/>
  <c r="DE46" i="1"/>
  <c r="DA46" i="1"/>
  <c r="FR49" i="1"/>
  <c r="FT49" i="1"/>
  <c r="FN49" i="1"/>
  <c r="FK49" i="1"/>
  <c r="FQ49" i="1"/>
  <c r="FP49" i="1"/>
  <c r="FJ49" i="1"/>
  <c r="FI49" i="1"/>
  <c r="FW49" i="1"/>
  <c r="FV49" i="1"/>
  <c r="FO49" i="1"/>
  <c r="FL49" i="1"/>
  <c r="FU49" i="1"/>
  <c r="FS49" i="1"/>
  <c r="FM49" i="1"/>
  <c r="FT30" i="1"/>
  <c r="FW30" i="1"/>
  <c r="FQ30" i="1"/>
  <c r="FS30" i="1"/>
  <c r="FM30" i="1"/>
  <c r="FN30" i="1"/>
  <c r="FL30" i="1"/>
  <c r="FV30" i="1"/>
  <c r="FR30" i="1"/>
  <c r="FP30" i="1"/>
  <c r="FU30" i="1"/>
  <c r="FO30" i="1"/>
  <c r="FK30" i="1"/>
  <c r="FJ30" i="1"/>
  <c r="FI30" i="1"/>
  <c r="DI23" i="1"/>
  <c r="DD23" i="1"/>
  <c r="DB23" i="1"/>
  <c r="CY23" i="1"/>
  <c r="DJ23" i="1"/>
  <c r="DH23" i="1"/>
  <c r="DG23" i="1"/>
  <c r="DE23" i="1"/>
  <c r="DC23" i="1"/>
  <c r="DA23" i="1"/>
  <c r="DM23" i="1"/>
  <c r="DK23" i="1"/>
  <c r="DL23" i="1"/>
  <c r="DF23" i="1"/>
  <c r="CZ23" i="1"/>
  <c r="DH51" i="1"/>
  <c r="DG51" i="1"/>
  <c r="DJ51" i="1"/>
  <c r="DI51" i="1"/>
  <c r="DC51" i="1"/>
  <c r="DB51" i="1"/>
  <c r="CY51" i="1"/>
  <c r="DE51" i="1"/>
  <c r="DD51" i="1"/>
  <c r="DA51" i="1"/>
  <c r="DM51" i="1"/>
  <c r="DL51" i="1"/>
  <c r="DK51" i="1"/>
  <c r="DF51" i="1"/>
  <c r="CZ51" i="1"/>
  <c r="EQ24" i="1"/>
  <c r="EM24" i="1"/>
  <c r="EK24" i="1"/>
  <c r="EF24" i="1"/>
  <c r="EJ24" i="1"/>
  <c r="EI24" i="1"/>
  <c r="ED24" i="1"/>
  <c r="ER24" i="1"/>
  <c r="EP24" i="1"/>
  <c r="EO24" i="1"/>
  <c r="EN24" i="1"/>
  <c r="EL24" i="1"/>
  <c r="EE24" i="1"/>
  <c r="EH24" i="1"/>
  <c r="EG24" i="1"/>
  <c r="FL32" i="1"/>
  <c r="FW32" i="1"/>
  <c r="FM32" i="1"/>
  <c r="FJ32" i="1"/>
  <c r="FI32" i="1"/>
  <c r="FS32" i="1"/>
  <c r="FU32" i="1"/>
  <c r="FT32" i="1"/>
  <c r="FV32" i="1"/>
  <c r="FR32" i="1"/>
  <c r="FO32" i="1"/>
  <c r="FK32" i="1"/>
  <c r="FQ32" i="1"/>
  <c r="FP32" i="1"/>
  <c r="FN32" i="1"/>
  <c r="DF43" i="1"/>
  <c r="CZ43" i="1"/>
  <c r="CY43" i="1"/>
  <c r="DL43" i="1"/>
  <c r="DH43" i="1"/>
  <c r="DD43" i="1"/>
  <c r="DC43" i="1"/>
  <c r="DJ43" i="1"/>
  <c r="DI43" i="1"/>
  <c r="DG43" i="1"/>
  <c r="DB43" i="1"/>
  <c r="DA43" i="1"/>
  <c r="DK43" i="1"/>
  <c r="DM43" i="1"/>
  <c r="DE43" i="1"/>
  <c r="AH51" i="1"/>
  <c r="AI51" i="1" s="1"/>
  <c r="HA51" i="1" s="1"/>
  <c r="DM33" i="1"/>
  <c r="DL33" i="1"/>
  <c r="DH33" i="1"/>
  <c r="DK33" i="1"/>
  <c r="DJ33" i="1"/>
  <c r="DI33" i="1"/>
  <c r="DF33" i="1"/>
  <c r="DD33" i="1"/>
  <c r="DE33" i="1"/>
  <c r="CY33" i="1"/>
  <c r="DC33" i="1"/>
  <c r="DB33" i="1"/>
  <c r="DA33" i="1"/>
  <c r="DG33" i="1"/>
  <c r="CZ33" i="1"/>
  <c r="FJ45" i="1"/>
  <c r="FS45" i="1"/>
  <c r="FI45" i="1"/>
  <c r="FV45" i="1"/>
  <c r="FU45" i="1"/>
  <c r="FT45" i="1"/>
  <c r="FP45" i="1"/>
  <c r="FR45" i="1"/>
  <c r="FQ45" i="1"/>
  <c r="FO45" i="1"/>
  <c r="FN45" i="1"/>
  <c r="FM45" i="1"/>
  <c r="FW45" i="1"/>
  <c r="FL45" i="1"/>
  <c r="FK45" i="1"/>
  <c r="EE26" i="1"/>
  <c r="EH26" i="1"/>
  <c r="EP26" i="1"/>
  <c r="EF26" i="1"/>
  <c r="ED26" i="1"/>
  <c r="ER26" i="1"/>
  <c r="EN26" i="1"/>
  <c r="EQ26" i="1"/>
  <c r="EO26" i="1"/>
  <c r="EM26" i="1"/>
  <c r="EL26" i="1"/>
  <c r="EK26" i="1"/>
  <c r="EG26" i="1"/>
  <c r="EJ26" i="1"/>
  <c r="EI26" i="1"/>
  <c r="EE25" i="1"/>
  <c r="EP25" i="1"/>
  <c r="EQ25" i="1"/>
  <c r="EK25" i="1"/>
  <c r="ER25" i="1"/>
  <c r="EL25" i="1"/>
  <c r="EJ25" i="1"/>
  <c r="EG25" i="1"/>
  <c r="ED25" i="1"/>
  <c r="EO25" i="1"/>
  <c r="EF25" i="1"/>
  <c r="EM25" i="1"/>
  <c r="EN25" i="1"/>
  <c r="EI25" i="1"/>
  <c r="EH25" i="1"/>
  <c r="AH45" i="1"/>
  <c r="AI45" i="1" s="1"/>
  <c r="GX45" i="1" s="1"/>
  <c r="EG17" i="1"/>
  <c r="EG12" i="1" s="1"/>
  <c r="EO17" i="1"/>
  <c r="EO12" i="1" s="1"/>
  <c r="EP17" i="1"/>
  <c r="EP12" i="1" s="1"/>
  <c r="EL17" i="1"/>
  <c r="EL12" i="1" s="1"/>
  <c r="EK17" i="1"/>
  <c r="EK12" i="1" s="1"/>
  <c r="EF17" i="1"/>
  <c r="EF12" i="1" s="1"/>
  <c r="EE17" i="1"/>
  <c r="EE12" i="1" s="1"/>
  <c r="ER17" i="1"/>
  <c r="ER12" i="1" s="1"/>
  <c r="EQ17" i="1"/>
  <c r="EQ12" i="1" s="1"/>
  <c r="EN17" i="1"/>
  <c r="EN12" i="1" s="1"/>
  <c r="EM17" i="1"/>
  <c r="EM12" i="1" s="1"/>
  <c r="EJ17" i="1"/>
  <c r="EJ12" i="1" s="1"/>
  <c r="EI17" i="1"/>
  <c r="EI12" i="1" s="1"/>
  <c r="EH17" i="1"/>
  <c r="EH12" i="1" s="1"/>
  <c r="ED17" i="1"/>
  <c r="ED12" i="1" s="1"/>
  <c r="DM25" i="1"/>
  <c r="DH25" i="1"/>
  <c r="DK25" i="1"/>
  <c r="DG25" i="1"/>
  <c r="DF25" i="1"/>
  <c r="DC25" i="1"/>
  <c r="DB25" i="1"/>
  <c r="DA25" i="1"/>
  <c r="CY25" i="1"/>
  <c r="CZ25" i="1"/>
  <c r="DI25" i="1"/>
  <c r="DL25" i="1"/>
  <c r="DJ25" i="1"/>
  <c r="DE25" i="1"/>
  <c r="DD25" i="1"/>
  <c r="CZ40" i="1"/>
  <c r="DH40" i="1"/>
  <c r="DG40" i="1"/>
  <c r="DC40" i="1"/>
  <c r="DF40" i="1"/>
  <c r="DB40" i="1"/>
  <c r="DA40" i="1"/>
  <c r="CY40" i="1"/>
  <c r="DM40" i="1"/>
  <c r="DL40" i="1"/>
  <c r="DI40" i="1"/>
  <c r="DK40" i="1"/>
  <c r="DJ40" i="1"/>
  <c r="DE40" i="1"/>
  <c r="DD40" i="1"/>
  <c r="GZ53" i="1"/>
  <c r="FJ25" i="1"/>
  <c r="FS25" i="1"/>
  <c r="FL25" i="1"/>
  <c r="FQ25" i="1"/>
  <c r="FP25" i="1"/>
  <c r="FK25" i="1"/>
  <c r="FM25" i="1"/>
  <c r="FI25" i="1"/>
  <c r="FO25" i="1"/>
  <c r="FN25" i="1"/>
  <c r="FW25" i="1"/>
  <c r="FU25" i="1"/>
  <c r="FV25" i="1"/>
  <c r="FT25" i="1"/>
  <c r="FR25" i="1"/>
  <c r="EM42" i="1"/>
  <c r="EL42" i="1"/>
  <c r="EG42" i="1"/>
  <c r="ER42" i="1"/>
  <c r="EK42" i="1"/>
  <c r="ED42" i="1"/>
  <c r="EO42" i="1"/>
  <c r="EQ42" i="1"/>
  <c r="EP42" i="1"/>
  <c r="EN42" i="1"/>
  <c r="EJ42" i="1"/>
  <c r="EI42" i="1"/>
  <c r="EE42" i="1"/>
  <c r="EH42" i="1"/>
  <c r="EF42" i="1"/>
  <c r="GR53" i="1"/>
  <c r="AH25" i="1"/>
  <c r="AI25" i="1" s="1"/>
  <c r="HA25" i="1" s="1"/>
  <c r="AH31" i="1"/>
  <c r="AI31" i="1" s="1"/>
  <c r="HA31" i="1" s="1"/>
  <c r="EK21" i="1"/>
  <c r="EI21" i="1"/>
  <c r="ED21" i="1"/>
  <c r="EO21" i="1"/>
  <c r="EH21" i="1"/>
  <c r="EG21" i="1"/>
  <c r="EF21" i="1"/>
  <c r="ER21" i="1"/>
  <c r="EQ21" i="1"/>
  <c r="EP21" i="1"/>
  <c r="EM21" i="1"/>
  <c r="EL21" i="1"/>
  <c r="EJ21" i="1"/>
  <c r="EE21" i="1"/>
  <c r="EN21" i="1"/>
  <c r="FL54" i="1"/>
  <c r="FR54" i="1"/>
  <c r="FM54" i="1"/>
  <c r="FV54" i="1"/>
  <c r="FP54" i="1"/>
  <c r="FS54" i="1"/>
  <c r="FQ54" i="1"/>
  <c r="FJ54" i="1"/>
  <c r="FI54" i="1"/>
  <c r="FW54" i="1"/>
  <c r="FU54" i="1"/>
  <c r="FT54" i="1"/>
  <c r="FO54" i="1"/>
  <c r="FN54" i="1"/>
  <c r="FK54" i="1"/>
  <c r="GN53" i="1"/>
  <c r="AH54" i="1"/>
  <c r="AI54" i="1" s="1"/>
  <c r="HA54" i="1" s="1"/>
  <c r="AH49" i="1"/>
  <c r="AI49" i="1" s="1"/>
  <c r="GZ49" i="1" s="1"/>
  <c r="AH23" i="1"/>
  <c r="AI23" i="1" s="1"/>
  <c r="GZ23" i="1" s="1"/>
  <c r="EO51" i="1"/>
  <c r="EF51" i="1"/>
  <c r="ER51" i="1"/>
  <c r="EI51" i="1"/>
  <c r="EP51" i="1"/>
  <c r="EN51" i="1"/>
  <c r="EM51" i="1"/>
  <c r="EL51" i="1"/>
  <c r="EK51" i="1"/>
  <c r="EJ51" i="1"/>
  <c r="EH51" i="1"/>
  <c r="EG51" i="1"/>
  <c r="ED51" i="1"/>
  <c r="EQ51" i="1"/>
  <c r="EE51" i="1"/>
  <c r="DK24" i="1"/>
  <c r="DF24" i="1"/>
  <c r="DG24" i="1"/>
  <c r="DC24" i="1"/>
  <c r="DB24" i="1"/>
  <c r="DM24" i="1"/>
  <c r="DL24" i="1"/>
  <c r="DJ24" i="1"/>
  <c r="CZ24" i="1"/>
  <c r="CY24" i="1"/>
  <c r="DE24" i="1"/>
  <c r="DD24" i="1"/>
  <c r="DH24" i="1"/>
  <c r="DA24" i="1"/>
  <c r="DI24" i="1"/>
  <c r="EQ32" i="1"/>
  <c r="EI32" i="1"/>
  <c r="ED32" i="1"/>
  <c r="ER32" i="1"/>
  <c r="EL32" i="1"/>
  <c r="EK32" i="1"/>
  <c r="EJ32" i="1"/>
  <c r="EE32" i="1"/>
  <c r="EN32" i="1"/>
  <c r="EM32" i="1"/>
  <c r="EH32" i="1"/>
  <c r="EG32" i="1"/>
  <c r="EF32" i="1"/>
  <c r="EO32" i="1"/>
  <c r="EP32" i="1"/>
  <c r="BG23" i="11"/>
  <c r="BG24" i="11" s="1"/>
  <c r="BG26" i="11" s="1"/>
  <c r="AO23" i="11"/>
  <c r="AO24" i="11" s="1"/>
  <c r="AO26" i="11" s="1"/>
  <c r="K23" i="11"/>
  <c r="K24" i="11" s="1"/>
  <c r="K26" i="11" s="1"/>
  <c r="DC23" i="11"/>
  <c r="DC24" i="11" s="1"/>
  <c r="DC26" i="11" s="1"/>
  <c r="CW23" i="11"/>
  <c r="CW24" i="11" s="1"/>
  <c r="CW26" i="11" s="1"/>
  <c r="BM23" i="11"/>
  <c r="BM24" i="11" s="1"/>
  <c r="BM26" i="11" s="1"/>
  <c r="W23" i="11"/>
  <c r="W24" i="11" s="1"/>
  <c r="W26" i="11" s="1"/>
  <c r="Q23" i="11"/>
  <c r="Q24" i="11" s="1"/>
  <c r="Q26" i="11" s="1"/>
  <c r="BY23" i="11"/>
  <c r="BY24" i="11" s="1"/>
  <c r="BY26" i="11" s="1"/>
  <c r="CQ23" i="11"/>
  <c r="CQ24" i="11" s="1"/>
  <c r="CQ26" i="11" s="1"/>
  <c r="CE23" i="11"/>
  <c r="CE24" i="11" s="1"/>
  <c r="CE26" i="11" s="1"/>
  <c r="BA23" i="11"/>
  <c r="BA24" i="11" s="1"/>
  <c r="BA26" i="11" s="1"/>
  <c r="AI23" i="11"/>
  <c r="AI24" i="11" s="1"/>
  <c r="AI26" i="11" s="1"/>
  <c r="EG23" i="11"/>
  <c r="EG24" i="11" s="1"/>
  <c r="EG26" i="11" s="1"/>
  <c r="EM23" i="11"/>
  <c r="EM24" i="11" s="1"/>
  <c r="EM26" i="11" s="1"/>
  <c r="BS23" i="11"/>
  <c r="BS24" i="11" s="1"/>
  <c r="BS26" i="11" s="1"/>
  <c r="DI23" i="11"/>
  <c r="DI24" i="11" s="1"/>
  <c r="DI26" i="11" s="1"/>
  <c r="DO23" i="11"/>
  <c r="DO24" i="11" s="1"/>
  <c r="DO26" i="11" s="1"/>
  <c r="ES23" i="11"/>
  <c r="ES24" i="11" s="1"/>
  <c r="ES26" i="11" s="1"/>
  <c r="HB56" i="1"/>
  <c r="HA56" i="1"/>
  <c r="GZ56" i="1"/>
  <c r="GY56" i="1"/>
  <c r="GX56" i="1"/>
  <c r="HB58" i="1"/>
  <c r="GZ58" i="1"/>
  <c r="GY58" i="1"/>
  <c r="GX58" i="1"/>
  <c r="HA58" i="1"/>
  <c r="GW56" i="1"/>
  <c r="GT56" i="1"/>
  <c r="GV56" i="1"/>
  <c r="GU56" i="1"/>
  <c r="GO56" i="1"/>
  <c r="GN56" i="1"/>
  <c r="GS56" i="1"/>
  <c r="GR56" i="1"/>
  <c r="GQ56" i="1"/>
  <c r="GP56" i="1"/>
  <c r="AT46" i="1"/>
  <c r="AW46" i="1"/>
  <c r="AV46" i="1"/>
  <c r="AU46" i="1"/>
  <c r="AS46" i="1"/>
  <c r="AQ46" i="1"/>
  <c r="AP46" i="1"/>
  <c r="AX46" i="1"/>
  <c r="AR46" i="1"/>
  <c r="AO46" i="1"/>
  <c r="AU30" i="1"/>
  <c r="AS30" i="1"/>
  <c r="AT30" i="1"/>
  <c r="AO30" i="1"/>
  <c r="AP30" i="1"/>
  <c r="AX30" i="1"/>
  <c r="AW30" i="1"/>
  <c r="AR30" i="1"/>
  <c r="AQ30" i="1"/>
  <c r="AV30" i="1"/>
  <c r="AO49" i="1"/>
  <c r="AW49" i="1"/>
  <c r="AS49" i="1"/>
  <c r="AT49" i="1"/>
  <c r="AR49" i="1"/>
  <c r="AQ49" i="1"/>
  <c r="AP49" i="1"/>
  <c r="AX49" i="1"/>
  <c r="AV49" i="1"/>
  <c r="AU49" i="1"/>
  <c r="AV21" i="1"/>
  <c r="AT21" i="1"/>
  <c r="AX21" i="1"/>
  <c r="AW21" i="1"/>
  <c r="AU21" i="1"/>
  <c r="AR21" i="1"/>
  <c r="AS21" i="1"/>
  <c r="AQ21" i="1"/>
  <c r="AP21" i="1"/>
  <c r="AO21" i="1"/>
  <c r="AT54" i="1"/>
  <c r="AS54" i="1"/>
  <c r="AP54" i="1"/>
  <c r="AO54" i="1"/>
  <c r="AQ54" i="1"/>
  <c r="AX54" i="1"/>
  <c r="AW54" i="1"/>
  <c r="AV54" i="1"/>
  <c r="AU54" i="1"/>
  <c r="AR54" i="1"/>
  <c r="AR33" i="1"/>
  <c r="AU33" i="1"/>
  <c r="AO33" i="1"/>
  <c r="AV33" i="1"/>
  <c r="AX33" i="1"/>
  <c r="AW33" i="1"/>
  <c r="AS33" i="1"/>
  <c r="AT33" i="1"/>
  <c r="AQ33" i="1"/>
  <c r="AP33" i="1"/>
  <c r="AV43" i="1"/>
  <c r="AP43" i="1"/>
  <c r="AU43" i="1"/>
  <c r="AQ43" i="1"/>
  <c r="AO43" i="1"/>
  <c r="AS43" i="1"/>
  <c r="AR43" i="1"/>
  <c r="AX43" i="1"/>
  <c r="AW43" i="1"/>
  <c r="AT43" i="1"/>
  <c r="AX40" i="1"/>
  <c r="AW40" i="1"/>
  <c r="AU40" i="1"/>
  <c r="AV40" i="1"/>
  <c r="AO40" i="1"/>
  <c r="AS40" i="1"/>
  <c r="AQ40" i="1"/>
  <c r="AP40" i="1"/>
  <c r="AR40" i="1"/>
  <c r="AT40" i="1"/>
  <c r="AV58" i="1"/>
  <c r="AU58" i="1"/>
  <c r="AT58" i="1"/>
  <c r="AP58" i="1"/>
  <c r="AS58" i="1"/>
  <c r="AX58" i="1"/>
  <c r="AW58" i="1"/>
  <c r="AR58" i="1"/>
  <c r="AQ58" i="1"/>
  <c r="AO58" i="1"/>
  <c r="GO48" i="1"/>
  <c r="GN48" i="1"/>
  <c r="GW48" i="1"/>
  <c r="GV48" i="1"/>
  <c r="GU48" i="1"/>
  <c r="GQ48" i="1"/>
  <c r="GP48" i="1"/>
  <c r="GR48" i="1"/>
  <c r="GT48" i="1"/>
  <c r="GS48" i="1"/>
  <c r="AS29" i="1"/>
  <c r="AR29" i="1"/>
  <c r="AQ29" i="1"/>
  <c r="AX29" i="1"/>
  <c r="AT29" i="1"/>
  <c r="AV29" i="1"/>
  <c r="AW29" i="1"/>
  <c r="AO29" i="1"/>
  <c r="AU29" i="1"/>
  <c r="AP29" i="1"/>
  <c r="AW31" i="1"/>
  <c r="AV31" i="1"/>
  <c r="AU31" i="1"/>
  <c r="AO31" i="1"/>
  <c r="AP31" i="1"/>
  <c r="AX31" i="1"/>
  <c r="AR31" i="1"/>
  <c r="AQ31" i="1"/>
  <c r="AS31" i="1"/>
  <c r="AT31" i="1"/>
  <c r="AP32" i="1"/>
  <c r="AX32" i="1"/>
  <c r="AR32" i="1"/>
  <c r="AW32" i="1"/>
  <c r="AT32" i="1"/>
  <c r="AS32" i="1"/>
  <c r="AV32" i="1"/>
  <c r="AU32" i="1"/>
  <c r="AQ32" i="1"/>
  <c r="AO32" i="1"/>
  <c r="AX41" i="1"/>
  <c r="AR41" i="1"/>
  <c r="AP41" i="1"/>
  <c r="AW41" i="1"/>
  <c r="AV41" i="1"/>
  <c r="AU41" i="1"/>
  <c r="AS41" i="1"/>
  <c r="AT41" i="1"/>
  <c r="AQ41" i="1"/>
  <c r="AO41" i="1"/>
  <c r="AX56" i="1"/>
  <c r="AQ56" i="1"/>
  <c r="AP56" i="1"/>
  <c r="AO56" i="1"/>
  <c r="AS56" i="1"/>
  <c r="AV56" i="1"/>
  <c r="AW56" i="1"/>
  <c r="AU56" i="1"/>
  <c r="AT56" i="1"/>
  <c r="AR56" i="1"/>
  <c r="AR23" i="1"/>
  <c r="AP23" i="1"/>
  <c r="AQ23" i="1"/>
  <c r="AX23" i="1"/>
  <c r="AU23" i="1"/>
  <c r="AT23" i="1"/>
  <c r="AO23" i="1"/>
  <c r="AW23" i="1"/>
  <c r="AV23" i="1"/>
  <c r="AS23" i="1"/>
  <c r="GQ15" i="1"/>
  <c r="GX15" i="1"/>
  <c r="GW15" i="1"/>
  <c r="GV15" i="1"/>
  <c r="GO15" i="1"/>
  <c r="GN15" i="1"/>
  <c r="HB15" i="1"/>
  <c r="HA15" i="1"/>
  <c r="GZ15" i="1"/>
  <c r="GY15" i="1"/>
  <c r="GU15" i="1"/>
  <c r="GT15" i="1"/>
  <c r="GS15" i="1"/>
  <c r="GR15" i="1"/>
  <c r="GP15" i="1"/>
  <c r="BW15" i="1"/>
  <c r="CA15" i="1"/>
  <c r="BZ15" i="1"/>
  <c r="BV15" i="1"/>
  <c r="BX15" i="1"/>
  <c r="BY15" i="1"/>
  <c r="BU15" i="1"/>
  <c r="CC15" i="1"/>
  <c r="CB15" i="1"/>
  <c r="BT15" i="1"/>
  <c r="GR13" i="1"/>
  <c r="GQ13" i="1"/>
  <c r="GP13" i="1"/>
  <c r="GZ13" i="1"/>
  <c r="GY13" i="1"/>
  <c r="HB13" i="1"/>
  <c r="GU13" i="1"/>
  <c r="GT13" i="1"/>
  <c r="GW13" i="1"/>
  <c r="GV13" i="1"/>
  <c r="GN13" i="1"/>
  <c r="GX13" i="1"/>
  <c r="HA13" i="1"/>
  <c r="GS13" i="1"/>
  <c r="GO13" i="1"/>
  <c r="BJ36" i="1"/>
  <c r="AT36" i="1"/>
  <c r="BF36" i="1"/>
  <c r="AO36" i="1"/>
  <c r="BE36" i="1"/>
  <c r="BD36" i="1"/>
  <c r="AX36" i="1"/>
  <c r="BK36" i="1"/>
  <c r="AU36" i="1"/>
  <c r="BB36" i="1"/>
  <c r="BA36" i="1"/>
  <c r="AQ36" i="1"/>
  <c r="AY36" i="1"/>
  <c r="BH36" i="1"/>
  <c r="BM36" i="1"/>
  <c r="BL36" i="1"/>
  <c r="BI36" i="1"/>
  <c r="BG36" i="1"/>
  <c r="BC36" i="1"/>
  <c r="AZ36" i="1"/>
  <c r="AW36" i="1"/>
  <c r="AP36" i="1"/>
  <c r="AV36" i="1"/>
  <c r="AS36" i="1"/>
  <c r="AR36" i="1"/>
  <c r="AQ50" i="1"/>
  <c r="AP50" i="1"/>
  <c r="AO50" i="1"/>
  <c r="AT50" i="1"/>
  <c r="AR50" i="1"/>
  <c r="AV50" i="1"/>
  <c r="AU50" i="1"/>
  <c r="AX50" i="1"/>
  <c r="AW50" i="1"/>
  <c r="AS50" i="1"/>
  <c r="AP22" i="1"/>
  <c r="AO22" i="1"/>
  <c r="AX22" i="1"/>
  <c r="AS22" i="1"/>
  <c r="AQ22" i="1"/>
  <c r="AU22" i="1"/>
  <c r="AT22" i="1"/>
  <c r="AW22" i="1"/>
  <c r="AV22" i="1"/>
  <c r="AR22" i="1"/>
  <c r="AV55" i="1"/>
  <c r="AW55" i="1"/>
  <c r="AU55" i="1"/>
  <c r="AP55" i="1"/>
  <c r="AX55" i="1"/>
  <c r="AT55" i="1"/>
  <c r="AS55" i="1"/>
  <c r="AR55" i="1"/>
  <c r="AO55" i="1"/>
  <c r="AQ55" i="1"/>
  <c r="AX48" i="1"/>
  <c r="AT48" i="1"/>
  <c r="AW48" i="1"/>
  <c r="AV48" i="1"/>
  <c r="AU48" i="1"/>
  <c r="AS48" i="1"/>
  <c r="AR48" i="1"/>
  <c r="AQ48" i="1"/>
  <c r="AP48" i="1"/>
  <c r="AO48" i="1"/>
  <c r="CO36" i="1"/>
  <c r="BY36" i="1"/>
  <c r="CF36" i="1"/>
  <c r="CE36" i="1"/>
  <c r="CD36" i="1"/>
  <c r="CN36" i="1"/>
  <c r="BW36" i="1"/>
  <c r="CM36" i="1"/>
  <c r="BV36" i="1"/>
  <c r="CL36" i="1"/>
  <c r="CK36" i="1"/>
  <c r="BU36" i="1"/>
  <c r="CQ36" i="1"/>
  <c r="CP36" i="1"/>
  <c r="CA36" i="1"/>
  <c r="CB36" i="1"/>
  <c r="BZ36" i="1"/>
  <c r="CR36" i="1"/>
  <c r="CG36" i="1"/>
  <c r="CC36" i="1"/>
  <c r="BX36" i="1"/>
  <c r="BT36" i="1"/>
  <c r="CJ36" i="1"/>
  <c r="CI36" i="1"/>
  <c r="CH36" i="1"/>
  <c r="AP44" i="1"/>
  <c r="AQ44" i="1"/>
  <c r="AO44" i="1"/>
  <c r="AV44" i="1"/>
  <c r="AX44" i="1"/>
  <c r="AW44" i="1"/>
  <c r="AU44" i="1"/>
  <c r="AR44" i="1"/>
  <c r="AT44" i="1"/>
  <c r="AS44" i="1"/>
  <c r="GS50" i="1"/>
  <c r="GP50" i="1"/>
  <c r="GR50" i="1"/>
  <c r="GQ50" i="1"/>
  <c r="GT50" i="1"/>
  <c r="GO50" i="1"/>
  <c r="GU50" i="1"/>
  <c r="GW50" i="1"/>
  <c r="GV50" i="1"/>
  <c r="GN50" i="1"/>
  <c r="AT42" i="1"/>
  <c r="AR42" i="1"/>
  <c r="AV42" i="1"/>
  <c r="AQ42" i="1"/>
  <c r="AX42" i="1"/>
  <c r="AW42" i="1"/>
  <c r="AP42" i="1"/>
  <c r="AO42" i="1"/>
  <c r="AU42" i="1"/>
  <c r="AS42" i="1"/>
  <c r="AS51" i="1"/>
  <c r="AR51" i="1"/>
  <c r="AQ51" i="1"/>
  <c r="AX51" i="1"/>
  <c r="AP51" i="1"/>
  <c r="AO51" i="1"/>
  <c r="AW51" i="1"/>
  <c r="AV51" i="1"/>
  <c r="AU51" i="1"/>
  <c r="AT51" i="1"/>
  <c r="AT26" i="1"/>
  <c r="AR26" i="1"/>
  <c r="AQ26" i="1"/>
  <c r="AO26" i="1"/>
  <c r="AW26" i="1"/>
  <c r="AV26" i="1"/>
  <c r="AU26" i="1"/>
  <c r="AX26" i="1"/>
  <c r="AS26" i="1"/>
  <c r="AP26" i="1"/>
  <c r="BL37" i="1"/>
  <c r="AV37" i="1"/>
  <c r="BJ37" i="1"/>
  <c r="AS37" i="1"/>
  <c r="BI37" i="1"/>
  <c r="AR37" i="1"/>
  <c r="AQ37" i="1"/>
  <c r="BH37" i="1"/>
  <c r="BB37" i="1"/>
  <c r="BA37" i="1"/>
  <c r="BG37" i="1"/>
  <c r="AW37" i="1"/>
  <c r="AU37" i="1"/>
  <c r="BK37" i="1"/>
  <c r="AX37" i="1"/>
  <c r="BM37" i="1"/>
  <c r="BF37" i="1"/>
  <c r="BE37" i="1"/>
  <c r="BD37" i="1"/>
  <c r="BC37" i="1"/>
  <c r="AZ37" i="1"/>
  <c r="AY37" i="1"/>
  <c r="AO37" i="1"/>
  <c r="AT37" i="1"/>
  <c r="AP37" i="1"/>
  <c r="AP52" i="1"/>
  <c r="AV52" i="1"/>
  <c r="AU52" i="1"/>
  <c r="AT52" i="1"/>
  <c r="AQ52" i="1"/>
  <c r="AW52" i="1"/>
  <c r="AS52" i="1"/>
  <c r="AX52" i="1"/>
  <c r="AR52" i="1"/>
  <c r="AO52" i="1"/>
  <c r="CQ37" i="1"/>
  <c r="CA37" i="1"/>
  <c r="CJ37" i="1"/>
  <c r="CH37" i="1"/>
  <c r="CI37" i="1"/>
  <c r="CB37" i="1"/>
  <c r="CR37" i="1"/>
  <c r="BZ37" i="1"/>
  <c r="CD37" i="1"/>
  <c r="CC37" i="1"/>
  <c r="CL37" i="1"/>
  <c r="CK37" i="1"/>
  <c r="CG37" i="1"/>
  <c r="BU37" i="1"/>
  <c r="BY37" i="1"/>
  <c r="BX37" i="1"/>
  <c r="CP37" i="1"/>
  <c r="CO37" i="1"/>
  <c r="CN37" i="1"/>
  <c r="CM37" i="1"/>
  <c r="CF37" i="1"/>
  <c r="CE37" i="1"/>
  <c r="BW37" i="1"/>
  <c r="BV37" i="1"/>
  <c r="BT37" i="1"/>
  <c r="AV47" i="1"/>
  <c r="AX47" i="1"/>
  <c r="AQ47" i="1"/>
  <c r="AU47" i="1"/>
  <c r="AP47" i="1"/>
  <c r="AS47" i="1"/>
  <c r="AR47" i="1"/>
  <c r="AO47" i="1"/>
  <c r="AW47" i="1"/>
  <c r="AT47" i="1"/>
  <c r="CC13" i="1"/>
  <c r="CB13" i="1"/>
  <c r="CA13" i="1"/>
  <c r="BU13" i="1"/>
  <c r="BT13" i="1"/>
  <c r="BW13" i="1"/>
  <c r="BZ13" i="1"/>
  <c r="BY13" i="1"/>
  <c r="BX13" i="1"/>
  <c r="BV13" i="1"/>
  <c r="GS58" i="1"/>
  <c r="GR58" i="1"/>
  <c r="GW58" i="1"/>
  <c r="GT58" i="1"/>
  <c r="GQ58" i="1"/>
  <c r="GU58" i="1"/>
  <c r="GP58" i="1"/>
  <c r="GO58" i="1"/>
  <c r="GV58" i="1"/>
  <c r="GN58" i="1"/>
  <c r="GQ33" i="1"/>
  <c r="GR33" i="1"/>
  <c r="GN33" i="1"/>
  <c r="GP33" i="1"/>
  <c r="GO33" i="1"/>
  <c r="GS33" i="1"/>
  <c r="GW33" i="1"/>
  <c r="GV33" i="1"/>
  <c r="GU33" i="1"/>
  <c r="GT33" i="1"/>
  <c r="AX28" i="1"/>
  <c r="AP28" i="1"/>
  <c r="AO28" i="1"/>
  <c r="AR28" i="1"/>
  <c r="AW28" i="1"/>
  <c r="AU28" i="1"/>
  <c r="AS28" i="1"/>
  <c r="AQ28" i="1"/>
  <c r="AV28" i="1"/>
  <c r="AT28" i="1"/>
  <c r="GV57" i="1"/>
  <c r="GW57" i="1"/>
  <c r="GQ57" i="1"/>
  <c r="GP57" i="1"/>
  <c r="GR57" i="1"/>
  <c r="GO57" i="1"/>
  <c r="GS57" i="1"/>
  <c r="GN57" i="1"/>
  <c r="GT57" i="1"/>
  <c r="GU57" i="1"/>
  <c r="CA17" i="1"/>
  <c r="BX17" i="1"/>
  <c r="BW17" i="1"/>
  <c r="BV17" i="1"/>
  <c r="BU17" i="1"/>
  <c r="BT17" i="1"/>
  <c r="BY17" i="1"/>
  <c r="CC17" i="1"/>
  <c r="CB17" i="1"/>
  <c r="BZ17" i="1"/>
  <c r="AR25" i="1"/>
  <c r="AX25" i="1"/>
  <c r="AW25" i="1"/>
  <c r="AV25" i="1"/>
  <c r="AO25" i="1"/>
  <c r="AS25" i="1"/>
  <c r="AT25" i="1"/>
  <c r="AQ25" i="1"/>
  <c r="AP25" i="1"/>
  <c r="AU25" i="1"/>
  <c r="AR45" i="1"/>
  <c r="AT45" i="1"/>
  <c r="AS45" i="1"/>
  <c r="AQ45" i="1"/>
  <c r="AW45" i="1"/>
  <c r="AU45" i="1"/>
  <c r="AP45" i="1"/>
  <c r="AO45" i="1"/>
  <c r="AX45" i="1"/>
  <c r="AV45" i="1"/>
  <c r="BW53" i="1"/>
  <c r="BY53" i="1"/>
  <c r="BX53" i="1"/>
  <c r="BV53" i="1"/>
  <c r="CB53" i="1"/>
  <c r="CC53" i="1"/>
  <c r="BU53" i="1"/>
  <c r="BT53" i="1"/>
  <c r="CA53" i="1"/>
  <c r="BZ53" i="1"/>
  <c r="AT57" i="1"/>
  <c r="AS57" i="1"/>
  <c r="AR57" i="1"/>
  <c r="AQ57" i="1"/>
  <c r="AP57" i="1"/>
  <c r="AV57" i="1"/>
  <c r="AX57" i="1"/>
  <c r="AW57" i="1"/>
  <c r="AU57" i="1"/>
  <c r="AO57" i="1"/>
  <c r="AV27" i="1"/>
  <c r="AU27" i="1"/>
  <c r="AQ27" i="1"/>
  <c r="AX27" i="1"/>
  <c r="AW27" i="1"/>
  <c r="AT27" i="1"/>
  <c r="AO27" i="1"/>
  <c r="AS27" i="1"/>
  <c r="AR27" i="1"/>
  <c r="AP27" i="1"/>
  <c r="AP24" i="1"/>
  <c r="AU24" i="1"/>
  <c r="AT24" i="1"/>
  <c r="AS24" i="1"/>
  <c r="AQ24" i="1"/>
  <c r="AW24" i="1"/>
  <c r="AO24" i="1"/>
  <c r="AX24" i="1"/>
  <c r="AV24" i="1"/>
  <c r="AR24" i="1"/>
  <c r="HK36" i="1"/>
  <c r="GU36" i="1"/>
  <c r="HJ36" i="1"/>
  <c r="GT36" i="1"/>
  <c r="HI36" i="1"/>
  <c r="GS36" i="1"/>
  <c r="HH36" i="1"/>
  <c r="GR36" i="1"/>
  <c r="HG36" i="1"/>
  <c r="GQ36" i="1"/>
  <c r="HF36" i="1"/>
  <c r="GP36" i="1"/>
  <c r="HE36" i="1"/>
  <c r="GO36" i="1"/>
  <c r="HD36" i="1"/>
  <c r="GN36" i="1"/>
  <c r="HC36" i="1"/>
  <c r="HB36" i="1"/>
  <c r="HA36" i="1"/>
  <c r="GZ36" i="1"/>
  <c r="GY36" i="1"/>
  <c r="GX36" i="1"/>
  <c r="GW36" i="1"/>
  <c r="HL36" i="1"/>
  <c r="GV36" i="1"/>
  <c r="I20" i="1"/>
  <c r="M30" i="7" s="1"/>
  <c r="CE14" i="11"/>
  <c r="BY14" i="11"/>
  <c r="BA14" i="11"/>
  <c r="CK14" i="11"/>
  <c r="EG14" i="11"/>
  <c r="Q14" i="11"/>
  <c r="J14" i="48" s="1"/>
  <c r="K14" i="48" s="1"/>
  <c r="EA14" i="11"/>
  <c r="AU14" i="11"/>
  <c r="DU14" i="11"/>
  <c r="BM14" i="11"/>
  <c r="BS14" i="11"/>
  <c r="W14" i="11"/>
  <c r="CQ14" i="11"/>
  <c r="ES14" i="11"/>
  <c r="BG14" i="11"/>
  <c r="K14" i="11"/>
  <c r="AO14" i="11"/>
  <c r="DO14" i="11"/>
  <c r="EM14" i="11"/>
  <c r="AC14" i="11"/>
  <c r="DI14" i="11"/>
  <c r="DC14" i="11"/>
  <c r="CW14" i="11"/>
  <c r="AI14" i="11"/>
  <c r="I35" i="1"/>
  <c r="I39" i="1"/>
  <c r="M31" i="7" s="1"/>
  <c r="S12" i="34"/>
  <c r="S13" i="34" s="1"/>
  <c r="S19" i="34" s="1"/>
  <c r="G12" i="34"/>
  <c r="G13" i="34" s="1"/>
  <c r="G19" i="34" s="1"/>
  <c r="O14" i="34"/>
  <c r="O19" i="34" s="1"/>
  <c r="K12" i="34"/>
  <c r="K13" i="34" s="1"/>
  <c r="K19" i="34" s="1"/>
  <c r="K7" i="11"/>
  <c r="N13" i="7"/>
  <c r="N17" i="7"/>
  <c r="R13" i="7"/>
  <c r="N20" i="1"/>
  <c r="N30" i="7" s="1"/>
  <c r="N39" i="1"/>
  <c r="N31" i="7" s="1"/>
  <c r="N35" i="1"/>
  <c r="GX29" i="1" l="1"/>
  <c r="GY29" i="1"/>
  <c r="CE20" i="1"/>
  <c r="CD39" i="1"/>
  <c r="CD20" i="1"/>
  <c r="CE39" i="1"/>
  <c r="AY39" i="1"/>
  <c r="AZ39" i="1"/>
  <c r="AY20" i="1"/>
  <c r="AZ20" i="1"/>
  <c r="HA29" i="1"/>
  <c r="P28" i="7"/>
  <c r="X10" i="1"/>
  <c r="X60" i="1" s="1"/>
  <c r="I18" i="54" s="1"/>
  <c r="I19" i="54" s="1"/>
  <c r="HB29" i="1"/>
  <c r="GP27" i="1"/>
  <c r="GU28" i="1"/>
  <c r="GV47" i="1"/>
  <c r="GN47" i="1"/>
  <c r="GU42" i="1"/>
  <c r="GO47" i="1"/>
  <c r="GV42" i="1"/>
  <c r="GT47" i="1"/>
  <c r="GN42" i="1"/>
  <c r="GN45" i="1"/>
  <c r="GT45" i="1"/>
  <c r="GS28" i="1"/>
  <c r="GV45" i="1"/>
  <c r="GW45" i="1"/>
  <c r="GR28" i="1"/>
  <c r="GS45" i="1"/>
  <c r="GX28" i="1"/>
  <c r="HA47" i="1"/>
  <c r="GZ45" i="1"/>
  <c r="GU45" i="1"/>
  <c r="GW28" i="1"/>
  <c r="HA45" i="1"/>
  <c r="HA21" i="1"/>
  <c r="GY21" i="1"/>
  <c r="GY45" i="1"/>
  <c r="GV31" i="1"/>
  <c r="GW42" i="1"/>
  <c r="GW54" i="1"/>
  <c r="GZ28" i="1"/>
  <c r="GP54" i="1"/>
  <c r="GP42" i="1"/>
  <c r="GW31" i="1"/>
  <c r="GO31" i="1"/>
  <c r="GS31" i="1"/>
  <c r="HA41" i="1"/>
  <c r="GY42" i="1"/>
  <c r="GN27" i="1"/>
  <c r="GX42" i="1"/>
  <c r="AC10" i="1"/>
  <c r="AC60" i="1" s="1"/>
  <c r="L18" i="54" s="1"/>
  <c r="L19" i="54" s="1"/>
  <c r="Q30" i="7"/>
  <c r="Q28" i="7" s="1"/>
  <c r="GN31" i="1"/>
  <c r="HA44" i="1"/>
  <c r="GT31" i="1"/>
  <c r="HB45" i="1"/>
  <c r="GO45" i="1"/>
  <c r="HB54" i="1"/>
  <c r="S10" i="1"/>
  <c r="S60" i="1" s="1"/>
  <c r="O30" i="7"/>
  <c r="O28" i="7" s="1"/>
  <c r="GS27" i="1"/>
  <c r="GR32" i="1"/>
  <c r="GT27" i="1"/>
  <c r="GQ45" i="1"/>
  <c r="HA42" i="1"/>
  <c r="GS32" i="1"/>
  <c r="GV27" i="1"/>
  <c r="GR45" i="1"/>
  <c r="GR47" i="1"/>
  <c r="GZ41" i="1"/>
  <c r="GT28" i="1"/>
  <c r="GU47" i="1"/>
  <c r="GO42" i="1"/>
  <c r="GX51" i="1"/>
  <c r="HB41" i="1"/>
  <c r="HB25" i="1"/>
  <c r="GY41" i="1"/>
  <c r="GX25" i="1"/>
  <c r="GW41" i="1"/>
  <c r="GQ27" i="1"/>
  <c r="GN41" i="1"/>
  <c r="GY28" i="1"/>
  <c r="GX41" i="1"/>
  <c r="GR27" i="1"/>
  <c r="GR41" i="1"/>
  <c r="GZ51" i="1"/>
  <c r="GR46" i="1"/>
  <c r="GV28" i="1"/>
  <c r="GO41" i="1"/>
  <c r="GN28" i="1"/>
  <c r="GQ41" i="1"/>
  <c r="GR42" i="1"/>
  <c r="HB31" i="1"/>
  <c r="GZ25" i="1"/>
  <c r="GO28" i="1"/>
  <c r="GP41" i="1"/>
  <c r="GS42" i="1"/>
  <c r="GY25" i="1"/>
  <c r="GU41" i="1"/>
  <c r="GS46" i="1"/>
  <c r="GV41" i="1"/>
  <c r="GP28" i="1"/>
  <c r="GS41" i="1"/>
  <c r="GT42" i="1"/>
  <c r="HA26" i="1"/>
  <c r="GQ28" i="1"/>
  <c r="GQ47" i="1"/>
  <c r="GQ42" i="1"/>
  <c r="HB46" i="1"/>
  <c r="GX26" i="1"/>
  <c r="GN32" i="1"/>
  <c r="GS47" i="1"/>
  <c r="GS54" i="1"/>
  <c r="GY32" i="1"/>
  <c r="GX54" i="1"/>
  <c r="GY51" i="1"/>
  <c r="GT32" i="1"/>
  <c r="GW47" i="1"/>
  <c r="GQ54" i="1"/>
  <c r="GY31" i="1"/>
  <c r="GY54" i="1"/>
  <c r="GO32" i="1"/>
  <c r="GO54" i="1"/>
  <c r="HB51" i="1"/>
  <c r="GT54" i="1"/>
  <c r="GY47" i="1"/>
  <c r="GZ32" i="1"/>
  <c r="GZ31" i="1"/>
  <c r="GZ52" i="1"/>
  <c r="GU54" i="1"/>
  <c r="GX52" i="1"/>
  <c r="GX47" i="1"/>
  <c r="HB52" i="1"/>
  <c r="GZ54" i="1"/>
  <c r="GV54" i="1"/>
  <c r="GW55" i="1"/>
  <c r="GQ31" i="1"/>
  <c r="GX31" i="1"/>
  <c r="GZ47" i="1"/>
  <c r="HB32" i="1"/>
  <c r="GU32" i="1"/>
  <c r="GV32" i="1"/>
  <c r="GX32" i="1"/>
  <c r="GW32" i="1"/>
  <c r="GY52" i="1"/>
  <c r="GQ32" i="1"/>
  <c r="GR31" i="1"/>
  <c r="HB26" i="1"/>
  <c r="HB28" i="1"/>
  <c r="GZ26" i="1"/>
  <c r="GR54" i="1"/>
  <c r="GN54" i="1"/>
  <c r="GP32" i="1"/>
  <c r="GP47" i="1"/>
  <c r="GU31" i="1"/>
  <c r="GZ42" i="1"/>
  <c r="GT46" i="1"/>
  <c r="GX21" i="1"/>
  <c r="AH39" i="1"/>
  <c r="R31" i="7" s="1"/>
  <c r="AI40" i="1"/>
  <c r="AI39" i="1" s="1"/>
  <c r="GX46" i="1"/>
  <c r="GV46" i="1"/>
  <c r="GW27" i="1"/>
  <c r="GZ21" i="1"/>
  <c r="HA27" i="1"/>
  <c r="GN46" i="1"/>
  <c r="EI40" i="1"/>
  <c r="EI39" i="1" s="1"/>
  <c r="EF40" i="1"/>
  <c r="EF39" i="1" s="1"/>
  <c r="ER40" i="1"/>
  <c r="ER39" i="1" s="1"/>
  <c r="EE40" i="1"/>
  <c r="EE39" i="1" s="1"/>
  <c r="EJ40" i="1"/>
  <c r="EJ39" i="1" s="1"/>
  <c r="EH40" i="1"/>
  <c r="EH39" i="1" s="1"/>
  <c r="EQ40" i="1"/>
  <c r="EQ39" i="1" s="1"/>
  <c r="EM40" i="1"/>
  <c r="EM39" i="1" s="1"/>
  <c r="EL40" i="1"/>
  <c r="EL39" i="1" s="1"/>
  <c r="EK40" i="1"/>
  <c r="EK39" i="1" s="1"/>
  <c r="EG40" i="1"/>
  <c r="EG39" i="1" s="1"/>
  <c r="ED40" i="1"/>
  <c r="ED39" i="1" s="1"/>
  <c r="EO40" i="1"/>
  <c r="EO39" i="1" s="1"/>
  <c r="EN40" i="1"/>
  <c r="EN39" i="1" s="1"/>
  <c r="EP40" i="1"/>
  <c r="EP39" i="1" s="1"/>
  <c r="GX55" i="1"/>
  <c r="GZ27" i="1"/>
  <c r="GU55" i="1"/>
  <c r="GY27" i="1"/>
  <c r="FT42" i="1"/>
  <c r="FT39" i="1" s="1"/>
  <c r="FO42" i="1"/>
  <c r="FO39" i="1" s="1"/>
  <c r="FJ42" i="1"/>
  <c r="FJ39" i="1" s="1"/>
  <c r="FL42" i="1"/>
  <c r="FL39" i="1" s="1"/>
  <c r="FW42" i="1"/>
  <c r="FW39" i="1" s="1"/>
  <c r="FR42" i="1"/>
  <c r="FR39" i="1" s="1"/>
  <c r="FQ42" i="1"/>
  <c r="FQ39" i="1" s="1"/>
  <c r="FM42" i="1"/>
  <c r="FM39" i="1" s="1"/>
  <c r="FU42" i="1"/>
  <c r="FU39" i="1" s="1"/>
  <c r="FS42" i="1"/>
  <c r="FS39" i="1" s="1"/>
  <c r="FV42" i="1"/>
  <c r="FV39" i="1" s="1"/>
  <c r="FP42" i="1"/>
  <c r="FP39" i="1" s="1"/>
  <c r="FI42" i="1"/>
  <c r="FI39" i="1" s="1"/>
  <c r="FK42" i="1"/>
  <c r="FK39" i="1" s="1"/>
  <c r="FN42" i="1"/>
  <c r="FN39" i="1" s="1"/>
  <c r="GY23" i="1"/>
  <c r="GX23" i="1"/>
  <c r="GZ44" i="1"/>
  <c r="GP46" i="1"/>
  <c r="T39" i="1"/>
  <c r="DH44" i="1"/>
  <c r="DH39" i="1" s="1"/>
  <c r="DC44" i="1"/>
  <c r="DC39" i="1" s="1"/>
  <c r="DB44" i="1"/>
  <c r="DB39" i="1" s="1"/>
  <c r="DK44" i="1"/>
  <c r="DK39" i="1" s="1"/>
  <c r="DJ44" i="1"/>
  <c r="DJ39" i="1" s="1"/>
  <c r="DL44" i="1"/>
  <c r="DL39" i="1" s="1"/>
  <c r="DM44" i="1"/>
  <c r="DM39" i="1" s="1"/>
  <c r="DI44" i="1"/>
  <c r="DI39" i="1" s="1"/>
  <c r="DG44" i="1"/>
  <c r="DG39" i="1" s="1"/>
  <c r="DF44" i="1"/>
  <c r="DF39" i="1" s="1"/>
  <c r="DE44" i="1"/>
  <c r="DE39" i="1" s="1"/>
  <c r="DD44" i="1"/>
  <c r="DD39" i="1" s="1"/>
  <c r="CZ44" i="1"/>
  <c r="CZ39" i="1" s="1"/>
  <c r="DA44" i="1"/>
  <c r="DA39" i="1" s="1"/>
  <c r="CY44" i="1"/>
  <c r="CY39" i="1" s="1"/>
  <c r="GQ46" i="1"/>
  <c r="GW46" i="1"/>
  <c r="HA46" i="1"/>
  <c r="Y39" i="1"/>
  <c r="Y60" i="1" s="1"/>
  <c r="EM22" i="1"/>
  <c r="EM20" i="1" s="1"/>
  <c r="EM10" i="1" s="1"/>
  <c r="EL22" i="1"/>
  <c r="EL20" i="1" s="1"/>
  <c r="EL10" i="1" s="1"/>
  <c r="EG22" i="1"/>
  <c r="EG20" i="1" s="1"/>
  <c r="EG10" i="1" s="1"/>
  <c r="EO22" i="1"/>
  <c r="EO20" i="1" s="1"/>
  <c r="EO10" i="1" s="1"/>
  <c r="EQ22" i="1"/>
  <c r="EQ20" i="1" s="1"/>
  <c r="EQ10" i="1" s="1"/>
  <c r="EP22" i="1"/>
  <c r="EP20" i="1" s="1"/>
  <c r="EP10" i="1" s="1"/>
  <c r="EI22" i="1"/>
  <c r="EI20" i="1" s="1"/>
  <c r="EI10" i="1" s="1"/>
  <c r="EH22" i="1"/>
  <c r="EH20" i="1" s="1"/>
  <c r="EH10" i="1" s="1"/>
  <c r="ED22" i="1"/>
  <c r="ED20" i="1" s="1"/>
  <c r="ED10" i="1" s="1"/>
  <c r="EK22" i="1"/>
  <c r="EK20" i="1" s="1"/>
  <c r="EK10" i="1" s="1"/>
  <c r="EJ22" i="1"/>
  <c r="EJ20" i="1" s="1"/>
  <c r="EJ10" i="1" s="1"/>
  <c r="EF22" i="1"/>
  <c r="EF20" i="1" s="1"/>
  <c r="EF10" i="1" s="1"/>
  <c r="EE22" i="1"/>
  <c r="EE20" i="1" s="1"/>
  <c r="EE10" i="1" s="1"/>
  <c r="ER22" i="1"/>
  <c r="ER20" i="1" s="1"/>
  <c r="ER10" i="1" s="1"/>
  <c r="EN22" i="1"/>
  <c r="EN20" i="1" s="1"/>
  <c r="EN10" i="1" s="1"/>
  <c r="GY46" i="1"/>
  <c r="HB23" i="1"/>
  <c r="GZ46" i="1"/>
  <c r="GU27" i="1"/>
  <c r="GO55" i="1"/>
  <c r="GT55" i="1"/>
  <c r="GU46" i="1"/>
  <c r="GP45" i="1"/>
  <c r="GP31" i="1"/>
  <c r="GX44" i="1"/>
  <c r="HA23" i="1"/>
  <c r="DE21" i="1"/>
  <c r="DE20" i="1" s="1"/>
  <c r="DE10" i="1" s="1"/>
  <c r="CZ21" i="1"/>
  <c r="CZ20" i="1" s="1"/>
  <c r="CZ10" i="1" s="1"/>
  <c r="DL21" i="1"/>
  <c r="DL20" i="1" s="1"/>
  <c r="DL10" i="1" s="1"/>
  <c r="DI21" i="1"/>
  <c r="DI20" i="1" s="1"/>
  <c r="DI10" i="1" s="1"/>
  <c r="DH21" i="1"/>
  <c r="DH20" i="1" s="1"/>
  <c r="DH10" i="1" s="1"/>
  <c r="DM21" i="1"/>
  <c r="DM20" i="1" s="1"/>
  <c r="DM10" i="1" s="1"/>
  <c r="DK21" i="1"/>
  <c r="DK20" i="1" s="1"/>
  <c r="DK10" i="1" s="1"/>
  <c r="DG21" i="1"/>
  <c r="DG20" i="1" s="1"/>
  <c r="DG10" i="1" s="1"/>
  <c r="DF21" i="1"/>
  <c r="DF20" i="1" s="1"/>
  <c r="DF10" i="1" s="1"/>
  <c r="DD21" i="1"/>
  <c r="DD20" i="1" s="1"/>
  <c r="DD10" i="1" s="1"/>
  <c r="DA21" i="1"/>
  <c r="DA20" i="1" s="1"/>
  <c r="DA10" i="1" s="1"/>
  <c r="CY21" i="1"/>
  <c r="CY20" i="1" s="1"/>
  <c r="CY10" i="1" s="1"/>
  <c r="DJ21" i="1"/>
  <c r="DJ20" i="1" s="1"/>
  <c r="DJ10" i="1" s="1"/>
  <c r="DC21" i="1"/>
  <c r="DC20" i="1" s="1"/>
  <c r="DC10" i="1" s="1"/>
  <c r="DB21" i="1"/>
  <c r="DB20" i="1" s="1"/>
  <c r="DB10" i="1" s="1"/>
  <c r="HA55" i="1"/>
  <c r="GZ55" i="1"/>
  <c r="GY55" i="1"/>
  <c r="GN55" i="1"/>
  <c r="GR55" i="1"/>
  <c r="GX27" i="1"/>
  <c r="AD20" i="1"/>
  <c r="AD10" i="1" s="1"/>
  <c r="AD60" i="1" s="1"/>
  <c r="FU24" i="1"/>
  <c r="FU20" i="1" s="1"/>
  <c r="FU10" i="1" s="1"/>
  <c r="FP24" i="1"/>
  <c r="FP20" i="1" s="1"/>
  <c r="FP10" i="1" s="1"/>
  <c r="FS24" i="1"/>
  <c r="FS20" i="1" s="1"/>
  <c r="FS10" i="1" s="1"/>
  <c r="FJ24" i="1"/>
  <c r="FJ20" i="1" s="1"/>
  <c r="FJ10" i="1" s="1"/>
  <c r="FI24" i="1"/>
  <c r="FI20" i="1" s="1"/>
  <c r="FI10" i="1" s="1"/>
  <c r="FR24" i="1"/>
  <c r="FR20" i="1" s="1"/>
  <c r="FR10" i="1" s="1"/>
  <c r="FQ24" i="1"/>
  <c r="FQ20" i="1" s="1"/>
  <c r="FQ10" i="1" s="1"/>
  <c r="FM24" i="1"/>
  <c r="FM20" i="1" s="1"/>
  <c r="FM10" i="1" s="1"/>
  <c r="FL24" i="1"/>
  <c r="FL20" i="1" s="1"/>
  <c r="FL10" i="1" s="1"/>
  <c r="FW24" i="1"/>
  <c r="FW20" i="1" s="1"/>
  <c r="FW10" i="1" s="1"/>
  <c r="FV24" i="1"/>
  <c r="FV20" i="1" s="1"/>
  <c r="FV10" i="1" s="1"/>
  <c r="FT24" i="1"/>
  <c r="FT20" i="1" s="1"/>
  <c r="FT10" i="1" s="1"/>
  <c r="FO24" i="1"/>
  <c r="FO20" i="1" s="1"/>
  <c r="FO10" i="1" s="1"/>
  <c r="FK24" i="1"/>
  <c r="FK20" i="1" s="1"/>
  <c r="FK10" i="1" s="1"/>
  <c r="FN24" i="1"/>
  <c r="FN20" i="1" s="1"/>
  <c r="FN10" i="1" s="1"/>
  <c r="GP55" i="1"/>
  <c r="HB44" i="1"/>
  <c r="HB55" i="1"/>
  <c r="HB49" i="1"/>
  <c r="HA49" i="1"/>
  <c r="GY49" i="1"/>
  <c r="GX49" i="1"/>
  <c r="GS55" i="1"/>
  <c r="AH20" i="1"/>
  <c r="AH10" i="1" s="1"/>
  <c r="AI22" i="1"/>
  <c r="GO22" i="1" s="1"/>
  <c r="O60" i="1"/>
  <c r="T20" i="1"/>
  <c r="T10" i="1" s="1"/>
  <c r="GV55" i="1"/>
  <c r="GO27" i="1"/>
  <c r="GQ52" i="1"/>
  <c r="GV52" i="1"/>
  <c r="GW52" i="1"/>
  <c r="GP52" i="1"/>
  <c r="GO52" i="1"/>
  <c r="GU52" i="1"/>
  <c r="GT52" i="1"/>
  <c r="GS52" i="1"/>
  <c r="GR52" i="1"/>
  <c r="GN52" i="1"/>
  <c r="CC49" i="1"/>
  <c r="BW49" i="1"/>
  <c r="BV49" i="1"/>
  <c r="CA49" i="1"/>
  <c r="BZ49" i="1"/>
  <c r="CB49" i="1"/>
  <c r="BY49" i="1"/>
  <c r="BU49" i="1"/>
  <c r="BT49" i="1"/>
  <c r="BX49" i="1"/>
  <c r="GS21" i="1"/>
  <c r="GR21" i="1"/>
  <c r="GQ21" i="1"/>
  <c r="GW21" i="1"/>
  <c r="GV21" i="1"/>
  <c r="GT21" i="1"/>
  <c r="GU21" i="1"/>
  <c r="GP21" i="1"/>
  <c r="GO21" i="1"/>
  <c r="GN21" i="1"/>
  <c r="GW30" i="1"/>
  <c r="GR30" i="1"/>
  <c r="GQ30" i="1"/>
  <c r="GO30" i="1"/>
  <c r="GS30" i="1"/>
  <c r="GV30" i="1"/>
  <c r="GU30" i="1"/>
  <c r="GT30" i="1"/>
  <c r="GP30" i="1"/>
  <c r="GN30" i="1"/>
  <c r="GO43" i="1"/>
  <c r="GQ43" i="1"/>
  <c r="GP43" i="1"/>
  <c r="GN43" i="1"/>
  <c r="GW43" i="1"/>
  <c r="GS43" i="1"/>
  <c r="GR43" i="1"/>
  <c r="GV43" i="1"/>
  <c r="GU43" i="1"/>
  <c r="GT43" i="1"/>
  <c r="BY46" i="1"/>
  <c r="BV46" i="1"/>
  <c r="BT46" i="1"/>
  <c r="BU46" i="1"/>
  <c r="BZ46" i="1"/>
  <c r="BX46" i="1"/>
  <c r="CB46" i="1"/>
  <c r="CA46" i="1"/>
  <c r="BW46" i="1"/>
  <c r="CC46" i="1"/>
  <c r="BY50" i="1"/>
  <c r="BX50" i="1"/>
  <c r="BW50" i="1"/>
  <c r="BV50" i="1"/>
  <c r="BU50" i="1"/>
  <c r="CC50" i="1"/>
  <c r="CB50" i="1"/>
  <c r="CA50" i="1"/>
  <c r="BZ50" i="1"/>
  <c r="BT50" i="1"/>
  <c r="BU32" i="1"/>
  <c r="BZ32" i="1"/>
  <c r="BX32" i="1"/>
  <c r="BY32" i="1"/>
  <c r="CB32" i="1"/>
  <c r="CC32" i="1"/>
  <c r="BV32" i="1"/>
  <c r="BT32" i="1"/>
  <c r="CA32" i="1"/>
  <c r="BW32" i="1"/>
  <c r="CA27" i="1"/>
  <c r="CC27" i="1"/>
  <c r="CB27" i="1"/>
  <c r="BU27" i="1"/>
  <c r="BT27" i="1"/>
  <c r="BZ27" i="1"/>
  <c r="BY27" i="1"/>
  <c r="BX27" i="1"/>
  <c r="BV27" i="1"/>
  <c r="BW27" i="1"/>
  <c r="BU44" i="1"/>
  <c r="BY44" i="1"/>
  <c r="BX44" i="1"/>
  <c r="BZ44" i="1"/>
  <c r="BW44" i="1"/>
  <c r="CC44" i="1"/>
  <c r="CB44" i="1"/>
  <c r="CA44" i="1"/>
  <c r="BV44" i="1"/>
  <c r="BT44" i="1"/>
  <c r="CC43" i="1"/>
  <c r="CB43" i="1"/>
  <c r="BV43" i="1"/>
  <c r="BU43" i="1"/>
  <c r="BX43" i="1"/>
  <c r="BW43" i="1"/>
  <c r="CA43" i="1"/>
  <c r="BY43" i="1"/>
  <c r="BZ43" i="1"/>
  <c r="BT43" i="1"/>
  <c r="CA55" i="1"/>
  <c r="CC55" i="1"/>
  <c r="BV55" i="1"/>
  <c r="BU55" i="1"/>
  <c r="BZ55" i="1"/>
  <c r="BY55" i="1"/>
  <c r="BW55" i="1"/>
  <c r="CB55" i="1"/>
  <c r="BX55" i="1"/>
  <c r="BT55" i="1"/>
  <c r="BZ41" i="1"/>
  <c r="BX41" i="1"/>
  <c r="BY41" i="1"/>
  <c r="CC41" i="1"/>
  <c r="BV41" i="1"/>
  <c r="CA41" i="1"/>
  <c r="BW41" i="1"/>
  <c r="BU41" i="1"/>
  <c r="BT41" i="1"/>
  <c r="CB41" i="1"/>
  <c r="CC28" i="1"/>
  <c r="BX28" i="1"/>
  <c r="BW28" i="1"/>
  <c r="BT28" i="1"/>
  <c r="BZ28" i="1"/>
  <c r="BY28" i="1"/>
  <c r="CB28" i="1"/>
  <c r="CA28" i="1"/>
  <c r="BV28" i="1"/>
  <c r="BU28" i="1"/>
  <c r="BU30" i="1"/>
  <c r="BT30" i="1"/>
  <c r="CC30" i="1"/>
  <c r="CB30" i="1"/>
  <c r="BZ30" i="1"/>
  <c r="BY30" i="1"/>
  <c r="CA30" i="1"/>
  <c r="BX30" i="1"/>
  <c r="BW30" i="1"/>
  <c r="BV30" i="1"/>
  <c r="BZ23" i="1"/>
  <c r="BY23" i="1"/>
  <c r="BW23" i="1"/>
  <c r="BT23" i="1"/>
  <c r="BX23" i="1"/>
  <c r="CB23" i="1"/>
  <c r="CA23" i="1"/>
  <c r="BV23" i="1"/>
  <c r="CC23" i="1"/>
  <c r="BU23" i="1"/>
  <c r="CA47" i="1"/>
  <c r="BY47" i="1"/>
  <c r="BX47" i="1"/>
  <c r="BW47" i="1"/>
  <c r="CC47" i="1"/>
  <c r="BT47" i="1"/>
  <c r="CB47" i="1"/>
  <c r="BZ47" i="1"/>
  <c r="BV47" i="1"/>
  <c r="BU47" i="1"/>
  <c r="CC56" i="1"/>
  <c r="BY56" i="1"/>
  <c r="BX56" i="1"/>
  <c r="BU56" i="1"/>
  <c r="BT56" i="1"/>
  <c r="CB56" i="1"/>
  <c r="CA56" i="1"/>
  <c r="BZ56" i="1"/>
  <c r="BW56" i="1"/>
  <c r="BV56" i="1"/>
  <c r="BW25" i="1"/>
  <c r="BX25" i="1"/>
  <c r="BV25" i="1"/>
  <c r="BU25" i="1"/>
  <c r="CC25" i="1"/>
  <c r="BT25" i="1"/>
  <c r="CB25" i="1"/>
  <c r="CA25" i="1"/>
  <c r="BZ25" i="1"/>
  <c r="BY25" i="1"/>
  <c r="BU14" i="1"/>
  <c r="BX14" i="1"/>
  <c r="BW14" i="1"/>
  <c r="CB14" i="1"/>
  <c r="CA14" i="1"/>
  <c r="BV14" i="1"/>
  <c r="CC14" i="1"/>
  <c r="BZ14" i="1"/>
  <c r="BY14" i="1"/>
  <c r="BT14" i="1"/>
  <c r="CC48" i="1"/>
  <c r="CB48" i="1"/>
  <c r="BZ48" i="1"/>
  <c r="CA48" i="1"/>
  <c r="BT48" i="1"/>
  <c r="BX48" i="1"/>
  <c r="BV48" i="1"/>
  <c r="BU48" i="1"/>
  <c r="BY48" i="1"/>
  <c r="BW48" i="1"/>
  <c r="BX22" i="1"/>
  <c r="BW22" i="1"/>
  <c r="BZ22" i="1"/>
  <c r="CC22" i="1"/>
  <c r="CB22" i="1"/>
  <c r="CA22" i="1"/>
  <c r="BY22" i="1"/>
  <c r="BV22" i="1"/>
  <c r="BU22" i="1"/>
  <c r="BT22" i="1"/>
  <c r="CC21" i="1"/>
  <c r="CB21" i="1"/>
  <c r="BV21" i="1"/>
  <c r="BU21" i="1"/>
  <c r="BZ21" i="1"/>
  <c r="BY21" i="1"/>
  <c r="CA21" i="1"/>
  <c r="BX21" i="1"/>
  <c r="BT21" i="1"/>
  <c r="BW21" i="1"/>
  <c r="BW31" i="1"/>
  <c r="BV31" i="1"/>
  <c r="BU31" i="1"/>
  <c r="CC31" i="1"/>
  <c r="BX31" i="1"/>
  <c r="CB31" i="1"/>
  <c r="CA31" i="1"/>
  <c r="BZ31" i="1"/>
  <c r="BY31" i="1"/>
  <c r="BT31" i="1"/>
  <c r="BV58" i="1"/>
  <c r="BU58" i="1"/>
  <c r="BT58" i="1"/>
  <c r="CC58" i="1"/>
  <c r="CA58" i="1"/>
  <c r="BZ58" i="1"/>
  <c r="BY58" i="1"/>
  <c r="CB58" i="1"/>
  <c r="BX58" i="1"/>
  <c r="BW58" i="1"/>
  <c r="GQ25" i="1"/>
  <c r="GU25" i="1"/>
  <c r="GT25" i="1"/>
  <c r="GP25" i="1"/>
  <c r="GW25" i="1"/>
  <c r="GV25" i="1"/>
  <c r="GS25" i="1"/>
  <c r="GR25" i="1"/>
  <c r="GO25" i="1"/>
  <c r="GN25" i="1"/>
  <c r="CC40" i="1"/>
  <c r="BW40" i="1"/>
  <c r="BV40" i="1"/>
  <c r="BU40" i="1"/>
  <c r="BX40" i="1"/>
  <c r="BT40" i="1"/>
  <c r="CB40" i="1"/>
  <c r="CA40" i="1"/>
  <c r="BZ40" i="1"/>
  <c r="BY40" i="1"/>
  <c r="BW33" i="1"/>
  <c r="CC33" i="1"/>
  <c r="CB33" i="1"/>
  <c r="CA33" i="1"/>
  <c r="BT33" i="1"/>
  <c r="BZ33" i="1"/>
  <c r="BY33" i="1"/>
  <c r="BX33" i="1"/>
  <c r="BV33" i="1"/>
  <c r="BU33" i="1"/>
  <c r="GW23" i="1"/>
  <c r="GV23" i="1"/>
  <c r="GU23" i="1"/>
  <c r="GO23" i="1"/>
  <c r="GN23" i="1"/>
  <c r="GP23" i="1"/>
  <c r="GQ23" i="1"/>
  <c r="GR23" i="1"/>
  <c r="GT23" i="1"/>
  <c r="GS23" i="1"/>
  <c r="GU29" i="1"/>
  <c r="GW29" i="1"/>
  <c r="GV29" i="1"/>
  <c r="GP29" i="1"/>
  <c r="GO29" i="1"/>
  <c r="GT29" i="1"/>
  <c r="GR29" i="1"/>
  <c r="GQ29" i="1"/>
  <c r="GS29" i="1"/>
  <c r="GN29" i="1"/>
  <c r="BY54" i="1"/>
  <c r="CB54" i="1"/>
  <c r="CA54" i="1"/>
  <c r="BZ54" i="1"/>
  <c r="BW54" i="1"/>
  <c r="BV54" i="1"/>
  <c r="BU54" i="1"/>
  <c r="CC54" i="1"/>
  <c r="BX54" i="1"/>
  <c r="BT54" i="1"/>
  <c r="CA29" i="1"/>
  <c r="BZ29" i="1"/>
  <c r="BT29" i="1"/>
  <c r="BY29" i="1"/>
  <c r="BV29" i="1"/>
  <c r="BX29" i="1"/>
  <c r="CB29" i="1"/>
  <c r="CC29" i="1"/>
  <c r="BW29" i="1"/>
  <c r="BU29" i="1"/>
  <c r="CB42" i="1"/>
  <c r="CA42" i="1"/>
  <c r="BZ42" i="1"/>
  <c r="BT42" i="1"/>
  <c r="BV42" i="1"/>
  <c r="CC42" i="1"/>
  <c r="BY42" i="1"/>
  <c r="BX42" i="1"/>
  <c r="BW42" i="1"/>
  <c r="BU42" i="1"/>
  <c r="GQ44" i="1"/>
  <c r="GT44" i="1"/>
  <c r="GP44" i="1"/>
  <c r="GS44" i="1"/>
  <c r="GR44" i="1"/>
  <c r="GO44" i="1"/>
  <c r="GW44" i="1"/>
  <c r="GV44" i="1"/>
  <c r="GU44" i="1"/>
  <c r="GN44" i="1"/>
  <c r="GQ49" i="1"/>
  <c r="GN49" i="1"/>
  <c r="GP49" i="1"/>
  <c r="GO49" i="1"/>
  <c r="GS49" i="1"/>
  <c r="GW49" i="1"/>
  <c r="GV49" i="1"/>
  <c r="GU49" i="1"/>
  <c r="GT49" i="1"/>
  <c r="GR49" i="1"/>
  <c r="BY26" i="1"/>
  <c r="CA26" i="1"/>
  <c r="BZ26" i="1"/>
  <c r="BX26" i="1"/>
  <c r="BW26" i="1"/>
  <c r="CB26" i="1"/>
  <c r="BV26" i="1"/>
  <c r="BU26" i="1"/>
  <c r="BT26" i="1"/>
  <c r="CC26" i="1"/>
  <c r="BU24" i="1"/>
  <c r="BT24" i="1"/>
  <c r="CC24" i="1"/>
  <c r="CB24" i="1"/>
  <c r="BX24" i="1"/>
  <c r="BW24" i="1"/>
  <c r="BZ24" i="1"/>
  <c r="BY24" i="1"/>
  <c r="CA24" i="1"/>
  <c r="BV24" i="1"/>
  <c r="GO24" i="1"/>
  <c r="GW24" i="1"/>
  <c r="GR24" i="1"/>
  <c r="GQ24" i="1"/>
  <c r="GN24" i="1"/>
  <c r="GU24" i="1"/>
  <c r="GT24" i="1"/>
  <c r="GV24" i="1"/>
  <c r="GS24" i="1"/>
  <c r="GP24" i="1"/>
  <c r="BW45" i="1"/>
  <c r="CB45" i="1"/>
  <c r="CA45" i="1"/>
  <c r="BV45" i="1"/>
  <c r="BT45" i="1"/>
  <c r="BX45" i="1"/>
  <c r="CC45" i="1"/>
  <c r="BZ45" i="1"/>
  <c r="BY45" i="1"/>
  <c r="BU45" i="1"/>
  <c r="GS26" i="1"/>
  <c r="GO26" i="1"/>
  <c r="GN26" i="1"/>
  <c r="GW26" i="1"/>
  <c r="GR26" i="1"/>
  <c r="GQ26" i="1"/>
  <c r="GT26" i="1"/>
  <c r="GP26" i="1"/>
  <c r="GV26" i="1"/>
  <c r="GU26" i="1"/>
  <c r="GO51" i="1"/>
  <c r="GV51" i="1"/>
  <c r="GS51" i="1"/>
  <c r="GU51" i="1"/>
  <c r="GT51" i="1"/>
  <c r="GW51" i="1"/>
  <c r="GR51" i="1"/>
  <c r="GQ51" i="1"/>
  <c r="GP51" i="1"/>
  <c r="GN51" i="1"/>
  <c r="CA51" i="1"/>
  <c r="BZ51" i="1"/>
  <c r="BW51" i="1"/>
  <c r="CC51" i="1"/>
  <c r="CB51" i="1"/>
  <c r="BY51" i="1"/>
  <c r="BU51" i="1"/>
  <c r="BT51" i="1"/>
  <c r="BX51" i="1"/>
  <c r="BV51" i="1"/>
  <c r="GO14" i="1"/>
  <c r="GU14" i="1"/>
  <c r="GT14" i="1"/>
  <c r="GS14" i="1"/>
  <c r="HB14" i="1"/>
  <c r="GP14" i="1"/>
  <c r="GN14" i="1"/>
  <c r="GX14" i="1"/>
  <c r="GY14" i="1"/>
  <c r="GZ14" i="1"/>
  <c r="HA14" i="1"/>
  <c r="GR14" i="1"/>
  <c r="GQ14" i="1"/>
  <c r="GW14" i="1"/>
  <c r="GV14" i="1"/>
  <c r="BU52" i="1"/>
  <c r="BV52" i="1"/>
  <c r="BT52" i="1"/>
  <c r="CC52" i="1"/>
  <c r="BY52" i="1"/>
  <c r="BX52" i="1"/>
  <c r="CB52" i="1"/>
  <c r="CA52" i="1"/>
  <c r="BZ52" i="1"/>
  <c r="BW52" i="1"/>
  <c r="BT57" i="1"/>
  <c r="CB57" i="1"/>
  <c r="CA57" i="1"/>
  <c r="BY57" i="1"/>
  <c r="CC57" i="1"/>
  <c r="BZ57" i="1"/>
  <c r="BW57" i="1"/>
  <c r="BX57" i="1"/>
  <c r="BV57" i="1"/>
  <c r="BU57" i="1"/>
  <c r="GW37" i="1"/>
  <c r="GW35" i="1" s="1"/>
  <c r="HL37" i="1"/>
  <c r="HL35" i="1" s="1"/>
  <c r="HL60" i="1" s="1"/>
  <c r="GV37" i="1"/>
  <c r="GV35" i="1" s="1"/>
  <c r="HK37" i="1"/>
  <c r="HK35" i="1" s="1"/>
  <c r="HK60" i="1" s="1"/>
  <c r="GU37" i="1"/>
  <c r="GU35" i="1" s="1"/>
  <c r="HJ37" i="1"/>
  <c r="HJ35" i="1" s="1"/>
  <c r="HJ60" i="1" s="1"/>
  <c r="GT37" i="1"/>
  <c r="GT35" i="1" s="1"/>
  <c r="HI37" i="1"/>
  <c r="HI35" i="1" s="1"/>
  <c r="HI60" i="1" s="1"/>
  <c r="GS37" i="1"/>
  <c r="GS35" i="1" s="1"/>
  <c r="HH37" i="1"/>
  <c r="HH35" i="1" s="1"/>
  <c r="HH60" i="1" s="1"/>
  <c r="GR37" i="1"/>
  <c r="GR35" i="1" s="1"/>
  <c r="HG37" i="1"/>
  <c r="HG35" i="1" s="1"/>
  <c r="HG60" i="1" s="1"/>
  <c r="GQ37" i="1"/>
  <c r="GQ35" i="1" s="1"/>
  <c r="HF37" i="1"/>
  <c r="HF35" i="1" s="1"/>
  <c r="HF60" i="1" s="1"/>
  <c r="GP37" i="1"/>
  <c r="GP35" i="1" s="1"/>
  <c r="HE37" i="1"/>
  <c r="HE35" i="1" s="1"/>
  <c r="HE60" i="1" s="1"/>
  <c r="GO37" i="1"/>
  <c r="GO35" i="1" s="1"/>
  <c r="HD37" i="1"/>
  <c r="HD35" i="1" s="1"/>
  <c r="HD60" i="1" s="1"/>
  <c r="GN37" i="1"/>
  <c r="GN35" i="1" s="1"/>
  <c r="HC37" i="1"/>
  <c r="HC35" i="1" s="1"/>
  <c r="HC60" i="1" s="1"/>
  <c r="HB37" i="1"/>
  <c r="HB35" i="1" s="1"/>
  <c r="HA37" i="1"/>
  <c r="HA35" i="1" s="1"/>
  <c r="GZ37" i="1"/>
  <c r="GZ35" i="1" s="1"/>
  <c r="GY37" i="1"/>
  <c r="GY35" i="1" s="1"/>
  <c r="GX37" i="1"/>
  <c r="GX35" i="1" s="1"/>
  <c r="BD35" i="1"/>
  <c r="BD60" i="1" s="1"/>
  <c r="BH35" i="1"/>
  <c r="BH60" i="1" s="1"/>
  <c r="BB35" i="1"/>
  <c r="AV35" i="1"/>
  <c r="AW35" i="1"/>
  <c r="BE35" i="1"/>
  <c r="BE60" i="1" s="1"/>
  <c r="AQ35" i="1"/>
  <c r="BF35" i="1"/>
  <c r="BF60" i="1" s="1"/>
  <c r="BA35" i="1"/>
  <c r="BG35" i="1"/>
  <c r="BG60" i="1" s="1"/>
  <c r="BC35" i="1"/>
  <c r="BJ35" i="1"/>
  <c r="BJ60" i="1" s="1"/>
  <c r="BI35" i="1"/>
  <c r="BI60" i="1" s="1"/>
  <c r="AR35" i="1"/>
  <c r="AU35" i="1"/>
  <c r="AP35" i="1"/>
  <c r="BK35" i="1"/>
  <c r="BK60" i="1" s="1"/>
  <c r="AT35" i="1"/>
  <c r="AX35" i="1"/>
  <c r="AO35" i="1"/>
  <c r="AS35" i="1"/>
  <c r="AZ35" i="1"/>
  <c r="BL35" i="1"/>
  <c r="BL60" i="1" s="1"/>
  <c r="AY35" i="1"/>
  <c r="I12" i="1"/>
  <c r="M29" i="7" s="1"/>
  <c r="CV35" i="1"/>
  <c r="CV60" i="1" s="1"/>
  <c r="HO35" i="1"/>
  <c r="HO60" i="1" s="1"/>
  <c r="CQ35" i="1"/>
  <c r="CQ60" i="1" s="1"/>
  <c r="CC35" i="1"/>
  <c r="CB35" i="1"/>
  <c r="BR35" i="1"/>
  <c r="BR60" i="1" s="1"/>
  <c r="CD35" i="1"/>
  <c r="HM35" i="1"/>
  <c r="HM60" i="1" s="1"/>
  <c r="HN35" i="1"/>
  <c r="HN60" i="1" s="1"/>
  <c r="CG35" i="1"/>
  <c r="HQ35" i="1"/>
  <c r="HQ60" i="1" s="1"/>
  <c r="BM35" i="1"/>
  <c r="BM60" i="1" s="1"/>
  <c r="BZ35" i="1"/>
  <c r="CK35" i="1"/>
  <c r="CK60" i="1" s="1"/>
  <c r="CA35" i="1"/>
  <c r="HP35" i="1"/>
  <c r="HP60" i="1" s="1"/>
  <c r="BP35" i="1"/>
  <c r="BP60" i="1" s="1"/>
  <c r="CI35" i="1"/>
  <c r="CI60" i="1" s="1"/>
  <c r="BT35" i="1"/>
  <c r="CS35" i="1"/>
  <c r="CS60" i="1" s="1"/>
  <c r="CR35" i="1"/>
  <c r="CR60" i="1" s="1"/>
  <c r="CW35" i="1"/>
  <c r="CW60" i="1" s="1"/>
  <c r="BV35" i="1"/>
  <c r="CJ35" i="1"/>
  <c r="CJ60" i="1" s="1"/>
  <c r="BX35" i="1"/>
  <c r="CL35" i="1"/>
  <c r="CL60" i="1" s="1"/>
  <c r="BW35" i="1"/>
  <c r="CH35" i="1"/>
  <c r="BQ35" i="1"/>
  <c r="BQ60" i="1" s="1"/>
  <c r="CU35" i="1"/>
  <c r="CU60" i="1" s="1"/>
  <c r="BN35" i="1"/>
  <c r="BN60" i="1" s="1"/>
  <c r="CE35" i="1"/>
  <c r="CM35" i="1"/>
  <c r="CM60" i="1" s="1"/>
  <c r="CT35" i="1"/>
  <c r="CT60" i="1" s="1"/>
  <c r="CF35" i="1"/>
  <c r="BY35" i="1"/>
  <c r="CN35" i="1"/>
  <c r="CN60" i="1" s="1"/>
  <c r="CP35" i="1"/>
  <c r="CP60" i="1" s="1"/>
  <c r="BO35" i="1"/>
  <c r="BO60" i="1" s="1"/>
  <c r="BU35" i="1"/>
  <c r="CO35" i="1"/>
  <c r="CO60" i="1" s="1"/>
  <c r="N12" i="7"/>
  <c r="R12" i="7"/>
  <c r="M48" i="7"/>
  <c r="C29" i="56" s="1"/>
  <c r="F17" i="53" l="1"/>
  <c r="F18" i="53" s="1"/>
  <c r="AH60" i="1"/>
  <c r="H17" i="53"/>
  <c r="H18" i="53" s="1"/>
  <c r="Q48" i="7"/>
  <c r="R48" i="7"/>
  <c r="P48" i="7"/>
  <c r="O48" i="7"/>
  <c r="N48" i="7"/>
  <c r="E15" i="41"/>
  <c r="F17" i="41" s="1"/>
  <c r="G17" i="41" s="1"/>
  <c r="H17" i="41" s="1"/>
  <c r="I17" i="41" s="1"/>
  <c r="J17" i="41" s="1"/>
  <c r="K17" i="41" s="1"/>
  <c r="L17" i="41" s="1"/>
  <c r="M17" i="41" s="1"/>
  <c r="N17" i="41" s="1"/>
  <c r="O17" i="41" s="1"/>
  <c r="P17" i="41" s="1"/>
  <c r="Q17" i="41" s="1"/>
  <c r="R17" i="41" s="1"/>
  <c r="S17" i="41" s="1"/>
  <c r="T17" i="41" s="1"/>
  <c r="U17" i="41" s="1"/>
  <c r="V17" i="41" s="1"/>
  <c r="W17" i="41" s="1"/>
  <c r="X17" i="41" s="1"/>
  <c r="Y17" i="41" s="1"/>
  <c r="Z17" i="41" s="1"/>
  <c r="AA17" i="41" s="1"/>
  <c r="AB17" i="41" s="1"/>
  <c r="AC17" i="41" s="1"/>
  <c r="AD17" i="41" s="1"/>
  <c r="AE17" i="41" s="1"/>
  <c r="AF17" i="41" s="1"/>
  <c r="AG17" i="41" s="1"/>
  <c r="AH17" i="41" s="1"/>
  <c r="AI17" i="41" s="1"/>
  <c r="Q34" i="38"/>
  <c r="E20" i="41"/>
  <c r="T34" i="38"/>
  <c r="E25" i="41"/>
  <c r="FW60" i="1"/>
  <c r="O73" i="7"/>
  <c r="N34" i="38"/>
  <c r="ED60" i="1"/>
  <c r="DC60" i="1"/>
  <c r="DA60" i="1"/>
  <c r="EK60" i="1"/>
  <c r="GV22" i="1"/>
  <c r="GV20" i="1" s="1"/>
  <c r="DK60" i="1"/>
  <c r="Q73" i="7"/>
  <c r="AC66" i="1"/>
  <c r="DB60" i="1"/>
  <c r="X66" i="1"/>
  <c r="P73" i="7"/>
  <c r="FV60" i="1"/>
  <c r="EQ60" i="1"/>
  <c r="EF60" i="1"/>
  <c r="EJ60" i="1"/>
  <c r="EH60" i="1"/>
  <c r="GR22" i="1"/>
  <c r="GR20" i="1" s="1"/>
  <c r="EI60" i="1"/>
  <c r="EP60" i="1"/>
  <c r="GT22" i="1"/>
  <c r="GT20" i="1" s="1"/>
  <c r="FT60" i="1"/>
  <c r="EO60" i="1"/>
  <c r="EG60" i="1"/>
  <c r="GP22" i="1"/>
  <c r="GP20" i="1" s="1"/>
  <c r="DM60" i="1"/>
  <c r="FM60" i="1"/>
  <c r="EM60" i="1"/>
  <c r="GN22" i="1"/>
  <c r="GN20" i="1" s="1"/>
  <c r="FQ60" i="1"/>
  <c r="DE60" i="1"/>
  <c r="EN60" i="1"/>
  <c r="FK60" i="1"/>
  <c r="GS22" i="1"/>
  <c r="GS20" i="1" s="1"/>
  <c r="GU22" i="1"/>
  <c r="GU20" i="1" s="1"/>
  <c r="AI20" i="1"/>
  <c r="AI10" i="1" s="1"/>
  <c r="AI60" i="1" s="1"/>
  <c r="DL60" i="1"/>
  <c r="R30" i="7"/>
  <c r="T60" i="1"/>
  <c r="ER60" i="1"/>
  <c r="FO60" i="1"/>
  <c r="FL60" i="1"/>
  <c r="EE60" i="1"/>
  <c r="FU60" i="1"/>
  <c r="GQ22" i="1"/>
  <c r="GQ20" i="1" s="1"/>
  <c r="EL60" i="1"/>
  <c r="DJ60" i="1"/>
  <c r="FN60" i="1"/>
  <c r="FP60" i="1"/>
  <c r="FR60" i="1"/>
  <c r="DD60" i="1"/>
  <c r="FS60" i="1"/>
  <c r="FI60" i="1"/>
  <c r="GW40" i="1"/>
  <c r="GW39" i="1" s="1"/>
  <c r="GR40" i="1"/>
  <c r="GR39" i="1" s="1"/>
  <c r="GQ40" i="1"/>
  <c r="GQ39" i="1" s="1"/>
  <c r="GU40" i="1"/>
  <c r="GU39" i="1" s="1"/>
  <c r="GY40" i="1"/>
  <c r="GY39" i="1" s="1"/>
  <c r="GS40" i="1"/>
  <c r="GS39" i="1" s="1"/>
  <c r="GP40" i="1"/>
  <c r="GP39" i="1" s="1"/>
  <c r="GO40" i="1"/>
  <c r="GO39" i="1" s="1"/>
  <c r="GZ40" i="1"/>
  <c r="GZ39" i="1" s="1"/>
  <c r="GT40" i="1"/>
  <c r="GT39" i="1" s="1"/>
  <c r="GN40" i="1"/>
  <c r="GN39" i="1" s="1"/>
  <c r="HA40" i="1"/>
  <c r="HA39" i="1" s="1"/>
  <c r="GV40" i="1"/>
  <c r="GV39" i="1" s="1"/>
  <c r="GX40" i="1"/>
  <c r="GX39" i="1" s="1"/>
  <c r="HB40" i="1"/>
  <c r="HB39" i="1" s="1"/>
  <c r="DI60" i="1"/>
  <c r="DG60" i="1"/>
  <c r="DF60" i="1"/>
  <c r="CZ60" i="1"/>
  <c r="GX22" i="1"/>
  <c r="GX20" i="1" s="1"/>
  <c r="GY22" i="1"/>
  <c r="GY20" i="1" s="1"/>
  <c r="HB22" i="1"/>
  <c r="HB20" i="1" s="1"/>
  <c r="HA22" i="1"/>
  <c r="HA20" i="1" s="1"/>
  <c r="GZ22" i="1"/>
  <c r="GZ20" i="1" s="1"/>
  <c r="FJ60" i="1"/>
  <c r="CY60" i="1"/>
  <c r="DH60" i="1"/>
  <c r="GW22" i="1"/>
  <c r="GW20" i="1" s="1"/>
  <c r="S66" i="1"/>
  <c r="CC18" i="1"/>
  <c r="CA18" i="1"/>
  <c r="BZ18" i="1"/>
  <c r="BY18" i="1"/>
  <c r="BW18" i="1"/>
  <c r="CB18" i="1"/>
  <c r="BX18" i="1"/>
  <c r="BV18" i="1"/>
  <c r="BU18" i="1"/>
  <c r="BT18" i="1"/>
  <c r="GW18" i="1"/>
  <c r="GP18" i="1"/>
  <c r="GO18" i="1"/>
  <c r="GN18" i="1"/>
  <c r="GY18" i="1"/>
  <c r="GX18" i="1"/>
  <c r="GT18" i="1"/>
  <c r="GS18" i="1"/>
  <c r="GR18" i="1"/>
  <c r="HB18" i="1"/>
  <c r="GV18" i="1"/>
  <c r="GU18" i="1"/>
  <c r="GQ18" i="1"/>
  <c r="HA18" i="1"/>
  <c r="GZ18" i="1"/>
  <c r="GS16" i="1"/>
  <c r="HA16" i="1"/>
  <c r="GZ16" i="1"/>
  <c r="GY16" i="1"/>
  <c r="GR16" i="1"/>
  <c r="GQ16" i="1"/>
  <c r="GN16" i="1"/>
  <c r="GV16" i="1"/>
  <c r="GO16" i="1"/>
  <c r="HB16" i="1"/>
  <c r="GX16" i="1"/>
  <c r="GW16" i="1"/>
  <c r="GU16" i="1"/>
  <c r="GT16" i="1"/>
  <c r="GP16" i="1"/>
  <c r="BY16" i="1"/>
  <c r="BU16" i="1"/>
  <c r="BT16" i="1"/>
  <c r="CC16" i="1"/>
  <c r="BX16" i="1"/>
  <c r="BV16" i="1"/>
  <c r="CB16" i="1"/>
  <c r="CA16" i="1"/>
  <c r="BZ16" i="1"/>
  <c r="BW16" i="1"/>
  <c r="AZ12" i="1"/>
  <c r="AZ10" i="1" s="1"/>
  <c r="AZ60" i="1" s="1"/>
  <c r="CC20" i="1"/>
  <c r="BW20" i="1"/>
  <c r="BT20" i="1"/>
  <c r="BZ20" i="1"/>
  <c r="BY20" i="1"/>
  <c r="BU20" i="1"/>
  <c r="BV20" i="1"/>
  <c r="CA20" i="1"/>
  <c r="BX20" i="1"/>
  <c r="CB20" i="1"/>
  <c r="CB39" i="1"/>
  <c r="BX39" i="1"/>
  <c r="BY39" i="1"/>
  <c r="BZ39" i="1"/>
  <c r="CA39" i="1"/>
  <c r="BU39" i="1"/>
  <c r="BT39" i="1"/>
  <c r="BV39" i="1"/>
  <c r="CC39" i="1"/>
  <c r="BW39" i="1"/>
  <c r="AO20" i="1"/>
  <c r="AQ39" i="1"/>
  <c r="AX39" i="1"/>
  <c r="AT20" i="1"/>
  <c r="AS20" i="1"/>
  <c r="AO39" i="1"/>
  <c r="AP20" i="1"/>
  <c r="AV20" i="1"/>
  <c r="AR20" i="1"/>
  <c r="AQ20" i="1"/>
  <c r="AW39" i="1"/>
  <c r="AU20" i="1"/>
  <c r="AR39" i="1"/>
  <c r="AS39" i="1"/>
  <c r="AU39" i="1"/>
  <c r="AV39" i="1"/>
  <c r="AT39" i="1"/>
  <c r="AP39" i="1"/>
  <c r="AW20" i="1"/>
  <c r="AX20" i="1"/>
  <c r="GO20" i="1"/>
  <c r="N12" i="1"/>
  <c r="N29" i="7" s="1"/>
  <c r="M28" i="7"/>
  <c r="C26" i="56" s="1"/>
  <c r="I10" i="1"/>
  <c r="I17" i="53" l="1"/>
  <c r="I18" i="53" s="1"/>
  <c r="K18" i="54"/>
  <c r="K19" i="54" s="1"/>
  <c r="E18" i="41"/>
  <c r="F15" i="41" s="1"/>
  <c r="E28" i="41"/>
  <c r="F27" i="41"/>
  <c r="G27" i="41" s="1"/>
  <c r="H27" i="41" s="1"/>
  <c r="I27" i="41" s="1"/>
  <c r="J27" i="41" s="1"/>
  <c r="K27" i="41" s="1"/>
  <c r="L27" i="41" s="1"/>
  <c r="M27" i="41" s="1"/>
  <c r="N27" i="41" s="1"/>
  <c r="O27" i="41" s="1"/>
  <c r="P27" i="41" s="1"/>
  <c r="Q27" i="41" s="1"/>
  <c r="R27" i="41" s="1"/>
  <c r="S27" i="41" s="1"/>
  <c r="T27" i="41" s="1"/>
  <c r="U27" i="41" s="1"/>
  <c r="V27" i="41" s="1"/>
  <c r="W27" i="41" s="1"/>
  <c r="X27" i="41" s="1"/>
  <c r="Y27" i="41" s="1"/>
  <c r="Z27" i="41" s="1"/>
  <c r="AA27" i="41" s="1"/>
  <c r="AB27" i="41" s="1"/>
  <c r="AC27" i="41" s="1"/>
  <c r="AD27" i="41" s="1"/>
  <c r="AE27" i="41" s="1"/>
  <c r="AF27" i="41" s="1"/>
  <c r="AG27" i="41" s="1"/>
  <c r="AH27" i="41" s="1"/>
  <c r="AI27" i="41" s="1"/>
  <c r="AH66" i="1"/>
  <c r="E30" i="41"/>
  <c r="E23" i="41"/>
  <c r="F22" i="41"/>
  <c r="G22" i="41" s="1"/>
  <c r="H22" i="41" s="1"/>
  <c r="I22" i="41" s="1"/>
  <c r="J22" i="41" s="1"/>
  <c r="K22" i="41" s="1"/>
  <c r="L22" i="41" s="1"/>
  <c r="M22" i="41" s="1"/>
  <c r="N22" i="41" s="1"/>
  <c r="O22" i="41" s="1"/>
  <c r="P22" i="41" s="1"/>
  <c r="Q22" i="41" s="1"/>
  <c r="R22" i="41" s="1"/>
  <c r="S22" i="41" s="1"/>
  <c r="T22" i="41" s="1"/>
  <c r="U22" i="41" s="1"/>
  <c r="V22" i="41" s="1"/>
  <c r="W22" i="41" s="1"/>
  <c r="X22" i="41" s="1"/>
  <c r="Y22" i="41" s="1"/>
  <c r="Z22" i="41" s="1"/>
  <c r="AA22" i="41" s="1"/>
  <c r="AB22" i="41" s="1"/>
  <c r="AC22" i="41" s="1"/>
  <c r="AD22" i="41" s="1"/>
  <c r="AE22" i="41" s="1"/>
  <c r="AF22" i="41" s="1"/>
  <c r="AG22" i="41" s="1"/>
  <c r="AH22" i="41" s="1"/>
  <c r="AI22" i="41" s="1"/>
  <c r="GX12" i="1"/>
  <c r="GX10" i="1" s="1"/>
  <c r="GX60" i="1" s="1"/>
  <c r="CE12" i="1"/>
  <c r="CE10" i="1" s="1"/>
  <c r="CE60" i="1" s="1"/>
  <c r="CG12" i="1"/>
  <c r="CG10" i="1" s="1"/>
  <c r="CG60" i="1" s="1"/>
  <c r="CH12" i="1"/>
  <c r="CH10" i="1" s="1"/>
  <c r="CH60" i="1" s="1"/>
  <c r="CF12" i="1"/>
  <c r="CF10" i="1" s="1"/>
  <c r="CF60" i="1" s="1"/>
  <c r="AY12" i="1"/>
  <c r="AY10" i="1" s="1"/>
  <c r="AY60" i="1" s="1"/>
  <c r="BC12" i="1"/>
  <c r="BC10" i="1" s="1"/>
  <c r="BC60" i="1" s="1"/>
  <c r="BA12" i="1"/>
  <c r="BA10" i="1" s="1"/>
  <c r="BA60" i="1" s="1"/>
  <c r="HA12" i="1"/>
  <c r="HA10" i="1" s="1"/>
  <c r="HA60" i="1" s="1"/>
  <c r="GY12" i="1"/>
  <c r="GY10" i="1" s="1"/>
  <c r="GY60" i="1" s="1"/>
  <c r="GZ12" i="1"/>
  <c r="GZ10" i="1" s="1"/>
  <c r="GZ60" i="1" s="1"/>
  <c r="BB12" i="1"/>
  <c r="BB10" i="1" s="1"/>
  <c r="BB60" i="1" s="1"/>
  <c r="HB12" i="1"/>
  <c r="HB10" i="1" s="1"/>
  <c r="HB60" i="1" s="1"/>
  <c r="CD12" i="1"/>
  <c r="CD10" i="1" s="1"/>
  <c r="CD60" i="1" s="1"/>
  <c r="I60" i="1"/>
  <c r="AS12" i="1"/>
  <c r="AS10" i="1" s="1"/>
  <c r="AS60" i="1" s="1"/>
  <c r="GN12" i="1"/>
  <c r="GN10" i="1" s="1"/>
  <c r="GN60" i="1" s="1"/>
  <c r="GR12" i="1"/>
  <c r="GR10" i="1" s="1"/>
  <c r="GR60" i="1" s="1"/>
  <c r="CB12" i="1"/>
  <c r="CB10" i="1" s="1"/>
  <c r="CB60" i="1" s="1"/>
  <c r="N10" i="1"/>
  <c r="N28" i="7"/>
  <c r="R29" i="7"/>
  <c r="R28" i="7" s="1"/>
  <c r="AO12" i="1"/>
  <c r="AO10" i="1" s="1"/>
  <c r="GS12" i="1"/>
  <c r="GS10" i="1" s="1"/>
  <c r="GS60" i="1" s="1"/>
  <c r="GT12" i="1"/>
  <c r="GT10" i="1" s="1"/>
  <c r="GT60" i="1" s="1"/>
  <c r="GO12" i="1"/>
  <c r="GO10" i="1" s="1"/>
  <c r="GO60" i="1" s="1"/>
  <c r="AW12" i="1"/>
  <c r="AW10" i="1" s="1"/>
  <c r="AW60" i="1" s="1"/>
  <c r="GQ12" i="1"/>
  <c r="GQ10" i="1" s="1"/>
  <c r="GQ60" i="1" s="1"/>
  <c r="BX12" i="1"/>
  <c r="BX10" i="1" s="1"/>
  <c r="BX60" i="1" s="1"/>
  <c r="GP12" i="1"/>
  <c r="GP10" i="1" s="1"/>
  <c r="GP60" i="1" s="1"/>
  <c r="BZ12" i="1"/>
  <c r="BZ10" i="1" s="1"/>
  <c r="BZ60" i="1" s="1"/>
  <c r="GU12" i="1"/>
  <c r="GU10" i="1" s="1"/>
  <c r="GU60" i="1" s="1"/>
  <c r="AV12" i="1"/>
  <c r="AV10" i="1" s="1"/>
  <c r="AV60" i="1" s="1"/>
  <c r="GV12" i="1"/>
  <c r="GV10" i="1" s="1"/>
  <c r="GV60" i="1" s="1"/>
  <c r="AT12" i="1"/>
  <c r="AT10" i="1" s="1"/>
  <c r="AT60" i="1" s="1"/>
  <c r="BW12" i="1"/>
  <c r="BW10" i="1" s="1"/>
  <c r="BW60" i="1" s="1"/>
  <c r="AU12" i="1"/>
  <c r="AU10" i="1" s="1"/>
  <c r="AU60" i="1" s="1"/>
  <c r="BU12" i="1"/>
  <c r="BU10" i="1" s="1"/>
  <c r="BU60" i="1" s="1"/>
  <c r="BY12" i="1"/>
  <c r="BY10" i="1" s="1"/>
  <c r="BY60" i="1" s="1"/>
  <c r="GW12" i="1"/>
  <c r="GW10" i="1" s="1"/>
  <c r="GW60" i="1" s="1"/>
  <c r="CA12" i="1"/>
  <c r="CA10" i="1" s="1"/>
  <c r="CA60" i="1" s="1"/>
  <c r="CC12" i="1"/>
  <c r="CC10" i="1" s="1"/>
  <c r="CC60" i="1" s="1"/>
  <c r="BT12" i="1"/>
  <c r="BT10" i="1" s="1"/>
  <c r="BT60" i="1" s="1"/>
  <c r="AQ12" i="1"/>
  <c r="AQ10" i="1" s="1"/>
  <c r="AQ60" i="1" s="1"/>
  <c r="AX12" i="1"/>
  <c r="AX10" i="1" s="1"/>
  <c r="AX60" i="1" s="1"/>
  <c r="AR12" i="1"/>
  <c r="AR10" i="1" s="1"/>
  <c r="AR60" i="1" s="1"/>
  <c r="AP12" i="1"/>
  <c r="AP10" i="1" s="1"/>
  <c r="AP60" i="1" s="1"/>
  <c r="BV12" i="1"/>
  <c r="BV10" i="1" s="1"/>
  <c r="BV60" i="1" s="1"/>
  <c r="F69" i="10"/>
  <c r="G69" i="10" s="1"/>
  <c r="C9" i="56" l="1"/>
  <c r="C8" i="56"/>
  <c r="K17" i="53"/>
  <c r="K18" i="53" s="1"/>
  <c r="H18" i="54"/>
  <c r="H19" i="54" s="1"/>
  <c r="F16" i="41"/>
  <c r="F18" i="41" s="1"/>
  <c r="G15" i="41" s="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E33" i="41"/>
  <c r="E5" i="41"/>
  <c r="M73" i="7"/>
  <c r="F20" i="41"/>
  <c r="F21" i="41"/>
  <c r="F25" i="41"/>
  <c r="F26" i="41"/>
  <c r="AC62" i="1"/>
  <c r="X63" i="1"/>
  <c r="X62" i="1"/>
  <c r="AC63" i="1"/>
  <c r="S62" i="1"/>
  <c r="S63" i="1"/>
  <c r="N60" i="1"/>
  <c r="AO60" i="1"/>
  <c r="AA365" i="39" s="1" a="1"/>
  <c r="AA365" i="39" s="1"/>
  <c r="AH62" i="1"/>
  <c r="R73" i="7"/>
  <c r="H34" i="38"/>
  <c r="AH63" i="1"/>
  <c r="W34" i="38"/>
  <c r="E65" i="10"/>
  <c r="D29" i="10"/>
  <c r="E17" i="53" l="1"/>
  <c r="E18" i="53" s="1"/>
  <c r="E10" i="41"/>
  <c r="F12" i="41" s="1"/>
  <c r="G12" i="41" s="1"/>
  <c r="H12" i="41" s="1"/>
  <c r="I12" i="41" s="1"/>
  <c r="J12" i="41" s="1"/>
  <c r="K12" i="41" s="1"/>
  <c r="L12" i="41" s="1"/>
  <c r="M12" i="41" s="1"/>
  <c r="N12" i="41" s="1"/>
  <c r="O12" i="41" s="1"/>
  <c r="P12" i="41" s="1"/>
  <c r="Q12" i="41" s="1"/>
  <c r="R12" i="41" s="1"/>
  <c r="S12" i="41" s="1"/>
  <c r="T12" i="41" s="1"/>
  <c r="U12" i="41" s="1"/>
  <c r="V12" i="41" s="1"/>
  <c r="W12" i="41" s="1"/>
  <c r="X12" i="41" s="1"/>
  <c r="Y12" i="41" s="1"/>
  <c r="Z12" i="41" s="1"/>
  <c r="AA12" i="41" s="1"/>
  <c r="AB12" i="41" s="1"/>
  <c r="AC12" i="41" s="1"/>
  <c r="AD12" i="41" s="1"/>
  <c r="AE12" i="41" s="1"/>
  <c r="AF12" i="41" s="1"/>
  <c r="AG12" i="41" s="1"/>
  <c r="AH12" i="41" s="1"/>
  <c r="AI12" i="41" s="1"/>
  <c r="R202" i="39" a="1"/>
  <c r="R202" i="39" s="1"/>
  <c r="AG39" i="39" a="1"/>
  <c r="AG39" i="39" s="1"/>
  <c r="AD202" i="39" a="1"/>
  <c r="AD202" i="39" s="1"/>
  <c r="AH39" i="39" a="1"/>
  <c r="AH39" i="39" s="1"/>
  <c r="AG365" i="39" a="1"/>
  <c r="AG365" i="39" s="1"/>
  <c r="W365" i="39" a="1"/>
  <c r="W365" i="39" s="1"/>
  <c r="T528" i="39" a="1"/>
  <c r="T528" i="39" s="1"/>
  <c r="AB528" i="39" a="1"/>
  <c r="AB528" i="39" s="1"/>
  <c r="Y691" i="39" a="1"/>
  <c r="Y691" i="39" s="1"/>
  <c r="N365" i="39" a="1"/>
  <c r="N365" i="39" s="1"/>
  <c r="Q365" i="39" a="1"/>
  <c r="Q365" i="39" s="1"/>
  <c r="Y528" i="39" a="1"/>
  <c r="Y528" i="39" s="1"/>
  <c r="AH854" i="39" a="1"/>
  <c r="AH854" i="39" s="1"/>
  <c r="R854" i="39" a="1"/>
  <c r="R854" i="39" s="1"/>
  <c r="AD365" i="39" a="1"/>
  <c r="AD365" i="39" s="1"/>
  <c r="O365" i="39" a="1"/>
  <c r="O365" i="39" s="1"/>
  <c r="Y202" i="39" a="1"/>
  <c r="Y202" i="39" s="1"/>
  <c r="AA528" i="39" a="1"/>
  <c r="AA528" i="39" s="1"/>
  <c r="AD39" i="39" a="1"/>
  <c r="AD39" i="39" s="1"/>
  <c r="U691" i="39" a="1"/>
  <c r="U691" i="39" s="1"/>
  <c r="N528" i="39" a="1"/>
  <c r="N528" i="39" s="1"/>
  <c r="U854" i="39" a="1"/>
  <c r="U854" i="39" s="1"/>
  <c r="AJ691" i="39" a="1"/>
  <c r="AJ691" i="39" s="1"/>
  <c r="AB202" i="39" a="1"/>
  <c r="AB202" i="39" s="1"/>
  <c r="AA39" i="39" a="1"/>
  <c r="AA39" i="39" s="1"/>
  <c r="AJ39" i="39" a="1"/>
  <c r="AJ39" i="39" s="1"/>
  <c r="AH202" i="39" a="1"/>
  <c r="AH202" i="39" s="1"/>
  <c r="AJ365" i="39" a="1"/>
  <c r="AJ365" i="39" s="1"/>
  <c r="S528" i="39" a="1"/>
  <c r="S528" i="39" s="1"/>
  <c r="W202" i="39" a="1"/>
  <c r="W202" i="39" s="1"/>
  <c r="AF365" i="39" a="1"/>
  <c r="AF365" i="39" s="1"/>
  <c r="AB854" i="39" a="1"/>
  <c r="AB854" i="39" s="1"/>
  <c r="X854" i="39" a="1"/>
  <c r="X854" i="39" s="1"/>
  <c r="AB691" i="39" a="1"/>
  <c r="AB691" i="39" s="1"/>
  <c r="AD854" i="39" a="1"/>
  <c r="AD854" i="39" s="1"/>
  <c r="O202" i="39" a="1"/>
  <c r="O202" i="39" s="1"/>
  <c r="M39" i="39" a="1"/>
  <c r="M39" i="39" s="1"/>
  <c r="R39" i="39" a="1"/>
  <c r="R39" i="39" s="1"/>
  <c r="T365" i="39" a="1"/>
  <c r="T365" i="39" s="1"/>
  <c r="V691" i="39" a="1"/>
  <c r="V691" i="39" s="1"/>
  <c r="AD691" i="39" a="1"/>
  <c r="AD691" i="39" s="1"/>
  <c r="P691" i="39" a="1"/>
  <c r="P691" i="39" s="1"/>
  <c r="Q854" i="39" a="1"/>
  <c r="Q854" i="39" s="1"/>
  <c r="AB39" i="39" a="1"/>
  <c r="AB39" i="39" s="1"/>
  <c r="Z202" i="39" a="1"/>
  <c r="Z202" i="39" s="1"/>
  <c r="AF528" i="39" a="1"/>
  <c r="AF528" i="39" s="1"/>
  <c r="AC528" i="39" a="1"/>
  <c r="AC528" i="39" s="1"/>
  <c r="R691" i="39" a="1"/>
  <c r="R691" i="39" s="1"/>
  <c r="AJ528" i="39" a="1"/>
  <c r="AJ528" i="39" s="1"/>
  <c r="AI691" i="39" a="1"/>
  <c r="AI691" i="39" s="1"/>
  <c r="O39" i="39" a="1"/>
  <c r="O39" i="39" s="1"/>
  <c r="M202" i="39" a="1"/>
  <c r="M202" i="39" s="1"/>
  <c r="Y365" i="39" a="1"/>
  <c r="Y365" i="39" s="1"/>
  <c r="Q528" i="39" a="1"/>
  <c r="Q528" i="39" s="1"/>
  <c r="W854" i="39" a="1"/>
  <c r="W854" i="39" s="1"/>
  <c r="AI365" i="39" a="1"/>
  <c r="AI365" i="39" s="1"/>
  <c r="X691" i="39" a="1"/>
  <c r="X691" i="39" s="1"/>
  <c r="P39" i="39" a="1"/>
  <c r="P39" i="39" s="1"/>
  <c r="Z39" i="39" a="1"/>
  <c r="Z39" i="39" s="1"/>
  <c r="L365" i="39" a="1"/>
  <c r="L365" i="39" s="1"/>
  <c r="Q202" i="39" a="1"/>
  <c r="Q202" i="39" s="1"/>
  <c r="T39" i="39" a="1"/>
  <c r="T39" i="39" s="1"/>
  <c r="AA854" i="39" a="1"/>
  <c r="AA854" i="39" s="1"/>
  <c r="W528" i="39" a="1"/>
  <c r="W528" i="39" s="1"/>
  <c r="AG854" i="39" a="1"/>
  <c r="AG854" i="39" s="1"/>
  <c r="AC854" i="39" a="1"/>
  <c r="AC854" i="39" s="1"/>
  <c r="N691" i="39" a="1"/>
  <c r="N691" i="39" s="1"/>
  <c r="L39" i="39" a="1"/>
  <c r="L39" i="39" s="1"/>
  <c r="AJ202" i="39" a="1"/>
  <c r="AJ202" i="39" s="1"/>
  <c r="Z528" i="39" a="1"/>
  <c r="Z528" i="39" s="1"/>
  <c r="S365" i="39" a="1"/>
  <c r="S365" i="39" s="1"/>
  <c r="N854" i="39" a="1"/>
  <c r="N854" i="39" s="1"/>
  <c r="L528" i="39" a="1"/>
  <c r="L528" i="39" s="1"/>
  <c r="T854" i="39" a="1"/>
  <c r="T854" i="39" s="1"/>
  <c r="P854" i="39" a="1"/>
  <c r="P854" i="39" s="1"/>
  <c r="O528" i="39" a="1"/>
  <c r="O528" i="39" s="1"/>
  <c r="X39" i="39" a="1"/>
  <c r="X39" i="39" s="1"/>
  <c r="AI39" i="39" a="1"/>
  <c r="AI39" i="39" s="1"/>
  <c r="U365" i="39" a="1"/>
  <c r="U365" i="39" s="1"/>
  <c r="AE202" i="39" a="1"/>
  <c r="AE202" i="39" s="1"/>
  <c r="AG691" i="39" a="1"/>
  <c r="AG691" i="39" s="1"/>
  <c r="X365" i="39" a="1"/>
  <c r="X365" i="39" s="1"/>
  <c r="AA691" i="39" a="1"/>
  <c r="AA691" i="39" s="1"/>
  <c r="W691" i="39" a="1"/>
  <c r="W691" i="39" s="1"/>
  <c r="AC365" i="39" a="1"/>
  <c r="AC365" i="39" s="1"/>
  <c r="AH528" i="39" a="1"/>
  <c r="AH528" i="39" s="1"/>
  <c r="Q39" i="39" a="1"/>
  <c r="Q39" i="39" s="1"/>
  <c r="AG202" i="39" a="1"/>
  <c r="AG202" i="39" s="1"/>
  <c r="S202" i="39" a="1"/>
  <c r="S202" i="39" s="1"/>
  <c r="L854" i="39" a="1"/>
  <c r="L854" i="39" s="1"/>
  <c r="Q691" i="39" a="1"/>
  <c r="Q691" i="39" s="1"/>
  <c r="AH365" i="39" a="1"/>
  <c r="AH365" i="39" s="1"/>
  <c r="AH691" i="39" a="1"/>
  <c r="AH691" i="39" s="1"/>
  <c r="N202" i="39" a="1"/>
  <c r="N202" i="39" s="1"/>
  <c r="L202" i="39" a="1"/>
  <c r="L202" i="39" s="1"/>
  <c r="AI202" i="39" a="1"/>
  <c r="AI202" i="39" s="1"/>
  <c r="AF691" i="39" a="1"/>
  <c r="AF691" i="39" s="1"/>
  <c r="AI854" i="39" a="1"/>
  <c r="AI854" i="39" s="1"/>
  <c r="AF854" i="39" a="1"/>
  <c r="AF854" i="39" s="1"/>
  <c r="L691" i="39" a="1"/>
  <c r="L691" i="39" s="1"/>
  <c r="N39" i="39" a="1"/>
  <c r="N39" i="39" s="1"/>
  <c r="Y39" i="39" a="1"/>
  <c r="Y39" i="39" s="1"/>
  <c r="X202" i="39" a="1"/>
  <c r="X202" i="39" s="1"/>
  <c r="S691" i="39" a="1"/>
  <c r="S691" i="39" s="1"/>
  <c r="V854" i="39" a="1"/>
  <c r="V854" i="39" s="1"/>
  <c r="S854" i="39" a="1"/>
  <c r="S854" i="39" s="1"/>
  <c r="AD528" i="39" a="1"/>
  <c r="AD528" i="39" s="1"/>
  <c r="M691" i="39" a="1"/>
  <c r="M691" i="39" s="1"/>
  <c r="AG528" i="39" a="1"/>
  <c r="AG528" i="39" s="1"/>
  <c r="W39" i="39" a="1"/>
  <c r="W39" i="39" s="1"/>
  <c r="Y854" i="39" a="1"/>
  <c r="Y854" i="39" s="1"/>
  <c r="V528" i="39" a="1"/>
  <c r="V528" i="39" s="1"/>
  <c r="Z691" i="39" a="1"/>
  <c r="Z691" i="39" s="1"/>
  <c r="R528" i="39" a="1"/>
  <c r="R528" i="39" s="1"/>
  <c r="M528" i="39" a="1"/>
  <c r="M528" i="39" s="1"/>
  <c r="Z365" i="39" a="1"/>
  <c r="Z365" i="39" s="1"/>
  <c r="U39" i="39" a="1"/>
  <c r="U39" i="39" s="1"/>
  <c r="AE691" i="39" a="1"/>
  <c r="AE691" i="39" s="1"/>
  <c r="V365" i="39" a="1"/>
  <c r="V365" i="39" s="1"/>
  <c r="AE854" i="39" a="1"/>
  <c r="AE854" i="39" s="1"/>
  <c r="O691" i="39" a="1"/>
  <c r="O691" i="39" s="1"/>
  <c r="AB365" i="39" a="1"/>
  <c r="AB365" i="39" s="1"/>
  <c r="M365" i="39" a="1"/>
  <c r="M365" i="39" s="1"/>
  <c r="AC39" i="39" a="1"/>
  <c r="AC39" i="39" s="1"/>
  <c r="S39" i="39" a="1"/>
  <c r="S39" i="39" s="1"/>
  <c r="AA202" i="39" a="1"/>
  <c r="AA202" i="39" s="1"/>
  <c r="AE39" i="39" a="1"/>
  <c r="AE39" i="39" s="1"/>
  <c r="P365" i="39" a="1"/>
  <c r="P365" i="39" s="1"/>
  <c r="T202" i="39" a="1"/>
  <c r="T202" i="39" s="1"/>
  <c r="O854" i="39" a="1"/>
  <c r="O854" i="39" s="1"/>
  <c r="AF39" i="39" a="1"/>
  <c r="AF39" i="39" s="1"/>
  <c r="AE528" i="39" a="1"/>
  <c r="AE528" i="39" s="1"/>
  <c r="U202" i="39" a="1"/>
  <c r="U202" i="39" s="1"/>
  <c r="U528" i="39" a="1"/>
  <c r="U528" i="39" s="1"/>
  <c r="AE365" i="39" a="1"/>
  <c r="AE365" i="39" s="1"/>
  <c r="AF202" i="39" a="1"/>
  <c r="AF202" i="39" s="1"/>
  <c r="AI528" i="39" a="1"/>
  <c r="AI528" i="39" s="1"/>
  <c r="P528" i="39" a="1"/>
  <c r="P528" i="39" s="1"/>
  <c r="X528" i="39" a="1"/>
  <c r="X528" i="39" s="1"/>
  <c r="AC691" i="39" a="1"/>
  <c r="AC691" i="39" s="1"/>
  <c r="T691" i="39" a="1"/>
  <c r="T691" i="39" s="1"/>
  <c r="P202" i="39" a="1"/>
  <c r="P202" i="39" s="1"/>
  <c r="AJ854" i="39" a="1"/>
  <c r="AJ854" i="39" s="1"/>
  <c r="AC202" i="39" a="1"/>
  <c r="AC202" i="39" s="1"/>
  <c r="V39" i="39" a="1"/>
  <c r="V39" i="39" s="1"/>
  <c r="Z854" i="39" a="1"/>
  <c r="Z854" i="39" s="1"/>
  <c r="R365" i="39" a="1"/>
  <c r="R365" i="39" s="1"/>
  <c r="V202" i="39" a="1"/>
  <c r="V202" i="39" s="1"/>
  <c r="M854" i="39" a="1"/>
  <c r="M854" i="39" s="1"/>
  <c r="G16" i="41"/>
  <c r="G18" i="41" s="1"/>
  <c r="F23" i="41"/>
  <c r="F28" i="41"/>
  <c r="F30" i="41"/>
  <c r="F31" i="41"/>
  <c r="N66" i="1"/>
  <c r="N63" i="1"/>
  <c r="K34" i="38"/>
  <c r="N73" i="7"/>
  <c r="N62" i="1"/>
  <c r="F7" i="41"/>
  <c r="G7" i="41" s="1"/>
  <c r="H7" i="41" s="1"/>
  <c r="I7" i="41" s="1"/>
  <c r="J7" i="41" s="1"/>
  <c r="K7" i="41" s="1"/>
  <c r="L7" i="41" s="1"/>
  <c r="M7" i="41" s="1"/>
  <c r="N7" i="41" s="1"/>
  <c r="O7" i="41" s="1"/>
  <c r="P7" i="41" s="1"/>
  <c r="Q7" i="41" s="1"/>
  <c r="R7" i="41" s="1"/>
  <c r="S7" i="41" s="1"/>
  <c r="T7" i="41" s="1"/>
  <c r="U7" i="41" s="1"/>
  <c r="V7" i="41" s="1"/>
  <c r="W7" i="41" s="1"/>
  <c r="X7" i="41" s="1"/>
  <c r="Y7" i="41" s="1"/>
  <c r="Z7" i="41" s="1"/>
  <c r="AA7" i="41" s="1"/>
  <c r="AB7" i="41" s="1"/>
  <c r="AC7" i="41" s="1"/>
  <c r="AD7" i="41" s="1"/>
  <c r="AE7" i="41" s="1"/>
  <c r="AF7" i="41" s="1"/>
  <c r="AG7" i="41" s="1"/>
  <c r="AH7" i="41" s="1"/>
  <c r="AI7" i="41" s="1"/>
  <c r="E8" i="41"/>
  <c r="F6" i="41" s="1"/>
  <c r="E6" i="11"/>
  <c r="E13" i="41" l="1"/>
  <c r="F10" i="41" s="1"/>
  <c r="F33" i="41"/>
  <c r="G30" i="41" s="1"/>
  <c r="G25" i="41"/>
  <c r="G26" i="41"/>
  <c r="H15" i="41"/>
  <c r="H16" i="41"/>
  <c r="G20" i="41"/>
  <c r="G21" i="41"/>
  <c r="F5" i="41"/>
  <c r="K17" i="7"/>
  <c r="D19" i="10" s="1"/>
  <c r="F11" i="41" l="1"/>
  <c r="F13" i="41" s="1"/>
  <c r="G10" i="41" s="1"/>
  <c r="G31" i="41"/>
  <c r="G33" i="41" s="1"/>
  <c r="G28" i="41"/>
  <c r="H25" i="41" s="1"/>
  <c r="G23" i="41"/>
  <c r="H20" i="41" s="1"/>
  <c r="H18" i="41"/>
  <c r="CD19" i="10"/>
  <c r="BX19" i="10"/>
  <c r="V19" i="10"/>
  <c r="BR19" i="10"/>
  <c r="BL19" i="10"/>
  <c r="EL19" i="10"/>
  <c r="AT19" i="10"/>
  <c r="BF19" i="10"/>
  <c r="ER19" i="10"/>
  <c r="AZ19" i="10"/>
  <c r="EF19" i="10"/>
  <c r="AN19" i="10"/>
  <c r="DZ19" i="10"/>
  <c r="AH19" i="10"/>
  <c r="DT19" i="10"/>
  <c r="AB19" i="10"/>
  <c r="P19" i="10"/>
  <c r="DN19" i="10"/>
  <c r="DH19" i="10"/>
  <c r="DB19" i="10"/>
  <c r="CV19" i="10"/>
  <c r="J19" i="10"/>
  <c r="CP19" i="10"/>
  <c r="CJ19" i="10"/>
  <c r="F8" i="41"/>
  <c r="D30" i="10"/>
  <c r="C6" i="19"/>
  <c r="E9" i="19"/>
  <c r="K12" i="19"/>
  <c r="G11" i="41" l="1"/>
  <c r="G13" i="41" s="1"/>
  <c r="H21" i="41"/>
  <c r="H23" i="41" s="1"/>
  <c r="I21" i="41" s="1"/>
  <c r="H26" i="41"/>
  <c r="H28" i="41" s="1"/>
  <c r="H30" i="41"/>
  <c r="H31" i="41"/>
  <c r="I15" i="41"/>
  <c r="I16" i="41"/>
  <c r="G6" i="41"/>
  <c r="G5" i="41"/>
  <c r="D31" i="10"/>
  <c r="G6" i="19"/>
  <c r="H6" i="19" s="1"/>
  <c r="I25" i="41" l="1"/>
  <c r="I26" i="41"/>
  <c r="I20" i="41"/>
  <c r="I23" i="41" s="1"/>
  <c r="J20" i="41" s="1"/>
  <c r="I18" i="41"/>
  <c r="J16" i="41" s="1"/>
  <c r="H10" i="41"/>
  <c r="H11" i="41"/>
  <c r="H33" i="41"/>
  <c r="G8" i="41"/>
  <c r="E13" i="11"/>
  <c r="D29" i="11"/>
  <c r="E51" i="10"/>
  <c r="J21" i="41" l="1"/>
  <c r="J23" i="41" s="1"/>
  <c r="I28" i="41"/>
  <c r="J25" i="41" s="1"/>
  <c r="J15" i="41"/>
  <c r="J18" i="41" s="1"/>
  <c r="K15" i="41" s="1"/>
  <c r="H13" i="41"/>
  <c r="I30" i="41"/>
  <c r="I31" i="41"/>
  <c r="E14" i="11"/>
  <c r="H6" i="41"/>
  <c r="H5" i="41"/>
  <c r="K16" i="41" l="1"/>
  <c r="K18" i="41" s="1"/>
  <c r="J26" i="41"/>
  <c r="J28" i="41" s="1"/>
  <c r="I33" i="41"/>
  <c r="K20" i="41"/>
  <c r="K21" i="41"/>
  <c r="I10" i="41"/>
  <c r="I11" i="41"/>
  <c r="H8" i="41"/>
  <c r="K25" i="41" l="1"/>
  <c r="K26" i="41"/>
  <c r="I13" i="41"/>
  <c r="J10" i="41" s="1"/>
  <c r="K23" i="41"/>
  <c r="L15" i="41"/>
  <c r="L16" i="41"/>
  <c r="J30" i="41"/>
  <c r="J31" i="41"/>
  <c r="I6" i="41"/>
  <c r="I5" i="41"/>
  <c r="K28" i="41" l="1"/>
  <c r="L25" i="41" s="1"/>
  <c r="J11" i="41"/>
  <c r="J13" i="41" s="1"/>
  <c r="J33" i="41"/>
  <c r="K30" i="41" s="1"/>
  <c r="L18" i="41"/>
  <c r="L20" i="41"/>
  <c r="L21" i="41"/>
  <c r="I8" i="41"/>
  <c r="F8" i="2"/>
  <c r="K31" i="41" l="1"/>
  <c r="K33" i="41" s="1"/>
  <c r="L26" i="41"/>
  <c r="L28" i="41" s="1"/>
  <c r="M25" i="41" s="1"/>
  <c r="K10" i="41"/>
  <c r="K11" i="41"/>
  <c r="L23" i="41"/>
  <c r="M15" i="41"/>
  <c r="M16" i="41"/>
  <c r="J6" i="41"/>
  <c r="J5" i="41"/>
  <c r="J35" i="1"/>
  <c r="M17" i="7"/>
  <c r="C23" i="56" s="1"/>
  <c r="J12" i="1"/>
  <c r="J39" i="1"/>
  <c r="K13" i="7"/>
  <c r="D16" i="10" s="1"/>
  <c r="J16" i="10" s="1"/>
  <c r="P16" i="10" s="1"/>
  <c r="V16" i="10" s="1"/>
  <c r="AB16" i="10" s="1"/>
  <c r="AH16" i="10" s="1"/>
  <c r="AN16" i="10" s="1"/>
  <c r="AT16" i="10" s="1"/>
  <c r="AZ16" i="10" s="1"/>
  <c r="BF16" i="10" s="1"/>
  <c r="BL16" i="10" s="1"/>
  <c r="BR16" i="10" s="1"/>
  <c r="BX16" i="10" s="1"/>
  <c r="CD16" i="10" s="1"/>
  <c r="CJ16" i="10" s="1"/>
  <c r="CP16" i="10" s="1"/>
  <c r="CV16" i="10" s="1"/>
  <c r="DB16" i="10" s="1"/>
  <c r="DH16" i="10" s="1"/>
  <c r="DN16" i="10" s="1"/>
  <c r="DT16" i="10" s="1"/>
  <c r="DZ16" i="10" s="1"/>
  <c r="EF16" i="10" s="1"/>
  <c r="EL16" i="10" s="1"/>
  <c r="ER16" i="10" s="1"/>
  <c r="M26" i="41" l="1"/>
  <c r="M28" i="41" s="1"/>
  <c r="L30" i="41"/>
  <c r="L31" i="41"/>
  <c r="M18" i="41"/>
  <c r="M20" i="41"/>
  <c r="M21" i="41"/>
  <c r="K13" i="41"/>
  <c r="EL18" i="10"/>
  <c r="EF18" i="10"/>
  <c r="DN18" i="10"/>
  <c r="BL18" i="10"/>
  <c r="ER18" i="10"/>
  <c r="DB18" i="10"/>
  <c r="DZ18" i="10"/>
  <c r="P18" i="10"/>
  <c r="V18" i="10"/>
  <c r="AH18" i="10"/>
  <c r="AB18" i="10"/>
  <c r="D18" i="10"/>
  <c r="J18" i="10"/>
  <c r="AN18" i="10"/>
  <c r="AT18" i="10"/>
  <c r="BR18" i="10"/>
  <c r="DH18" i="10"/>
  <c r="AZ18" i="10"/>
  <c r="CJ18" i="10"/>
  <c r="CP18" i="10"/>
  <c r="BX18" i="10"/>
  <c r="DT18" i="10"/>
  <c r="CV18" i="10"/>
  <c r="CD18" i="10"/>
  <c r="BF18" i="10"/>
  <c r="J8" i="41"/>
  <c r="K5" i="41" s="1"/>
  <c r="M13" i="7"/>
  <c r="C22" i="56" s="1"/>
  <c r="K12" i="7"/>
  <c r="M12" i="7" l="1"/>
  <c r="N25" i="41"/>
  <c r="N26" i="41"/>
  <c r="L11" i="41"/>
  <c r="L10" i="41"/>
  <c r="M23" i="41"/>
  <c r="N15" i="41"/>
  <c r="N16" i="41"/>
  <c r="L33" i="41"/>
  <c r="ES11" i="10"/>
  <c r="ET11" i="10" s="1"/>
  <c r="EU11" i="10" s="1"/>
  <c r="ES7" i="10"/>
  <c r="ET7" i="10" s="1"/>
  <c r="ES14" i="10"/>
  <c r="ET14" i="10" s="1"/>
  <c r="EU14" i="10" s="1"/>
  <c r="ES12" i="10"/>
  <c r="ET12" i="10" s="1"/>
  <c r="EU12" i="10" s="1"/>
  <c r="ES8" i="10"/>
  <c r="ET8" i="10" s="1"/>
  <c r="EU8" i="10" s="1"/>
  <c r="BM8" i="10"/>
  <c r="BN8" i="10" s="1"/>
  <c r="BO8" i="10" s="1"/>
  <c r="BM11" i="10"/>
  <c r="BN11" i="10" s="1"/>
  <c r="BO11" i="10" s="1"/>
  <c r="BM7" i="10"/>
  <c r="BN7" i="10" s="1"/>
  <c r="BM14" i="10"/>
  <c r="BN14" i="10" s="1"/>
  <c r="BO14" i="10" s="1"/>
  <c r="BM12" i="10"/>
  <c r="BN12" i="10" s="1"/>
  <c r="BO12" i="10" s="1"/>
  <c r="AU12" i="10"/>
  <c r="AV12" i="10" s="1"/>
  <c r="AW12" i="10" s="1"/>
  <c r="AU14" i="10"/>
  <c r="AV14" i="10" s="1"/>
  <c r="AW14" i="10" s="1"/>
  <c r="AU8" i="10"/>
  <c r="AV8" i="10" s="1"/>
  <c r="AW8" i="10" s="1"/>
  <c r="AU11" i="10"/>
  <c r="AV11" i="10" s="1"/>
  <c r="AW11" i="10" s="1"/>
  <c r="AU7" i="10"/>
  <c r="AV7" i="10" s="1"/>
  <c r="K11" i="10"/>
  <c r="L11" i="10" s="1"/>
  <c r="M11" i="10" s="1"/>
  <c r="K14" i="10"/>
  <c r="L14" i="10" s="1"/>
  <c r="M14" i="10" s="1"/>
  <c r="K12" i="10"/>
  <c r="L12" i="10" s="1"/>
  <c r="M12" i="10" s="1"/>
  <c r="K7" i="10"/>
  <c r="L7" i="10" s="1"/>
  <c r="K8" i="10"/>
  <c r="L8" i="10" s="1"/>
  <c r="M8" i="10" s="1"/>
  <c r="AI12" i="10"/>
  <c r="AJ12" i="10" s="1"/>
  <c r="AK12" i="10" s="1"/>
  <c r="AI8" i="10"/>
  <c r="AJ8" i="10" s="1"/>
  <c r="AK8" i="10" s="1"/>
  <c r="AI14" i="10"/>
  <c r="AJ14" i="10" s="1"/>
  <c r="AK14" i="10" s="1"/>
  <c r="AI7" i="10"/>
  <c r="AJ7" i="10" s="1"/>
  <c r="AI11" i="10"/>
  <c r="AJ11" i="10" s="1"/>
  <c r="AK11" i="10" s="1"/>
  <c r="EA8" i="10"/>
  <c r="EB8" i="10" s="1"/>
  <c r="EC8" i="10" s="1"/>
  <c r="EA12" i="10"/>
  <c r="EB12" i="10" s="1"/>
  <c r="EC12" i="10" s="1"/>
  <c r="EA7" i="10"/>
  <c r="EB7" i="10" s="1"/>
  <c r="EA11" i="10"/>
  <c r="EB11" i="10" s="1"/>
  <c r="EC11" i="10" s="1"/>
  <c r="EA14" i="10"/>
  <c r="EB14" i="10" s="1"/>
  <c r="EC14" i="10" s="1"/>
  <c r="DO12" i="10"/>
  <c r="DP12" i="10" s="1"/>
  <c r="DQ12" i="10" s="1"/>
  <c r="DO14" i="10"/>
  <c r="DP14" i="10" s="1"/>
  <c r="DQ14" i="10" s="1"/>
  <c r="DO7" i="10"/>
  <c r="DP7" i="10" s="1"/>
  <c r="DO11" i="10"/>
  <c r="DP11" i="10" s="1"/>
  <c r="DQ11" i="10" s="1"/>
  <c r="DO8" i="10"/>
  <c r="DP8" i="10" s="1"/>
  <c r="DQ8" i="10" s="1"/>
  <c r="AO14" i="10"/>
  <c r="AP14" i="10" s="1"/>
  <c r="AQ14" i="10" s="1"/>
  <c r="AO11" i="10"/>
  <c r="AP11" i="10" s="1"/>
  <c r="AQ11" i="10" s="1"/>
  <c r="AO8" i="10"/>
  <c r="AP8" i="10" s="1"/>
  <c r="AQ8" i="10" s="1"/>
  <c r="AO12" i="10"/>
  <c r="AP12" i="10" s="1"/>
  <c r="AQ12" i="10" s="1"/>
  <c r="AO7" i="10"/>
  <c r="AP7" i="10" s="1"/>
  <c r="E8" i="10"/>
  <c r="F8" i="10" s="1"/>
  <c r="G8" i="10" s="1"/>
  <c r="E12" i="10"/>
  <c r="F12" i="10" s="1"/>
  <c r="G12" i="10" s="1"/>
  <c r="E11" i="10"/>
  <c r="F11" i="10" s="1"/>
  <c r="G11" i="10" s="1"/>
  <c r="E7" i="10"/>
  <c r="F7" i="10" s="1"/>
  <c r="E14" i="10"/>
  <c r="F14" i="10" s="1"/>
  <c r="G14" i="10" s="1"/>
  <c r="BG11" i="10"/>
  <c r="BH11" i="10" s="1"/>
  <c r="BI11" i="10" s="1"/>
  <c r="BG14" i="10"/>
  <c r="BH14" i="10" s="1"/>
  <c r="BI14" i="10" s="1"/>
  <c r="BG12" i="10"/>
  <c r="BH12" i="10" s="1"/>
  <c r="BI12" i="10" s="1"/>
  <c r="BG8" i="10"/>
  <c r="BH8" i="10" s="1"/>
  <c r="BI8" i="10" s="1"/>
  <c r="BG7" i="10"/>
  <c r="BH7" i="10" s="1"/>
  <c r="CE11" i="10"/>
  <c r="CF11" i="10" s="1"/>
  <c r="CG11" i="10" s="1"/>
  <c r="CE14" i="10"/>
  <c r="CF14" i="10" s="1"/>
  <c r="CG14" i="10" s="1"/>
  <c r="CE8" i="10"/>
  <c r="CF8" i="10" s="1"/>
  <c r="CG8" i="10" s="1"/>
  <c r="CE7" i="10"/>
  <c r="CF7" i="10" s="1"/>
  <c r="CE12" i="10"/>
  <c r="CF12" i="10" s="1"/>
  <c r="CG12" i="10" s="1"/>
  <c r="CW7" i="10"/>
  <c r="CX7" i="10" s="1"/>
  <c r="CW12" i="10"/>
  <c r="CX12" i="10" s="1"/>
  <c r="CY12" i="10" s="1"/>
  <c r="CW8" i="10"/>
  <c r="CX8" i="10" s="1"/>
  <c r="CY8" i="10" s="1"/>
  <c r="CW14" i="10"/>
  <c r="CX14" i="10" s="1"/>
  <c r="CY14" i="10" s="1"/>
  <c r="CW11" i="10"/>
  <c r="CX11" i="10" s="1"/>
  <c r="CY11" i="10" s="1"/>
  <c r="DU8" i="10"/>
  <c r="DV8" i="10" s="1"/>
  <c r="DW8" i="10" s="1"/>
  <c r="DU11" i="10"/>
  <c r="DV11" i="10" s="1"/>
  <c r="DW11" i="10" s="1"/>
  <c r="DU14" i="10"/>
  <c r="DV14" i="10" s="1"/>
  <c r="DW14" i="10" s="1"/>
  <c r="DU7" i="10"/>
  <c r="DV7" i="10" s="1"/>
  <c r="DU12" i="10"/>
  <c r="DV12" i="10" s="1"/>
  <c r="DW12" i="10" s="1"/>
  <c r="BY11" i="10"/>
  <c r="BZ11" i="10" s="1"/>
  <c r="CA11" i="10" s="1"/>
  <c r="BY7" i="10"/>
  <c r="BZ7" i="10" s="1"/>
  <c r="BY14" i="10"/>
  <c r="BZ14" i="10" s="1"/>
  <c r="CA14" i="10" s="1"/>
  <c r="BY8" i="10"/>
  <c r="BZ8" i="10" s="1"/>
  <c r="CA8" i="10" s="1"/>
  <c r="BY12" i="10"/>
  <c r="BZ12" i="10" s="1"/>
  <c r="CA12" i="10" s="1"/>
  <c r="CK14" i="10"/>
  <c r="CL14" i="10" s="1"/>
  <c r="CM14" i="10" s="1"/>
  <c r="CK7" i="10"/>
  <c r="CL7" i="10" s="1"/>
  <c r="CK8" i="10"/>
  <c r="CL8" i="10" s="1"/>
  <c r="CM8" i="10" s="1"/>
  <c r="CK12" i="10"/>
  <c r="CL12" i="10" s="1"/>
  <c r="CM12" i="10" s="1"/>
  <c r="CK11" i="10"/>
  <c r="CL11" i="10" s="1"/>
  <c r="CM11" i="10" s="1"/>
  <c r="BA8" i="10"/>
  <c r="BB8" i="10" s="1"/>
  <c r="BC8" i="10" s="1"/>
  <c r="BA11" i="10"/>
  <c r="BB11" i="10" s="1"/>
  <c r="BC11" i="10" s="1"/>
  <c r="BA12" i="10"/>
  <c r="BB12" i="10" s="1"/>
  <c r="BC12" i="10" s="1"/>
  <c r="BA14" i="10"/>
  <c r="BB14" i="10" s="1"/>
  <c r="BC14" i="10" s="1"/>
  <c r="BA7" i="10"/>
  <c r="BB7" i="10" s="1"/>
  <c r="EG8" i="10"/>
  <c r="EH8" i="10" s="1"/>
  <c r="EI8" i="10" s="1"/>
  <c r="EG14" i="10"/>
  <c r="EH14" i="10" s="1"/>
  <c r="EI14" i="10" s="1"/>
  <c r="EG11" i="10"/>
  <c r="EH11" i="10" s="1"/>
  <c r="EI11" i="10" s="1"/>
  <c r="EG7" i="10"/>
  <c r="EH7" i="10" s="1"/>
  <c r="EG12" i="10"/>
  <c r="EH12" i="10" s="1"/>
  <c r="EI12" i="10" s="1"/>
  <c r="BS14" i="10"/>
  <c r="BT14" i="10" s="1"/>
  <c r="BU14" i="10" s="1"/>
  <c r="BS8" i="10"/>
  <c r="BT8" i="10" s="1"/>
  <c r="BU8" i="10" s="1"/>
  <c r="BS11" i="10"/>
  <c r="BT11" i="10" s="1"/>
  <c r="BU11" i="10" s="1"/>
  <c r="BS7" i="10"/>
  <c r="BT7" i="10" s="1"/>
  <c r="BS12" i="10"/>
  <c r="BT12" i="10" s="1"/>
  <c r="BU12" i="10" s="1"/>
  <c r="AC8" i="10"/>
  <c r="AD8" i="10" s="1"/>
  <c r="AE8" i="10" s="1"/>
  <c r="AC11" i="10"/>
  <c r="AD11" i="10" s="1"/>
  <c r="AE11" i="10" s="1"/>
  <c r="AC14" i="10"/>
  <c r="AD14" i="10" s="1"/>
  <c r="AE14" i="10" s="1"/>
  <c r="AC7" i="10"/>
  <c r="AD7" i="10" s="1"/>
  <c r="AC12" i="10"/>
  <c r="AD12" i="10" s="1"/>
  <c r="AE12" i="10" s="1"/>
  <c r="W8" i="10"/>
  <c r="X8" i="10" s="1"/>
  <c r="Y8" i="10" s="1"/>
  <c r="W12" i="10"/>
  <c r="X12" i="10" s="1"/>
  <c r="Y12" i="10" s="1"/>
  <c r="W11" i="10"/>
  <c r="X11" i="10" s="1"/>
  <c r="Y11" i="10" s="1"/>
  <c r="W14" i="10"/>
  <c r="X14" i="10" s="1"/>
  <c r="Y14" i="10" s="1"/>
  <c r="W7" i="10"/>
  <c r="X7" i="10" s="1"/>
  <c r="Q8" i="10"/>
  <c r="R8" i="10" s="1"/>
  <c r="S8" i="10" s="1"/>
  <c r="Q7" i="10"/>
  <c r="R7" i="10" s="1"/>
  <c r="Q12" i="10"/>
  <c r="R12" i="10" s="1"/>
  <c r="S12" i="10" s="1"/>
  <c r="Q14" i="10"/>
  <c r="R14" i="10" s="1"/>
  <c r="S14" i="10" s="1"/>
  <c r="Q11" i="10"/>
  <c r="R11" i="10" s="1"/>
  <c r="S11" i="10" s="1"/>
  <c r="DC8" i="10"/>
  <c r="DD8" i="10" s="1"/>
  <c r="DE8" i="10" s="1"/>
  <c r="DC7" i="10"/>
  <c r="DD7" i="10" s="1"/>
  <c r="DC11" i="10"/>
  <c r="DD11" i="10" s="1"/>
  <c r="DE11" i="10" s="1"/>
  <c r="DC12" i="10"/>
  <c r="DD12" i="10" s="1"/>
  <c r="DE12" i="10" s="1"/>
  <c r="DC14" i="10"/>
  <c r="DD14" i="10" s="1"/>
  <c r="DE14" i="10" s="1"/>
  <c r="CQ8" i="10"/>
  <c r="CR8" i="10" s="1"/>
  <c r="CS8" i="10" s="1"/>
  <c r="CQ12" i="10"/>
  <c r="CR12" i="10" s="1"/>
  <c r="CS12" i="10" s="1"/>
  <c r="CQ11" i="10"/>
  <c r="CR11" i="10" s="1"/>
  <c r="CS11" i="10" s="1"/>
  <c r="CQ7" i="10"/>
  <c r="CR7" i="10" s="1"/>
  <c r="CQ14" i="10"/>
  <c r="CR14" i="10" s="1"/>
  <c r="CS14" i="10" s="1"/>
  <c r="DI7" i="10"/>
  <c r="DJ7" i="10" s="1"/>
  <c r="DI8" i="10"/>
  <c r="DJ8" i="10" s="1"/>
  <c r="DK8" i="10" s="1"/>
  <c r="DI11" i="10"/>
  <c r="DJ11" i="10" s="1"/>
  <c r="DK11" i="10" s="1"/>
  <c r="DI14" i="10"/>
  <c r="DJ14" i="10" s="1"/>
  <c r="DK14" i="10" s="1"/>
  <c r="DI12" i="10"/>
  <c r="DJ12" i="10" s="1"/>
  <c r="DK12" i="10" s="1"/>
  <c r="EM8" i="10"/>
  <c r="EN8" i="10" s="1"/>
  <c r="EO8" i="10" s="1"/>
  <c r="EM12" i="10"/>
  <c r="EN12" i="10" s="1"/>
  <c r="EO12" i="10" s="1"/>
  <c r="EM14" i="10"/>
  <c r="EN14" i="10" s="1"/>
  <c r="EO14" i="10" s="1"/>
  <c r="EM11" i="10"/>
  <c r="EN11" i="10" s="1"/>
  <c r="EO11" i="10" s="1"/>
  <c r="EM7" i="10"/>
  <c r="EN7" i="10" s="1"/>
  <c r="K6" i="41"/>
  <c r="K8" i="41" s="1"/>
  <c r="L6" i="41" s="1"/>
  <c r="D4" i="10"/>
  <c r="J20" i="1"/>
  <c r="J10" i="1" s="1"/>
  <c r="F5" i="10"/>
  <c r="L13" i="41" l="1"/>
  <c r="M11" i="41" s="1"/>
  <c r="N20" i="41"/>
  <c r="N21" i="41"/>
  <c r="N18" i="41"/>
  <c r="N28" i="41"/>
  <c r="M30" i="41"/>
  <c r="M31" i="41"/>
  <c r="BC7" i="10"/>
  <c r="BA8" i="11"/>
  <c r="DW7" i="10"/>
  <c r="DU8" i="11"/>
  <c r="AW7" i="10"/>
  <c r="AU8" i="11"/>
  <c r="G7" i="10"/>
  <c r="E8" i="11"/>
  <c r="EA8" i="11"/>
  <c r="EC7" i="10"/>
  <c r="DE7" i="10"/>
  <c r="DC8" i="11"/>
  <c r="AE7" i="10"/>
  <c r="AC8" i="11"/>
  <c r="EO7" i="10"/>
  <c r="EM8" i="11"/>
  <c r="BU7" i="10"/>
  <c r="BS8" i="11"/>
  <c r="CK8" i="11"/>
  <c r="CM7" i="10"/>
  <c r="CW8" i="11"/>
  <c r="CY7" i="10"/>
  <c r="AO8" i="11"/>
  <c r="AQ7" i="10"/>
  <c r="AI8" i="11"/>
  <c r="AK7" i="10"/>
  <c r="BO7" i="10"/>
  <c r="BM8" i="11"/>
  <c r="Q8" i="11"/>
  <c r="J8" i="48" s="1"/>
  <c r="K8" i="48" s="1"/>
  <c r="S7" i="10"/>
  <c r="CG7" i="10"/>
  <c r="CE8" i="11"/>
  <c r="DK7" i="10"/>
  <c r="DI8" i="11"/>
  <c r="W8" i="11"/>
  <c r="Y7" i="10"/>
  <c r="EI7" i="10"/>
  <c r="EG8" i="11"/>
  <c r="CA7" i="10"/>
  <c r="BY8" i="11"/>
  <c r="K8" i="11"/>
  <c r="M7" i="10"/>
  <c r="CS7" i="10"/>
  <c r="CQ8" i="11"/>
  <c r="BI7" i="10"/>
  <c r="BG8" i="11"/>
  <c r="EU7" i="10"/>
  <c r="ES8" i="11"/>
  <c r="DO8" i="11"/>
  <c r="DQ7" i="10"/>
  <c r="E7" i="11"/>
  <c r="L5" i="41"/>
  <c r="L8" i="41" s="1"/>
  <c r="M6" i="41" s="1"/>
  <c r="J60" i="1"/>
  <c r="K487" i="39" s="1" a="1"/>
  <c r="K487" i="39" s="1"/>
  <c r="G5" i="10"/>
  <c r="K815" i="39" l="1" a="1"/>
  <c r="K815" i="39" s="1"/>
  <c r="K326" i="39" a="1"/>
  <c r="K326" i="39" s="1"/>
  <c r="K651" i="39" a="1"/>
  <c r="K651" i="39" s="1"/>
  <c r="K161" i="39" a="1"/>
  <c r="K161" i="39" s="1"/>
  <c r="K976" i="39" a="1"/>
  <c r="K976" i="39" s="1"/>
  <c r="K325" i="39" a="1"/>
  <c r="K325" i="39" s="1"/>
  <c r="K652" i="39" a="1"/>
  <c r="K652" i="39" s="1"/>
  <c r="K163" i="39" a="1"/>
  <c r="K163" i="39" s="1"/>
  <c r="K977" i="39" a="1"/>
  <c r="K977" i="39" s="1"/>
  <c r="K490" i="39" a="1"/>
  <c r="K490" i="39" s="1"/>
  <c r="K162" i="39" a="1"/>
  <c r="K162" i="39" s="1"/>
  <c r="K813" i="39" a="1"/>
  <c r="K813" i="39" s="1"/>
  <c r="K653" i="39" a="1"/>
  <c r="K653" i="39" s="1"/>
  <c r="K489" i="39" a="1"/>
  <c r="K489" i="39" s="1"/>
  <c r="K164" i="39" a="1"/>
  <c r="K164" i="39" s="1"/>
  <c r="K814" i="39" a="1"/>
  <c r="K814" i="39" s="1"/>
  <c r="K978" i="39" a="1"/>
  <c r="K978" i="39" s="1"/>
  <c r="K324" i="39" a="1"/>
  <c r="K324" i="39" s="1"/>
  <c r="K327" i="39" a="1"/>
  <c r="K327" i="39" s="1"/>
  <c r="K979" i="39" a="1"/>
  <c r="K979" i="39" s="1"/>
  <c r="K816" i="39" a="1"/>
  <c r="K816" i="39" s="1"/>
  <c r="K488" i="39" a="1"/>
  <c r="K488" i="39" s="1"/>
  <c r="K650" i="39" a="1"/>
  <c r="K650" i="39" s="1"/>
  <c r="M10" i="41"/>
  <c r="M13" i="41" s="1"/>
  <c r="N23" i="41"/>
  <c r="O25" i="41"/>
  <c r="O26" i="41"/>
  <c r="M33" i="41"/>
  <c r="O15" i="41"/>
  <c r="O16" i="41"/>
  <c r="Q49" i="10" a="1"/>
  <c r="Q49" i="10" s="1"/>
  <c r="R49" i="10" s="1"/>
  <c r="S49" i="10" s="1"/>
  <c r="BG49" i="10" a="1"/>
  <c r="BG49" i="10" s="1"/>
  <c r="BH49" i="10" s="1"/>
  <c r="BI49" i="10" s="1"/>
  <c r="DO49" i="10" a="1"/>
  <c r="DO49" i="10" s="1"/>
  <c r="DP49" i="10" s="1"/>
  <c r="DQ49" i="10" s="1"/>
  <c r="CK49" i="10" a="1"/>
  <c r="CK49" i="10" s="1"/>
  <c r="CL49" i="10" s="1"/>
  <c r="CM49" i="10" s="1"/>
  <c r="EG49" i="10" a="1"/>
  <c r="EG49" i="10" s="1"/>
  <c r="EH49" i="10" s="1"/>
  <c r="EI49" i="10" s="1"/>
  <c r="K49" i="10" a="1"/>
  <c r="K49" i="10" s="1"/>
  <c r="L49" i="10" s="1"/>
  <c r="M49" i="10" s="1"/>
  <c r="CQ49" i="10" a="1"/>
  <c r="CQ49" i="10" s="1"/>
  <c r="CR49" i="10" s="1"/>
  <c r="CS49" i="10" s="1"/>
  <c r="W49" i="10" a="1"/>
  <c r="W49" i="10" s="1"/>
  <c r="X49" i="10" s="1"/>
  <c r="Y49" i="10" s="1"/>
  <c r="DI49" i="10" a="1"/>
  <c r="DI49" i="10" s="1"/>
  <c r="DJ49" i="10" s="1"/>
  <c r="DK49" i="10" s="1"/>
  <c r="BY49" i="10" a="1"/>
  <c r="BY49" i="10" s="1"/>
  <c r="BZ49" i="10" s="1"/>
  <c r="CA49" i="10" s="1"/>
  <c r="AC49" i="10" a="1"/>
  <c r="AC49" i="10" s="1"/>
  <c r="AD49" i="10" s="1"/>
  <c r="AE49" i="10" s="1"/>
  <c r="EA49" i="10" a="1"/>
  <c r="EA49" i="10" s="1"/>
  <c r="EB49" i="10" s="1"/>
  <c r="EC49" i="10" s="1"/>
  <c r="AI49" i="10" a="1"/>
  <c r="AI49" i="10" s="1"/>
  <c r="AJ49" i="10" s="1"/>
  <c r="AK49" i="10" s="1"/>
  <c r="ES49" i="10" a="1"/>
  <c r="ES49" i="10" s="1"/>
  <c r="ET49" i="10" s="1"/>
  <c r="EU49" i="10" s="1"/>
  <c r="DU49" i="10" a="1"/>
  <c r="DU49" i="10" s="1"/>
  <c r="DV49" i="10" s="1"/>
  <c r="DW49" i="10" s="1"/>
  <c r="EM49" i="10" a="1"/>
  <c r="EM49" i="10" s="1"/>
  <c r="EN49" i="10" s="1"/>
  <c r="EO49" i="10" s="1"/>
  <c r="CW49" i="10" a="1"/>
  <c r="CW49" i="10" s="1"/>
  <c r="CX49" i="10" s="1"/>
  <c r="CY49" i="10" s="1"/>
  <c r="BS49" i="10" a="1"/>
  <c r="BS49" i="10" s="1"/>
  <c r="BT49" i="10" s="1"/>
  <c r="BU49" i="10" s="1"/>
  <c r="CE49" i="10" a="1"/>
  <c r="CE49" i="10" s="1"/>
  <c r="CF49" i="10" s="1"/>
  <c r="CG49" i="10" s="1"/>
  <c r="BM49" i="10" a="1"/>
  <c r="BM49" i="10" s="1"/>
  <c r="BN49" i="10" s="1"/>
  <c r="BO49" i="10" s="1"/>
  <c r="AU49" i="10" a="1"/>
  <c r="AU49" i="10" s="1"/>
  <c r="AV49" i="10" s="1"/>
  <c r="AW49" i="10" s="1"/>
  <c r="AO49" i="10" a="1"/>
  <c r="AO49" i="10" s="1"/>
  <c r="AP49" i="10" s="1"/>
  <c r="AQ49" i="10" s="1"/>
  <c r="BA49" i="10" a="1"/>
  <c r="BA49" i="10" s="1"/>
  <c r="BB49" i="10" s="1"/>
  <c r="BC49" i="10" s="1"/>
  <c r="DC49" i="10" a="1"/>
  <c r="DC49" i="10" s="1"/>
  <c r="DD49" i="10" s="1"/>
  <c r="DE49" i="10" s="1"/>
  <c r="E44" i="10" a="1"/>
  <c r="E44" i="10" s="1"/>
  <c r="E42" i="10" a="1"/>
  <c r="E42" i="10" s="1"/>
  <c r="EA41" i="10" a="1"/>
  <c r="EA41" i="10" s="1"/>
  <c r="AO44" i="10" a="1"/>
  <c r="AO44" i="10" s="1"/>
  <c r="AP44" i="10" s="1"/>
  <c r="AQ44" i="10" s="1"/>
  <c r="DC41" i="10" a="1"/>
  <c r="DC41" i="10" s="1"/>
  <c r="BM43" i="10" a="1"/>
  <c r="BM43" i="10" s="1"/>
  <c r="BN43" i="10" s="1"/>
  <c r="BO43" i="10" s="1"/>
  <c r="CQ42" i="10" a="1"/>
  <c r="CQ42" i="10" s="1"/>
  <c r="AU45" i="10" a="1"/>
  <c r="AU45" i="10" s="1"/>
  <c r="AV45" i="10" s="1"/>
  <c r="AW45" i="10" s="1"/>
  <c r="DU45" i="10" a="1"/>
  <c r="DU45" i="10" s="1"/>
  <c r="BY41" i="10" a="1"/>
  <c r="BY41" i="10" s="1"/>
  <c r="BZ41" i="10" s="1"/>
  <c r="CA41" i="10" s="1"/>
  <c r="DU41" i="10" a="1"/>
  <c r="DU41" i="10" s="1"/>
  <c r="DO44" i="10" a="1"/>
  <c r="DO44" i="10" s="1"/>
  <c r="AC44" i="10" a="1"/>
  <c r="AC44" i="10" s="1"/>
  <c r="AD44" i="10" s="1"/>
  <c r="AE44" i="10" s="1"/>
  <c r="BS45" i="10" a="1"/>
  <c r="BS45" i="10" s="1"/>
  <c r="BT45" i="10" s="1"/>
  <c r="BU45" i="10" s="1"/>
  <c r="DU44" i="10" a="1"/>
  <c r="DU44" i="10" s="1"/>
  <c r="W45" i="10" a="1"/>
  <c r="W45" i="10" s="1"/>
  <c r="X45" i="10" s="1"/>
  <c r="Y45" i="10" s="1"/>
  <c r="BM44" i="10" a="1"/>
  <c r="BM44" i="10" s="1"/>
  <c r="BN44" i="10" s="1"/>
  <c r="BO44" i="10" s="1"/>
  <c r="CE45" i="10" a="1"/>
  <c r="CE45" i="10" s="1"/>
  <c r="CF45" i="10" s="1"/>
  <c r="CG45" i="10" s="1"/>
  <c r="W43" i="10" a="1"/>
  <c r="W43" i="10" s="1"/>
  <c r="X43" i="10" s="1"/>
  <c r="Y43" i="10" s="1"/>
  <c r="EM42" i="10" a="1"/>
  <c r="EM42" i="10" s="1"/>
  <c r="AU43" i="10" a="1"/>
  <c r="AU43" i="10" s="1"/>
  <c r="AV43" i="10" s="1"/>
  <c r="AW43" i="10" s="1"/>
  <c r="BG45" i="10" a="1"/>
  <c r="BG45" i="10" s="1"/>
  <c r="BH45" i="10" s="1"/>
  <c r="BI45" i="10" s="1"/>
  <c r="CK45" i="10" a="1"/>
  <c r="CK45" i="10" s="1"/>
  <c r="CL45" i="10" s="1"/>
  <c r="CM45" i="10" s="1"/>
  <c r="CW43" i="10" a="1"/>
  <c r="CW43" i="10" s="1"/>
  <c r="CQ43" i="10" a="1"/>
  <c r="CQ43" i="10" s="1"/>
  <c r="CE44" i="10" a="1"/>
  <c r="CE44" i="10" s="1"/>
  <c r="CF44" i="10" s="1"/>
  <c r="CG44" i="10" s="1"/>
  <c r="DI42" i="10" a="1"/>
  <c r="DI42" i="10" s="1"/>
  <c r="ES44" i="10" a="1"/>
  <c r="ES44" i="10" s="1"/>
  <c r="BS44" i="10" a="1"/>
  <c r="BS44" i="10" s="1"/>
  <c r="BT44" i="10" s="1"/>
  <c r="BU44" i="10" s="1"/>
  <c r="BA44" i="10" a="1"/>
  <c r="BA44" i="10" s="1"/>
  <c r="BB44" i="10" s="1"/>
  <c r="BC44" i="10" s="1"/>
  <c r="AU41" i="10" a="1"/>
  <c r="AU41" i="10" s="1"/>
  <c r="CQ44" i="10" a="1"/>
  <c r="CQ44" i="10" s="1"/>
  <c r="BY42" i="10" a="1"/>
  <c r="BY42" i="10" s="1"/>
  <c r="BZ42" i="10" s="1"/>
  <c r="CA42" i="10" s="1"/>
  <c r="EA43" i="10" a="1"/>
  <c r="EA43" i="10" s="1"/>
  <c r="BG44" i="10" a="1"/>
  <c r="BG44" i="10" s="1"/>
  <c r="BH44" i="10" s="1"/>
  <c r="BI44" i="10" s="1"/>
  <c r="EG45" i="10" a="1"/>
  <c r="EG45" i="10" s="1"/>
  <c r="DO42" i="10" a="1"/>
  <c r="DO42" i="10" s="1"/>
  <c r="AC42" i="10" a="1"/>
  <c r="AC42" i="10" s="1"/>
  <c r="AD42" i="10" s="1"/>
  <c r="AE42" i="10" s="1"/>
  <c r="CE43" i="10" a="1"/>
  <c r="CE43" i="10" s="1"/>
  <c r="CF43" i="10" s="1"/>
  <c r="CG43" i="10" s="1"/>
  <c r="BM42" i="10" a="1"/>
  <c r="BM42" i="10" s="1"/>
  <c r="BN42" i="10" s="1"/>
  <c r="BO42" i="10" s="1"/>
  <c r="EG43" i="10" a="1"/>
  <c r="EG43" i="10" s="1"/>
  <c r="BA41" i="10" a="1"/>
  <c r="BA41" i="10" s="1"/>
  <c r="AO43" i="10" a="1"/>
  <c r="AO43" i="10" s="1"/>
  <c r="AP43" i="10" s="1"/>
  <c r="AQ43" i="10" s="1"/>
  <c r="DC42" i="10" a="1"/>
  <c r="DC42" i="10" s="1"/>
  <c r="CW42" i="10" a="1"/>
  <c r="CW42" i="10" s="1"/>
  <c r="CE42" i="10" a="1"/>
  <c r="CE42" i="10" s="1"/>
  <c r="CF42" i="10" s="1"/>
  <c r="CG42" i="10" s="1"/>
  <c r="BS43" i="10" a="1"/>
  <c r="BS43" i="10" s="1"/>
  <c r="BT43" i="10" s="1"/>
  <c r="BU43" i="10" s="1"/>
  <c r="AI45" i="10" a="1"/>
  <c r="AI45" i="10" s="1"/>
  <c r="AJ45" i="10" s="1"/>
  <c r="AK45" i="10" s="1"/>
  <c r="ES43" i="10" a="1"/>
  <c r="ES43" i="10" s="1"/>
  <c r="CK41" i="10" a="1"/>
  <c r="CK41" i="10" s="1"/>
  <c r="CL41" i="10" s="1"/>
  <c r="CM41" i="10" s="1"/>
  <c r="CQ45" i="10" a="1"/>
  <c r="CQ45" i="10" s="1"/>
  <c r="AC43" i="10" a="1"/>
  <c r="AC43" i="10" s="1"/>
  <c r="AD43" i="10" s="1"/>
  <c r="AE43" i="10" s="1"/>
  <c r="CE41" i="10" a="1"/>
  <c r="CE41" i="10" s="1"/>
  <c r="CF41" i="10" s="1"/>
  <c r="CG41" i="10" s="1"/>
  <c r="EG44" i="10" a="1"/>
  <c r="EG44" i="10" s="1"/>
  <c r="CK44" i="10" a="1"/>
  <c r="CK44" i="10" s="1"/>
  <c r="CL44" i="10" s="1"/>
  <c r="CM44" i="10" s="1"/>
  <c r="Q44" i="10" a="1"/>
  <c r="Q44" i="10" s="1"/>
  <c r="DC45" i="10" a="1"/>
  <c r="DC45" i="10" s="1"/>
  <c r="DI43" i="10" a="1"/>
  <c r="DI43" i="10" s="1"/>
  <c r="DI41" i="10" a="1"/>
  <c r="DI41" i="10" s="1"/>
  <c r="AI44" i="10" a="1"/>
  <c r="AI44" i="10" s="1"/>
  <c r="AJ44" i="10" s="1"/>
  <c r="AK44" i="10" s="1"/>
  <c r="CQ41" i="10" a="1"/>
  <c r="CQ41" i="10" s="1"/>
  <c r="AC41" i="10" a="1"/>
  <c r="AC41" i="10" s="1"/>
  <c r="DO41" i="10" a="1"/>
  <c r="DO41" i="10" s="1"/>
  <c r="W41" i="10" a="1"/>
  <c r="W41" i="10" s="1"/>
  <c r="DC44" i="10" a="1"/>
  <c r="DC44" i="10" s="1"/>
  <c r="AC45" i="10" a="1"/>
  <c r="AC45" i="10" s="1"/>
  <c r="AD45" i="10" s="1"/>
  <c r="AE45" i="10" s="1"/>
  <c r="BG42" i="10" a="1"/>
  <c r="BG42" i="10" s="1"/>
  <c r="BH42" i="10" s="1"/>
  <c r="BI42" i="10" s="1"/>
  <c r="EM43" i="10" a="1"/>
  <c r="EM43" i="10" s="1"/>
  <c r="EM44" i="10" a="1"/>
  <c r="EM44" i="10" s="1"/>
  <c r="BY45" i="10" a="1"/>
  <c r="BY45" i="10" s="1"/>
  <c r="BZ45" i="10" s="1"/>
  <c r="CA45" i="10" s="1"/>
  <c r="DO43" i="10" a="1"/>
  <c r="DO43" i="10" s="1"/>
  <c r="BA43" i="10" a="1"/>
  <c r="BA43" i="10" s="1"/>
  <c r="BB43" i="10" s="1"/>
  <c r="BC43" i="10" s="1"/>
  <c r="CW45" i="10" a="1"/>
  <c r="CW45" i="10" s="1"/>
  <c r="EA42" i="10" a="1"/>
  <c r="EA42" i="10" s="1"/>
  <c r="AU44" i="10" a="1"/>
  <c r="AU44" i="10" s="1"/>
  <c r="AV44" i="10" s="1"/>
  <c r="AW44" i="10" s="1"/>
  <c r="DO45" i="10" a="1"/>
  <c r="DO45" i="10" s="1"/>
  <c r="BS42" i="10" a="1"/>
  <c r="BS42" i="10" s="1"/>
  <c r="BT42" i="10" s="1"/>
  <c r="BU42" i="10" s="1"/>
  <c r="DU43" i="10" a="1"/>
  <c r="DU43" i="10" s="1"/>
  <c r="AI42" i="10" a="1"/>
  <c r="AI42" i="10" s="1"/>
  <c r="AJ42" i="10" s="1"/>
  <c r="AK42" i="10" s="1"/>
  <c r="BG41" i="10" a="1"/>
  <c r="BG41" i="10" s="1"/>
  <c r="EA44" i="10" a="1"/>
  <c r="EA44" i="10" s="1"/>
  <c r="BY43" i="10" a="1"/>
  <c r="BY43" i="10" s="1"/>
  <c r="BZ43" i="10" s="1"/>
  <c r="CA43" i="10" s="1"/>
  <c r="CW44" i="10" a="1"/>
  <c r="CW44" i="10" s="1"/>
  <c r="CW41" i="10" a="1"/>
  <c r="CW41" i="10" s="1"/>
  <c r="AU42" i="10" a="1"/>
  <c r="AU42" i="10" s="1"/>
  <c r="AV42" i="10" s="1"/>
  <c r="AW42" i="10" s="1"/>
  <c r="AO42" i="10" a="1"/>
  <c r="AO42" i="10" s="1"/>
  <c r="AP42" i="10" s="1"/>
  <c r="AQ42" i="10" s="1"/>
  <c r="EM41" i="10" a="1"/>
  <c r="EM41" i="10" s="1"/>
  <c r="EG42" i="10" a="1"/>
  <c r="EG42" i="10" s="1"/>
  <c r="CK43" i="10" a="1"/>
  <c r="CK43" i="10" s="1"/>
  <c r="CL43" i="10" s="1"/>
  <c r="CM43" i="10" s="1"/>
  <c r="BM41" i="10" a="1"/>
  <c r="BM41" i="10" s="1"/>
  <c r="BN41" i="10" s="1"/>
  <c r="BO41" i="10" s="1"/>
  <c r="BG43" i="10" a="1"/>
  <c r="BG43" i="10" s="1"/>
  <c r="BH43" i="10" s="1"/>
  <c r="BI43" i="10" s="1"/>
  <c r="EA45" i="10" a="1"/>
  <c r="EA45" i="10" s="1"/>
  <c r="W42" i="10" a="1"/>
  <c r="W42" i="10" s="1"/>
  <c r="X42" i="10" s="1"/>
  <c r="Y42" i="10" s="1"/>
  <c r="AO41" i="10" a="1"/>
  <c r="AO41" i="10" s="1"/>
  <c r="AO45" i="10" a="1"/>
  <c r="AO45" i="10" s="1"/>
  <c r="AP45" i="10" s="1"/>
  <c r="AQ45" i="10" s="1"/>
  <c r="BM45" i="10" a="1"/>
  <c r="BM45" i="10" s="1"/>
  <c r="BN45" i="10" s="1"/>
  <c r="BO45" i="10" s="1"/>
  <c r="DI45" i="10" a="1"/>
  <c r="DI45" i="10" s="1"/>
  <c r="ES42" i="10" a="1"/>
  <c r="ES42" i="10" s="1"/>
  <c r="CK42" i="10" a="1"/>
  <c r="CK42" i="10" s="1"/>
  <c r="CL42" i="10" s="1"/>
  <c r="CM42" i="10" s="1"/>
  <c r="BY44" i="10" a="1"/>
  <c r="BY44" i="10" s="1"/>
  <c r="BZ44" i="10" s="1"/>
  <c r="CA44" i="10" s="1"/>
  <c r="BA45" i="10" a="1"/>
  <c r="BA45" i="10" s="1"/>
  <c r="BB45" i="10" s="1"/>
  <c r="BC45" i="10" s="1"/>
  <c r="Q42" i="10" a="1"/>
  <c r="Q42" i="10" s="1"/>
  <c r="R42" i="10" s="1"/>
  <c r="S42" i="10" s="1"/>
  <c r="Q45" i="10" a="1"/>
  <c r="Q45" i="10" s="1"/>
  <c r="Q41" i="10" a="1"/>
  <c r="Q41" i="10" s="1"/>
  <c r="W44" i="10" a="1"/>
  <c r="W44" i="10" s="1"/>
  <c r="X44" i="10" s="1"/>
  <c r="Y44" i="10" s="1"/>
  <c r="BA42" i="10" a="1"/>
  <c r="BA42" i="10" s="1"/>
  <c r="BB42" i="10" s="1"/>
  <c r="BC42" i="10" s="1"/>
  <c r="Q43" i="10" a="1"/>
  <c r="Q43" i="10" s="1"/>
  <c r="R43" i="10" s="1"/>
  <c r="S43" i="10" s="1"/>
  <c r="BS41" i="10" a="1"/>
  <c r="BS41" i="10" s="1"/>
  <c r="BT41" i="10" s="1"/>
  <c r="BU41" i="10" s="1"/>
  <c r="EG41" i="10" a="1"/>
  <c r="EG41" i="10" s="1"/>
  <c r="ES45" i="10" a="1"/>
  <c r="ES45" i="10" s="1"/>
  <c r="ES41" i="10" a="1"/>
  <c r="ES41" i="10" s="1"/>
  <c r="AI41" i="10" a="1"/>
  <c r="AI41" i="10" s="1"/>
  <c r="EM45" i="10" a="1"/>
  <c r="EM45" i="10" s="1"/>
  <c r="AI43" i="10" a="1"/>
  <c r="AI43" i="10" s="1"/>
  <c r="AJ43" i="10" s="1"/>
  <c r="AK43" i="10" s="1"/>
  <c r="DU42" i="10" a="1"/>
  <c r="DU42" i="10" s="1"/>
  <c r="DC43" i="10" a="1"/>
  <c r="DC43" i="10" s="1"/>
  <c r="DI44" i="10" a="1"/>
  <c r="DI44" i="10" s="1"/>
  <c r="M5" i="41"/>
  <c r="M8" i="41" s="1"/>
  <c r="N6" i="41" s="1"/>
  <c r="K41" i="10" a="1"/>
  <c r="K41" i="10" s="1"/>
  <c r="K42" i="10" a="1"/>
  <c r="K42" i="10" s="1"/>
  <c r="K43" i="10" a="1"/>
  <c r="K43" i="10" s="1"/>
  <c r="K44" i="10" a="1"/>
  <c r="K44" i="10" s="1"/>
  <c r="K45" i="10" a="1"/>
  <c r="K45" i="10" s="1"/>
  <c r="E41" i="10" a="1"/>
  <c r="E41" i="10" s="1"/>
  <c r="E45" i="10" a="1"/>
  <c r="E45" i="10" s="1"/>
  <c r="E43" i="10" a="1"/>
  <c r="E43" i="10" s="1"/>
  <c r="E49" i="10" a="1"/>
  <c r="E49" i="10" s="1"/>
  <c r="E74" i="10" l="1"/>
  <c r="E75" i="10" s="1"/>
  <c r="N10" i="41"/>
  <c r="N11" i="41"/>
  <c r="K974" i="39"/>
  <c r="K981" i="39" s="1"/>
  <c r="K983" i="39" s="1"/>
  <c r="K985" i="39" s="1"/>
  <c r="K986" i="39" s="1"/>
  <c r="O28" i="41"/>
  <c r="K648" i="39"/>
  <c r="K655" i="39" s="1"/>
  <c r="K657" i="39" s="1"/>
  <c r="K659" i="39" s="1"/>
  <c r="K660" i="39" s="1"/>
  <c r="O20" i="41"/>
  <c r="O21" i="41"/>
  <c r="O18" i="41"/>
  <c r="N30" i="41"/>
  <c r="N31" i="41"/>
  <c r="K811" i="39"/>
  <c r="K818" i="39" s="1"/>
  <c r="K820" i="39" s="1"/>
  <c r="K822" i="39" s="1"/>
  <c r="K823" i="39" s="1"/>
  <c r="CE4" i="11"/>
  <c r="BM4" i="11"/>
  <c r="BY4" i="11"/>
  <c r="CK4" i="11"/>
  <c r="BS4" i="11"/>
  <c r="K485" i="39"/>
  <c r="K492" i="39" s="1"/>
  <c r="K494" i="39" s="1"/>
  <c r="K496" i="39" s="1"/>
  <c r="K322" i="39"/>
  <c r="K329" i="39" s="1"/>
  <c r="K331" i="39" s="1"/>
  <c r="K333" i="39" s="1"/>
  <c r="F41" i="10"/>
  <c r="G41" i="10" s="1"/>
  <c r="F32" i="10"/>
  <c r="G32" i="10" s="1"/>
  <c r="F33" i="10"/>
  <c r="G33" i="10" s="1"/>
  <c r="DJ32" i="10"/>
  <c r="DK32" i="10" s="1"/>
  <c r="DJ33" i="10"/>
  <c r="DK33" i="10" s="1"/>
  <c r="CX33" i="10"/>
  <c r="CY33" i="10" s="1"/>
  <c r="CX32" i="10"/>
  <c r="CY32" i="10" s="1"/>
  <c r="DD32" i="10"/>
  <c r="DE32" i="10" s="1"/>
  <c r="DD33" i="10"/>
  <c r="DE33" i="10" s="1"/>
  <c r="AV33" i="10"/>
  <c r="AW33" i="10" s="1"/>
  <c r="AV32" i="10"/>
  <c r="AW32" i="10" s="1"/>
  <c r="AJ32" i="10"/>
  <c r="AK32" i="10" s="1"/>
  <c r="AJ33" i="10"/>
  <c r="AK33" i="10" s="1"/>
  <c r="ET33" i="10"/>
  <c r="EU33" i="10" s="1"/>
  <c r="ET32" i="10"/>
  <c r="EU32" i="10" s="1"/>
  <c r="EB32" i="10"/>
  <c r="EC32" i="10" s="1"/>
  <c r="EB33" i="10"/>
  <c r="EC33" i="10" s="1"/>
  <c r="BH32" i="10"/>
  <c r="BI32" i="10" s="1"/>
  <c r="BH33" i="10"/>
  <c r="BI33" i="10" s="1"/>
  <c r="BB32" i="10"/>
  <c r="BC32" i="10" s="1"/>
  <c r="BB33" i="10"/>
  <c r="BC33" i="10" s="1"/>
  <c r="AP33" i="10"/>
  <c r="AQ33" i="10" s="1"/>
  <c r="AP32" i="10"/>
  <c r="AQ32" i="10" s="1"/>
  <c r="EH33" i="10"/>
  <c r="EI33" i="10" s="1"/>
  <c r="EH32" i="10"/>
  <c r="EI32" i="10" s="1"/>
  <c r="BT32" i="10"/>
  <c r="BU32" i="10" s="1"/>
  <c r="BT33" i="10"/>
  <c r="BU33" i="10" s="1"/>
  <c r="CF32" i="10"/>
  <c r="CG32" i="10" s="1"/>
  <c r="CF33" i="10"/>
  <c r="CG33" i="10" s="1"/>
  <c r="BN33" i="10"/>
  <c r="BO33" i="10" s="1"/>
  <c r="BN32" i="10"/>
  <c r="BO32" i="10" s="1"/>
  <c r="X33" i="10"/>
  <c r="Y33" i="10" s="1"/>
  <c r="X32" i="10"/>
  <c r="Y32" i="10" s="1"/>
  <c r="DP32" i="10"/>
  <c r="DQ32" i="10" s="1"/>
  <c r="DP33" i="10"/>
  <c r="DQ33" i="10" s="1"/>
  <c r="CL33" i="10"/>
  <c r="CM33" i="10" s="1"/>
  <c r="CL32" i="10"/>
  <c r="CM32" i="10" s="1"/>
  <c r="R33" i="10"/>
  <c r="S33" i="10" s="1"/>
  <c r="R32" i="10"/>
  <c r="S32" i="10" s="1"/>
  <c r="AD33" i="10"/>
  <c r="AE33" i="10" s="1"/>
  <c r="AD32" i="10"/>
  <c r="AE32" i="10" s="1"/>
  <c r="DV33" i="10"/>
  <c r="DW33" i="10" s="1"/>
  <c r="DV32" i="10"/>
  <c r="DW32" i="10" s="1"/>
  <c r="CR32" i="10"/>
  <c r="CS32" i="10" s="1"/>
  <c r="CR33" i="10"/>
  <c r="CS33" i="10" s="1"/>
  <c r="BZ32" i="10"/>
  <c r="CA32" i="10" s="1"/>
  <c r="BZ33" i="10"/>
  <c r="CA33" i="10" s="1"/>
  <c r="EN33" i="10"/>
  <c r="EO33" i="10" s="1"/>
  <c r="EN32" i="10"/>
  <c r="EO32" i="10" s="1"/>
  <c r="L41" i="10"/>
  <c r="M41" i="10" s="1"/>
  <c r="L32" i="10"/>
  <c r="M32" i="10" s="1"/>
  <c r="L33" i="10"/>
  <c r="M33" i="10" s="1"/>
  <c r="CE11" i="11"/>
  <c r="DO11" i="11"/>
  <c r="BG11" i="11"/>
  <c r="DU11" i="11"/>
  <c r="EM11" i="11"/>
  <c r="AU11" i="11"/>
  <c r="CW11" i="11"/>
  <c r="EA11" i="11"/>
  <c r="W11" i="11"/>
  <c r="BA11" i="11"/>
  <c r="BM11" i="11"/>
  <c r="EG11" i="11"/>
  <c r="AI11" i="11"/>
  <c r="DI11" i="11"/>
  <c r="BY11" i="11"/>
  <c r="CQ11" i="11"/>
  <c r="ES11" i="11"/>
  <c r="AO11" i="11"/>
  <c r="BS11" i="11"/>
  <c r="AC11" i="11"/>
  <c r="CK11" i="11"/>
  <c r="DC11" i="11"/>
  <c r="L45" i="10"/>
  <c r="M45" i="10" s="1"/>
  <c r="BH41" i="10"/>
  <c r="BI41" i="10" s="1"/>
  <c r="R44" i="10"/>
  <c r="S44" i="10" s="1"/>
  <c r="AP41" i="10"/>
  <c r="AQ41" i="10" s="1"/>
  <c r="F49" i="10"/>
  <c r="G49" i="10" s="1"/>
  <c r="AV41" i="10"/>
  <c r="AW41" i="10" s="1"/>
  <c r="R41" i="10"/>
  <c r="S41" i="10" s="1"/>
  <c r="R45" i="10"/>
  <c r="S45" i="10" s="1"/>
  <c r="L42" i="10"/>
  <c r="M42" i="10" s="1"/>
  <c r="F43" i="10"/>
  <c r="G43" i="10" s="1"/>
  <c r="BB41" i="10"/>
  <c r="BC41" i="10" s="1"/>
  <c r="F42" i="10"/>
  <c r="G42" i="10" s="1"/>
  <c r="X41" i="10"/>
  <c r="Y41" i="10" s="1"/>
  <c r="F44" i="10"/>
  <c r="G44" i="10" s="1"/>
  <c r="L44" i="10"/>
  <c r="M44" i="10" s="1"/>
  <c r="L43" i="10"/>
  <c r="M43" i="10" s="1"/>
  <c r="F45" i="10"/>
  <c r="G45" i="10" s="1"/>
  <c r="AD41" i="10"/>
  <c r="AE41" i="10" s="1"/>
  <c r="AJ41" i="10"/>
  <c r="AK41" i="10" s="1"/>
  <c r="N5" i="41"/>
  <c r="N8" i="41" s="1"/>
  <c r="N13" i="41" l="1"/>
  <c r="O11" i="41" s="1"/>
  <c r="N33" i="41"/>
  <c r="O31" i="41" s="1"/>
  <c r="P25" i="41"/>
  <c r="P26" i="41"/>
  <c r="O23" i="41"/>
  <c r="P16" i="41"/>
  <c r="P15" i="41"/>
  <c r="K497" i="39"/>
  <c r="K334" i="39"/>
  <c r="E15" i="11"/>
  <c r="AC15" i="11"/>
  <c r="AU4" i="11"/>
  <c r="ES5" i="11"/>
  <c r="BM5" i="11"/>
  <c r="E11" i="11"/>
  <c r="ES15" i="11"/>
  <c r="AI5" i="11"/>
  <c r="BA5" i="11"/>
  <c r="AO4" i="11"/>
  <c r="DC15" i="11"/>
  <c r="DU15" i="11"/>
  <c r="BS15" i="11"/>
  <c r="AI15" i="11"/>
  <c r="BA4" i="11"/>
  <c r="AO15" i="11"/>
  <c r="AI4" i="11"/>
  <c r="EG15" i="11"/>
  <c r="BM15" i="11"/>
  <c r="AO5" i="11"/>
  <c r="EG5" i="11"/>
  <c r="EA5" i="11"/>
  <c r="K11" i="11"/>
  <c r="BA15" i="11"/>
  <c r="Q11" i="11"/>
  <c r="DU5" i="11"/>
  <c r="AC4" i="11"/>
  <c r="EM5" i="11"/>
  <c r="AU5" i="11"/>
  <c r="DI5" i="11"/>
  <c r="BY5" i="11"/>
  <c r="CK15" i="11"/>
  <c r="CE5" i="11"/>
  <c r="BY15" i="11"/>
  <c r="CK5" i="11"/>
  <c r="CE15" i="11"/>
  <c r="CQ15" i="11"/>
  <c r="DO15" i="11"/>
  <c r="EA15" i="11"/>
  <c r="K5" i="11"/>
  <c r="W5" i="11"/>
  <c r="BS5" i="11"/>
  <c r="BG4" i="11"/>
  <c r="CQ5" i="11"/>
  <c r="DO5" i="11"/>
  <c r="Q15" i="11"/>
  <c r="CW5" i="11"/>
  <c r="Q5" i="11"/>
  <c r="DC5" i="11"/>
  <c r="K15" i="11"/>
  <c r="W15" i="11"/>
  <c r="BG15" i="11"/>
  <c r="CW15" i="11"/>
  <c r="W4" i="11"/>
  <c r="BG5" i="11"/>
  <c r="E5" i="11"/>
  <c r="AC5" i="11"/>
  <c r="EM15" i="11"/>
  <c r="AU15" i="11"/>
  <c r="DI15" i="11"/>
  <c r="Q4" i="11"/>
  <c r="K4" i="11"/>
  <c r="E4" i="11"/>
  <c r="O6" i="41"/>
  <c r="O5" i="41"/>
  <c r="O10" i="41" l="1"/>
  <c r="O13" i="41" s="1"/>
  <c r="O30" i="41"/>
  <c r="O33" i="41" s="1"/>
  <c r="P18" i="41"/>
  <c r="Q16" i="41" s="1"/>
  <c r="P28" i="41"/>
  <c r="P21" i="41"/>
  <c r="P20" i="41"/>
  <c r="J5" i="48"/>
  <c r="K5" i="48" s="1"/>
  <c r="J15" i="48"/>
  <c r="K15" i="48" s="1"/>
  <c r="J4" i="48"/>
  <c r="K4" i="48" s="1"/>
  <c r="J11" i="48"/>
  <c r="K11" i="48" s="1"/>
  <c r="O8" i="41"/>
  <c r="P6" i="41" s="1"/>
  <c r="P10" i="41" l="1"/>
  <c r="P11" i="41"/>
  <c r="Q15" i="41"/>
  <c r="Q18" i="41" s="1"/>
  <c r="P23" i="41"/>
  <c r="Q21" i="41" s="1"/>
  <c r="P30" i="41"/>
  <c r="P31" i="41"/>
  <c r="Q25" i="41"/>
  <c r="Q26" i="41"/>
  <c r="J16" i="48"/>
  <c r="K16" i="48" s="1"/>
  <c r="P5" i="41"/>
  <c r="P8" i="41" s="1"/>
  <c r="P13" i="41" l="1"/>
  <c r="Q10" i="41" s="1"/>
  <c r="Q20" i="41"/>
  <c r="Q23" i="41" s="1"/>
  <c r="R20" i="41" s="1"/>
  <c r="P33" i="41"/>
  <c r="Q28" i="41"/>
  <c r="R15" i="41"/>
  <c r="R16" i="41"/>
  <c r="Q6" i="41"/>
  <c r="Q5" i="41"/>
  <c r="Q11" i="41" l="1"/>
  <c r="Q13" i="41" s="1"/>
  <c r="R10" i="41" s="1"/>
  <c r="R21" i="41"/>
  <c r="R23" i="41" s="1"/>
  <c r="R18" i="41"/>
  <c r="S15" i="41" s="1"/>
  <c r="R26" i="41"/>
  <c r="R25" i="41"/>
  <c r="Q30" i="41"/>
  <c r="Q31" i="41"/>
  <c r="Q8" i="41"/>
  <c r="R6" i="41" s="1"/>
  <c r="R11" i="41" l="1"/>
  <c r="R13" i="41" s="1"/>
  <c r="S16" i="41"/>
  <c r="S18" i="41" s="1"/>
  <c r="R28" i="41"/>
  <c r="S26" i="41" s="1"/>
  <c r="Q33" i="41"/>
  <c r="S20" i="41"/>
  <c r="S21" i="41"/>
  <c r="R5" i="41"/>
  <c r="R8" i="41" s="1"/>
  <c r="S6" i="41" s="1"/>
  <c r="S25" i="41" l="1"/>
  <c r="S28" i="41" s="1"/>
  <c r="T26" i="41" s="1"/>
  <c r="S10" i="41"/>
  <c r="S11" i="41"/>
  <c r="S23" i="41"/>
  <c r="T15" i="41"/>
  <c r="T16" i="41"/>
  <c r="R30" i="41"/>
  <c r="R31" i="41"/>
  <c r="S5" i="41"/>
  <c r="S8" i="41" s="1"/>
  <c r="T6" i="41" s="1"/>
  <c r="T25" i="41" l="1"/>
  <c r="T28" i="41" s="1"/>
  <c r="S13" i="41"/>
  <c r="T11" i="41" s="1"/>
  <c r="T20" i="41"/>
  <c r="T21" i="41"/>
  <c r="T18" i="41"/>
  <c r="R33" i="41"/>
  <c r="T5" i="41"/>
  <c r="T8" i="41" s="1"/>
  <c r="T10" i="41" l="1"/>
  <c r="T13" i="41" s="1"/>
  <c r="S31" i="41"/>
  <c r="S30" i="41"/>
  <c r="T23" i="41"/>
  <c r="U25" i="41"/>
  <c r="U26" i="41"/>
  <c r="U15" i="41"/>
  <c r="U16" i="41"/>
  <c r="U6" i="41"/>
  <c r="U5" i="41"/>
  <c r="U28" i="41" l="1"/>
  <c r="V26" i="41" s="1"/>
  <c r="U18" i="41"/>
  <c r="U20" i="41"/>
  <c r="U21" i="41"/>
  <c r="S33" i="41"/>
  <c r="U10" i="41"/>
  <c r="U11" i="41"/>
  <c r="U8" i="41"/>
  <c r="V6" i="41" s="1"/>
  <c r="V25" i="41" l="1"/>
  <c r="V28" i="41" s="1"/>
  <c r="U13" i="41"/>
  <c r="V15" i="41"/>
  <c r="V16" i="41"/>
  <c r="U23" i="41"/>
  <c r="T31" i="41"/>
  <c r="T30" i="41"/>
  <c r="V5" i="41"/>
  <c r="V8" i="41" s="1"/>
  <c r="W25" i="41" l="1"/>
  <c r="W26" i="41"/>
  <c r="T33" i="41"/>
  <c r="U30" i="41" s="1"/>
  <c r="V18" i="41"/>
  <c r="V20" i="41"/>
  <c r="V21" i="41"/>
  <c r="V10" i="41"/>
  <c r="V11" i="41"/>
  <c r="W6" i="41"/>
  <c r="W5" i="41"/>
  <c r="W28" i="41" l="1"/>
  <c r="X26" i="41" s="1"/>
  <c r="U31" i="41"/>
  <c r="U33" i="41" s="1"/>
  <c r="V23" i="41"/>
  <c r="W16" i="41"/>
  <c r="W15" i="41"/>
  <c r="V13" i="41"/>
  <c r="W8" i="41"/>
  <c r="X6" i="41" s="1"/>
  <c r="X25" i="41" l="1"/>
  <c r="X28" i="41" s="1"/>
  <c r="W20" i="41"/>
  <c r="W21" i="41"/>
  <c r="W10" i="41"/>
  <c r="W11" i="41"/>
  <c r="V30" i="41"/>
  <c r="V31" i="41"/>
  <c r="W18" i="41"/>
  <c r="X5" i="41"/>
  <c r="X8" i="41" s="1"/>
  <c r="W23" i="41" l="1"/>
  <c r="X20" i="41" s="1"/>
  <c r="W13" i="41"/>
  <c r="X16" i="41"/>
  <c r="X15" i="41"/>
  <c r="Y25" i="41"/>
  <c r="Y26" i="41"/>
  <c r="V33" i="41"/>
  <c r="Y6" i="41"/>
  <c r="Y5" i="41"/>
  <c r="X21" i="41" l="1"/>
  <c r="X23" i="41" s="1"/>
  <c r="X18" i="41"/>
  <c r="Y16" i="41" s="1"/>
  <c r="Y28" i="41"/>
  <c r="Z26" i="41" s="1"/>
  <c r="W30" i="41"/>
  <c r="W31" i="41"/>
  <c r="X11" i="41"/>
  <c r="X10" i="41"/>
  <c r="Y8" i="41"/>
  <c r="Z6" i="41" s="1"/>
  <c r="Z25" i="41" l="1"/>
  <c r="Z28" i="41" s="1"/>
  <c r="Y15" i="41"/>
  <c r="Y18" i="41" s="1"/>
  <c r="X13" i="41"/>
  <c r="Y10" i="41" s="1"/>
  <c r="W33" i="41"/>
  <c r="Y20" i="41"/>
  <c r="Y21" i="41"/>
  <c r="Z5" i="41"/>
  <c r="Z8" i="41" s="1"/>
  <c r="AA6" i="41" s="1"/>
  <c r="Y11" i="41" l="1"/>
  <c r="Y13" i="41"/>
  <c r="Z11" i="41" s="1"/>
  <c r="AA25" i="41"/>
  <c r="AA26" i="41"/>
  <c r="X30" i="41"/>
  <c r="X31" i="41"/>
  <c r="Y23" i="41"/>
  <c r="Z16" i="41"/>
  <c r="Z15" i="41"/>
  <c r="AA5" i="41"/>
  <c r="AA8" i="41" s="1"/>
  <c r="Z10" i="41" l="1"/>
  <c r="Z13" i="41" s="1"/>
  <c r="Z20" i="41"/>
  <c r="Z21" i="41"/>
  <c r="X33" i="41"/>
  <c r="AA28" i="41"/>
  <c r="Z18" i="41"/>
  <c r="AB5" i="41"/>
  <c r="AB6" i="41"/>
  <c r="AA10" i="41" l="1"/>
  <c r="AA11" i="41"/>
  <c r="Y30" i="41"/>
  <c r="Y31" i="41"/>
  <c r="Z23" i="41"/>
  <c r="AB25" i="41"/>
  <c r="AB26" i="41"/>
  <c r="AA15" i="41"/>
  <c r="AA16" i="41"/>
  <c r="AB8" i="41"/>
  <c r="AC6" i="41" s="1"/>
  <c r="AA13" i="41" l="1"/>
  <c r="AB11" i="41" s="1"/>
  <c r="AB28" i="41"/>
  <c r="Y33" i="41"/>
  <c r="AA18" i="41"/>
  <c r="AA20" i="41"/>
  <c r="AA21" i="41"/>
  <c r="AC5" i="41"/>
  <c r="AC8" i="41" s="1"/>
  <c r="AD6" i="41" s="1"/>
  <c r="AB10" i="41" l="1"/>
  <c r="AB13" i="41" s="1"/>
  <c r="AC10" i="41" s="1"/>
  <c r="AA23" i="41"/>
  <c r="AB20" i="41" s="1"/>
  <c r="Z30" i="41"/>
  <c r="Z31" i="41"/>
  <c r="AB16" i="41"/>
  <c r="AB15" i="41"/>
  <c r="AC25" i="41"/>
  <c r="AC26" i="41"/>
  <c r="AD5" i="41"/>
  <c r="AD8" i="41" s="1"/>
  <c r="AE6" i="41" s="1"/>
  <c r="AC11" i="41" l="1"/>
  <c r="AC13" i="41" s="1"/>
  <c r="AB21" i="41"/>
  <c r="AB23" i="41" s="1"/>
  <c r="Z33" i="41"/>
  <c r="AB18" i="41"/>
  <c r="AC28" i="41"/>
  <c r="AE5" i="41"/>
  <c r="AE8" i="41" s="1"/>
  <c r="AF6" i="41" s="1"/>
  <c r="AD25" i="41" l="1"/>
  <c r="AD26" i="41"/>
  <c r="AC20" i="41"/>
  <c r="AC21" i="41"/>
  <c r="AC15" i="41"/>
  <c r="AC16" i="41"/>
  <c r="AA30" i="41"/>
  <c r="AA31" i="41"/>
  <c r="AD10" i="41"/>
  <c r="AD11" i="41"/>
  <c r="AF5" i="41"/>
  <c r="AF8" i="41" s="1"/>
  <c r="AG6" i="41" s="1"/>
  <c r="AC23" i="41" l="1"/>
  <c r="AC18" i="41"/>
  <c r="AA33" i="41"/>
  <c r="AD13" i="41"/>
  <c r="AD28" i="41"/>
  <c r="AG5" i="41"/>
  <c r="AG8" i="41" s="1"/>
  <c r="AH6" i="41" s="1"/>
  <c r="AB30" i="41" l="1"/>
  <c r="AB31" i="41"/>
  <c r="AD20" i="41"/>
  <c r="AD21" i="41"/>
  <c r="AE25" i="41"/>
  <c r="AE26" i="41"/>
  <c r="AD16" i="41"/>
  <c r="AD15" i="41"/>
  <c r="AE11" i="41"/>
  <c r="AE10" i="41"/>
  <c r="AH5" i="41"/>
  <c r="AH8" i="41" s="1"/>
  <c r="AI5" i="41" s="1"/>
  <c r="AD18" i="41" l="1"/>
  <c r="AE15" i="41" s="1"/>
  <c r="AE28" i="41"/>
  <c r="AF25" i="41" s="1"/>
  <c r="AD23" i="41"/>
  <c r="AE20" i="41" s="1"/>
  <c r="AE13" i="41"/>
  <c r="AB33" i="41"/>
  <c r="AI6" i="41"/>
  <c r="AI8" i="41" s="1"/>
  <c r="AF26" i="41" l="1"/>
  <c r="AF28" i="41" s="1"/>
  <c r="AG25" i="41" s="1"/>
  <c r="AE16" i="41"/>
  <c r="AE18" i="41" s="1"/>
  <c r="AE21" i="41"/>
  <c r="AE23" i="41" s="1"/>
  <c r="AC30" i="41"/>
  <c r="AC31" i="41"/>
  <c r="AF11" i="41"/>
  <c r="AF10" i="41"/>
  <c r="AF13" i="41" l="1"/>
  <c r="AG10" i="41" s="1"/>
  <c r="AG26" i="41"/>
  <c r="AG28" i="41" s="1"/>
  <c r="AF21" i="41"/>
  <c r="AF20" i="41"/>
  <c r="AF15" i="41"/>
  <c r="AF16" i="41"/>
  <c r="AC33" i="41"/>
  <c r="AG11" i="41" l="1"/>
  <c r="AG13" i="41" s="1"/>
  <c r="AF23" i="41"/>
  <c r="AG20" i="41" s="1"/>
  <c r="AD30" i="41"/>
  <c r="AD31" i="41"/>
  <c r="AF18" i="41"/>
  <c r="AH26" i="41"/>
  <c r="AH25" i="41"/>
  <c r="AG21" i="41" l="1"/>
  <c r="AG23" i="41" s="1"/>
  <c r="AH20" i="41" s="1"/>
  <c r="AH28" i="41"/>
  <c r="AI26" i="41" s="1"/>
  <c r="AH11" i="41"/>
  <c r="AH10" i="41"/>
  <c r="AG16" i="41"/>
  <c r="AG15" i="41"/>
  <c r="AD33" i="41"/>
  <c r="AI25" i="41" l="1"/>
  <c r="AI28" i="41" s="1"/>
  <c r="AH21" i="41"/>
  <c r="AH23" i="41" s="1"/>
  <c r="AG18" i="41"/>
  <c r="AH15" i="41" s="1"/>
  <c r="AH13" i="41"/>
  <c r="AE30" i="41"/>
  <c r="AE31" i="41"/>
  <c r="AH16" i="41" l="1"/>
  <c r="AH18" i="41" s="1"/>
  <c r="AE33" i="41"/>
  <c r="AF31" i="41" s="1"/>
  <c r="AI10" i="41"/>
  <c r="AI11" i="41"/>
  <c r="AI21" i="41"/>
  <c r="AI20" i="41"/>
  <c r="K159" i="39"/>
  <c r="AI23" i="41" l="1"/>
  <c r="AF30" i="41"/>
  <c r="AF33" i="41" s="1"/>
  <c r="AI15" i="41"/>
  <c r="AI16" i="41"/>
  <c r="AI13" i="41"/>
  <c r="K166" i="39"/>
  <c r="K168" i="39" s="1"/>
  <c r="AI18" i="41" l="1"/>
  <c r="AG30" i="41"/>
  <c r="AG31" i="41"/>
  <c r="K170" i="39"/>
  <c r="AG33" i="41" l="1"/>
  <c r="K171" i="39"/>
  <c r="AH30" i="41" l="1"/>
  <c r="AH31" i="41"/>
  <c r="AH33" i="41" l="1"/>
  <c r="AI31" i="41" l="1"/>
  <c r="AI30" i="41"/>
  <c r="K13" i="38"/>
  <c r="AI33" i="41" l="1"/>
  <c r="Q717" i="39" s="1" a="1"/>
  <c r="Q717" i="39" s="1"/>
  <c r="K15" i="38"/>
  <c r="AA880" i="39" a="1"/>
  <c r="AA880" i="39" s="1"/>
  <c r="AF717" i="39" a="1"/>
  <c r="AF717" i="39" s="1"/>
  <c r="U717" i="39" a="1"/>
  <c r="U717" i="39" s="1"/>
  <c r="V717" i="39" a="1"/>
  <c r="V717" i="39" s="1"/>
  <c r="W228" i="39" a="1"/>
  <c r="W228" i="39" s="1"/>
  <c r="P228" i="39" a="1"/>
  <c r="P228" i="39" s="1"/>
  <c r="AB228" i="39" a="1"/>
  <c r="AB228" i="39" s="1"/>
  <c r="X880" i="39" a="1"/>
  <c r="X880" i="39" s="1"/>
  <c r="L880" i="39" a="1"/>
  <c r="L880" i="39" s="1"/>
  <c r="DC17" i="11" a="1"/>
  <c r="DC17" i="11" s="1"/>
  <c r="M391" i="39" a="1"/>
  <c r="M391" i="39" s="1"/>
  <c r="AC391" i="39" a="1"/>
  <c r="AC391" i="39" s="1"/>
  <c r="EG17" i="11" a="1"/>
  <c r="EG17" i="11" s="1"/>
  <c r="AA391" i="39" a="1"/>
  <c r="AA391" i="39" s="1"/>
  <c r="AE554" i="39" a="1"/>
  <c r="AE554" i="39" s="1"/>
  <c r="BA17" i="11" a="1"/>
  <c r="BA17" i="11" s="1"/>
  <c r="AD880" i="39" a="1"/>
  <c r="AD880" i="39" s="1"/>
  <c r="R554" i="39" a="1"/>
  <c r="R554" i="39" s="1"/>
  <c r="N554" i="39" a="1"/>
  <c r="N554" i="39" s="1"/>
  <c r="AD554" i="39" a="1"/>
  <c r="AD554" i="39" s="1"/>
  <c r="AE880" i="39" a="1"/>
  <c r="AE880" i="39" s="1"/>
  <c r="AJ717" i="39" a="1"/>
  <c r="AJ717" i="39" s="1"/>
  <c r="M554" i="39" a="1"/>
  <c r="M554" i="39" s="1"/>
  <c r="L717" i="39" a="1"/>
  <c r="L717" i="39" s="1"/>
  <c r="Z554" i="39" a="1"/>
  <c r="Z554" i="39" s="1"/>
  <c r="AI17" i="11" a="1"/>
  <c r="AI17" i="11" s="1"/>
  <c r="Z391" i="39" a="1"/>
  <c r="Z391" i="39" s="1"/>
  <c r="AH554" i="39" a="1"/>
  <c r="AH554" i="39" s="1"/>
  <c r="M228" i="39" a="1"/>
  <c r="M228" i="39" s="1"/>
  <c r="AF65" i="39" a="1"/>
  <c r="AF65" i="39" s="1"/>
  <c r="AG65" i="39" a="1"/>
  <c r="AG65" i="39" s="1"/>
  <c r="AF880" i="39" a="1"/>
  <c r="AF880" i="39" s="1"/>
  <c r="V391" i="39" a="1"/>
  <c r="V391" i="39" s="1"/>
  <c r="S65" i="39" a="1"/>
  <c r="S65" i="39" s="1"/>
  <c r="AH228" i="39" a="1"/>
  <c r="AH228" i="39" s="1"/>
  <c r="Q880" i="39" a="1"/>
  <c r="Q880" i="39" s="1"/>
  <c r="AJ554" i="39" a="1"/>
  <c r="AJ554" i="39" s="1"/>
  <c r="O391" i="39" a="1"/>
  <c r="O391" i="39" s="1"/>
  <c r="M65" i="39" a="1"/>
  <c r="M65" i="39" s="1"/>
  <c r="N65" i="39" a="1"/>
  <c r="N65" i="39" s="1"/>
  <c r="AH717" i="39" a="1"/>
  <c r="AH717" i="39" s="1"/>
  <c r="R717" i="39" a="1"/>
  <c r="R717" i="39" s="1"/>
  <c r="AD717" i="39" a="1"/>
  <c r="AD717" i="39" s="1"/>
  <c r="AJ65" i="39" a="1"/>
  <c r="AJ65" i="39" s="1"/>
  <c r="O65" i="39" a="1"/>
  <c r="O65" i="39" s="1"/>
  <c r="N880" i="39" a="1"/>
  <c r="N880" i="39" s="1"/>
  <c r="Z717" i="39" a="1"/>
  <c r="Z717" i="39" s="1"/>
  <c r="Y554" i="39" a="1"/>
  <c r="Y554" i="39" s="1"/>
  <c r="AG717" i="39" a="1"/>
  <c r="AG717" i="39" s="1"/>
  <c r="AC554" i="39" a="1"/>
  <c r="AC554" i="39" s="1"/>
  <c r="AB65" i="39" a="1"/>
  <c r="AB65" i="39" s="1"/>
  <c r="AC65" i="39" a="1"/>
  <c r="AC65" i="39" s="1"/>
  <c r="T65" i="39" a="1"/>
  <c r="T65" i="39" s="1"/>
  <c r="N717" i="39" a="1"/>
  <c r="N717" i="39" s="1"/>
  <c r="Q65" i="39" a="1"/>
  <c r="Q65" i="39" s="1"/>
  <c r="X554" i="39" a="1"/>
  <c r="X554" i="39" s="1"/>
  <c r="W880" i="39" a="1"/>
  <c r="W880" i="39" s="1"/>
  <c r="AH65" i="39" a="1"/>
  <c r="AH65" i="39" s="1"/>
  <c r="Q554" i="39" a="1"/>
  <c r="Q554" i="39" s="1"/>
  <c r="W65" i="39" a="1"/>
  <c r="W65" i="39" s="1"/>
  <c r="ES17" i="11" a="1"/>
  <c r="ES17" i="11" s="1"/>
  <c r="O717" i="39" a="1"/>
  <c r="O717" i="39" s="1"/>
  <c r="AJ228" i="39" a="1"/>
  <c r="AJ228" i="39" s="1"/>
  <c r="R391" i="39" a="1"/>
  <c r="R391" i="39" s="1"/>
  <c r="AC228" i="39" a="1"/>
  <c r="AC228" i="39" s="1"/>
  <c r="AB554" i="39" a="1"/>
  <c r="AB554" i="39" s="1"/>
  <c r="AC717" i="39" a="1"/>
  <c r="AC717" i="39" s="1"/>
  <c r="X65" i="39" a="1"/>
  <c r="X65" i="39" s="1"/>
  <c r="AC17" i="11" a="1"/>
  <c r="AC17" i="11" s="1"/>
  <c r="U228" i="39" a="1"/>
  <c r="U228" i="39" s="1"/>
  <c r="R880" i="39" a="1"/>
  <c r="R880" i="39" s="1"/>
  <c r="AD228" i="39" a="1"/>
  <c r="AD228" i="39" s="1"/>
  <c r="T717" i="39" a="1"/>
  <c r="T717" i="39" s="1"/>
  <c r="AH391" i="39" a="1"/>
  <c r="AH391" i="39" s="1"/>
  <c r="AI228" i="39" a="1"/>
  <c r="AI228" i="39" s="1"/>
  <c r="R65" i="39" a="1"/>
  <c r="R65" i="39" s="1"/>
  <c r="T554" i="39" a="1"/>
  <c r="T554" i="39" s="1"/>
  <c r="S228" i="39" a="1"/>
  <c r="S228" i="39" s="1"/>
  <c r="V228" i="39" a="1"/>
  <c r="V228" i="39" s="1"/>
  <c r="S391" i="39" a="1"/>
  <c r="S391" i="39" s="1"/>
  <c r="AG880" i="39" a="1"/>
  <c r="AG880" i="39" s="1"/>
  <c r="AF391" i="39" a="1"/>
  <c r="AF391" i="39" s="1"/>
  <c r="E17" i="11" a="1"/>
  <c r="E17" i="11" s="1"/>
  <c r="L65" i="39" a="1"/>
  <c r="L65" i="39" s="1"/>
  <c r="W391" i="39" a="1"/>
  <c r="W391" i="39" s="1"/>
  <c r="M717" i="39" a="1"/>
  <c r="M717" i="39" s="1"/>
  <c r="BM17" i="11" a="1"/>
  <c r="BM17" i="11" s="1"/>
  <c r="CQ17" i="11" a="1"/>
  <c r="CQ17" i="11" s="1"/>
  <c r="AE391" i="39" a="1"/>
  <c r="AE391" i="39" s="1"/>
  <c r="L391" i="39" a="1"/>
  <c r="L391" i="39" s="1"/>
  <c r="CE17" i="11" a="1"/>
  <c r="CE17" i="11" s="1"/>
  <c r="DI17" i="11" a="1"/>
  <c r="DI17" i="11" s="1"/>
  <c r="AA65" i="39" a="1"/>
  <c r="AA65" i="39" s="1"/>
  <c r="Y65" i="39" a="1"/>
  <c r="Y65" i="39" s="1"/>
  <c r="U880" i="39" a="1"/>
  <c r="U880" i="39" s="1"/>
  <c r="V554" i="39" a="1"/>
  <c r="V554" i="39" s="1"/>
  <c r="AI391" i="39" a="1"/>
  <c r="AI391" i="39" s="1"/>
  <c r="AE65" i="39" a="1"/>
  <c r="AE65" i="39" s="1"/>
  <c r="O228" i="39" a="1"/>
  <c r="O228" i="39" s="1"/>
  <c r="BG17" i="11" a="1"/>
  <c r="BG17" i="11" s="1"/>
  <c r="Q17" i="11" a="1"/>
  <c r="Q17" i="11" s="1"/>
  <c r="M880" i="39" a="1"/>
  <c r="M880" i="39" s="1"/>
  <c r="AF228" i="39" a="1"/>
  <c r="AF228" i="39" s="1"/>
  <c r="AE228" i="39" a="1"/>
  <c r="AE228" i="39" s="1"/>
  <c r="Y717" i="39" a="1"/>
  <c r="Y717" i="39" s="1"/>
  <c r="Y391" i="39" a="1"/>
  <c r="Y391" i="39" s="1"/>
  <c r="N391" i="39" a="1"/>
  <c r="N391" i="39" s="1"/>
  <c r="P880" i="39" a="1"/>
  <c r="P880" i="39" s="1"/>
  <c r="AI717" i="39" a="1"/>
  <c r="AI717" i="39" s="1"/>
  <c r="P554" i="39" a="1"/>
  <c r="P554" i="39" s="1"/>
  <c r="AC880" i="39" a="1"/>
  <c r="AC880" i="39" s="1"/>
  <c r="DU17" i="11" a="1"/>
  <c r="DU17" i="11" s="1"/>
  <c r="W554" i="39" a="1"/>
  <c r="W554" i="39" s="1"/>
  <c r="O880" i="39" a="1"/>
  <c r="O880" i="39" s="1"/>
  <c r="Z228" i="39" a="1"/>
  <c r="Z228" i="39" s="1"/>
  <c r="CK17" i="11" a="1"/>
  <c r="CK17" i="11" s="1"/>
  <c r="EA17" i="11" a="1"/>
  <c r="EA17" i="11" s="1"/>
  <c r="AD65" i="39" a="1"/>
  <c r="AD65" i="39" s="1"/>
  <c r="N228" i="39" a="1"/>
  <c r="N228" i="39" s="1"/>
  <c r="U554" i="39" a="1"/>
  <c r="U554" i="39" s="1"/>
  <c r="V65" i="39" a="1"/>
  <c r="V65" i="39" s="1"/>
  <c r="AI65" i="39" a="1"/>
  <c r="AI65" i="39" s="1"/>
  <c r="AG391" i="39" a="1"/>
  <c r="AG391" i="39" s="1"/>
  <c r="AD391" i="39" a="1"/>
  <c r="AD391" i="39" s="1"/>
  <c r="AA554" i="39" a="1"/>
  <c r="AA554" i="39" s="1"/>
  <c r="W717" i="39" a="1"/>
  <c r="W717" i="39" s="1"/>
  <c r="AI880" i="39" a="1"/>
  <c r="AI880" i="39" s="1"/>
  <c r="T880" i="39" a="1"/>
  <c r="T880" i="39" s="1"/>
  <c r="W17" i="11" a="1"/>
  <c r="W17" i="11" s="1"/>
  <c r="AO17" i="11" a="1"/>
  <c r="AO17" i="11" s="1"/>
  <c r="Q228" i="39" a="1"/>
  <c r="Q228" i="39" s="1"/>
  <c r="V880" i="39" a="1"/>
  <c r="V880" i="39" s="1"/>
  <c r="O554" i="39" a="1"/>
  <c r="O554" i="39" s="1"/>
  <c r="AB391" i="39" a="1"/>
  <c r="AB391" i="39" s="1"/>
  <c r="L554" i="39" a="1"/>
  <c r="L554" i="39" s="1"/>
  <c r="U65" i="39" a="1"/>
  <c r="U65" i="39" s="1"/>
  <c r="R228" i="39" a="1"/>
  <c r="R228" i="39" s="1"/>
  <c r="AG554" i="39" a="1"/>
  <c r="AG554" i="39" s="1"/>
  <c r="EM17" i="11" a="1"/>
  <c r="EM17" i="11" s="1"/>
  <c r="AB880" i="39" a="1"/>
  <c r="AB880" i="39" s="1"/>
  <c r="AI554" i="39" a="1"/>
  <c r="AI554" i="39" s="1"/>
  <c r="L228" i="39" a="1"/>
  <c r="L228" i="39" s="1"/>
  <c r="X228" i="39" a="1"/>
  <c r="X228" i="39" s="1"/>
  <c r="Y228" i="39" a="1"/>
  <c r="Y228" i="39" s="1"/>
  <c r="U391" i="39" l="1" a="1"/>
  <c r="U391" i="39" s="1"/>
  <c r="BY17" i="11" a="1"/>
  <c r="BY17" i="11" s="1"/>
  <c r="X391" i="39" a="1"/>
  <c r="X391" i="39" s="1"/>
  <c r="Y880" i="39" a="1"/>
  <c r="Y880" i="39" s="1"/>
  <c r="S717" i="39" a="1"/>
  <c r="S717" i="39" s="1"/>
  <c r="K17" i="11" a="1"/>
  <c r="K17" i="11" s="1"/>
  <c r="AA717" i="39" a="1"/>
  <c r="AA717" i="39" s="1"/>
  <c r="AF554" i="39" a="1"/>
  <c r="AF554" i="39" s="1"/>
  <c r="Q391" i="39" a="1"/>
  <c r="Q391" i="39" s="1"/>
  <c r="CW17" i="11" a="1"/>
  <c r="CW17" i="11" s="1"/>
  <c r="P65" i="39" a="1"/>
  <c r="P65" i="39" s="1"/>
  <c r="AA228" i="39" a="1"/>
  <c r="AA228" i="39" s="1"/>
  <c r="AU17" i="11" a="1"/>
  <c r="AU17" i="11" s="1"/>
  <c r="Z65" i="39" a="1"/>
  <c r="Z65" i="39" s="1"/>
  <c r="AH880" i="39" a="1"/>
  <c r="AH880" i="39" s="1"/>
  <c r="S880" i="39" a="1"/>
  <c r="S880" i="39" s="1"/>
  <c r="P391" i="39" a="1"/>
  <c r="P391" i="39" s="1"/>
  <c r="AE717" i="39" a="1"/>
  <c r="AE717" i="39" s="1"/>
  <c r="T228" i="39" a="1"/>
  <c r="T228" i="39" s="1"/>
  <c r="X717" i="39" a="1"/>
  <c r="X717" i="39" s="1"/>
  <c r="P717" i="39" a="1"/>
  <c r="P717" i="39" s="1"/>
  <c r="AG228" i="39" a="1"/>
  <c r="AG228" i="39" s="1"/>
  <c r="AJ391" i="39" a="1"/>
  <c r="AJ391" i="39" s="1"/>
  <c r="DO17" i="11" a="1"/>
  <c r="DO17" i="11" s="1"/>
  <c r="AJ880" i="39" a="1"/>
  <c r="AJ880" i="39" s="1"/>
  <c r="BS17" i="11" a="1"/>
  <c r="BS17" i="11" s="1"/>
  <c r="T391" i="39" a="1"/>
  <c r="T391" i="39" s="1"/>
  <c r="S554" i="39" a="1"/>
  <c r="S554" i="39" s="1"/>
  <c r="AB717" i="39" a="1"/>
  <c r="AB717" i="39" s="1"/>
  <c r="Z880" i="39" a="1"/>
  <c r="Z880" i="39" s="1"/>
  <c r="K16" i="38"/>
  <c r="K40" i="38"/>
  <c r="AH15" i="34"/>
  <c r="J17" i="48" l="1"/>
  <c r="K17" i="48" s="1"/>
  <c r="G19" i="48"/>
  <c r="H17" i="48" l="1"/>
  <c r="H18" i="48"/>
  <c r="H8" i="48"/>
  <c r="H13" i="48"/>
  <c r="H10" i="48"/>
  <c r="H12" i="48"/>
  <c r="H5" i="48"/>
  <c r="H14" i="48"/>
  <c r="H6" i="48"/>
  <c r="H7" i="48"/>
  <c r="H4" i="48"/>
  <c r="H11" i="48"/>
  <c r="H9" i="48"/>
  <c r="H19" i="48"/>
  <c r="H16" i="48"/>
  <c r="H15" i="48"/>
  <c r="J19" i="48"/>
  <c r="K19" i="48" s="1"/>
  <c r="Q14" i="38" l="1"/>
  <c r="Q39" i="38" l="1"/>
  <c r="L636" i="39"/>
  <c r="L638" i="39" s="1"/>
  <c r="Q13" i="38"/>
  <c r="Q15" i="38" s="1"/>
  <c r="Q40" i="38" s="1"/>
  <c r="L635" i="39" l="1"/>
  <c r="AD636" i="39"/>
  <c r="AD638" i="39" s="1"/>
  <c r="Y636" i="39"/>
  <c r="Y638" i="39" s="1"/>
  <c r="O636" i="39"/>
  <c r="O635" i="39" s="1"/>
  <c r="M636" i="39"/>
  <c r="M635" i="39" s="1"/>
  <c r="AF636" i="39"/>
  <c r="AF638" i="39" s="1"/>
  <c r="AC636" i="39"/>
  <c r="AC635" i="39" s="1"/>
  <c r="AB636" i="39"/>
  <c r="AB638" i="39" s="1"/>
  <c r="U636" i="39"/>
  <c r="U635" i="39" s="1"/>
  <c r="W636" i="39"/>
  <c r="W638" i="39" s="1"/>
  <c r="Z636" i="39"/>
  <c r="Z638" i="39" s="1"/>
  <c r="AJ636" i="39"/>
  <c r="AJ638" i="39" s="1"/>
  <c r="AA636" i="39"/>
  <c r="AA635" i="39" s="1"/>
  <c r="T636" i="39"/>
  <c r="T635" i="39" s="1"/>
  <c r="AI636" i="39"/>
  <c r="R636" i="39"/>
  <c r="R638" i="39" s="1"/>
  <c r="AH636" i="39"/>
  <c r="AH638" i="39" s="1"/>
  <c r="AG636" i="39"/>
  <c r="AG638" i="39" s="1"/>
  <c r="AE636" i="39"/>
  <c r="AE635" i="39" s="1"/>
  <c r="V636" i="39"/>
  <c r="V638" i="39" s="1"/>
  <c r="S636" i="39"/>
  <c r="S638" i="39" s="1"/>
  <c r="Q636" i="39"/>
  <c r="Q638" i="39" s="1"/>
  <c r="P636" i="39"/>
  <c r="P638" i="39" s="1"/>
  <c r="N636" i="39"/>
  <c r="N635" i="39" s="1"/>
  <c r="X636" i="39"/>
  <c r="X638" i="39" s="1"/>
  <c r="AH635" i="39" l="1"/>
  <c r="AH637" i="39" s="1"/>
  <c r="AB635" i="39"/>
  <c r="AB637" i="39" s="1"/>
  <c r="Q635" i="39"/>
  <c r="Q637" i="39" s="1"/>
  <c r="S635" i="39"/>
  <c r="S637" i="39" s="1"/>
  <c r="M638" i="39"/>
  <c r="AF635" i="39"/>
  <c r="AF637" i="39" s="1"/>
  <c r="V635" i="39"/>
  <c r="V637" i="39" s="1"/>
  <c r="Y635" i="39"/>
  <c r="Y637" i="39" s="1"/>
  <c r="AE638" i="39"/>
  <c r="L637" i="39"/>
  <c r="AD635" i="39"/>
  <c r="AD637" i="39" s="1"/>
  <c r="AC638" i="39"/>
  <c r="AG635" i="39"/>
  <c r="AG637" i="39" s="1"/>
  <c r="P635" i="39"/>
  <c r="X635" i="39"/>
  <c r="X637" i="39" s="1"/>
  <c r="O638" i="39"/>
  <c r="T638" i="39"/>
  <c r="N638" i="39"/>
  <c r="U638" i="39"/>
  <c r="AA638" i="39"/>
  <c r="AJ635" i="39"/>
  <c r="W635" i="39"/>
  <c r="Z635" i="39"/>
  <c r="AI638" i="39"/>
  <c r="AI635" i="39"/>
  <c r="R635" i="39"/>
  <c r="R637" i="39" s="1"/>
  <c r="N637" i="39"/>
  <c r="AA637" i="39"/>
  <c r="O637" i="39"/>
  <c r="M637" i="39"/>
  <c r="U637" i="39"/>
  <c r="AE637" i="39"/>
  <c r="AC637" i="39"/>
  <c r="T637" i="39"/>
  <c r="P637" i="39" l="1"/>
  <c r="Z637" i="39"/>
  <c r="W637" i="39"/>
  <c r="AI637" i="39"/>
  <c r="AJ637" i="39"/>
  <c r="H10" i="53" l="1"/>
  <c r="I10" i="53"/>
  <c r="J18" i="48" l="1"/>
  <c r="K18" i="48"/>
  <c r="DU61" i="10" a="1"/>
  <c r="DU61" i="10" s="1"/>
  <c r="DI61" i="10" a="1"/>
  <c r="DI61" i="10" s="1"/>
  <c r="CW61" i="10" a="1"/>
  <c r="CW61" i="10" s="1"/>
  <c r="CQ61" i="10" a="1"/>
  <c r="CQ61" i="10" s="1"/>
  <c r="EM61" i="10" a="1"/>
  <c r="EM61" i="10" s="1"/>
  <c r="EM60" i="10" s="1" a="1"/>
  <c r="EM60" i="10" s="1"/>
  <c r="BY61" i="10" a="1"/>
  <c r="BY61" i="10" s="1"/>
  <c r="M207" i="39" a="1"/>
  <c r="M207" i="39" s="1"/>
  <c r="M532" i="39" a="1"/>
  <c r="M532" i="39" s="1"/>
  <c r="N209" i="39" a="1"/>
  <c r="N209" i="39" s="1"/>
  <c r="L695" i="39" a="1"/>
  <c r="L695" i="39" s="1"/>
  <c r="M42" i="39" a="1"/>
  <c r="M42" i="39" s="1"/>
  <c r="N697" i="39" a="1"/>
  <c r="N697" i="39" s="1"/>
  <c r="BM61" i="10" a="1"/>
  <c r="BM61" i="10" s="1"/>
  <c r="BS61" i="10" a="1"/>
  <c r="BS61" i="10" s="1"/>
  <c r="K61" i="10" a="1"/>
  <c r="K61" i="10" s="1"/>
  <c r="L697" i="39" a="1"/>
  <c r="L697" i="39" s="1"/>
  <c r="L372" i="39" a="1"/>
  <c r="L372" i="39" s="1"/>
  <c r="M46" i="39" a="1"/>
  <c r="M46" i="39" s="1"/>
  <c r="M694" i="39" a="1"/>
  <c r="M694" i="39" s="1"/>
  <c r="N205" i="39" a="1"/>
  <c r="N205" i="39" s="1"/>
  <c r="O857" i="39" a="1"/>
  <c r="O857" i="39" s="1"/>
  <c r="DC61" i="10" a="1"/>
  <c r="DC61" i="10" s="1"/>
  <c r="DC60" i="10" s="1" a="1"/>
  <c r="DC60" i="10" s="1"/>
  <c r="L532" i="39" a="1"/>
  <c r="L532" i="39" s="1"/>
  <c r="L694" i="39" a="1"/>
  <c r="L694" i="39" s="1"/>
  <c r="L535" i="39" a="1"/>
  <c r="L535" i="39" s="1"/>
  <c r="M369" i="39" a="1"/>
  <c r="M369" i="39" s="1"/>
  <c r="M208" i="39" a="1"/>
  <c r="M208" i="39" s="1"/>
  <c r="M860" i="39" a="1"/>
  <c r="M860" i="39" s="1"/>
  <c r="N694" i="39" a="1"/>
  <c r="N694" i="39" s="1"/>
  <c r="N531" i="39" a="1"/>
  <c r="N531" i="39" s="1"/>
  <c r="O42" i="39" a="1"/>
  <c r="O42" i="39" s="1"/>
  <c r="P372" i="39" a="1"/>
  <c r="P372" i="39" s="1"/>
  <c r="L45" i="39" a="1"/>
  <c r="L45" i="39" s="1"/>
  <c r="M205" i="39" a="1"/>
  <c r="M205" i="39" s="1"/>
  <c r="M535" i="39" a="1"/>
  <c r="M535" i="39" s="1"/>
  <c r="M371" i="39" a="1"/>
  <c r="M371" i="39" s="1"/>
  <c r="N45" i="39" a="1"/>
  <c r="N45" i="39" s="1"/>
  <c r="M545" i="39" a="1"/>
  <c r="M545" i="39" s="1"/>
  <c r="O372" i="39" a="1"/>
  <c r="O372" i="39" s="1"/>
  <c r="P858" i="39" a="1"/>
  <c r="P858" i="39" s="1"/>
  <c r="AU61" i="10" a="1"/>
  <c r="AU61" i="10" s="1"/>
  <c r="AU60" i="10" s="1" a="1"/>
  <c r="AU60" i="10" s="1"/>
  <c r="AV60" i="10" s="1"/>
  <c r="AW60" i="10" s="1"/>
  <c r="AU25" i="11" s="1"/>
  <c r="AI61" i="10" a="1"/>
  <c r="AI61" i="10" s="1"/>
  <c r="AI60" i="10" s="1" a="1"/>
  <c r="AI60" i="10" s="1"/>
  <c r="AJ60" i="10" s="1"/>
  <c r="AK60" i="10" s="1"/>
  <c r="AI25" i="11" s="1"/>
  <c r="CE61" i="10" a="1"/>
  <c r="CE61" i="10" s="1"/>
  <c r="L696" i="39" a="1"/>
  <c r="L696" i="39" s="1"/>
  <c r="L534" i="39" a="1"/>
  <c r="L534" i="39" s="1"/>
  <c r="L368" i="39" a="1"/>
  <c r="L368" i="39" s="1"/>
  <c r="L698" i="39" a="1"/>
  <c r="L698" i="39" s="1"/>
  <c r="M368" i="39" a="1"/>
  <c r="M368" i="39" s="1"/>
  <c r="N534" i="39" a="1"/>
  <c r="N534" i="39" s="1"/>
  <c r="N533" i="39" a="1"/>
  <c r="N533" i="39" s="1"/>
  <c r="N208" i="39" a="1"/>
  <c r="N208" i="39" s="1"/>
  <c r="O695" i="39" a="1"/>
  <c r="O695" i="39" s="1"/>
  <c r="O371" i="39" a="1"/>
  <c r="O371" i="39" s="1"/>
  <c r="O859" i="39" a="1"/>
  <c r="O859" i="39" s="1"/>
  <c r="ES61" i="10" a="1"/>
  <c r="ES61" i="10" s="1"/>
  <c r="AO61" i="10" a="1"/>
  <c r="AO61" i="10" s="1"/>
  <c r="E61" i="10" a="1"/>
  <c r="E61" i="10" s="1"/>
  <c r="E60" i="10" s="1" a="1"/>
  <c r="E60" i="10" s="1"/>
  <c r="F60" i="10" s="1"/>
  <c r="G60" i="10" s="1"/>
  <c r="E25" i="11" s="1"/>
  <c r="L43" i="39" a="1"/>
  <c r="L43" i="39" s="1"/>
  <c r="L369" i="39" a="1"/>
  <c r="L369" i="39" s="1"/>
  <c r="M698" i="39" a="1"/>
  <c r="M698" i="39" s="1"/>
  <c r="N696" i="39" a="1"/>
  <c r="N696" i="39" s="1"/>
  <c r="N858" i="39" a="1"/>
  <c r="N858" i="39" s="1"/>
  <c r="L861" i="39" a="1"/>
  <c r="L861" i="39" s="1"/>
  <c r="M858" i="39" a="1"/>
  <c r="M858" i="39" s="1"/>
  <c r="M370" i="39" a="1"/>
  <c r="M370" i="39" s="1"/>
  <c r="EA61" i="10" a="1"/>
  <c r="EA61" i="10" s="1"/>
  <c r="EA60" i="10" s="1" a="1"/>
  <c r="EA60" i="10" s="1"/>
  <c r="L209" i="39" a="1"/>
  <c r="L209" i="39" s="1"/>
  <c r="L44" i="39" a="1"/>
  <c r="L44" i="39" s="1"/>
  <c r="L533" i="39" a="1"/>
  <c r="L533" i="39" s="1"/>
  <c r="M534" i="39" a="1"/>
  <c r="M534" i="39" s="1"/>
  <c r="N859" i="39" a="1"/>
  <c r="N859" i="39" s="1"/>
  <c r="O694" i="39" a="1"/>
  <c r="O694" i="39" s="1"/>
  <c r="AC61" i="10" a="1"/>
  <c r="AC61" i="10" s="1"/>
  <c r="AC60" i="10" s="1" a="1"/>
  <c r="AC60" i="10" s="1"/>
  <c r="AD60" i="10" s="1"/>
  <c r="AE60" i="10" s="1"/>
  <c r="AC25" i="11" s="1"/>
  <c r="EG61" i="10" a="1"/>
  <c r="EG61" i="10" s="1"/>
  <c r="L208" i="39" a="1"/>
  <c r="L208" i="39" s="1"/>
  <c r="L42" i="39" a="1"/>
  <c r="L42" i="39" s="1"/>
  <c r="L858" i="39" a="1"/>
  <c r="L858" i="39" s="1"/>
  <c r="M533" i="39" a="1"/>
  <c r="M533" i="39" s="1"/>
  <c r="M857" i="39" a="1"/>
  <c r="M857" i="39" s="1"/>
  <c r="M696" i="39" a="1"/>
  <c r="M696" i="39" s="1"/>
  <c r="N42" i="39" a="1"/>
  <c r="N42" i="39" s="1"/>
  <c r="N46" i="39" a="1"/>
  <c r="N46" i="39" s="1"/>
  <c r="O206" i="39" a="1"/>
  <c r="O206" i="39" s="1"/>
  <c r="DO61" i="10" a="1"/>
  <c r="DO61" i="10" s="1"/>
  <c r="L859" i="39" a="1"/>
  <c r="L859" i="39" s="1"/>
  <c r="L860" i="39" a="1"/>
  <c r="L860" i="39" s="1"/>
  <c r="M45" i="39" a="1"/>
  <c r="M45" i="39" s="1"/>
  <c r="M372" i="39" a="1"/>
  <c r="M372" i="39" s="1"/>
  <c r="M531" i="39" a="1"/>
  <c r="M531" i="39" s="1"/>
  <c r="N535" i="39" a="1"/>
  <c r="N535" i="39" s="1"/>
  <c r="L382" i="39" a="1"/>
  <c r="L382" i="39" s="1"/>
  <c r="BA61" i="10" a="1"/>
  <c r="BA61" i="10" s="1"/>
  <c r="W61" i="10" a="1"/>
  <c r="W61" i="10" s="1"/>
  <c r="BG61" i="10" a="1"/>
  <c r="BG61" i="10" s="1"/>
  <c r="L371" i="39" a="1"/>
  <c r="L371" i="39" s="1"/>
  <c r="L206" i="39" a="1"/>
  <c r="L206" i="39" s="1"/>
  <c r="M43" i="39" a="1"/>
  <c r="M43" i="39" s="1"/>
  <c r="L857" i="39" a="1"/>
  <c r="L857" i="39" s="1"/>
  <c r="L207" i="39" a="1"/>
  <c r="L207" i="39" s="1"/>
  <c r="M44" i="39" a="1"/>
  <c r="M44" i="39" s="1"/>
  <c r="M695" i="39" a="1"/>
  <c r="M695" i="39" s="1"/>
  <c r="M209" i="39" a="1"/>
  <c r="M209" i="39" s="1"/>
  <c r="M697" i="39" a="1"/>
  <c r="M697" i="39" s="1"/>
  <c r="M206" i="39" a="1"/>
  <c r="M206" i="39" s="1"/>
  <c r="N698" i="39" a="1"/>
  <c r="N698" i="39" s="1"/>
  <c r="Q61" i="10" a="1"/>
  <c r="Q61" i="10" s="1"/>
  <c r="Q60" i="10" s="1" a="1"/>
  <c r="Q60" i="10" s="1"/>
  <c r="R60" i="10" s="1"/>
  <c r="S60" i="10" s="1"/>
  <c r="Q25" i="11" s="1"/>
  <c r="CK61" i="10" a="1"/>
  <c r="CK61" i="10" s="1"/>
  <c r="L205" i="39" a="1"/>
  <c r="L205" i="39" s="1"/>
  <c r="L370" i="39" a="1"/>
  <c r="L370" i="39" s="1"/>
  <c r="L531" i="39" a="1"/>
  <c r="L531" i="39" s="1"/>
  <c r="L46" i="39" a="1"/>
  <c r="L46" i="39" s="1"/>
  <c r="M861" i="39" a="1"/>
  <c r="M861" i="39" s="1"/>
  <c r="M859" i="39" a="1"/>
  <c r="M859" i="39" s="1"/>
  <c r="N370" i="39" a="1"/>
  <c r="N370" i="39" s="1"/>
  <c r="N43" i="39" a="1"/>
  <c r="N43" i="39" s="1"/>
  <c r="N857" i="39" a="1"/>
  <c r="N857" i="39" s="1"/>
  <c r="M708" i="39" a="1"/>
  <c r="M708" i="39" s="1"/>
  <c r="O369" i="39" a="1"/>
  <c r="O369" i="39" s="1"/>
  <c r="O368" i="39" a="1"/>
  <c r="O368" i="39" s="1"/>
  <c r="N368" i="39" a="1"/>
  <c r="N368" i="39" s="1"/>
  <c r="N532" i="39" a="1"/>
  <c r="N532" i="39" s="1"/>
  <c r="N371" i="39" a="1"/>
  <c r="N371" i="39" s="1"/>
  <c r="M56" i="39" a="1"/>
  <c r="M56" i="39" s="1"/>
  <c r="N372" i="39" a="1"/>
  <c r="N372" i="39" s="1"/>
  <c r="N861" i="39" a="1"/>
  <c r="N861" i="39" s="1"/>
  <c r="L545" i="39" a="1"/>
  <c r="L545" i="39" s="1"/>
  <c r="M219" i="39" a="1"/>
  <c r="M219" i="39" s="1"/>
  <c r="O370" i="39" a="1"/>
  <c r="O370" i="39" s="1"/>
  <c r="O208" i="39" a="1"/>
  <c r="O208" i="39" s="1"/>
  <c r="N545" i="39" a="1"/>
  <c r="N545" i="39" s="1"/>
  <c r="N382" i="39" a="1"/>
  <c r="N382" i="39" s="1"/>
  <c r="P533" i="39" a="1"/>
  <c r="P533" i="39" s="1"/>
  <c r="Q698" i="39" a="1"/>
  <c r="Q698" i="39" s="1"/>
  <c r="Q42" i="39" a="1"/>
  <c r="Q42" i="39" s="1"/>
  <c r="Q370" i="39" a="1"/>
  <c r="Q370" i="39" s="1"/>
  <c r="Q533" i="39" a="1"/>
  <c r="Q533" i="39" s="1"/>
  <c r="R370" i="39" a="1"/>
  <c r="R370" i="39" s="1"/>
  <c r="R206" i="39" a="1"/>
  <c r="R206" i="39" s="1"/>
  <c r="O44" i="39" a="1"/>
  <c r="O44" i="39" s="1"/>
  <c r="O43" i="39" a="1"/>
  <c r="O43" i="39" s="1"/>
  <c r="O861" i="39" a="1"/>
  <c r="O861" i="39" s="1"/>
  <c r="P534" i="39" a="1"/>
  <c r="P534" i="39" s="1"/>
  <c r="P44" i="39" a="1"/>
  <c r="P44" i="39" s="1"/>
  <c r="Q531" i="39" a="1"/>
  <c r="Q531" i="39" s="1"/>
  <c r="N369" i="39" a="1"/>
  <c r="N369" i="39" s="1"/>
  <c r="N860" i="39" a="1"/>
  <c r="N860" i="39" s="1"/>
  <c r="O531" i="39" a="1"/>
  <c r="O531" i="39" s="1"/>
  <c r="O698" i="39" a="1"/>
  <c r="O698" i="39" s="1"/>
  <c r="M871" i="39" a="1"/>
  <c r="M871" i="39" s="1"/>
  <c r="O209" i="39" a="1"/>
  <c r="O209" i="39" s="1"/>
  <c r="O45" i="39" a="1"/>
  <c r="O45" i="39" s="1"/>
  <c r="O207" i="39" a="1"/>
  <c r="O207" i="39" s="1"/>
  <c r="P206" i="39" a="1"/>
  <c r="P206" i="39" s="1"/>
  <c r="N56" i="39" a="1"/>
  <c r="N56" i="39" s="1"/>
  <c r="P45" i="39" a="1"/>
  <c r="P45" i="39" s="1"/>
  <c r="Q697" i="39" a="1"/>
  <c r="Q697" i="39" s="1"/>
  <c r="P859" i="39" a="1"/>
  <c r="P859" i="39" s="1"/>
  <c r="P861" i="39" a="1"/>
  <c r="P861" i="39" s="1"/>
  <c r="R533" i="39" a="1"/>
  <c r="R533" i="39" s="1"/>
  <c r="P535" i="39" a="1"/>
  <c r="P535" i="39" s="1"/>
  <c r="P695" i="39" a="1"/>
  <c r="P695" i="39" s="1"/>
  <c r="O708" i="39" a="1"/>
  <c r="O708" i="39" s="1"/>
  <c r="Q694" i="39" a="1"/>
  <c r="Q694" i="39" s="1"/>
  <c r="R696" i="39" a="1"/>
  <c r="R696" i="39" s="1"/>
  <c r="P370" i="39" a="1"/>
  <c r="P370" i="39" s="1"/>
  <c r="P697" i="39" a="1"/>
  <c r="P697" i="39" s="1"/>
  <c r="P532" i="39" a="1"/>
  <c r="P532" i="39" s="1"/>
  <c r="P368" i="39" a="1"/>
  <c r="P368" i="39" s="1"/>
  <c r="Q695" i="39" a="1"/>
  <c r="Q695" i="39" s="1"/>
  <c r="Q205" i="39" a="1"/>
  <c r="Q205" i="39" s="1"/>
  <c r="R44" i="39" a="1"/>
  <c r="R44" i="39" s="1"/>
  <c r="R371" i="39" a="1"/>
  <c r="R371" i="39" s="1"/>
  <c r="P696" i="39" a="1"/>
  <c r="P696" i="39" s="1"/>
  <c r="Q208" i="39" a="1"/>
  <c r="Q208" i="39" s="1"/>
  <c r="Q857" i="39" a="1"/>
  <c r="Q857" i="39" s="1"/>
  <c r="Q369" i="39" a="1"/>
  <c r="Q369" i="39" s="1"/>
  <c r="Q372" i="39" a="1"/>
  <c r="Q372" i="39" s="1"/>
  <c r="Q535" i="39" a="1"/>
  <c r="Q535" i="39" s="1"/>
  <c r="R531" i="39" a="1"/>
  <c r="R531" i="39" s="1"/>
  <c r="P860" i="39" a="1"/>
  <c r="P860" i="39" s="1"/>
  <c r="Q44" i="39" a="1"/>
  <c r="Q44" i="39" s="1"/>
  <c r="Q861" i="39" a="1"/>
  <c r="Q861" i="39" s="1"/>
  <c r="O382" i="39" a="1"/>
  <c r="O382" i="39" s="1"/>
  <c r="O871" i="39" a="1"/>
  <c r="O871" i="39" s="1"/>
  <c r="O697" i="39" a="1"/>
  <c r="O697" i="39" s="1"/>
  <c r="O535" i="39" a="1"/>
  <c r="O535" i="39" s="1"/>
  <c r="O860" i="39" a="1"/>
  <c r="O860" i="39" s="1"/>
  <c r="O534" i="39" a="1"/>
  <c r="O534" i="39" s="1"/>
  <c r="P209" i="39" a="1"/>
  <c r="P209" i="39" s="1"/>
  <c r="P43" i="39" a="1"/>
  <c r="P43" i="39" s="1"/>
  <c r="P46" i="39" a="1"/>
  <c r="P46" i="39" s="1"/>
  <c r="P857" i="39" a="1"/>
  <c r="P857" i="39" s="1"/>
  <c r="P531" i="39" a="1"/>
  <c r="P531" i="39" s="1"/>
  <c r="P207" i="39" a="1"/>
  <c r="P207" i="39" s="1"/>
  <c r="N219" i="39" a="1"/>
  <c r="N219" i="39" s="1"/>
  <c r="Q368" i="39" a="1"/>
  <c r="Q368" i="39" s="1"/>
  <c r="Q858" i="39" a="1"/>
  <c r="Q858" i="39" s="1"/>
  <c r="R208" i="39" a="1"/>
  <c r="R208" i="39" s="1"/>
  <c r="R695" i="39" a="1"/>
  <c r="R695" i="39" s="1"/>
  <c r="O533" i="39" a="1"/>
  <c r="O533" i="39" s="1"/>
  <c r="O46" i="39" a="1"/>
  <c r="O46" i="39" s="1"/>
  <c r="P208" i="39" a="1"/>
  <c r="P208" i="39" s="1"/>
  <c r="P698" i="39" a="1"/>
  <c r="P698" i="39" s="1"/>
  <c r="N708" i="39" a="1"/>
  <c r="N708" i="39" s="1"/>
  <c r="P205" i="39" a="1"/>
  <c r="P205" i="39" s="1"/>
  <c r="Q43" i="39" a="1"/>
  <c r="Q43" i="39" s="1"/>
  <c r="Q206" i="39" a="1"/>
  <c r="Q206" i="39" s="1"/>
  <c r="Q209" i="39" a="1"/>
  <c r="Q209" i="39" s="1"/>
  <c r="S43" i="39" a="1"/>
  <c r="S43" i="39" s="1"/>
  <c r="S42" i="39" a="1"/>
  <c r="S42" i="39" s="1"/>
  <c r="R694" i="39" a="1"/>
  <c r="R694" i="39" s="1"/>
  <c r="N207" i="39" a="1"/>
  <c r="N207" i="39" s="1"/>
  <c r="N44" i="39" a="1"/>
  <c r="N44" i="39" s="1"/>
  <c r="L871" i="39" a="1"/>
  <c r="L871" i="39" s="1"/>
  <c r="L219" i="39" a="1"/>
  <c r="L219" i="39" s="1"/>
  <c r="L708" i="39" a="1"/>
  <c r="L708" i="39" s="1"/>
  <c r="N206" i="39" a="1"/>
  <c r="N206" i="39" s="1"/>
  <c r="N695" i="39" a="1"/>
  <c r="N695" i="39" s="1"/>
  <c r="O205" i="39" a="1"/>
  <c r="O205" i="39" s="1"/>
  <c r="O696" i="39" a="1"/>
  <c r="O696" i="39" s="1"/>
  <c r="M382" i="39" a="1"/>
  <c r="M382" i="39" s="1"/>
  <c r="O858" i="39" a="1"/>
  <c r="O858" i="39" s="1"/>
  <c r="O532" i="39" a="1"/>
  <c r="O532" i="39" s="1"/>
  <c r="P371" i="39" a="1"/>
  <c r="P371" i="39" s="1"/>
  <c r="P42" i="39" a="1"/>
  <c r="P42" i="39" s="1"/>
  <c r="P369" i="39" a="1"/>
  <c r="P369" i="39" s="1"/>
  <c r="P694" i="39" a="1"/>
  <c r="P694" i="39" s="1"/>
  <c r="N871" i="39" a="1"/>
  <c r="N871" i="39" s="1"/>
  <c r="O56" i="39" a="1"/>
  <c r="O56" i="39" s="1"/>
  <c r="Q371" i="39" a="1"/>
  <c r="Q371" i="39" s="1"/>
  <c r="Q45" i="39" a="1"/>
  <c r="Q45" i="39" s="1"/>
  <c r="Q696" i="39" a="1"/>
  <c r="Q696" i="39" s="1"/>
  <c r="O219" i="39" a="1"/>
  <c r="O219" i="39" s="1"/>
  <c r="Q207" i="39" a="1"/>
  <c r="Q207" i="39" s="1"/>
  <c r="R534" i="39" a="1"/>
  <c r="R534" i="39" s="1"/>
  <c r="R46" i="39" a="1"/>
  <c r="R46" i="39" s="1"/>
  <c r="V207" i="39" a="1"/>
  <c r="V207" i="39" s="1"/>
  <c r="R205" i="39" a="1"/>
  <c r="R205" i="39" s="1"/>
  <c r="R209" i="39" a="1"/>
  <c r="R209" i="39" s="1"/>
  <c r="S370" i="39" a="1"/>
  <c r="S370" i="39" s="1"/>
  <c r="S859" i="39" a="1"/>
  <c r="S859" i="39" s="1"/>
  <c r="U46" i="39" a="1"/>
  <c r="U46" i="39" s="1"/>
  <c r="T371" i="39" a="1"/>
  <c r="T371" i="39" s="1"/>
  <c r="O545" i="39" a="1"/>
  <c r="O545" i="39" s="1"/>
  <c r="Q532" i="39" a="1"/>
  <c r="Q532" i="39" s="1"/>
  <c r="R532" i="39" a="1"/>
  <c r="R532" i="39" s="1"/>
  <c r="P708" i="39" a="1"/>
  <c r="P708" i="39" s="1"/>
  <c r="R368" i="39" a="1"/>
  <c r="R368" i="39" s="1"/>
  <c r="S696" i="39" a="1"/>
  <c r="S696" i="39" s="1"/>
  <c r="T368" i="39" a="1"/>
  <c r="T368" i="39" s="1"/>
  <c r="T43" i="39" a="1"/>
  <c r="T43" i="39" s="1"/>
  <c r="R698" i="39" a="1"/>
  <c r="R698" i="39" s="1"/>
  <c r="S368" i="39" a="1"/>
  <c r="S368" i="39" s="1"/>
  <c r="S532" i="39" a="1"/>
  <c r="S532" i="39" s="1"/>
  <c r="S694" i="39" a="1"/>
  <c r="S694" i="39" s="1"/>
  <c r="T532" i="39" a="1"/>
  <c r="T532" i="39" s="1"/>
  <c r="T861" i="39" a="1"/>
  <c r="T861" i="39" s="1"/>
  <c r="U697" i="39" a="1"/>
  <c r="U697" i="39" s="1"/>
  <c r="P56" i="39" a="1"/>
  <c r="P56" i="39" s="1"/>
  <c r="R42" i="39" a="1"/>
  <c r="R42" i="39" s="1"/>
  <c r="R859" i="39" a="1"/>
  <c r="R859" i="39" s="1"/>
  <c r="R45" i="39" a="1"/>
  <c r="R45" i="39" s="1"/>
  <c r="R43" i="39" a="1"/>
  <c r="R43" i="39" s="1"/>
  <c r="S205" i="39" a="1"/>
  <c r="S205" i="39" s="1"/>
  <c r="Q382" i="39" a="1"/>
  <c r="Q382" i="39" s="1"/>
  <c r="S206" i="39" a="1"/>
  <c r="S206" i="39" s="1"/>
  <c r="S695" i="39" a="1"/>
  <c r="S695" i="39" s="1"/>
  <c r="S208" i="39" a="1"/>
  <c r="S208" i="39" s="1"/>
  <c r="T535" i="39" a="1"/>
  <c r="T535" i="39" s="1"/>
  <c r="T209" i="39" a="1"/>
  <c r="T209" i="39" s="1"/>
  <c r="U42" i="39" a="1"/>
  <c r="U42" i="39" s="1"/>
  <c r="U861" i="39" a="1"/>
  <c r="U861" i="39" s="1"/>
  <c r="U368" i="39" a="1"/>
  <c r="U368" i="39" s="1"/>
  <c r="U206" i="39" a="1"/>
  <c r="U206" i="39" s="1"/>
  <c r="U534" i="39" a="1"/>
  <c r="U534" i="39" s="1"/>
  <c r="S207" i="39" a="1"/>
  <c r="S207" i="39" s="1"/>
  <c r="Q56" i="39" a="1"/>
  <c r="Q56" i="39" s="1"/>
  <c r="Q219" i="39" a="1"/>
  <c r="Q219" i="39" s="1"/>
  <c r="S534" i="39" a="1"/>
  <c r="S534" i="39" s="1"/>
  <c r="S372" i="39" a="1"/>
  <c r="S372" i="39" s="1"/>
  <c r="T534" i="39" a="1"/>
  <c r="T534" i="39" s="1"/>
  <c r="T370" i="39" a="1"/>
  <c r="T370" i="39" s="1"/>
  <c r="S533" i="39" a="1"/>
  <c r="S533" i="39" s="1"/>
  <c r="S858" i="39" a="1"/>
  <c r="S858" i="39" s="1"/>
  <c r="T694" i="39" a="1"/>
  <c r="T694" i="39" s="1"/>
  <c r="U694" i="39" a="1"/>
  <c r="U694" i="39" s="1"/>
  <c r="U858" i="39" a="1"/>
  <c r="U858" i="39" s="1"/>
  <c r="W45" i="39" a="1"/>
  <c r="W45" i="39" s="1"/>
  <c r="Q46" i="39" a="1"/>
  <c r="Q46" i="39" s="1"/>
  <c r="R860" i="39" a="1"/>
  <c r="R860" i="39" s="1"/>
  <c r="P382" i="39" a="1"/>
  <c r="P382" i="39" s="1"/>
  <c r="S209" i="39" a="1"/>
  <c r="S209" i="39" s="1"/>
  <c r="T857" i="39" a="1"/>
  <c r="T857" i="39" s="1"/>
  <c r="T860" i="39" a="1"/>
  <c r="T860" i="39" s="1"/>
  <c r="T205" i="39" a="1"/>
  <c r="T205" i="39" s="1"/>
  <c r="T42" i="39" a="1"/>
  <c r="T42" i="39" s="1"/>
  <c r="S545" i="39" a="1"/>
  <c r="S545" i="39" s="1"/>
  <c r="S369" i="39" a="1"/>
  <c r="S369" i="39" s="1"/>
  <c r="T859" i="39" a="1"/>
  <c r="T859" i="39" s="1"/>
  <c r="T696" i="39" a="1"/>
  <c r="T696" i="39" s="1"/>
  <c r="R871" i="39" a="1"/>
  <c r="R871" i="39" s="1"/>
  <c r="V43" i="39" a="1"/>
  <c r="V43" i="39" s="1"/>
  <c r="R372" i="39" a="1"/>
  <c r="R372" i="39" s="1"/>
  <c r="R369" i="39" a="1"/>
  <c r="R369" i="39" s="1"/>
  <c r="R535" i="39" a="1"/>
  <c r="R535" i="39" s="1"/>
  <c r="Q708" i="39" a="1"/>
  <c r="Q708" i="39" s="1"/>
  <c r="Q545" i="39" a="1"/>
  <c r="Q545" i="39" s="1"/>
  <c r="T45" i="39" a="1"/>
  <c r="T45" i="39" s="1"/>
  <c r="T208" i="39" a="1"/>
  <c r="T208" i="39" s="1"/>
  <c r="T698" i="39" a="1"/>
  <c r="T698" i="39" s="1"/>
  <c r="R382" i="39" a="1"/>
  <c r="R382" i="39" s="1"/>
  <c r="U532" i="39" a="1"/>
  <c r="U532" i="39" s="1"/>
  <c r="Q859" i="39" a="1"/>
  <c r="Q859" i="39" s="1"/>
  <c r="Q860" i="39" a="1"/>
  <c r="Q860" i="39" s="1"/>
  <c r="S44" i="39" a="1"/>
  <c r="S44" i="39" s="1"/>
  <c r="P219" i="39" a="1"/>
  <c r="P219" i="39" s="1"/>
  <c r="R858" i="39" a="1"/>
  <c r="R858" i="39" s="1"/>
  <c r="R697" i="39" a="1"/>
  <c r="R697" i="39" s="1"/>
  <c r="R207" i="39" a="1"/>
  <c r="R207" i="39" s="1"/>
  <c r="S531" i="39" a="1"/>
  <c r="S531" i="39" s="1"/>
  <c r="S860" i="39" a="1"/>
  <c r="S860" i="39" s="1"/>
  <c r="S697" i="39" a="1"/>
  <c r="S697" i="39" s="1"/>
  <c r="S861" i="39" a="1"/>
  <c r="S861" i="39" s="1"/>
  <c r="S857" i="39" a="1"/>
  <c r="S857" i="39" s="1"/>
  <c r="S371" i="39" a="1"/>
  <c r="S371" i="39" s="1"/>
  <c r="R708" i="39" a="1"/>
  <c r="R708" i="39" s="1"/>
  <c r="T531" i="39" a="1"/>
  <c r="T531" i="39" s="1"/>
  <c r="U43" i="39" a="1"/>
  <c r="U43" i="39" s="1"/>
  <c r="T372" i="39" a="1"/>
  <c r="T372" i="39" s="1"/>
  <c r="V42" i="39" a="1"/>
  <c r="V42" i="39" s="1"/>
  <c r="U860" i="39" a="1"/>
  <c r="U860" i="39" s="1"/>
  <c r="U857" i="39" a="1"/>
  <c r="U857" i="39" s="1"/>
  <c r="V695" i="39" a="1"/>
  <c r="V695" i="39" s="1"/>
  <c r="Q534" i="39" a="1"/>
  <c r="Q534" i="39" s="1"/>
  <c r="P545" i="39" a="1"/>
  <c r="P545" i="39" s="1"/>
  <c r="S45" i="39" a="1"/>
  <c r="S45" i="39" s="1"/>
  <c r="P871" i="39" a="1"/>
  <c r="P871" i="39" s="1"/>
  <c r="R861" i="39" a="1"/>
  <c r="R861" i="39" s="1"/>
  <c r="R857" i="39" a="1"/>
  <c r="R857" i="39" s="1"/>
  <c r="Q871" i="39" a="1"/>
  <c r="Q871" i="39" s="1"/>
  <c r="S535" i="39" a="1"/>
  <c r="S535" i="39" s="1"/>
  <c r="S46" i="39" a="1"/>
  <c r="S46" i="39" s="1"/>
  <c r="S698" i="39" a="1"/>
  <c r="S698" i="39" s="1"/>
  <c r="T206" i="39" a="1"/>
  <c r="T206" i="39" s="1"/>
  <c r="T207" i="39" a="1"/>
  <c r="T207" i="39" s="1"/>
  <c r="R219" i="39" a="1"/>
  <c r="R219" i="39" s="1"/>
  <c r="T695" i="39" a="1"/>
  <c r="T695" i="39" s="1"/>
  <c r="T46" i="39" a="1"/>
  <c r="T46" i="39" s="1"/>
  <c r="T369" i="39" a="1"/>
  <c r="T369" i="39" s="1"/>
  <c r="U45" i="39" a="1"/>
  <c r="U45" i="39" s="1"/>
  <c r="U371" i="39" a="1"/>
  <c r="U371" i="39" s="1"/>
  <c r="V45" i="39" a="1"/>
  <c r="V45" i="39" s="1"/>
  <c r="U698" i="39" a="1"/>
  <c r="U698" i="39" s="1"/>
  <c r="U370" i="39" a="1"/>
  <c r="U370" i="39" s="1"/>
  <c r="U208" i="39" a="1"/>
  <c r="U208" i="39" s="1"/>
  <c r="U56" i="39" a="1"/>
  <c r="U56" i="39" s="1"/>
  <c r="W44" i="39" a="1"/>
  <c r="W44" i="39" s="1"/>
  <c r="X532" i="39" a="1"/>
  <c r="X532" i="39" s="1"/>
  <c r="T858" i="39" a="1"/>
  <c r="T858" i="39" s="1"/>
  <c r="S708" i="39" a="1"/>
  <c r="S708" i="39" s="1"/>
  <c r="U207" i="39" a="1"/>
  <c r="U207" i="39" s="1"/>
  <c r="U205" i="39" a="1"/>
  <c r="U205" i="39" s="1"/>
  <c r="U372" i="39" a="1"/>
  <c r="U372" i="39" s="1"/>
  <c r="U695" i="39" a="1"/>
  <c r="U695" i="39" s="1"/>
  <c r="U531" i="39" a="1"/>
  <c r="U531" i="39" s="1"/>
  <c r="V368" i="39" a="1"/>
  <c r="V368" i="39" s="1"/>
  <c r="V371" i="39" a="1"/>
  <c r="V371" i="39" s="1"/>
  <c r="V694" i="39" a="1"/>
  <c r="V694" i="39" s="1"/>
  <c r="V698" i="39" a="1"/>
  <c r="V698" i="39" s="1"/>
  <c r="W369" i="39" a="1"/>
  <c r="W369" i="39" s="1"/>
  <c r="X370" i="39" a="1"/>
  <c r="X370" i="39" s="1"/>
  <c r="V696" i="39" a="1"/>
  <c r="V696" i="39" s="1"/>
  <c r="V858" i="39" a="1"/>
  <c r="V858" i="39" s="1"/>
  <c r="S382" i="39" a="1"/>
  <c r="S382" i="39" s="1"/>
  <c r="U696" i="39" a="1"/>
  <c r="U696" i="39" s="1"/>
  <c r="U369" i="39" a="1"/>
  <c r="U369" i="39" s="1"/>
  <c r="U209" i="39" a="1"/>
  <c r="U209" i="39" s="1"/>
  <c r="V44" i="39" a="1"/>
  <c r="V44" i="39" s="1"/>
  <c r="V531" i="39" a="1"/>
  <c r="V531" i="39" s="1"/>
  <c r="W46" i="39" a="1"/>
  <c r="W46" i="39" s="1"/>
  <c r="W43" i="39" a="1"/>
  <c r="W43" i="39" s="1"/>
  <c r="V205" i="39" a="1"/>
  <c r="V205" i="39" s="1"/>
  <c r="W698" i="39" a="1"/>
  <c r="W698" i="39" s="1"/>
  <c r="T708" i="39" a="1"/>
  <c r="T708" i="39" s="1"/>
  <c r="W42" i="39" a="1"/>
  <c r="W42" i="39" s="1"/>
  <c r="T871" i="39" a="1"/>
  <c r="T871" i="39" s="1"/>
  <c r="V859" i="39" a="1"/>
  <c r="V859" i="39" s="1"/>
  <c r="T382" i="39" a="1"/>
  <c r="T382" i="39" s="1"/>
  <c r="V860" i="39" a="1"/>
  <c r="V860" i="39" s="1"/>
  <c r="Y43" i="39" a="1"/>
  <c r="Y43" i="39" s="1"/>
  <c r="T219" i="39" a="1"/>
  <c r="T219" i="39" s="1"/>
  <c r="V46" i="39" a="1"/>
  <c r="V46" i="39" s="1"/>
  <c r="V209" i="39" a="1"/>
  <c r="V209" i="39" s="1"/>
  <c r="U871" i="39" a="1"/>
  <c r="U871" i="39" s="1"/>
  <c r="W533" i="39" a="1"/>
  <c r="W533" i="39" s="1"/>
  <c r="W535" i="39" a="1"/>
  <c r="W535" i="39" s="1"/>
  <c r="Y42" i="39" a="1"/>
  <c r="Y42" i="39" s="1"/>
  <c r="V206" i="39" a="1"/>
  <c r="V206" i="39" s="1"/>
  <c r="W860" i="39" a="1"/>
  <c r="W860" i="39" s="1"/>
  <c r="V533" i="39" a="1"/>
  <c r="V533" i="39" s="1"/>
  <c r="V697" i="39" a="1"/>
  <c r="V697" i="39" s="1"/>
  <c r="W370" i="39" a="1"/>
  <c r="W370" i="39" s="1"/>
  <c r="W861" i="39" a="1"/>
  <c r="W861" i="39" s="1"/>
  <c r="R545" i="39" a="1"/>
  <c r="R545" i="39" s="1"/>
  <c r="R56" i="39" a="1"/>
  <c r="R56" i="39" s="1"/>
  <c r="U533" i="39" a="1"/>
  <c r="U533" i="39" s="1"/>
  <c r="S56" i="39" a="1"/>
  <c r="S56" i="39" s="1"/>
  <c r="W205" i="39" a="1"/>
  <c r="W205" i="39" s="1"/>
  <c r="W857" i="39" a="1"/>
  <c r="W857" i="39" s="1"/>
  <c r="W694" i="39" a="1"/>
  <c r="W694" i="39" s="1"/>
  <c r="X858" i="39" a="1"/>
  <c r="X858" i="39" s="1"/>
  <c r="V56" i="39" a="1"/>
  <c r="V56" i="39" s="1"/>
  <c r="S871" i="39" a="1"/>
  <c r="S871" i="39" s="1"/>
  <c r="V370" i="39" a="1"/>
  <c r="V370" i="39" s="1"/>
  <c r="T56" i="39" a="1"/>
  <c r="T56" i="39" s="1"/>
  <c r="V208" i="39" a="1"/>
  <c r="V208" i="39" s="1"/>
  <c r="W859" i="39" a="1"/>
  <c r="W859" i="39" s="1"/>
  <c r="W208" i="39" a="1"/>
  <c r="W208" i="39" s="1"/>
  <c r="V219" i="39" a="1"/>
  <c r="V219" i="39" s="1"/>
  <c r="W695" i="39" a="1"/>
  <c r="W695" i="39" s="1"/>
  <c r="W372" i="39" a="1"/>
  <c r="W372" i="39" s="1"/>
  <c r="W371" i="39" a="1"/>
  <c r="W371" i="39" s="1"/>
  <c r="W532" i="39" a="1"/>
  <c r="W532" i="39" s="1"/>
  <c r="X695" i="39" a="1"/>
  <c r="X695" i="39" s="1"/>
  <c r="T697" i="39" a="1"/>
  <c r="T697" i="39" s="1"/>
  <c r="T44" i="39" a="1"/>
  <c r="T44" i="39" s="1"/>
  <c r="T533" i="39" a="1"/>
  <c r="T533" i="39" s="1"/>
  <c r="U44" i="39" a="1"/>
  <c r="U44" i="39" s="1"/>
  <c r="S219" i="39" a="1"/>
  <c r="S219" i="39" s="1"/>
  <c r="U535" i="39" a="1"/>
  <c r="U535" i="39" s="1"/>
  <c r="U859" i="39" a="1"/>
  <c r="U859" i="39" s="1"/>
  <c r="V532" i="39" a="1"/>
  <c r="V532" i="39" s="1"/>
  <c r="V535" i="39" a="1"/>
  <c r="V535" i="39" s="1"/>
  <c r="V369" i="39" a="1"/>
  <c r="V369" i="39" s="1"/>
  <c r="V857" i="39" a="1"/>
  <c r="V857" i="39" s="1"/>
  <c r="V534" i="39" a="1"/>
  <c r="V534" i="39" s="1"/>
  <c r="V372" i="39" a="1"/>
  <c r="V372" i="39" s="1"/>
  <c r="T545" i="39" a="1"/>
  <c r="T545" i="39" s="1"/>
  <c r="V861" i="39" a="1"/>
  <c r="V861" i="39" s="1"/>
  <c r="U545" i="39" a="1"/>
  <c r="U545" i="39" s="1"/>
  <c r="W209" i="39" a="1"/>
  <c r="W209" i="39" s="1"/>
  <c r="U708" i="39" a="1"/>
  <c r="U708" i="39" s="1"/>
  <c r="X44" i="39" a="1"/>
  <c r="X44" i="39" s="1"/>
  <c r="X45" i="39" a="1"/>
  <c r="X45" i="39" s="1"/>
  <c r="W531" i="39" a="1"/>
  <c r="W531" i="39" s="1"/>
  <c r="W206" i="39" a="1"/>
  <c r="W206" i="39" s="1"/>
  <c r="V545" i="39" a="1"/>
  <c r="V545" i="39" s="1"/>
  <c r="U382" i="39" a="1"/>
  <c r="U382" i="39" s="1"/>
  <c r="Y46" i="39" a="1"/>
  <c r="Y46" i="39" s="1"/>
  <c r="X368" i="39" a="1"/>
  <c r="X368" i="39" s="1"/>
  <c r="X857" i="39" a="1"/>
  <c r="X857" i="39" s="1"/>
  <c r="Y207" i="39" a="1"/>
  <c r="Y207" i="39" s="1"/>
  <c r="Y531" i="39" a="1"/>
  <c r="Y531" i="39" s="1"/>
  <c r="AA532" i="39" a="1"/>
  <c r="AA532" i="39" s="1"/>
  <c r="W697" i="39" a="1"/>
  <c r="W697" i="39" s="1"/>
  <c r="W207" i="39" a="1"/>
  <c r="W207" i="39" s="1"/>
  <c r="X43" i="39" a="1"/>
  <c r="X43" i="39" s="1"/>
  <c r="X369" i="39" a="1"/>
  <c r="X369" i="39" s="1"/>
  <c r="X860" i="39" a="1"/>
  <c r="X860" i="39" s="1"/>
  <c r="X208" i="39" a="1"/>
  <c r="X208" i="39" s="1"/>
  <c r="X531" i="39" a="1"/>
  <c r="X531" i="39" s="1"/>
  <c r="X694" i="39" a="1"/>
  <c r="X694" i="39" s="1"/>
  <c r="X533" i="39" a="1"/>
  <c r="X533" i="39" s="1"/>
  <c r="Y698" i="39" a="1"/>
  <c r="Y698" i="39" s="1"/>
  <c r="Y696" i="39" a="1"/>
  <c r="Y696" i="39" s="1"/>
  <c r="Y56" i="39" a="1"/>
  <c r="Y56" i="39" s="1"/>
  <c r="Z696" i="39" a="1"/>
  <c r="Z696" i="39" s="1"/>
  <c r="Y45" i="39" a="1"/>
  <c r="Y45" i="39" s="1"/>
  <c r="Y372" i="39" a="1"/>
  <c r="Y372" i="39" s="1"/>
  <c r="Y697" i="39" a="1"/>
  <c r="Y697" i="39" s="1"/>
  <c r="Z206" i="39" a="1"/>
  <c r="Z206" i="39" s="1"/>
  <c r="W219" i="39" a="1"/>
  <c r="W219" i="39" s="1"/>
  <c r="Y860" i="39" a="1"/>
  <c r="Y860" i="39" s="1"/>
  <c r="Z205" i="39" a="1"/>
  <c r="Z205" i="39" s="1"/>
  <c r="Z43" i="39" a="1"/>
  <c r="Z43" i="39" s="1"/>
  <c r="Y371" i="39" a="1"/>
  <c r="Y371" i="39" s="1"/>
  <c r="Y535" i="39" a="1"/>
  <c r="Y535" i="39" s="1"/>
  <c r="Z694" i="39" a="1"/>
  <c r="Z694" i="39" s="1"/>
  <c r="AA205" i="39" a="1"/>
  <c r="AA205" i="39" s="1"/>
  <c r="X697" i="39" a="1"/>
  <c r="X697" i="39" s="1"/>
  <c r="Y695" i="39" a="1"/>
  <c r="Y695" i="39" s="1"/>
  <c r="Y208" i="39" a="1"/>
  <c r="Y208" i="39" s="1"/>
  <c r="Y858" i="39" a="1"/>
  <c r="Y858" i="39" s="1"/>
  <c r="Z532" i="39" a="1"/>
  <c r="Z532" i="39" s="1"/>
  <c r="Z46" i="39" a="1"/>
  <c r="Z46" i="39" s="1"/>
  <c r="Z368" i="39" a="1"/>
  <c r="Z368" i="39" s="1"/>
  <c r="Y370" i="39" a="1"/>
  <c r="Y370" i="39" s="1"/>
  <c r="Y857" i="39" a="1"/>
  <c r="Y857" i="39" s="1"/>
  <c r="X859" i="39" a="1"/>
  <c r="X859" i="39" s="1"/>
  <c r="W708" i="39" a="1"/>
  <c r="W708" i="39" s="1"/>
  <c r="X708" i="39" a="1"/>
  <c r="X708" i="39" s="1"/>
  <c r="Z534" i="39" a="1"/>
  <c r="Z534" i="39" s="1"/>
  <c r="X371" i="39" a="1"/>
  <c r="X371" i="39" s="1"/>
  <c r="V382" i="39" a="1"/>
  <c r="V382" i="39" s="1"/>
  <c r="X206" i="39" a="1"/>
  <c r="X206" i="39" s="1"/>
  <c r="X861" i="39" a="1"/>
  <c r="X861" i="39" s="1"/>
  <c r="X698" i="39" a="1"/>
  <c r="X698" i="39" s="1"/>
  <c r="Y209" i="39" a="1"/>
  <c r="Y209" i="39" s="1"/>
  <c r="AA45" i="39" a="1"/>
  <c r="AA45" i="39" s="1"/>
  <c r="X42" i="39" a="1"/>
  <c r="X42" i="39" s="1"/>
  <c r="W534" i="39" a="1"/>
  <c r="W534" i="39" s="1"/>
  <c r="X209" i="39" a="1"/>
  <c r="X209" i="39" s="1"/>
  <c r="X372" i="39" a="1"/>
  <c r="X372" i="39" s="1"/>
  <c r="Y205" i="39" a="1"/>
  <c r="Y205" i="39" s="1"/>
  <c r="W871" i="39" a="1"/>
  <c r="W871" i="39" s="1"/>
  <c r="Y861" i="39" a="1"/>
  <c r="Y861" i="39" s="1"/>
  <c r="Y533" i="39" a="1"/>
  <c r="Y533" i="39" s="1"/>
  <c r="W696" i="39" a="1"/>
  <c r="W696" i="39" s="1"/>
  <c r="U219" i="39" a="1"/>
  <c r="U219" i="39" s="1"/>
  <c r="X46" i="39" a="1"/>
  <c r="X46" i="39" s="1"/>
  <c r="W858" i="39" a="1"/>
  <c r="W858" i="39" s="1"/>
  <c r="W368" i="39" a="1"/>
  <c r="W368" i="39" s="1"/>
  <c r="X534" i="39" a="1"/>
  <c r="X534" i="39" s="1"/>
  <c r="V871" i="39" a="1"/>
  <c r="V871" i="39" s="1"/>
  <c r="X696" i="39" a="1"/>
  <c r="X696" i="39" s="1"/>
  <c r="Y44" i="39" a="1"/>
  <c r="Y44" i="39" s="1"/>
  <c r="X207" i="39" a="1"/>
  <c r="X207" i="39" s="1"/>
  <c r="X535" i="39" a="1"/>
  <c r="X535" i="39" s="1"/>
  <c r="V708" i="39" a="1"/>
  <c r="V708" i="39" s="1"/>
  <c r="X205" i="39" a="1"/>
  <c r="X205" i="39" s="1"/>
  <c r="W56" i="39" a="1"/>
  <c r="W56" i="39" s="1"/>
  <c r="Y206" i="39" a="1"/>
  <c r="Y206" i="39" s="1"/>
  <c r="Y859" i="39" a="1"/>
  <c r="Y859" i="39" s="1"/>
  <c r="Y368" i="39" a="1"/>
  <c r="Y368" i="39" s="1"/>
  <c r="Z861" i="39" a="1"/>
  <c r="Z861" i="39" s="1"/>
  <c r="X545" i="39" a="1"/>
  <c r="X545" i="39" s="1"/>
  <c r="Z697" i="39" a="1"/>
  <c r="Z697" i="39" s="1"/>
  <c r="Z370" i="39" a="1"/>
  <c r="Z370" i="39" s="1"/>
  <c r="AA43" i="39" a="1"/>
  <c r="AA43" i="39" s="1"/>
  <c r="Z208" i="39" a="1"/>
  <c r="Z208" i="39" s="1"/>
  <c r="AA372" i="39" a="1"/>
  <c r="AA372" i="39" s="1"/>
  <c r="AC43" i="39" a="1"/>
  <c r="AC43" i="39" s="1"/>
  <c r="AC205" i="39" a="1"/>
  <c r="AC205" i="39" s="1"/>
  <c r="AA697" i="39" a="1"/>
  <c r="AA697" i="39" s="1"/>
  <c r="AA696" i="39" a="1"/>
  <c r="AA696" i="39" s="1"/>
  <c r="AB533" i="39" a="1"/>
  <c r="AB533" i="39" s="1"/>
  <c r="AD42" i="39" a="1"/>
  <c r="AD42" i="39" s="1"/>
  <c r="Y532" i="39" a="1"/>
  <c r="Y532" i="39" s="1"/>
  <c r="W382" i="39" a="1"/>
  <c r="W382" i="39" s="1"/>
  <c r="Y694" i="39" a="1"/>
  <c r="Y694" i="39" s="1"/>
  <c r="Z860" i="39" a="1"/>
  <c r="Z860" i="39" s="1"/>
  <c r="Z531" i="39" a="1"/>
  <c r="Z531" i="39" s="1"/>
  <c r="AA44" i="39" a="1"/>
  <c r="AA44" i="39" s="1"/>
  <c r="Y708" i="39" a="1"/>
  <c r="Y708" i="39" s="1"/>
  <c r="AA209" i="39" a="1"/>
  <c r="AA209" i="39" s="1"/>
  <c r="AA206" i="39" a="1"/>
  <c r="AA206" i="39" s="1"/>
  <c r="AA535" i="39" a="1"/>
  <c r="AA535" i="39" s="1"/>
  <c r="AB205" i="39" a="1"/>
  <c r="AB205" i="39" s="1"/>
  <c r="Z695" i="39" a="1"/>
  <c r="Z695" i="39" s="1"/>
  <c r="Z209" i="39" a="1"/>
  <c r="Z209" i="39" s="1"/>
  <c r="X871" i="39" a="1"/>
  <c r="X871" i="39" s="1"/>
  <c r="AA369" i="39" a="1"/>
  <c r="AA369" i="39" s="1"/>
  <c r="AB206" i="39" a="1"/>
  <c r="AB206" i="39" s="1"/>
  <c r="AC44" i="39" a="1"/>
  <c r="AC44" i="39" s="1"/>
  <c r="AA368" i="39" a="1"/>
  <c r="AA368" i="39" s="1"/>
  <c r="Z219" i="39" a="1"/>
  <c r="Z219" i="39" s="1"/>
  <c r="AB858" i="39" a="1"/>
  <c r="AB858" i="39" s="1"/>
  <c r="AB371" i="39" a="1"/>
  <c r="AB371" i="39" s="1"/>
  <c r="Z698" i="39" a="1"/>
  <c r="Z698" i="39" s="1"/>
  <c r="Z533" i="39" a="1"/>
  <c r="Z533" i="39" s="1"/>
  <c r="X382" i="39" a="1"/>
  <c r="X382" i="39" s="1"/>
  <c r="Z371" i="39" a="1"/>
  <c r="Z371" i="39" s="1"/>
  <c r="X56" i="39" a="1"/>
  <c r="X56" i="39" s="1"/>
  <c r="AA860" i="39" a="1"/>
  <c r="AA860" i="39" s="1"/>
  <c r="AA531" i="39" a="1"/>
  <c r="AA531" i="39" s="1"/>
  <c r="AB531" i="39" a="1"/>
  <c r="AB531" i="39" s="1"/>
  <c r="Z708" i="39" a="1"/>
  <c r="Z708" i="39" s="1"/>
  <c r="AC859" i="39" a="1"/>
  <c r="AC859" i="39" s="1"/>
  <c r="AB43" i="39" a="1"/>
  <c r="AB43" i="39" s="1"/>
  <c r="AB209" i="39" a="1"/>
  <c r="AB209" i="39" s="1"/>
  <c r="AB861" i="39" a="1"/>
  <c r="AB861" i="39" s="1"/>
  <c r="Y871" i="39" a="1"/>
  <c r="Y871" i="39" s="1"/>
  <c r="Y545" i="39" a="1"/>
  <c r="Y545" i="39" s="1"/>
  <c r="AB207" i="39" a="1"/>
  <c r="AB207" i="39" s="1"/>
  <c r="AB857" i="39" a="1"/>
  <c r="AB857" i="39" s="1"/>
  <c r="AA694" i="39" a="1"/>
  <c r="AA694" i="39" s="1"/>
  <c r="AA857" i="39" a="1"/>
  <c r="AA857" i="39" s="1"/>
  <c r="AA861" i="39" a="1"/>
  <c r="AA861" i="39" s="1"/>
  <c r="AB208" i="39" a="1"/>
  <c r="AB208" i="39" s="1"/>
  <c r="AB859" i="39" a="1"/>
  <c r="AB859" i="39" s="1"/>
  <c r="AB698" i="39" a="1"/>
  <c r="AB698" i="39" s="1"/>
  <c r="AB697" i="39" a="1"/>
  <c r="AB697" i="39" s="1"/>
  <c r="Y369" i="39" a="1"/>
  <c r="Y369" i="39" s="1"/>
  <c r="W545" i="39" a="1"/>
  <c r="W545" i="39" s="1"/>
  <c r="Y534" i="39" a="1"/>
  <c r="Y534" i="39" s="1"/>
  <c r="X219" i="39" a="1"/>
  <c r="X219" i="39" s="1"/>
  <c r="Z45" i="39" a="1"/>
  <c r="Z45" i="39" s="1"/>
  <c r="Z857" i="39" a="1"/>
  <c r="Z857" i="39" s="1"/>
  <c r="Z42" i="39" a="1"/>
  <c r="Z42" i="39" s="1"/>
  <c r="Z372" i="39" a="1"/>
  <c r="Z372" i="39" s="1"/>
  <c r="Z858" i="39" a="1"/>
  <c r="Z858" i="39" s="1"/>
  <c r="Z44" i="39" a="1"/>
  <c r="Z44" i="39" s="1"/>
  <c r="AB45" i="39" a="1"/>
  <c r="AB45" i="39" s="1"/>
  <c r="AB42" i="39" a="1"/>
  <c r="AB42" i="39" s="1"/>
  <c r="Y219" i="39" a="1"/>
  <c r="Y219" i="39" s="1"/>
  <c r="AA371" i="39" a="1"/>
  <c r="AA371" i="39" s="1"/>
  <c r="AC42" i="39" a="1"/>
  <c r="AC42" i="39" s="1"/>
  <c r="AB368" i="39" a="1"/>
  <c r="AB368" i="39" s="1"/>
  <c r="AB860" i="39" a="1"/>
  <c r="AB860" i="39" s="1"/>
  <c r="AB535" i="39" a="1"/>
  <c r="AB535" i="39" s="1"/>
  <c r="AD45" i="39" a="1"/>
  <c r="AD45" i="39" s="1"/>
  <c r="Z369" i="39" a="1"/>
  <c r="Z369" i="39" s="1"/>
  <c r="Z535" i="39" a="1"/>
  <c r="Z535" i="39" s="1"/>
  <c r="Z207" i="39" a="1"/>
  <c r="Z207" i="39" s="1"/>
  <c r="AA42" i="39" a="1"/>
  <c r="AA42" i="39" s="1"/>
  <c r="AA533" i="39" a="1"/>
  <c r="AA533" i="39" s="1"/>
  <c r="AA695" i="39" a="1"/>
  <c r="AA695" i="39" s="1"/>
  <c r="AA698" i="39" a="1"/>
  <c r="AA698" i="39" s="1"/>
  <c r="AB44" i="39" a="1"/>
  <c r="AB44" i="39" s="1"/>
  <c r="Z871" i="39" a="1"/>
  <c r="Z871" i="39" s="1"/>
  <c r="AB695" i="39" a="1"/>
  <c r="AB695" i="39" s="1"/>
  <c r="AB534" i="39" a="1"/>
  <c r="AB534" i="39" s="1"/>
  <c r="AA46" i="39" a="1"/>
  <c r="AA46" i="39" s="1"/>
  <c r="Z859" i="39" a="1"/>
  <c r="Z859" i="39" s="1"/>
  <c r="Z56" i="39" a="1"/>
  <c r="Z56" i="39" s="1"/>
  <c r="Y382" i="39" a="1"/>
  <c r="Y382" i="39" s="1"/>
  <c r="AA858" i="39" a="1"/>
  <c r="AA858" i="39" s="1"/>
  <c r="AA859" i="39" a="1"/>
  <c r="AA859" i="39" s="1"/>
  <c r="AA207" i="39" a="1"/>
  <c r="AA207" i="39" s="1"/>
  <c r="AA208" i="39" a="1"/>
  <c r="AA208" i="39" s="1"/>
  <c r="AA370" i="39" a="1"/>
  <c r="AA370" i="39" s="1"/>
  <c r="AA534" i="39" a="1"/>
  <c r="AA534" i="39" s="1"/>
  <c r="AB46" i="39" a="1"/>
  <c r="AB46" i="39" s="1"/>
  <c r="AB370" i="39" a="1"/>
  <c r="AB370" i="39" s="1"/>
  <c r="AB696" i="39" a="1"/>
  <c r="AB696" i="39" s="1"/>
  <c r="AA56" i="39" a="1"/>
  <c r="AA56" i="39" s="1"/>
  <c r="AC206" i="39" a="1"/>
  <c r="AC206" i="39" s="1"/>
  <c r="AD46" i="39" a="1"/>
  <c r="AD46" i="39" s="1"/>
  <c r="AD209" i="39" a="1"/>
  <c r="AD209" i="39" s="1"/>
  <c r="AD696" i="39" a="1"/>
  <c r="AD696" i="39" s="1"/>
  <c r="AC534" i="39" a="1"/>
  <c r="AC534" i="39" s="1"/>
  <c r="AC208" i="39" a="1"/>
  <c r="AC208" i="39" s="1"/>
  <c r="AB56" i="39" a="1"/>
  <c r="AB56" i="39" s="1"/>
  <c r="AC371" i="39" a="1"/>
  <c r="AC371" i="39" s="1"/>
  <c r="AC369" i="39" a="1"/>
  <c r="AC369" i="39" s="1"/>
  <c r="AC860" i="39" a="1"/>
  <c r="AC860" i="39" s="1"/>
  <c r="AB545" i="39" a="1"/>
  <c r="AB545" i="39" s="1"/>
  <c r="AD371" i="39" a="1"/>
  <c r="AD371" i="39" s="1"/>
  <c r="AD206" i="39" a="1"/>
  <c r="AD206" i="39" s="1"/>
  <c r="AC695" i="39" a="1"/>
  <c r="AC695" i="39" s="1"/>
  <c r="AD369" i="39" a="1"/>
  <c r="AD369" i="39" s="1"/>
  <c r="AD370" i="39" a="1"/>
  <c r="AD370" i="39" s="1"/>
  <c r="Z545" i="39" a="1"/>
  <c r="Z545" i="39" s="1"/>
  <c r="AC45" i="39" a="1"/>
  <c r="AC45" i="39" s="1"/>
  <c r="AB369" i="39" a="1"/>
  <c r="AB369" i="39" s="1"/>
  <c r="Z382" i="39" a="1"/>
  <c r="Z382" i="39" s="1"/>
  <c r="AB694" i="39" a="1"/>
  <c r="AB694" i="39" s="1"/>
  <c r="AB532" i="39" a="1"/>
  <c r="AB532" i="39" s="1"/>
  <c r="AC207" i="39" a="1"/>
  <c r="AC207" i="39" s="1"/>
  <c r="AC370" i="39" a="1"/>
  <c r="AC370" i="39" s="1"/>
  <c r="AA545" i="39" a="1"/>
  <c r="AA545" i="39" s="1"/>
  <c r="AC209" i="39" a="1"/>
  <c r="AC209" i="39" s="1"/>
  <c r="AA708" i="39" a="1"/>
  <c r="AA708" i="39" s="1"/>
  <c r="AE44" i="39" a="1"/>
  <c r="AE44" i="39" s="1"/>
  <c r="AD208" i="39" a="1"/>
  <c r="AD208" i="39" s="1"/>
  <c r="AD533" i="39" a="1"/>
  <c r="AD533" i="39" s="1"/>
  <c r="AD43" i="39" a="1"/>
  <c r="AD43" i="39" s="1"/>
  <c r="AD861" i="39" a="1"/>
  <c r="AD861" i="39" s="1"/>
  <c r="AC857" i="39" a="1"/>
  <c r="AC857" i="39" s="1"/>
  <c r="AC535" i="39" a="1"/>
  <c r="AC535" i="39" s="1"/>
  <c r="AD531" i="39" a="1"/>
  <c r="AD531" i="39" s="1"/>
  <c r="AF44" i="39" a="1"/>
  <c r="AF44" i="39" s="1"/>
  <c r="AD857" i="39" a="1"/>
  <c r="AD857" i="39" s="1"/>
  <c r="AA871" i="39" a="1"/>
  <c r="AA871" i="39" s="1"/>
  <c r="AC696" i="39" a="1"/>
  <c r="AC696" i="39" s="1"/>
  <c r="AC372" i="39" a="1"/>
  <c r="AC372" i="39" s="1"/>
  <c r="AC858" i="39" a="1"/>
  <c r="AC858" i="39" s="1"/>
  <c r="AC861" i="39" a="1"/>
  <c r="AC861" i="39" s="1"/>
  <c r="AD207" i="39" a="1"/>
  <c r="AD207" i="39" s="1"/>
  <c r="AB382" i="39" a="1"/>
  <c r="AB382" i="39" s="1"/>
  <c r="AE207" i="39" a="1"/>
  <c r="AE207" i="39" s="1"/>
  <c r="AB372" i="39" a="1"/>
  <c r="AB372" i="39" s="1"/>
  <c r="AC46" i="39" a="1"/>
  <c r="AC46" i="39" s="1"/>
  <c r="AA382" i="39" a="1"/>
  <c r="AA382" i="39" s="1"/>
  <c r="AC533" i="39" a="1"/>
  <c r="AC533" i="39" s="1"/>
  <c r="AC694" i="39" a="1"/>
  <c r="AC694" i="39" s="1"/>
  <c r="AC698" i="39" a="1"/>
  <c r="AC698" i="39" s="1"/>
  <c r="AC368" i="39" a="1"/>
  <c r="AC368" i="39" s="1"/>
  <c r="AC697" i="39" a="1"/>
  <c r="AC697" i="39" s="1"/>
  <c r="AD44" i="39" a="1"/>
  <c r="AD44" i="39" s="1"/>
  <c r="AD697" i="39" a="1"/>
  <c r="AD697" i="39" s="1"/>
  <c r="AD694" i="39" a="1"/>
  <c r="AD694" i="39" s="1"/>
  <c r="AD534" i="39" a="1"/>
  <c r="AD534" i="39" s="1"/>
  <c r="AD372" i="39" a="1"/>
  <c r="AD372" i="39" s="1"/>
  <c r="AD859" i="39" a="1"/>
  <c r="AD859" i="39" s="1"/>
  <c r="AB708" i="39" a="1"/>
  <c r="AB708" i="39" s="1"/>
  <c r="AD532" i="39" a="1"/>
  <c r="AD532" i="39" s="1"/>
  <c r="AF371" i="39" a="1"/>
  <c r="AF371" i="39" s="1"/>
  <c r="AF694" i="39" a="1"/>
  <c r="AF694" i="39" s="1"/>
  <c r="AE694" i="39" a="1"/>
  <c r="AE694" i="39" s="1"/>
  <c r="AE371" i="39" a="1"/>
  <c r="AE371" i="39" s="1"/>
  <c r="AE695" i="39" a="1"/>
  <c r="AE695" i="39" s="1"/>
  <c r="AF858" i="39" a="1"/>
  <c r="AF858" i="39" s="1"/>
  <c r="AE209" i="39" a="1"/>
  <c r="AE209" i="39" s="1"/>
  <c r="AF46" i="39" a="1"/>
  <c r="AF46" i="39" s="1"/>
  <c r="AF531" i="39" a="1"/>
  <c r="AF531" i="39" s="1"/>
  <c r="AG206" i="39" a="1"/>
  <c r="AG206" i="39" s="1"/>
  <c r="AG371" i="39" a="1"/>
  <c r="AG371" i="39" s="1"/>
  <c r="AG859" i="39" a="1"/>
  <c r="AG859" i="39" s="1"/>
  <c r="AC531" i="39" a="1"/>
  <c r="AC531" i="39" s="1"/>
  <c r="AA219" i="39" a="1"/>
  <c r="AA219" i="39" s="1"/>
  <c r="AC532" i="39" a="1"/>
  <c r="AC532" i="39" s="1"/>
  <c r="AD535" i="39" a="1"/>
  <c r="AD535" i="39" s="1"/>
  <c r="AD695" i="39" a="1"/>
  <c r="AD695" i="39" s="1"/>
  <c r="AD698" i="39" a="1"/>
  <c r="AD698" i="39" s="1"/>
  <c r="AE42" i="39" a="1"/>
  <c r="AE42" i="39" s="1"/>
  <c r="AD205" i="39" a="1"/>
  <c r="AD205" i="39" s="1"/>
  <c r="AB219" i="39" a="1"/>
  <c r="AB219" i="39" s="1"/>
  <c r="AE46" i="39" a="1"/>
  <c r="AE46" i="39" s="1"/>
  <c r="AD860" i="39" a="1"/>
  <c r="AD860" i="39" s="1"/>
  <c r="AC545" i="39" a="1"/>
  <c r="AC545" i="39" s="1"/>
  <c r="AE858" i="39" a="1"/>
  <c r="AE858" i="39" s="1"/>
  <c r="AD56" i="39" a="1"/>
  <c r="AD56" i="39" s="1"/>
  <c r="AE860" i="39" a="1"/>
  <c r="AE860" i="39" s="1"/>
  <c r="AE857" i="39" a="1"/>
  <c r="AE857" i="39" s="1"/>
  <c r="AE532" i="39" a="1"/>
  <c r="AE532" i="39" s="1"/>
  <c r="AF205" i="39" a="1"/>
  <c r="AF205" i="39" s="1"/>
  <c r="AF42" i="39" a="1"/>
  <c r="AF42" i="39" s="1"/>
  <c r="AE861" i="39" a="1"/>
  <c r="AE861" i="39" s="1"/>
  <c r="AG45" i="39" a="1"/>
  <c r="AG45" i="39" s="1"/>
  <c r="AF698" i="39" a="1"/>
  <c r="AF698" i="39" s="1"/>
  <c r="AE45" i="39" a="1"/>
  <c r="AE45" i="39" s="1"/>
  <c r="AE43" i="39" a="1"/>
  <c r="AE43" i="39" s="1"/>
  <c r="AE533" i="39" a="1"/>
  <c r="AE533" i="39" s="1"/>
  <c r="AG43" i="39" a="1"/>
  <c r="AG43" i="39" s="1"/>
  <c r="AF696" i="39" a="1"/>
  <c r="AF696" i="39" s="1"/>
  <c r="AF861" i="39" a="1"/>
  <c r="AF861" i="39" s="1"/>
  <c r="AG532" i="39" a="1"/>
  <c r="AG532" i="39" s="1"/>
  <c r="AG368" i="39" a="1"/>
  <c r="AG368" i="39" s="1"/>
  <c r="AD382" i="39" a="1"/>
  <c r="AD382" i="39" s="1"/>
  <c r="AF857" i="39" a="1"/>
  <c r="AF857" i="39" s="1"/>
  <c r="AG860" i="39" a="1"/>
  <c r="AG860" i="39" s="1"/>
  <c r="AC708" i="39" a="1"/>
  <c r="AC708" i="39" s="1"/>
  <c r="AE370" i="39" a="1"/>
  <c r="AE370" i="39" s="1"/>
  <c r="AE372" i="39" a="1"/>
  <c r="AE372" i="39" s="1"/>
  <c r="AE534" i="39" a="1"/>
  <c r="AE534" i="39" s="1"/>
  <c r="AD545" i="39" a="1"/>
  <c r="AD545" i="39" s="1"/>
  <c r="AC382" i="39" a="1"/>
  <c r="AC382" i="39" s="1"/>
  <c r="AE368" i="39" a="1"/>
  <c r="AE368" i="39" s="1"/>
  <c r="AF45" i="39" a="1"/>
  <c r="AF45" i="39" s="1"/>
  <c r="AE56" i="39" a="1"/>
  <c r="AE56" i="39" s="1"/>
  <c r="AF859" i="39" a="1"/>
  <c r="AF859" i="39" s="1"/>
  <c r="AF695" i="39" a="1"/>
  <c r="AF695" i="39" s="1"/>
  <c r="AF534" i="39" a="1"/>
  <c r="AF534" i="39" s="1"/>
  <c r="AD368" i="39" a="1"/>
  <c r="AD368" i="39" s="1"/>
  <c r="AB871" i="39" a="1"/>
  <c r="AB871" i="39" s="1"/>
  <c r="AC56" i="39" a="1"/>
  <c r="AC56" i="39" s="1"/>
  <c r="AE531" i="39" a="1"/>
  <c r="AE531" i="39" s="1"/>
  <c r="AE206" i="39" a="1"/>
  <c r="AE206" i="39" s="1"/>
  <c r="AE696" i="39" a="1"/>
  <c r="AE696" i="39" s="1"/>
  <c r="AE859" i="39" a="1"/>
  <c r="AE859" i="39" s="1"/>
  <c r="AF697" i="39" a="1"/>
  <c r="AF697" i="39" s="1"/>
  <c r="AG44" i="39" a="1"/>
  <c r="AG44" i="39" s="1"/>
  <c r="AE208" i="39" a="1"/>
  <c r="AE208" i="39" s="1"/>
  <c r="AE369" i="39" a="1"/>
  <c r="AE369" i="39" s="1"/>
  <c r="AD858" i="39" a="1"/>
  <c r="AD858" i="39" s="1"/>
  <c r="AE698" i="39" a="1"/>
  <c r="AE698" i="39" s="1"/>
  <c r="AE535" i="39" a="1"/>
  <c r="AE535" i="39" s="1"/>
  <c r="AE205" i="39" a="1"/>
  <c r="AE205" i="39" s="1"/>
  <c r="AC219" i="39" a="1"/>
  <c r="AC219" i="39" s="1"/>
  <c r="AC871" i="39" a="1"/>
  <c r="AC871" i="39" s="1"/>
  <c r="AD708" i="39" a="1"/>
  <c r="AD708" i="39" s="1"/>
  <c r="AG42" i="39" a="1"/>
  <c r="AG42" i="39" s="1"/>
  <c r="AF370" i="39" a="1"/>
  <c r="AF370" i="39" s="1"/>
  <c r="AD219" i="39" a="1"/>
  <c r="AD219" i="39" s="1"/>
  <c r="AG697" i="39" a="1"/>
  <c r="AG697" i="39" s="1"/>
  <c r="AH44" i="39" a="1"/>
  <c r="AH44" i="39" s="1"/>
  <c r="AG205" i="39" a="1"/>
  <c r="AG205" i="39" s="1"/>
  <c r="AH207" i="39" a="1"/>
  <c r="AH207" i="39" s="1"/>
  <c r="AF532" i="39" a="1"/>
  <c r="AF532" i="39" s="1"/>
  <c r="AE871" i="39" a="1"/>
  <c r="AE871" i="39" s="1"/>
  <c r="AE219" i="39" a="1"/>
  <c r="AE219" i="39" s="1"/>
  <c r="AH368" i="39" a="1"/>
  <c r="AH368" i="39" s="1"/>
  <c r="AJ209" i="39" a="1"/>
  <c r="AJ209" i="39" s="1"/>
  <c r="AH42" i="39" a="1"/>
  <c r="AH42" i="39" s="1"/>
  <c r="AH860" i="39" a="1"/>
  <c r="AH860" i="39" s="1"/>
  <c r="AF708" i="39" a="1"/>
  <c r="AF708" i="39" s="1"/>
  <c r="AF209" i="39" a="1"/>
  <c r="AF209" i="39" s="1"/>
  <c r="AF368" i="39" a="1"/>
  <c r="AF368" i="39" s="1"/>
  <c r="AF219" i="39" a="1"/>
  <c r="AF219" i="39" s="1"/>
  <c r="AG533" i="39" a="1"/>
  <c r="AG533" i="39" s="1"/>
  <c r="AH205" i="39" a="1"/>
  <c r="AH205" i="39" s="1"/>
  <c r="AH532" i="39" a="1"/>
  <c r="AH532" i="39" s="1"/>
  <c r="AI43" i="39" a="1"/>
  <c r="AI43" i="39" s="1"/>
  <c r="AE697" i="39" a="1"/>
  <c r="AE697" i="39" s="1"/>
  <c r="AF533" i="39" a="1"/>
  <c r="AF533" i="39" s="1"/>
  <c r="AE708" i="39" a="1"/>
  <c r="AE708" i="39" s="1"/>
  <c r="AG534" i="39" a="1"/>
  <c r="AG534" i="39" s="1"/>
  <c r="AG857" i="39" a="1"/>
  <c r="AG857" i="39" s="1"/>
  <c r="AG372" i="39" a="1"/>
  <c r="AG372" i="39" s="1"/>
  <c r="AG861" i="39" a="1"/>
  <c r="AG861" i="39" s="1"/>
  <c r="AH372" i="39" a="1"/>
  <c r="AH372" i="39" s="1"/>
  <c r="AH696" i="39" a="1"/>
  <c r="AH696" i="39" s="1"/>
  <c r="AG535" i="39" a="1"/>
  <c r="AG535" i="39" s="1"/>
  <c r="AH43" i="39" a="1"/>
  <c r="AH43" i="39" s="1"/>
  <c r="AG56" i="39" a="1"/>
  <c r="AG56" i="39" s="1"/>
  <c r="AH533" i="39" a="1"/>
  <c r="AH533" i="39" s="1"/>
  <c r="AF382" i="39" a="1"/>
  <c r="AF382" i="39" s="1"/>
  <c r="AG370" i="39" a="1"/>
  <c r="AG370" i="39" s="1"/>
  <c r="AH858" i="39" a="1"/>
  <c r="AH858" i="39" s="1"/>
  <c r="AH695" i="39" a="1"/>
  <c r="AH695" i="39" s="1"/>
  <c r="AF369" i="39" a="1"/>
  <c r="AF369" i="39" s="1"/>
  <c r="AF206" i="39" a="1"/>
  <c r="AF206" i="39" s="1"/>
  <c r="AF207" i="39" a="1"/>
  <c r="AF207" i="39" s="1"/>
  <c r="AF860" i="39" a="1"/>
  <c r="AF860" i="39" s="1"/>
  <c r="AD871" i="39" a="1"/>
  <c r="AD871" i="39" s="1"/>
  <c r="AE545" i="39" a="1"/>
  <c r="AE545" i="39" s="1"/>
  <c r="AG695" i="39" a="1"/>
  <c r="AG695" i="39" s="1"/>
  <c r="AF56" i="39" a="1"/>
  <c r="AF56" i="39" s="1"/>
  <c r="AG696" i="39" a="1"/>
  <c r="AG696" i="39" s="1"/>
  <c r="AH46" i="39" a="1"/>
  <c r="AH46" i="39" s="1"/>
  <c r="AG694" i="39" a="1"/>
  <c r="AG694" i="39" s="1"/>
  <c r="AF545" i="39" a="1"/>
  <c r="AF545" i="39" s="1"/>
  <c r="AH209" i="39" a="1"/>
  <c r="AH209" i="39" s="1"/>
  <c r="AH694" i="39" a="1"/>
  <c r="AH694" i="39" s="1"/>
  <c r="AF871" i="39" a="1"/>
  <c r="AF871" i="39" s="1"/>
  <c r="AH857" i="39" a="1"/>
  <c r="AH857" i="39" s="1"/>
  <c r="AH371" i="39" a="1"/>
  <c r="AH371" i="39" s="1"/>
  <c r="AH861" i="39" a="1"/>
  <c r="AH861" i="39" s="1"/>
  <c r="AG698" i="39" a="1"/>
  <c r="AG698" i="39" s="1"/>
  <c r="AG369" i="39" a="1"/>
  <c r="AG369" i="39" s="1"/>
  <c r="AG207" i="39" a="1"/>
  <c r="AG207" i="39" s="1"/>
  <c r="AI42" i="39" a="1"/>
  <c r="AI42" i="39" s="1"/>
  <c r="AI45" i="39" a="1"/>
  <c r="AI45" i="39" s="1"/>
  <c r="AH206" i="39" a="1"/>
  <c r="AH206" i="39" s="1"/>
  <c r="AF43" i="39" a="1"/>
  <c r="AF43" i="39" s="1"/>
  <c r="AF535" i="39" a="1"/>
  <c r="AF535" i="39" s="1"/>
  <c r="AG46" i="39" a="1"/>
  <c r="AG46" i="39" s="1"/>
  <c r="AF372" i="39" a="1"/>
  <c r="AF372" i="39" s="1"/>
  <c r="AF208" i="39" a="1"/>
  <c r="AF208" i="39" s="1"/>
  <c r="AG531" i="39" a="1"/>
  <c r="AG531" i="39" s="1"/>
  <c r="AE382" i="39" a="1"/>
  <c r="AE382" i="39" s="1"/>
  <c r="AG858" i="39" a="1"/>
  <c r="AG858" i="39" s="1"/>
  <c r="AG209" i="39" a="1"/>
  <c r="AG209" i="39" s="1"/>
  <c r="AG208" i="39" a="1"/>
  <c r="AG208" i="39" s="1"/>
  <c r="AH45" i="39" a="1"/>
  <c r="AH45" i="39" s="1"/>
  <c r="AH370" i="39" a="1"/>
  <c r="AH370" i="39" s="1"/>
  <c r="AH535" i="39" a="1"/>
  <c r="AH535" i="39" s="1"/>
  <c r="AH208" i="39" a="1"/>
  <c r="AH208" i="39" s="1"/>
  <c r="AI370" i="39" a="1"/>
  <c r="AI370" i="39" s="1"/>
  <c r="AI695" i="39" a="1"/>
  <c r="AI695" i="39" s="1"/>
  <c r="EM16" i="11" a="1"/>
  <c r="EM16" i="11" s="1"/>
  <c r="AE367" i="39" a="1"/>
  <c r="AE367" i="39" s="1"/>
  <c r="AD367" i="39" a="1"/>
  <c r="AD367" i="39" s="1"/>
  <c r="L684" i="39" a="1"/>
  <c r="L684" i="39" s="1"/>
  <c r="AI46" i="39" a="1"/>
  <c r="AI46" i="39" s="1"/>
  <c r="AJ206" i="39" a="1"/>
  <c r="AJ206" i="39" s="1"/>
  <c r="AG41" i="39" a="1"/>
  <c r="AG41" i="39" s="1"/>
  <c r="AC204" i="39" a="1"/>
  <c r="AC204" i="39" s="1"/>
  <c r="L530" i="39" a="1"/>
  <c r="L530" i="39" s="1"/>
  <c r="BS16" i="11" a="1"/>
  <c r="BS16" i="11" s="1"/>
  <c r="L683" i="39" a="1"/>
  <c r="L683" i="39" s="1"/>
  <c r="M683" i="39" s="1"/>
  <c r="N683" i="39" s="1"/>
  <c r="AI206" i="39" a="1"/>
  <c r="AI206" i="39" s="1"/>
  <c r="W16" i="11" a="1"/>
  <c r="W16" i="11" s="1"/>
  <c r="L194" i="39" a="1"/>
  <c r="L194" i="39" s="1"/>
  <c r="M194" i="39" s="1"/>
  <c r="Q204" i="39" a="1"/>
  <c r="Q204" i="39" s="1"/>
  <c r="S41" i="39" a="1"/>
  <c r="S41" i="39" s="1"/>
  <c r="AI857" i="39" a="1"/>
  <c r="AI857" i="39" s="1"/>
  <c r="R693" i="39" a="1"/>
  <c r="R693" i="39" s="1"/>
  <c r="AI209" i="39" a="1"/>
  <c r="AI209" i="39" s="1"/>
  <c r="L520" i="39" a="1"/>
  <c r="L520" i="39" s="1"/>
  <c r="M520" i="39" s="1"/>
  <c r="AI531" i="39" a="1"/>
  <c r="AI531" i="39" s="1"/>
  <c r="AI698" i="39" a="1"/>
  <c r="AI698" i="39" s="1"/>
  <c r="AJ371" i="39" a="1"/>
  <c r="AJ371" i="39" s="1"/>
  <c r="AG708" i="39" a="1"/>
  <c r="AG708" i="39" s="1"/>
  <c r="AJ43" i="39" a="1"/>
  <c r="AJ43" i="39" s="1"/>
  <c r="DO16" i="11" a="1"/>
  <c r="DO16" i="11" s="1"/>
  <c r="K16" i="11" a="1"/>
  <c r="K16" i="11" s="1"/>
  <c r="AJ857" i="39" a="1"/>
  <c r="AJ857" i="39" s="1"/>
  <c r="AJ46" i="39" a="1"/>
  <c r="AJ46" i="39" s="1"/>
  <c r="AJ368" i="39" a="1"/>
  <c r="AJ368" i="39" s="1"/>
  <c r="L846" i="39" a="1"/>
  <c r="L846" i="39" s="1"/>
  <c r="AJ42" i="39" a="1"/>
  <c r="AJ42" i="39" s="1"/>
  <c r="AG382" i="39" a="1"/>
  <c r="AG382" i="39" s="1"/>
  <c r="AI858" i="39" a="1"/>
  <c r="AI858" i="39" s="1"/>
  <c r="AI205" i="39" a="1"/>
  <c r="AI205" i="39" s="1"/>
  <c r="AC16" i="11" a="1"/>
  <c r="AC16" i="11" s="1"/>
  <c r="Q16" i="11" a="1"/>
  <c r="Q16" i="11" s="1"/>
  <c r="AG693" i="39" a="1"/>
  <c r="AG693" i="39" s="1"/>
  <c r="AI368" i="39" a="1"/>
  <c r="AI368" i="39" s="1"/>
  <c r="AI861" i="39" a="1"/>
  <c r="AI861" i="39" s="1"/>
  <c r="AO16" i="11" a="1"/>
  <c r="AO16" i="11" s="1"/>
  <c r="AH531" i="39" a="1"/>
  <c r="AH531" i="39" s="1"/>
  <c r="AH697" i="39" a="1"/>
  <c r="AH697" i="39" s="1"/>
  <c r="L357" i="39" a="1"/>
  <c r="L357" i="39" s="1"/>
  <c r="AI369" i="39" a="1"/>
  <c r="AI369" i="39" s="1"/>
  <c r="L693" i="39" a="1"/>
  <c r="L693" i="39" s="1"/>
  <c r="W693" i="39" a="1"/>
  <c r="W693" i="39" s="1"/>
  <c r="AJ531" i="39" a="1"/>
  <c r="AJ531" i="39" s="1"/>
  <c r="AF856" i="39" a="1"/>
  <c r="AF856" i="39" s="1"/>
  <c r="R204" i="39" a="1"/>
  <c r="R204" i="39" s="1"/>
  <c r="N41" i="39" a="1"/>
  <c r="N41" i="39" s="1"/>
  <c r="AJ697" i="39" a="1"/>
  <c r="AJ697" i="39" s="1"/>
  <c r="AJ45" i="39" a="1"/>
  <c r="AJ45" i="39" s="1"/>
  <c r="AI860" i="39" a="1"/>
  <c r="AI860" i="39" s="1"/>
  <c r="L195" i="39" a="1"/>
  <c r="L195" i="39" s="1"/>
  <c r="AJ372" i="39" a="1"/>
  <c r="AJ372" i="39" s="1"/>
  <c r="Z693" i="39" a="1"/>
  <c r="Z693" i="39" s="1"/>
  <c r="L847" i="39" a="1"/>
  <c r="L847" i="39" s="1"/>
  <c r="AI371" i="39" a="1"/>
  <c r="AI371" i="39" s="1"/>
  <c r="AD41" i="39" a="1"/>
  <c r="AD41" i="39" s="1"/>
  <c r="P204" i="39" a="1"/>
  <c r="P204" i="39" s="1"/>
  <c r="AI534" i="39" a="1"/>
  <c r="AI534" i="39" s="1"/>
  <c r="AJ207" i="39" a="1"/>
  <c r="AJ207" i="39" s="1"/>
  <c r="AJ861" i="39" a="1"/>
  <c r="AJ861" i="39" s="1"/>
  <c r="AJ208" i="39" a="1"/>
  <c r="AJ208" i="39" s="1"/>
  <c r="AI208" i="39" a="1"/>
  <c r="AI208" i="39" s="1"/>
  <c r="AH871" i="39" a="1"/>
  <c r="AH871" i="39" s="1"/>
  <c r="U530" i="39" a="1"/>
  <c r="U530" i="39" s="1"/>
  <c r="AH698" i="39" a="1"/>
  <c r="AH698" i="39" s="1"/>
  <c r="AH534" i="39" a="1"/>
  <c r="AH534" i="39" s="1"/>
  <c r="L31" i="39" a="1"/>
  <c r="L31" i="39" s="1"/>
  <c r="M31" i="39" s="1"/>
  <c r="N31" i="39" s="1"/>
  <c r="O31" i="39" s="1"/>
  <c r="P31" i="39" s="1"/>
  <c r="AH369" i="39" a="1"/>
  <c r="AH369" i="39" s="1"/>
  <c r="AH859" i="39" a="1"/>
  <c r="AH859" i="39" s="1"/>
  <c r="AI44" i="39" a="1"/>
  <c r="AI44" i="39" s="1"/>
  <c r="AI859" i="39" a="1"/>
  <c r="AI859" i="39" s="1"/>
  <c r="AJ696" i="39" a="1"/>
  <c r="AJ696" i="39" s="1"/>
  <c r="AI533" i="39" a="1"/>
  <c r="AI533" i="39" s="1"/>
  <c r="AJ369" i="39" a="1"/>
  <c r="AJ369" i="39" s="1"/>
  <c r="AI372" i="39" a="1"/>
  <c r="AI372" i="39" s="1"/>
  <c r="L521" i="39" a="1"/>
  <c r="L521" i="39" s="1"/>
  <c r="M521" i="39" s="1"/>
  <c r="AJ535" i="39" a="1"/>
  <c r="AJ535" i="39" s="1"/>
  <c r="AJ694" i="39" a="1"/>
  <c r="AJ694" i="39" s="1"/>
  <c r="AI207" i="39" a="1"/>
  <c r="AI207" i="39" s="1"/>
  <c r="AJ532" i="39" a="1"/>
  <c r="AJ532" i="39" s="1"/>
  <c r="AI532" i="39" a="1"/>
  <c r="AI532" i="39" s="1"/>
  <c r="AJ370" i="39" a="1"/>
  <c r="AJ370" i="39" s="1"/>
  <c r="AG871" i="39" a="1"/>
  <c r="AG871" i="39" s="1"/>
  <c r="AJ859" i="39" a="1"/>
  <c r="AJ859" i="39" s="1"/>
  <c r="AJ44" i="39" a="1"/>
  <c r="AJ44" i="39" s="1"/>
  <c r="AJ860" i="39" a="1"/>
  <c r="AJ860" i="39" s="1"/>
  <c r="AG219" i="39" a="1"/>
  <c r="AG219" i="39" s="1"/>
  <c r="AJ205" i="39" a="1"/>
  <c r="AJ205" i="39" s="1"/>
  <c r="AI696" i="39" a="1"/>
  <c r="AI696" i="39" s="1"/>
  <c r="AI697" i="39" a="1"/>
  <c r="AI697" i="39" s="1"/>
  <c r="AG545" i="39" a="1"/>
  <c r="AG545" i="39" s="1"/>
  <c r="AJ533" i="39" a="1"/>
  <c r="AJ533" i="39" s="1"/>
  <c r="L358" i="39" a="1"/>
  <c r="L358" i="39" s="1"/>
  <c r="AJ534" i="39" a="1"/>
  <c r="AJ534" i="39" s="1"/>
  <c r="AI694" i="39" a="1"/>
  <c r="AI694" i="39" s="1"/>
  <c r="AH219" i="39" a="1"/>
  <c r="AH219" i="39" s="1"/>
  <c r="M41" i="39" a="1"/>
  <c r="M41" i="39" s="1"/>
  <c r="M40" i="39" s="1"/>
  <c r="AE693" i="39" a="1"/>
  <c r="AE693" i="39" s="1"/>
  <c r="P856" i="39" a="1"/>
  <c r="P856" i="39" s="1"/>
  <c r="P855" i="39" s="1"/>
  <c r="V41" i="39" a="1"/>
  <c r="V41" i="39" s="1"/>
  <c r="O367" i="39" a="1"/>
  <c r="O367" i="39" s="1"/>
  <c r="T856" i="39" a="1"/>
  <c r="T856" i="39" s="1"/>
  <c r="U41" i="39" a="1"/>
  <c r="U41" i="39" s="1"/>
  <c r="T41" i="39" a="1"/>
  <c r="T41" i="39" s="1"/>
  <c r="M530" i="39" a="1"/>
  <c r="M530" i="39" s="1"/>
  <c r="T693" i="39" a="1"/>
  <c r="T693" i="39" s="1"/>
  <c r="Q41" i="39" a="1"/>
  <c r="Q41" i="39" s="1"/>
  <c r="AH204" i="39" a="1"/>
  <c r="AH204" i="39" s="1"/>
  <c r="Q367" i="39" a="1"/>
  <c r="Q367" i="39" s="1"/>
  <c r="AC367" i="39" a="1"/>
  <c r="AC367" i="39" s="1"/>
  <c r="AI545" i="39" a="1"/>
  <c r="AI545" i="39" s="1"/>
  <c r="AJ708" i="39" a="1"/>
  <c r="AJ708" i="39" s="1"/>
  <c r="AA693" i="39" a="1"/>
  <c r="AA693" i="39" s="1"/>
  <c r="AF693" i="39" a="1"/>
  <c r="AF693" i="39" s="1"/>
  <c r="Y41" i="39" a="1"/>
  <c r="Y41" i="39" s="1"/>
  <c r="AC530" i="39" a="1"/>
  <c r="AC530" i="39" s="1"/>
  <c r="AA367" i="39" a="1"/>
  <c r="AA367" i="39" s="1"/>
  <c r="L204" i="39" a="1"/>
  <c r="L204" i="39" s="1"/>
  <c r="AI16" i="11" a="1"/>
  <c r="AI16" i="11" s="1"/>
  <c r="AU16" i="11" a="1"/>
  <c r="AU16" i="11" s="1"/>
  <c r="AD530" i="39" a="1"/>
  <c r="AD530" i="39" s="1"/>
  <c r="AG204" i="39" a="1"/>
  <c r="AG204" i="39" s="1"/>
  <c r="AH56" i="39" a="1"/>
  <c r="AH56" i="39" s="1"/>
  <c r="AI535" i="39" a="1"/>
  <c r="AI535" i="39" s="1"/>
  <c r="AI56" i="39" a="1"/>
  <c r="AI56" i="39" s="1"/>
  <c r="N856" i="39" a="1"/>
  <c r="N856" i="39" s="1"/>
  <c r="N855" i="39" s="1"/>
  <c r="O204" i="39" a="1"/>
  <c r="O204" i="39" s="1"/>
  <c r="O203" i="39" s="1"/>
  <c r="W41" i="39" a="1"/>
  <c r="W41" i="39" s="1"/>
  <c r="AH693" i="39" a="1"/>
  <c r="AH693" i="39" s="1"/>
  <c r="EG16" i="11" a="1"/>
  <c r="EG16" i="11" s="1"/>
  <c r="N367" i="39" a="1"/>
  <c r="N367" i="39" s="1"/>
  <c r="ES16" i="11" a="1"/>
  <c r="ES16" i="11" s="1"/>
  <c r="L41" i="39" a="1"/>
  <c r="L41" i="39" s="1"/>
  <c r="Y204" i="39" a="1"/>
  <c r="Y204" i="39" s="1"/>
  <c r="T530" i="39" a="1"/>
  <c r="T530" i="39" s="1"/>
  <c r="AJ858" i="39" a="1"/>
  <c r="AJ858" i="39" s="1"/>
  <c r="AJ698" i="39" a="1"/>
  <c r="AJ698" i="39" s="1"/>
  <c r="AH545" i="39" a="1"/>
  <c r="AH545" i="39" s="1"/>
  <c r="DU16" i="11" a="1"/>
  <c r="DU16" i="11" s="1"/>
  <c r="AC41" i="39" a="1"/>
  <c r="AC41" i="39" s="1"/>
  <c r="M693" i="39" a="1"/>
  <c r="M693" i="39" s="1"/>
  <c r="Z367" i="39" a="1"/>
  <c r="Z367" i="39" s="1"/>
  <c r="AF367" i="39" a="1"/>
  <c r="AF367" i="39" s="1"/>
  <c r="S856" i="39" a="1"/>
  <c r="S856" i="39" s="1"/>
  <c r="EA16" i="11" a="1"/>
  <c r="EA16" i="11" s="1"/>
  <c r="AG367" i="39" a="1"/>
  <c r="AG367" i="39" s="1"/>
  <c r="AD856" i="39" a="1"/>
  <c r="AD856" i="39" s="1"/>
  <c r="AE530" i="39" a="1"/>
  <c r="AE530" i="39" s="1"/>
  <c r="DC16" i="11" a="1"/>
  <c r="DC16" i="11" s="1"/>
  <c r="S204" i="39" a="1"/>
  <c r="S204" i="39" s="1"/>
  <c r="U204" i="39" a="1"/>
  <c r="U204" i="39" s="1"/>
  <c r="O41" i="39" a="1"/>
  <c r="O41" i="39" s="1"/>
  <c r="Y367" i="39" a="1"/>
  <c r="Y367" i="39" s="1"/>
  <c r="S693" i="39" a="1"/>
  <c r="S693" i="39" s="1"/>
  <c r="AH41" i="39" a="1"/>
  <c r="AH41" i="39" s="1"/>
  <c r="Q530" i="39" a="1"/>
  <c r="Q530" i="39" s="1"/>
  <c r="O856" i="39" a="1"/>
  <c r="O856" i="39" s="1"/>
  <c r="U693" i="39" a="1"/>
  <c r="U693" i="39" s="1"/>
  <c r="AJ693" i="39" a="1"/>
  <c r="AJ693" i="39" s="1"/>
  <c r="AC856" i="39" a="1"/>
  <c r="AC856" i="39" s="1"/>
  <c r="AF204" i="39" a="1"/>
  <c r="AF204" i="39" s="1"/>
  <c r="X856" i="39" a="1"/>
  <c r="X856" i="39" s="1"/>
  <c r="AJ41" i="39" a="1"/>
  <c r="AJ41" i="39" s="1"/>
  <c r="AB367" i="39" a="1"/>
  <c r="AB367" i="39" s="1"/>
  <c r="S367" i="39" a="1"/>
  <c r="S367" i="39" s="1"/>
  <c r="R41" i="39" a="1"/>
  <c r="R41" i="39" s="1"/>
  <c r="X693" i="39" a="1"/>
  <c r="X693" i="39" s="1"/>
  <c r="L32" i="39" a="1"/>
  <c r="L32" i="39" s="1"/>
  <c r="M32" i="39" s="1"/>
  <c r="N32" i="39" s="1"/>
  <c r="AJ56" i="39" a="1"/>
  <c r="AJ56" i="39" s="1"/>
  <c r="AI367" i="39" a="1"/>
  <c r="AI367" i="39" s="1"/>
  <c r="AJ219" i="39" a="1"/>
  <c r="AJ219" i="39" s="1"/>
  <c r="P530" i="39" a="1"/>
  <c r="P530" i="39" s="1"/>
  <c r="BG16" i="11" a="1"/>
  <c r="BG16" i="11" s="1"/>
  <c r="Y856" i="39" a="1"/>
  <c r="Y856" i="39" s="1"/>
  <c r="O693" i="39" a="1"/>
  <c r="O693" i="39" s="1"/>
  <c r="X41" i="39" a="1"/>
  <c r="X41" i="39" s="1"/>
  <c r="V693" i="39" a="1"/>
  <c r="V693" i="39" s="1"/>
  <c r="AE856" i="39" a="1"/>
  <c r="AE856" i="39" s="1"/>
  <c r="Y530" i="39" a="1"/>
  <c r="Y530" i="39" s="1"/>
  <c r="V856" i="39" a="1"/>
  <c r="V856" i="39" s="1"/>
  <c r="M367" i="39" a="1"/>
  <c r="M367" i="39" s="1"/>
  <c r="M366" i="39" s="1"/>
  <c r="U367" i="39" a="1"/>
  <c r="U367" i="39" s="1"/>
  <c r="CQ16" i="11" a="1"/>
  <c r="CQ16" i="11" s="1"/>
  <c r="L856" i="39" a="1"/>
  <c r="L856" i="39" s="1"/>
  <c r="W367" i="39" a="1"/>
  <c r="W367" i="39" s="1"/>
  <c r="DI16" i="11" a="1"/>
  <c r="DI16" i="11" s="1"/>
  <c r="P693" i="39" a="1"/>
  <c r="P693" i="39" s="1"/>
  <c r="Z856" i="39" a="1"/>
  <c r="Z856" i="39" s="1"/>
  <c r="V530" i="39" a="1"/>
  <c r="V530" i="39" s="1"/>
  <c r="Q856" i="39" a="1"/>
  <c r="Q856" i="39" s="1"/>
  <c r="AC693" i="39" a="1"/>
  <c r="AC693" i="39" s="1"/>
  <c r="AB204" i="39" a="1"/>
  <c r="AB204" i="39" s="1"/>
  <c r="O530" i="39" a="1"/>
  <c r="O530" i="39" s="1"/>
  <c r="R530" i="39" a="1"/>
  <c r="R530" i="39" s="1"/>
  <c r="N204" i="39" a="1"/>
  <c r="N204" i="39" s="1"/>
  <c r="L367" i="39" a="1"/>
  <c r="L367" i="39" s="1"/>
  <c r="M856" i="39" a="1"/>
  <c r="M856" i="39" s="1"/>
  <c r="AA856" i="39" a="1"/>
  <c r="AA856" i="39" s="1"/>
  <c r="BA16" i="11" a="1"/>
  <c r="BA16" i="11" s="1"/>
  <c r="AB856" i="39" a="1"/>
  <c r="AB856" i="39" s="1"/>
  <c r="P367" i="39" a="1"/>
  <c r="P367" i="39" s="1"/>
  <c r="W204" i="39" a="1"/>
  <c r="W204" i="39" s="1"/>
  <c r="CE16" i="11" a="1"/>
  <c r="CE16" i="11" s="1"/>
  <c r="AA530" i="39" a="1"/>
  <c r="AA530" i="39" s="1"/>
  <c r="U856" i="39" a="1"/>
  <c r="U856" i="39" s="1"/>
  <c r="Z204" i="39" a="1"/>
  <c r="Z204" i="39" s="1"/>
  <c r="AE41" i="39" a="1"/>
  <c r="AE41" i="39" s="1"/>
  <c r="AA204" i="39" a="1"/>
  <c r="AA204" i="39" s="1"/>
  <c r="AJ871" i="39" a="1"/>
  <c r="AJ871" i="39" s="1"/>
  <c r="AI382" i="39" a="1"/>
  <c r="AI382" i="39" s="1"/>
  <c r="AJ382" i="39" a="1"/>
  <c r="AJ382" i="39" s="1"/>
  <c r="AI530" i="39" a="1"/>
  <c r="AI530" i="39" s="1"/>
  <c r="AI856" i="39" a="1"/>
  <c r="AI856" i="39" s="1"/>
  <c r="R367" i="39" a="1"/>
  <c r="R367" i="39" s="1"/>
  <c r="BM16" i="11" a="1"/>
  <c r="BM16" i="11" s="1"/>
  <c r="AG530" i="39" a="1"/>
  <c r="AG530" i="39" s="1"/>
  <c r="X367" i="39" a="1"/>
  <c r="X367" i="39" s="1"/>
  <c r="E16" i="11" a="1"/>
  <c r="E16" i="11" s="1"/>
  <c r="AH530" i="39" a="1"/>
  <c r="AH530" i="39" s="1"/>
  <c r="AJ530" i="39" a="1"/>
  <c r="AJ530" i="39" s="1"/>
  <c r="CW16" i="11" a="1"/>
  <c r="CW16" i="11" s="1"/>
  <c r="N693" i="39" a="1"/>
  <c r="N693" i="39" s="1"/>
  <c r="AH382" i="39" a="1"/>
  <c r="AH382" i="39" s="1"/>
  <c r="AH367" i="39" a="1"/>
  <c r="AH367" i="39" s="1"/>
  <c r="AI204" i="39" a="1"/>
  <c r="AI204" i="39" s="1"/>
  <c r="AD693" i="39" a="1"/>
  <c r="AD693" i="39" s="1"/>
  <c r="AE204" i="39" a="1"/>
  <c r="AE204" i="39" s="1"/>
  <c r="AB530" i="39" a="1"/>
  <c r="AB530" i="39" s="1"/>
  <c r="Y693" i="39" a="1"/>
  <c r="Y693" i="39" s="1"/>
  <c r="CK16" i="11" a="1"/>
  <c r="CK16" i="11" s="1"/>
  <c r="W856" i="39" a="1"/>
  <c r="W856" i="39" s="1"/>
  <c r="Q693" i="39" a="1"/>
  <c r="Q693" i="39" s="1"/>
  <c r="X530" i="39" a="1"/>
  <c r="X530" i="39" s="1"/>
  <c r="AB41" i="39" a="1"/>
  <c r="AB41" i="39" s="1"/>
  <c r="AF41" i="39" a="1"/>
  <c r="AF41" i="39" s="1"/>
  <c r="AJ695" i="39" a="1"/>
  <c r="AJ695" i="39" s="1"/>
  <c r="AH708" i="39" a="1"/>
  <c r="AH708" i="39" s="1"/>
  <c r="AI871" i="39" a="1"/>
  <c r="AI871" i="39" s="1"/>
  <c r="AJ545" i="39" a="1"/>
  <c r="AJ545" i="39" s="1"/>
  <c r="AI41" i="39" a="1"/>
  <c r="AI41" i="39" s="1"/>
  <c r="R856" i="39" a="1"/>
  <c r="R856" i="39" s="1"/>
  <c r="M204" i="39" a="1"/>
  <c r="M204" i="39" s="1"/>
  <c r="N530" i="39" a="1"/>
  <c r="N530" i="39" s="1"/>
  <c r="V367" i="39" a="1"/>
  <c r="V367" i="39" s="1"/>
  <c r="V204" i="39" a="1"/>
  <c r="V204" i="39" s="1"/>
  <c r="AJ367" i="39" a="1"/>
  <c r="AJ367" i="39" s="1"/>
  <c r="AI219" i="39" a="1"/>
  <c r="AI219" i="39" s="1"/>
  <c r="CK18" i="11" a="1"/>
  <c r="CK18" i="11" s="1"/>
  <c r="DC18" i="11" a="1"/>
  <c r="DC18" i="11" s="1"/>
  <c r="EG18" i="11" a="1"/>
  <c r="EG18" i="11" s="1"/>
  <c r="DO18" i="11" a="1"/>
  <c r="DO18" i="11" s="1"/>
  <c r="CW18" i="11" a="1"/>
  <c r="CW18" i="11" s="1"/>
  <c r="CE18" i="11" a="1"/>
  <c r="CE18" i="11" s="1"/>
  <c r="BA18" i="11" a="1"/>
  <c r="BA18" i="11" s="1"/>
  <c r="AO18" i="11" a="1"/>
  <c r="AO18" i="11" s="1"/>
  <c r="BY18" i="11" a="1"/>
  <c r="BY18" i="11" s="1"/>
  <c r="DU18" i="11" a="1"/>
  <c r="DU18" i="11" s="1"/>
  <c r="BS18" i="11" a="1"/>
  <c r="BS18" i="11" s="1"/>
  <c r="W18" i="11" a="1"/>
  <c r="W18" i="11" s="1"/>
  <c r="DI18" i="11" a="1"/>
  <c r="DI18" i="11" s="1"/>
  <c r="AI18" i="11" a="1"/>
  <c r="AI18" i="11" s="1"/>
  <c r="CQ18" i="11" a="1"/>
  <c r="CQ18" i="11" s="1"/>
  <c r="Q18" i="11" a="1"/>
  <c r="Q18" i="11" s="1"/>
  <c r="E18" i="11" a="1"/>
  <c r="E18" i="11" s="1"/>
  <c r="AU18" i="11" a="1"/>
  <c r="AU18" i="11" s="1"/>
  <c r="K18" i="11" a="1"/>
  <c r="K18" i="11" s="1"/>
  <c r="BG18" i="11" a="1"/>
  <c r="BG18" i="11" s="1"/>
  <c r="EA18" i="11" a="1"/>
  <c r="EA18" i="11" s="1"/>
  <c r="BM18" i="11" a="1"/>
  <c r="BM18" i="11" s="1"/>
  <c r="EM18" i="11" a="1"/>
  <c r="EM18" i="11" s="1"/>
  <c r="AC18" i="11" a="1"/>
  <c r="AC18" i="11" s="1"/>
  <c r="ES18" i="11" a="1"/>
  <c r="ES18" i="11" s="1"/>
  <c r="AI708" i="39" a="1"/>
  <c r="AI708" i="39" s="1"/>
  <c r="L56" i="39" a="1"/>
  <c r="L56" i="39" s="1"/>
  <c r="W530" i="39" a="1"/>
  <c r="W530" i="39" s="1"/>
  <c r="Z530" i="39" a="1"/>
  <c r="Z530" i="39" s="1"/>
  <c r="AI693" i="39" a="1"/>
  <c r="AI693" i="39" s="1"/>
  <c r="AG856" i="39" a="1"/>
  <c r="AG856" i="39" s="1"/>
  <c r="X204" i="39" a="1"/>
  <c r="X204" i="39" s="1"/>
  <c r="AD204" i="39" a="1"/>
  <c r="AD204" i="39" s="1"/>
  <c r="AJ204" i="39" a="1"/>
  <c r="AJ204" i="39" s="1"/>
  <c r="AA41" i="39" a="1"/>
  <c r="AA41" i="39" s="1"/>
  <c r="T204" i="39" a="1"/>
  <c r="T204" i="39" s="1"/>
  <c r="P41" i="39" a="1"/>
  <c r="P41" i="39" s="1"/>
  <c r="AF530" i="39" a="1"/>
  <c r="AF530" i="39" s="1"/>
  <c r="AH856" i="39" a="1"/>
  <c r="AH856" i="39" s="1"/>
  <c r="AJ856" i="39" a="1"/>
  <c r="AJ856" i="39" s="1"/>
  <c r="Z41" i="39" a="1"/>
  <c r="Z41" i="39" s="1"/>
  <c r="BY16" i="11" a="1"/>
  <c r="BY16" i="11" s="1"/>
  <c r="AB693" i="39" a="1"/>
  <c r="AB693" i="39" s="1"/>
  <c r="T367" i="39" a="1"/>
  <c r="T367" i="39" s="1"/>
  <c r="S530" i="39" a="1"/>
  <c r="S530" i="39" s="1"/>
  <c r="S529" i="39" s="1"/>
  <c r="L188" i="39" a="1"/>
  <c r="L188" i="39" s="1"/>
  <c r="L840" i="39" a="1"/>
  <c r="L840" i="39" s="1"/>
  <c r="L677" i="39" a="1"/>
  <c r="L677" i="39" s="1"/>
  <c r="L351" i="39" a="1"/>
  <c r="L351" i="39" s="1"/>
  <c r="L514" i="39" a="1"/>
  <c r="L514" i="39" s="1"/>
  <c r="M514" i="39" s="1"/>
  <c r="L25" i="39" a="1"/>
  <c r="L25" i="39" s="1"/>
  <c r="X366" i="39" l="1"/>
  <c r="R40" i="39"/>
  <c r="W692" i="39"/>
  <c r="U203" i="39"/>
  <c r="T366" i="39"/>
  <c r="Y366" i="39"/>
  <c r="M529" i="39"/>
  <c r="W855" i="39"/>
  <c r="W853" i="39" s="1"/>
  <c r="AA40" i="39"/>
  <c r="AA38" i="39" s="1"/>
  <c r="L203" i="39"/>
  <c r="L201" i="39" s="1"/>
  <c r="R203" i="39"/>
  <c r="L529" i="39"/>
  <c r="L527" i="39" s="1"/>
  <c r="V366" i="39"/>
  <c r="V364" i="39" s="1"/>
  <c r="Q40" i="39"/>
  <c r="Q38" i="39" s="1"/>
  <c r="Y692" i="39"/>
  <c r="Y690" i="39" s="1"/>
  <c r="Z529" i="39"/>
  <c r="Z527" i="39" s="1"/>
  <c r="W203" i="39"/>
  <c r="W201" i="39" s="1"/>
  <c r="AI31" i="11"/>
  <c r="EM31" i="11"/>
  <c r="K31" i="11"/>
  <c r="T40" i="39"/>
  <c r="T38" i="39" s="1"/>
  <c r="S203" i="39"/>
  <c r="S201" i="39" s="1"/>
  <c r="AB692" i="39"/>
  <c r="AB690" i="39" s="1"/>
  <c r="R529" i="39"/>
  <c r="R527" i="39" s="1"/>
  <c r="R855" i="39"/>
  <c r="R853" i="39" s="1"/>
  <c r="X203" i="39"/>
  <c r="X201" i="39" s="1"/>
  <c r="W40" i="39"/>
  <c r="W38" i="39" s="1"/>
  <c r="AJ366" i="39"/>
  <c r="AJ364" i="39" s="1"/>
  <c r="Y529" i="39"/>
  <c r="Y527" i="39" s="1"/>
  <c r="ES31" i="11"/>
  <c r="AH855" i="39"/>
  <c r="AH853" i="39" s="1"/>
  <c r="AF529" i="39"/>
  <c r="AF527" i="39" s="1"/>
  <c r="M692" i="39"/>
  <c r="M690" i="39" s="1"/>
  <c r="DO31" i="11"/>
  <c r="S855" i="39"/>
  <c r="S853" i="39" s="1"/>
  <c r="O855" i="39"/>
  <c r="O853" i="39" s="1"/>
  <c r="R692" i="39"/>
  <c r="R690" i="39" s="1"/>
  <c r="AC529" i="39"/>
  <c r="AC527" i="39" s="1"/>
  <c r="M527" i="39"/>
  <c r="U201" i="39"/>
  <c r="R38" i="39"/>
  <c r="S527" i="39"/>
  <c r="X855" i="39"/>
  <c r="X853" i="39" s="1"/>
  <c r="W529" i="39"/>
  <c r="W527" i="39" s="1"/>
  <c r="AE529" i="39"/>
  <c r="AE527" i="39" s="1"/>
  <c r="U40" i="39"/>
  <c r="U38" i="39" s="1"/>
  <c r="P853" i="39"/>
  <c r="AE40" i="39"/>
  <c r="AE38" i="39" s="1"/>
  <c r="U855" i="39"/>
  <c r="U853" i="39" s="1"/>
  <c r="AF692" i="39"/>
  <c r="AF690" i="39" s="1"/>
  <c r="AC366" i="39"/>
  <c r="AC364" i="39" s="1"/>
  <c r="T692" i="39"/>
  <c r="T690" i="39" s="1"/>
  <c r="W366" i="39"/>
  <c r="W364" i="39" s="1"/>
  <c r="AD366" i="39"/>
  <c r="AD364" i="39" s="1"/>
  <c r="AG203" i="39"/>
  <c r="AG201" i="39" s="1"/>
  <c r="P529" i="39"/>
  <c r="P527" i="39" s="1"/>
  <c r="Z40" i="39"/>
  <c r="Z38" i="39" s="1"/>
  <c r="O366" i="39"/>
  <c r="O364" i="39" s="1"/>
  <c r="P366" i="39"/>
  <c r="P364" i="39" s="1"/>
  <c r="DI31" i="11"/>
  <c r="V40" i="39"/>
  <c r="V38" i="39" s="1"/>
  <c r="AA855" i="39"/>
  <c r="AA853" i="39" s="1"/>
  <c r="W690" i="39"/>
  <c r="M203" i="39"/>
  <c r="M201" i="39" s="1"/>
  <c r="S692" i="39"/>
  <c r="S690" i="39" s="1"/>
  <c r="P203" i="39"/>
  <c r="P201" i="39" s="1"/>
  <c r="X529" i="39"/>
  <c r="X527" i="39" s="1"/>
  <c r="Q855" i="39"/>
  <c r="Q853" i="39" s="1"/>
  <c r="AI40" i="39"/>
  <c r="AI38" i="39" s="1"/>
  <c r="X364" i="39"/>
  <c r="L516" i="39"/>
  <c r="L640" i="39" s="1"/>
  <c r="Z366" i="39"/>
  <c r="Z364" i="39" s="1"/>
  <c r="T855" i="39"/>
  <c r="T853" i="39" s="1"/>
  <c r="N40" i="39"/>
  <c r="N38" i="39" s="1"/>
  <c r="AJ203" i="39"/>
  <c r="AJ201" i="39" s="1"/>
  <c r="Y203" i="39"/>
  <c r="Y201" i="39" s="1"/>
  <c r="AH529" i="39"/>
  <c r="AH527" i="39" s="1"/>
  <c r="S40" i="39"/>
  <c r="S38" i="39" s="1"/>
  <c r="Y364" i="39"/>
  <c r="CE60" i="10" a="1"/>
  <c r="CE60" i="10" s="1"/>
  <c r="CF60" i="10" s="1"/>
  <c r="CG60" i="10" s="1"/>
  <c r="CE25" i="11" s="1"/>
  <c r="M840" i="39"/>
  <c r="M842" i="39" s="1"/>
  <c r="L842" i="39"/>
  <c r="L966" i="39" s="1"/>
  <c r="X40" i="39"/>
  <c r="X38" i="39" s="1"/>
  <c r="L855" i="39"/>
  <c r="L853" i="39" s="1"/>
  <c r="AD203" i="39"/>
  <c r="AD201" i="39" s="1"/>
  <c r="EN60" i="10"/>
  <c r="EO60" i="10" s="1"/>
  <c r="EM25" i="11" s="1"/>
  <c r="AD40" i="39"/>
  <c r="AD38" i="39" s="1"/>
  <c r="Q31" i="11"/>
  <c r="M855" i="39"/>
  <c r="M853" i="39" s="1"/>
  <c r="P40" i="39"/>
  <c r="P38" i="39" s="1"/>
  <c r="AC855" i="39"/>
  <c r="AC853" i="39" s="1"/>
  <c r="N203" i="39"/>
  <c r="N201" i="39" s="1"/>
  <c r="AJ529" i="39"/>
  <c r="AJ527" i="39" s="1"/>
  <c r="AE692" i="39"/>
  <c r="AE690" i="39" s="1"/>
  <c r="AO60" i="10" a="1"/>
  <c r="AO60" i="10" s="1"/>
  <c r="AP60" i="10" s="1"/>
  <c r="AQ60" i="10" s="1"/>
  <c r="AO25" i="11" s="1"/>
  <c r="M38" i="39"/>
  <c r="M364" i="39"/>
  <c r="O201" i="39"/>
  <c r="AH40" i="39"/>
  <c r="AH38" i="39" s="1"/>
  <c r="AG366" i="39"/>
  <c r="AG364" i="39" s="1"/>
  <c r="DD60" i="10"/>
  <c r="DE60" i="10" s="1"/>
  <c r="DC25" i="11" s="1"/>
  <c r="T364" i="39"/>
  <c r="N853" i="39"/>
  <c r="CK31" i="11"/>
  <c r="AE855" i="39"/>
  <c r="AE853" i="39" s="1"/>
  <c r="AG855" i="39"/>
  <c r="AG853" i="39" s="1"/>
  <c r="BA31" i="11"/>
  <c r="R201" i="39"/>
  <c r="M516" i="39"/>
  <c r="M522" i="39" s="1"/>
  <c r="M542" i="39" s="1" a="1"/>
  <c r="M542" i="39" s="1"/>
  <c r="N514" i="39"/>
  <c r="AJ855" i="39"/>
  <c r="AJ853" i="39" s="1"/>
  <c r="AD692" i="39"/>
  <c r="AD690" i="39" s="1"/>
  <c r="L353" i="39"/>
  <c r="L399" i="39" s="1"/>
  <c r="M351" i="39"/>
  <c r="M677" i="39"/>
  <c r="L679" i="39"/>
  <c r="L726" i="39" s="1"/>
  <c r="L27" i="39"/>
  <c r="L74" i="39" s="1"/>
  <c r="M25" i="39"/>
  <c r="T203" i="39"/>
  <c r="T201" i="39" s="1"/>
  <c r="AF40" i="39"/>
  <c r="AF38" i="39" s="1"/>
  <c r="L190" i="39"/>
  <c r="L237" i="39" s="1"/>
  <c r="M188" i="39"/>
  <c r="AI692" i="39"/>
  <c r="AI690" i="39" s="1"/>
  <c r="N529" i="39"/>
  <c r="N527" i="39" s="1"/>
  <c r="AB529" i="39"/>
  <c r="AB527" i="39" s="1"/>
  <c r="AA529" i="39"/>
  <c r="AA527" i="39" s="1"/>
  <c r="Z855" i="39"/>
  <c r="Z853" i="39" s="1"/>
  <c r="Y855" i="39"/>
  <c r="Y853" i="39" s="1"/>
  <c r="O40" i="39"/>
  <c r="O38" i="39" s="1"/>
  <c r="CW31" i="11"/>
  <c r="AI855" i="39"/>
  <c r="AI853" i="39" s="1"/>
  <c r="CE31" i="11"/>
  <c r="BG31" i="11"/>
  <c r="AE203" i="39"/>
  <c r="AE201" i="39" s="1"/>
  <c r="N692" i="39"/>
  <c r="N690" i="39" s="1"/>
  <c r="L366" i="39"/>
  <c r="L364" i="39" s="1"/>
  <c r="P692" i="39"/>
  <c r="P690" i="39" s="1"/>
  <c r="E31" i="11"/>
  <c r="AI366" i="39"/>
  <c r="AI364" i="39" s="1"/>
  <c r="AI203" i="39"/>
  <c r="AI201" i="39" s="1"/>
  <c r="V203" i="39"/>
  <c r="V201" i="39" s="1"/>
  <c r="AC692" i="39"/>
  <c r="AC690" i="39" s="1"/>
  <c r="V692" i="39"/>
  <c r="V690" i="39" s="1"/>
  <c r="U692" i="39"/>
  <c r="U690" i="39" s="1"/>
  <c r="O32" i="39"/>
  <c r="O529" i="39"/>
  <c r="O527" i="39" s="1"/>
  <c r="V529" i="39"/>
  <c r="V527" i="39" s="1"/>
  <c r="AG529" i="39"/>
  <c r="AG527" i="39" s="1"/>
  <c r="AH366" i="39"/>
  <c r="AH364" i="39" s="1"/>
  <c r="BM31" i="11"/>
  <c r="Z203" i="39"/>
  <c r="Z201" i="39" s="1"/>
  <c r="AB855" i="39"/>
  <c r="AB853" i="39" s="1"/>
  <c r="AB203" i="39"/>
  <c r="AB201" i="39" s="1"/>
  <c r="CQ31" i="11"/>
  <c r="EA31" i="11"/>
  <c r="AB40" i="39"/>
  <c r="AB38" i="39" s="1"/>
  <c r="U366" i="39"/>
  <c r="U364" i="39" s="1"/>
  <c r="BY31" i="11"/>
  <c r="R366" i="39"/>
  <c r="R364" i="39" s="1"/>
  <c r="AA203" i="39"/>
  <c r="AA201" i="39" s="1"/>
  <c r="AJ692" i="39"/>
  <c r="AJ690" i="39" s="1"/>
  <c r="AC40" i="39"/>
  <c r="AC38" i="39" s="1"/>
  <c r="AI529" i="39"/>
  <c r="AI527" i="39" s="1"/>
  <c r="AH203" i="39"/>
  <c r="AH201" i="39" s="1"/>
  <c r="AJ40" i="39"/>
  <c r="AJ38" i="39" s="1"/>
  <c r="AA692" i="39"/>
  <c r="AA690" i="39" s="1"/>
  <c r="AE366" i="39"/>
  <c r="AE364" i="39" s="1"/>
  <c r="X692" i="39"/>
  <c r="X690" i="39" s="1"/>
  <c r="Q529" i="39"/>
  <c r="Q527" i="39" s="1"/>
  <c r="AC31" i="11"/>
  <c r="L40" i="39"/>
  <c r="L38" i="39" s="1"/>
  <c r="M357" i="39"/>
  <c r="O683" i="39"/>
  <c r="M684" i="39"/>
  <c r="AD855" i="39"/>
  <c r="AD853" i="39" s="1"/>
  <c r="AF366" i="39"/>
  <c r="AF364" i="39" s="1"/>
  <c r="M358" i="39"/>
  <c r="Q31" i="39"/>
  <c r="S366" i="39"/>
  <c r="S364" i="39" s="1"/>
  <c r="N521" i="39"/>
  <c r="Z692" i="39"/>
  <c r="Z690" i="39" s="1"/>
  <c r="DC31" i="11"/>
  <c r="DU31" i="11"/>
  <c r="AA366" i="39"/>
  <c r="AA364" i="39" s="1"/>
  <c r="N366" i="39"/>
  <c r="N364" i="39" s="1"/>
  <c r="AD529" i="39"/>
  <c r="AD527" i="39" s="1"/>
  <c r="AF203" i="39"/>
  <c r="AF201" i="39" s="1"/>
  <c r="EG31" i="11"/>
  <c r="AH692" i="39"/>
  <c r="AH690" i="39" s="1"/>
  <c r="AU31" i="11"/>
  <c r="Y40" i="39"/>
  <c r="Y38" i="39" s="1"/>
  <c r="L692" i="39"/>
  <c r="L690" i="39" s="1"/>
  <c r="V855" i="39"/>
  <c r="V853" i="39" s="1"/>
  <c r="M846" i="39"/>
  <c r="Q692" i="39"/>
  <c r="Q690" i="39" s="1"/>
  <c r="O692" i="39"/>
  <c r="O690" i="39" s="1"/>
  <c r="AB366" i="39"/>
  <c r="AB364" i="39" s="1"/>
  <c r="T529" i="39"/>
  <c r="T527" i="39" s="1"/>
  <c r="Q366" i="39"/>
  <c r="Q364" i="39" s="1"/>
  <c r="U529" i="39"/>
  <c r="U527" i="39" s="1"/>
  <c r="W31" i="11"/>
  <c r="AG692" i="39"/>
  <c r="AG690" i="39" s="1"/>
  <c r="BS31" i="11"/>
  <c r="AF855" i="39"/>
  <c r="AF853" i="39" s="1"/>
  <c r="AO31" i="11"/>
  <c r="Q203" i="39"/>
  <c r="Q201" i="39" s="1"/>
  <c r="N194" i="39"/>
  <c r="AC203" i="39"/>
  <c r="AC201" i="39" s="1"/>
  <c r="M847" i="39"/>
  <c r="M195" i="39"/>
  <c r="N520" i="39"/>
  <c r="AG40" i="39"/>
  <c r="AG38" i="39" s="1"/>
  <c r="W60" i="10" a="1"/>
  <c r="W60" i="10" s="1"/>
  <c r="X60" i="10" s="1"/>
  <c r="Y60" i="10" s="1"/>
  <c r="W25" i="11" s="1"/>
  <c r="DO60" i="10" a="1"/>
  <c r="DO60" i="10" s="1"/>
  <c r="DP60" i="10" s="1"/>
  <c r="DQ60" i="10" s="1"/>
  <c r="DO25" i="11" s="1"/>
  <c r="ES60" i="10" a="1"/>
  <c r="ES60" i="10" s="1"/>
  <c r="ET60" i="10" s="1"/>
  <c r="EU60" i="10" s="1"/>
  <c r="ES25" i="11" s="1"/>
  <c r="CK60" i="10" a="1"/>
  <c r="CK60" i="10" s="1"/>
  <c r="CL60" i="10" s="1"/>
  <c r="CM60" i="10" s="1"/>
  <c r="CK25" i="11" s="1"/>
  <c r="EG60" i="10" a="1"/>
  <c r="EG60" i="10" s="1"/>
  <c r="EH60" i="10" s="1"/>
  <c r="EI60" i="10" s="1"/>
  <c r="EG25" i="11" s="1"/>
  <c r="BG60" i="10" a="1"/>
  <c r="BG60" i="10" s="1"/>
  <c r="BH60" i="10" s="1"/>
  <c r="BI60" i="10" s="1"/>
  <c r="BG25" i="11" s="1"/>
  <c r="EB60" i="10"/>
  <c r="EC60" i="10" s="1"/>
  <c r="EA25" i="11" s="1"/>
  <c r="BY60" i="10" a="1"/>
  <c r="BY60" i="10" s="1"/>
  <c r="BZ60" i="10" s="1"/>
  <c r="CA60" i="10" s="1"/>
  <c r="BY25" i="11" s="1"/>
  <c r="K60" i="10" a="1"/>
  <c r="K60" i="10" s="1"/>
  <c r="L60" i="10" s="1"/>
  <c r="M60" i="10" s="1"/>
  <c r="K25" i="11" s="1"/>
  <c r="BA60" i="10" a="1"/>
  <c r="BA60" i="10" s="1"/>
  <c r="BB60" i="10" s="1"/>
  <c r="BC60" i="10" s="1"/>
  <c r="BA25" i="11" s="1"/>
  <c r="BS60" i="10" a="1"/>
  <c r="BS60" i="10" s="1"/>
  <c r="BT60" i="10" s="1"/>
  <c r="BU60" i="10" s="1"/>
  <c r="BS25" i="11" s="1"/>
  <c r="BM60" i="10" a="1"/>
  <c r="BM60" i="10" s="1"/>
  <c r="BN60" i="10" s="1"/>
  <c r="BO60" i="10" s="1"/>
  <c r="BM25" i="11" s="1"/>
  <c r="CQ60" i="10" a="1"/>
  <c r="CQ60" i="10" s="1"/>
  <c r="CR60" i="10" s="1"/>
  <c r="CS60" i="10" s="1"/>
  <c r="CQ25" i="11" s="1"/>
  <c r="CW60" i="10" a="1"/>
  <c r="CW60" i="10" s="1"/>
  <c r="CX60" i="10" s="1"/>
  <c r="CY60" i="10" s="1"/>
  <c r="CW25" i="11" s="1"/>
  <c r="DI60" i="10" a="1"/>
  <c r="DI60" i="10" s="1"/>
  <c r="DJ60" i="10" s="1"/>
  <c r="DK60" i="10" s="1"/>
  <c r="DI25" i="11" s="1"/>
  <c r="DU60" i="10" a="1"/>
  <c r="DU60" i="10" s="1"/>
  <c r="DV60" i="10" s="1"/>
  <c r="DW60" i="10" s="1"/>
  <c r="DU25" i="11" s="1"/>
  <c r="L552" i="39" l="1" a="1"/>
  <c r="L552" i="39" s="1"/>
  <c r="L877" i="39" a="1"/>
  <c r="L877" i="39" s="1"/>
  <c r="L909" i="39" s="1"/>
  <c r="L872" i="39" a="1"/>
  <c r="L872" i="39" s="1"/>
  <c r="L904" i="39" s="1"/>
  <c r="L551" i="39" a="1"/>
  <c r="L551" i="39" s="1"/>
  <c r="L583" i="39" s="1"/>
  <c r="L546" i="39" a="1"/>
  <c r="L546" i="39" s="1"/>
  <c r="L547" i="39" s="1" a="1"/>
  <c r="L547" i="39" s="1"/>
  <c r="L579" i="39" s="1"/>
  <c r="L566" i="39"/>
  <c r="L539" i="39" a="1"/>
  <c r="L539" i="39" s="1"/>
  <c r="L571" i="39" s="1"/>
  <c r="L563" i="39"/>
  <c r="L522" i="39"/>
  <c r="L542" i="39" s="1" a="1"/>
  <c r="L542" i="39" s="1"/>
  <c r="L574" i="39" s="1"/>
  <c r="L517" i="39"/>
  <c r="L605" i="39" s="1"/>
  <c r="L878" i="39" a="1"/>
  <c r="L878" i="39" s="1"/>
  <c r="L910" i="39" s="1"/>
  <c r="L567" i="39"/>
  <c r="L562" i="39"/>
  <c r="L891" i="39"/>
  <c r="L889" i="39"/>
  <c r="L843" i="39"/>
  <c r="L929" i="39" s="1"/>
  <c r="L78" i="39"/>
  <c r="L76" i="39"/>
  <c r="L553" i="39" a="1"/>
  <c r="L553" i="39" s="1"/>
  <c r="L886" i="39"/>
  <c r="L75" i="39"/>
  <c r="L865" i="39" a="1"/>
  <c r="L865" i="39" s="1"/>
  <c r="L866" i="39" s="1"/>
  <c r="L864" i="39" s="1"/>
  <c r="L686" i="39"/>
  <c r="L706" i="39" s="1" a="1"/>
  <c r="L706" i="39" s="1"/>
  <c r="L738" i="39" s="1"/>
  <c r="L879" i="39" a="1"/>
  <c r="L879" i="39" s="1"/>
  <c r="L911" i="39" s="1"/>
  <c r="L849" i="39"/>
  <c r="L869" i="39" s="1" a="1"/>
  <c r="L869" i="39" s="1"/>
  <c r="L523" i="39"/>
  <c r="L543" i="39" s="1" a="1"/>
  <c r="L543" i="39" s="1"/>
  <c r="L575" i="39" s="1"/>
  <c r="L565" i="39"/>
  <c r="L577" i="39"/>
  <c r="L564" i="39"/>
  <c r="L728" i="39"/>
  <c r="L33" i="39"/>
  <c r="L53" i="39" s="1" a="1"/>
  <c r="L53" i="39" s="1"/>
  <c r="L238" i="39"/>
  <c r="L725" i="39"/>
  <c r="L724" i="39" s="1"/>
  <c r="L740" i="39"/>
  <c r="L73" i="39"/>
  <c r="L72" i="39" s="1"/>
  <c r="L34" i="39"/>
  <c r="L54" i="39" s="1" a="1"/>
  <c r="L54" i="39" s="1"/>
  <c r="L86" i="39" s="1"/>
  <c r="L560" i="39"/>
  <c r="L729" i="39"/>
  <c r="L848" i="39"/>
  <c r="L868" i="39" s="1" a="1"/>
  <c r="L868" i="39" s="1"/>
  <c r="M523" i="39"/>
  <c r="M543" i="39" s="1" a="1"/>
  <c r="M543" i="39" s="1"/>
  <c r="M575" i="39" s="1"/>
  <c r="L685" i="39"/>
  <c r="L705" i="39" s="1" a="1"/>
  <c r="L705" i="39" s="1"/>
  <c r="L888" i="39"/>
  <c r="L890" i="39"/>
  <c r="L903" i="39"/>
  <c r="L727" i="39"/>
  <c r="M577" i="39"/>
  <c r="M563" i="39"/>
  <c r="L893" i="39"/>
  <c r="L586" i="39"/>
  <c r="M903" i="39"/>
  <c r="M889" i="39"/>
  <c r="M888" i="39"/>
  <c r="M891" i="39"/>
  <c r="M893" i="39"/>
  <c r="L400" i="39"/>
  <c r="L398" i="39" s="1"/>
  <c r="L196" i="39"/>
  <c r="L216" i="39" s="1" a="1"/>
  <c r="L216" i="39" s="1"/>
  <c r="L248" i="39" s="1"/>
  <c r="L239" i="39"/>
  <c r="L236" i="39"/>
  <c r="L235" i="39" s="1"/>
  <c r="M565" i="39"/>
  <c r="L360" i="39"/>
  <c r="L380" i="39" s="1" a="1"/>
  <c r="L380" i="39" s="1"/>
  <c r="L412" i="39" s="1"/>
  <c r="M562" i="39"/>
  <c r="L197" i="39"/>
  <c r="L217" i="39" s="1" a="1"/>
  <c r="L217" i="39" s="1"/>
  <c r="L249" i="39" s="1"/>
  <c r="M566" i="39"/>
  <c r="L402" i="39"/>
  <c r="L251" i="39"/>
  <c r="L404" i="39"/>
  <c r="L414" i="39"/>
  <c r="L892" i="39"/>
  <c r="L912" i="39"/>
  <c r="N840" i="39"/>
  <c r="O840" i="39" s="1"/>
  <c r="L359" i="39"/>
  <c r="L379" i="39" s="1" a="1"/>
  <c r="L379" i="39" s="1"/>
  <c r="L411" i="39" s="1"/>
  <c r="R31" i="39"/>
  <c r="M848" i="39"/>
  <c r="M868" i="39" s="1" a="1"/>
  <c r="M868" i="39" s="1"/>
  <c r="N846" i="39"/>
  <c r="P683" i="39"/>
  <c r="O520" i="39"/>
  <c r="N358" i="39"/>
  <c r="M574" i="39"/>
  <c r="N357" i="39"/>
  <c r="M849" i="39"/>
  <c r="M869" i="39" s="1" a="1"/>
  <c r="M869" i="39" s="1"/>
  <c r="N847" i="39"/>
  <c r="P32" i="39"/>
  <c r="N195" i="39"/>
  <c r="O521" i="39"/>
  <c r="N684" i="39"/>
  <c r="O194" i="39"/>
  <c r="M872" i="39" a="1"/>
  <c r="M872" i="39" s="1"/>
  <c r="M877" i="39" a="1"/>
  <c r="M877" i="39" s="1"/>
  <c r="M878" i="39" a="1"/>
  <c r="M878" i="39" s="1"/>
  <c r="M892" i="39"/>
  <c r="M886" i="39"/>
  <c r="M843" i="39"/>
  <c r="M890" i="39"/>
  <c r="M879" i="39" a="1"/>
  <c r="M879" i="39" s="1"/>
  <c r="M865" i="39" a="1"/>
  <c r="M865" i="39" s="1"/>
  <c r="M966" i="39"/>
  <c r="M912" i="39"/>
  <c r="L584" i="39"/>
  <c r="M353" i="39"/>
  <c r="M359" i="39" s="1"/>
  <c r="M379" i="39" s="1" a="1"/>
  <c r="M379" i="39" s="1"/>
  <c r="N351" i="39"/>
  <c r="L383" i="39" a="1"/>
  <c r="L383" i="39" s="1"/>
  <c r="L384" i="39" s="1" a="1"/>
  <c r="L384" i="39" s="1"/>
  <c r="L390" i="39" a="1"/>
  <c r="L390" i="39" s="1"/>
  <c r="L397" i="39"/>
  <c r="L388" i="39" a="1"/>
  <c r="L388" i="39" s="1"/>
  <c r="L354" i="39"/>
  <c r="L401" i="39"/>
  <c r="L389" i="39" a="1"/>
  <c r="L389" i="39" s="1"/>
  <c r="L403" i="39"/>
  <c r="L376" i="39" a="1"/>
  <c r="L376" i="39" s="1"/>
  <c r="L423" i="39"/>
  <c r="L477" i="39"/>
  <c r="L64" i="39" a="1"/>
  <c r="L64" i="39" s="1"/>
  <c r="L57" i="39" a="1"/>
  <c r="L57" i="39" s="1"/>
  <c r="L58" i="39" s="1" a="1"/>
  <c r="L58" i="39" s="1"/>
  <c r="L63" i="39" a="1"/>
  <c r="L63" i="39" s="1"/>
  <c r="L62" i="39" a="1"/>
  <c r="L62" i="39" s="1"/>
  <c r="L77" i="39"/>
  <c r="L71" i="39"/>
  <c r="L50" i="39" a="1"/>
  <c r="L50" i="39" s="1"/>
  <c r="L28" i="39"/>
  <c r="H11" i="56"/>
  <c r="L97" i="39"/>
  <c r="L88" i="39"/>
  <c r="L151" i="39"/>
  <c r="L723" i="39"/>
  <c r="L714" i="39" a="1"/>
  <c r="L714" i="39" s="1"/>
  <c r="L709" i="39" a="1"/>
  <c r="L709" i="39" s="1"/>
  <c r="L710" i="39" s="1" a="1"/>
  <c r="L710" i="39" s="1"/>
  <c r="L716" i="39" a="1"/>
  <c r="L716" i="39" s="1"/>
  <c r="L730" i="39"/>
  <c r="L680" i="39"/>
  <c r="L702" i="39" a="1"/>
  <c r="L702" i="39" s="1"/>
  <c r="L715" i="39" a="1"/>
  <c r="L715" i="39" s="1"/>
  <c r="L749" i="39"/>
  <c r="L803" i="39"/>
  <c r="N516" i="39"/>
  <c r="O514" i="39"/>
  <c r="M190" i="39"/>
  <c r="M197" i="39" s="1"/>
  <c r="M217" i="39" s="1" a="1"/>
  <c r="M217" i="39" s="1"/>
  <c r="N188" i="39"/>
  <c r="N677" i="39"/>
  <c r="M679" i="39"/>
  <c r="M552" i="39" a="1"/>
  <c r="M552" i="39" s="1"/>
  <c r="M560" i="39"/>
  <c r="M551" i="39" a="1"/>
  <c r="M551" i="39" s="1"/>
  <c r="M564" i="39"/>
  <c r="M517" i="39"/>
  <c r="M567" i="39"/>
  <c r="M546" i="39" a="1"/>
  <c r="M546" i="39" s="1"/>
  <c r="M553" i="39" a="1"/>
  <c r="M553" i="39" s="1"/>
  <c r="M539" i="39" a="1"/>
  <c r="M539" i="39" s="1"/>
  <c r="M586" i="39"/>
  <c r="M640" i="39"/>
  <c r="L225" i="39" a="1"/>
  <c r="L225" i="39" s="1"/>
  <c r="L234" i="39"/>
  <c r="L241" i="39"/>
  <c r="L226" i="39" a="1"/>
  <c r="L226" i="39" s="1"/>
  <c r="L191" i="39"/>
  <c r="L240" i="39"/>
  <c r="L227" i="39" a="1"/>
  <c r="L227" i="39" s="1"/>
  <c r="L220" i="39" a="1"/>
  <c r="L220" i="39" s="1"/>
  <c r="L213" i="39" a="1"/>
  <c r="L213" i="39" s="1"/>
  <c r="L260" i="39"/>
  <c r="L314" i="39"/>
  <c r="N25" i="39"/>
  <c r="M27" i="39"/>
  <c r="L873" i="39" l="1" a="1"/>
  <c r="L873" i="39" s="1"/>
  <c r="L905" i="39" s="1"/>
  <c r="L902" i="39" s="1"/>
  <c r="L578" i="39"/>
  <c r="L561" i="39"/>
  <c r="L928" i="39"/>
  <c r="L600" i="39"/>
  <c r="L939" i="39"/>
  <c r="L938" i="39"/>
  <c r="L942" i="39"/>
  <c r="L622" i="39"/>
  <c r="L604" i="39"/>
  <c r="L609" i="39"/>
  <c r="L602" i="39"/>
  <c r="L624" i="39"/>
  <c r="L615" i="39"/>
  <c r="L623" i="39"/>
  <c r="L950" i="39"/>
  <c r="L930" i="39"/>
  <c r="L601" i="39"/>
  <c r="L616" i="39"/>
  <c r="L926" i="39"/>
  <c r="L598" i="39"/>
  <c r="L924" i="39"/>
  <c r="L603" i="39"/>
  <c r="L540" i="39"/>
  <c r="L538" i="39" s="1"/>
  <c r="L704" i="39"/>
  <c r="L559" i="39"/>
  <c r="L613" i="39"/>
  <c r="L612" i="39"/>
  <c r="L544" i="39"/>
  <c r="M887" i="39"/>
  <c r="M885" i="39" s="1"/>
  <c r="L617" i="39"/>
  <c r="L621" i="39"/>
  <c r="L941" i="39"/>
  <c r="L931" i="39"/>
  <c r="L585" i="39"/>
  <c r="M561" i="39"/>
  <c r="L887" i="39"/>
  <c r="L885" i="39" s="1"/>
  <c r="N842" i="39"/>
  <c r="N891" i="39" s="1"/>
  <c r="L949" i="39"/>
  <c r="L948" i="39"/>
  <c r="L947" i="39"/>
  <c r="L927" i="39"/>
  <c r="L897" i="39"/>
  <c r="L935" i="39"/>
  <c r="L576" i="39"/>
  <c r="L775" i="39"/>
  <c r="M613" i="39"/>
  <c r="L541" i="39"/>
  <c r="L52" i="39"/>
  <c r="L85" i="39"/>
  <c r="L84" i="39" s="1"/>
  <c r="L901" i="39"/>
  <c r="L900" i="39"/>
  <c r="L737" i="39"/>
  <c r="L736" i="39" s="1"/>
  <c r="L70" i="39"/>
  <c r="L867" i="39"/>
  <c r="M541" i="39"/>
  <c r="L410" i="39"/>
  <c r="L722" i="39"/>
  <c r="L450" i="39"/>
  <c r="M573" i="39"/>
  <c r="L378" i="39"/>
  <c r="L573" i="39"/>
  <c r="L215" i="39"/>
  <c r="L287" i="39"/>
  <c r="M559" i="39"/>
  <c r="L416" i="39"/>
  <c r="L454" i="39"/>
  <c r="L780" i="39"/>
  <c r="L742" i="39"/>
  <c r="M411" i="39"/>
  <c r="L128" i="39"/>
  <c r="L90" i="39"/>
  <c r="M249" i="39"/>
  <c r="L258" i="39"/>
  <c r="L296" i="39"/>
  <c r="M584" i="39"/>
  <c r="M622" i="39"/>
  <c r="P514" i="39"/>
  <c r="O516" i="39"/>
  <c r="O522" i="39" s="1"/>
  <c r="O542" i="39" s="1" a="1"/>
  <c r="O542" i="39" s="1"/>
  <c r="L746" i="39"/>
  <c r="L784" i="39"/>
  <c r="O358" i="39"/>
  <c r="N553" i="39" a="1"/>
  <c r="N553" i="39" s="1"/>
  <c r="N560" i="39"/>
  <c r="N564" i="39"/>
  <c r="N551" i="39" a="1"/>
  <c r="N551" i="39" s="1"/>
  <c r="N577" i="39"/>
  <c r="N552" i="39" a="1"/>
  <c r="N552" i="39" s="1"/>
  <c r="N546" i="39" a="1"/>
  <c r="N546" i="39" s="1"/>
  <c r="N539" i="39" a="1"/>
  <c r="N539" i="39" s="1"/>
  <c r="N517" i="39"/>
  <c r="N586" i="39"/>
  <c r="N640" i="39"/>
  <c r="N567" i="39"/>
  <c r="N566" i="39"/>
  <c r="N562" i="39"/>
  <c r="N563" i="39"/>
  <c r="N565" i="39"/>
  <c r="L421" i="39"/>
  <c r="L459" i="39"/>
  <c r="M360" i="39"/>
  <c r="M380" i="39" s="1" a="1"/>
  <c r="M380" i="39" s="1"/>
  <c r="M378" i="39" s="1"/>
  <c r="L233" i="39"/>
  <c r="L115" i="39"/>
  <c r="L114" i="39"/>
  <c r="L135" i="39"/>
  <c r="L109" i="39"/>
  <c r="L126" i="39"/>
  <c r="L112" i="39"/>
  <c r="L111" i="39"/>
  <c r="L116" i="39"/>
  <c r="L113" i="39"/>
  <c r="L936" i="39"/>
  <c r="L898" i="39"/>
  <c r="L286" i="39"/>
  <c r="P520" i="39"/>
  <c r="L776" i="39"/>
  <c r="L257" i="39"/>
  <c r="L295" i="39"/>
  <c r="L51" i="39"/>
  <c r="L49" i="39" s="1"/>
  <c r="L120" i="39"/>
  <c r="L82" i="39"/>
  <c r="L435" i="39"/>
  <c r="L442" i="39"/>
  <c r="L461" i="39"/>
  <c r="L452" i="39"/>
  <c r="L441" i="39"/>
  <c r="L439" i="39"/>
  <c r="L438" i="39"/>
  <c r="L437" i="39"/>
  <c r="L440" i="39"/>
  <c r="N522" i="39"/>
  <c r="N542" i="39" s="1" a="1"/>
  <c r="N542" i="39" s="1"/>
  <c r="P840" i="39"/>
  <c r="O842" i="39"/>
  <c r="L458" i="39"/>
  <c r="L420" i="39"/>
  <c r="M897" i="39"/>
  <c r="M866" i="39"/>
  <c r="M864" i="39" s="1"/>
  <c r="M935" i="39"/>
  <c r="L247" i="39"/>
  <c r="M612" i="39"/>
  <c r="L396" i="39"/>
  <c r="M949" i="39"/>
  <c r="M911" i="39"/>
  <c r="O847" i="39"/>
  <c r="M714" i="39" a="1"/>
  <c r="M714" i="39" s="1"/>
  <c r="M709" i="39" a="1"/>
  <c r="M709" i="39" s="1"/>
  <c r="M723" i="39"/>
  <c r="M716" i="39" a="1"/>
  <c r="M716" i="39" s="1"/>
  <c r="M702" i="39" a="1"/>
  <c r="M702" i="39" s="1"/>
  <c r="M729" i="39"/>
  <c r="M715" i="39" a="1"/>
  <c r="M715" i="39" s="1"/>
  <c r="M680" i="39"/>
  <c r="M749" i="39"/>
  <c r="M803" i="39"/>
  <c r="M728" i="39"/>
  <c r="M740" i="39"/>
  <c r="M685" i="39"/>
  <c r="M705" i="39" s="1" a="1"/>
  <c r="M705" i="39" s="1"/>
  <c r="M727" i="39"/>
  <c r="M725" i="39"/>
  <c r="M730" i="39"/>
  <c r="M726" i="39"/>
  <c r="L132" i="39"/>
  <c r="L94" i="39"/>
  <c r="L460" i="39"/>
  <c r="L422" i="39"/>
  <c r="M901" i="39"/>
  <c r="M939" i="39"/>
  <c r="Q683" i="39"/>
  <c r="M78" i="39"/>
  <c r="M64" i="39" a="1"/>
  <c r="M64" i="39" s="1"/>
  <c r="M28" i="39"/>
  <c r="M76" i="39"/>
  <c r="M71" i="39"/>
  <c r="M62" i="39" a="1"/>
  <c r="M62" i="39" s="1"/>
  <c r="M63" i="39" a="1"/>
  <c r="M63" i="39" s="1"/>
  <c r="M75" i="39"/>
  <c r="M57" i="39" a="1"/>
  <c r="M57" i="39" s="1"/>
  <c r="M50" i="39" a="1"/>
  <c r="M50" i="39" s="1"/>
  <c r="H12" i="56"/>
  <c r="M97" i="39"/>
  <c r="M151" i="39"/>
  <c r="M34" i="39"/>
  <c r="M54" i="39" s="1" a="1"/>
  <c r="M54" i="39" s="1"/>
  <c r="M33" i="39"/>
  <c r="M53" i="39" s="1" a="1"/>
  <c r="M53" i="39" s="1"/>
  <c r="M77" i="39"/>
  <c r="M73" i="39"/>
  <c r="M88" i="39"/>
  <c r="M74" i="39"/>
  <c r="O677" i="39"/>
  <c r="N679" i="39"/>
  <c r="N686" i="39" s="1"/>
  <c r="N706" i="39" s="1" a="1"/>
  <c r="N706" i="39" s="1"/>
  <c r="L133" i="39"/>
  <c r="L95" i="39"/>
  <c r="L453" i="39"/>
  <c r="L415" i="39"/>
  <c r="L381" i="39"/>
  <c r="M924" i="39"/>
  <c r="M928" i="39"/>
  <c r="M950" i="39"/>
  <c r="M930" i="39"/>
  <c r="M931" i="39"/>
  <c r="M929" i="39"/>
  <c r="M926" i="39"/>
  <c r="M927" i="39"/>
  <c r="M941" i="39"/>
  <c r="O25" i="39"/>
  <c r="N27" i="39"/>
  <c r="M609" i="39"/>
  <c r="M571" i="39"/>
  <c r="M540" i="39"/>
  <c r="L89" i="39"/>
  <c r="L127" i="39"/>
  <c r="L55" i="39"/>
  <c r="O195" i="39"/>
  <c r="L124" i="39"/>
  <c r="O357" i="39"/>
  <c r="O846" i="39"/>
  <c r="M623" i="39"/>
  <c r="M585" i="39"/>
  <c r="L96" i="39"/>
  <c r="L134" i="39"/>
  <c r="M938" i="39"/>
  <c r="M867" i="39"/>
  <c r="M900" i="39"/>
  <c r="M578" i="39"/>
  <c r="M616" i="39"/>
  <c r="M547" i="39" a="1"/>
  <c r="M547" i="39" s="1"/>
  <c r="L785" i="39"/>
  <c r="L747" i="39"/>
  <c r="L449" i="39"/>
  <c r="M910" i="39"/>
  <c r="M948" i="39"/>
  <c r="O684" i="39"/>
  <c r="Q32" i="39"/>
  <c r="L245" i="39"/>
  <c r="L283" i="39"/>
  <c r="L214" i="39"/>
  <c r="L212" i="39" s="1"/>
  <c r="L734" i="39"/>
  <c r="L703" i="39"/>
  <c r="L701" i="39" s="1"/>
  <c r="L772" i="39"/>
  <c r="M947" i="39"/>
  <c r="M909" i="39"/>
  <c r="M686" i="39"/>
  <c r="M706" i="39" s="1" a="1"/>
  <c r="M706" i="39" s="1"/>
  <c r="L252" i="39"/>
  <c r="L290" i="39"/>
  <c r="L221" i="39" a="1"/>
  <c r="L221" i="39" s="1"/>
  <c r="M602" i="39"/>
  <c r="M624" i="39"/>
  <c r="M598" i="39"/>
  <c r="M615" i="39"/>
  <c r="M601" i="39"/>
  <c r="M603" i="39"/>
  <c r="M604" i="39"/>
  <c r="M605" i="39"/>
  <c r="M600" i="39"/>
  <c r="L768" i="39"/>
  <c r="L787" i="39"/>
  <c r="L761" i="39"/>
  <c r="L766" i="39"/>
  <c r="L778" i="39"/>
  <c r="L767" i="39"/>
  <c r="L765" i="39"/>
  <c r="L764" i="39"/>
  <c r="L763" i="39"/>
  <c r="M942" i="39"/>
  <c r="M904" i="39"/>
  <c r="M873" i="39" a="1"/>
  <c r="M873" i="39" s="1"/>
  <c r="M870" i="39" s="1"/>
  <c r="P194" i="39"/>
  <c r="P521" i="39"/>
  <c r="S31" i="39"/>
  <c r="L297" i="39"/>
  <c r="L259" i="39"/>
  <c r="N353" i="39"/>
  <c r="O351" i="39"/>
  <c r="N523" i="39"/>
  <c r="N543" i="39" s="1" a="1"/>
  <c r="N543" i="39" s="1"/>
  <c r="M583" i="39"/>
  <c r="M621" i="39"/>
  <c r="O188" i="39"/>
  <c r="N190" i="39"/>
  <c r="L748" i="39"/>
  <c r="L786" i="39"/>
  <c r="M389" i="39" a="1"/>
  <c r="M389" i="39" s="1"/>
  <c r="M403" i="39"/>
  <c r="M388" i="39" a="1"/>
  <c r="M388" i="39" s="1"/>
  <c r="M401" i="39"/>
  <c r="M404" i="39"/>
  <c r="M383" i="39" a="1"/>
  <c r="M383" i="39" s="1"/>
  <c r="M397" i="39"/>
  <c r="M376" i="39" a="1"/>
  <c r="M376" i="39" s="1"/>
  <c r="M390" i="39" a="1"/>
  <c r="M390" i="39" s="1"/>
  <c r="M354" i="39"/>
  <c r="M449" i="39" s="1"/>
  <c r="M423" i="39"/>
  <c r="M477" i="39"/>
  <c r="M402" i="39"/>
  <c r="M414" i="39"/>
  <c r="M399" i="39"/>
  <c r="M400" i="39"/>
  <c r="L123" i="39"/>
  <c r="L279" i="39"/>
  <c r="L298" i="39"/>
  <c r="L278" i="39"/>
  <c r="L272" i="39"/>
  <c r="L277" i="39"/>
  <c r="L289" i="39"/>
  <c r="L276" i="39"/>
  <c r="L275" i="39"/>
  <c r="L274" i="39"/>
  <c r="M226" i="39" a="1"/>
  <c r="M226" i="39" s="1"/>
  <c r="M240" i="39"/>
  <c r="M220" i="39" a="1"/>
  <c r="M220" i="39" s="1"/>
  <c r="M227" i="39" a="1"/>
  <c r="M227" i="39" s="1"/>
  <c r="M241" i="39"/>
  <c r="M234" i="39"/>
  <c r="M213" i="39" a="1"/>
  <c r="M213" i="39" s="1"/>
  <c r="M225" i="39" a="1"/>
  <c r="M225" i="39" s="1"/>
  <c r="M238" i="39"/>
  <c r="M191" i="39"/>
  <c r="M287" i="39" s="1"/>
  <c r="M314" i="39"/>
  <c r="M260" i="39"/>
  <c r="M236" i="39"/>
  <c r="M237" i="39"/>
  <c r="M239" i="39"/>
  <c r="M196" i="39"/>
  <c r="M216" i="39" s="1" a="1"/>
  <c r="M216" i="39" s="1"/>
  <c r="M251" i="39"/>
  <c r="L779" i="39"/>
  <c r="L741" i="39"/>
  <c r="L739" i="39" s="1"/>
  <c r="L707" i="39"/>
  <c r="L408" i="39"/>
  <c r="L377" i="39"/>
  <c r="L446" i="39"/>
  <c r="L375" i="39"/>
  <c r="L610" i="39" l="1"/>
  <c r="L608" i="39" s="1"/>
  <c r="L870" i="39"/>
  <c r="L943" i="39"/>
  <c r="L940" i="39" s="1"/>
  <c r="L611" i="39"/>
  <c r="L937" i="39"/>
  <c r="L572" i="39"/>
  <c r="L570" i="39" s="1"/>
  <c r="L87" i="39"/>
  <c r="L925" i="39"/>
  <c r="L923" i="39" s="1"/>
  <c r="L599" i="39"/>
  <c r="L597" i="39" s="1"/>
  <c r="N903" i="39"/>
  <c r="L413" i="39"/>
  <c r="L537" i="39"/>
  <c r="L549" i="39" s="1"/>
  <c r="L556" i="39" s="1"/>
  <c r="L642" i="39" s="1"/>
  <c r="L896" i="39"/>
  <c r="L614" i="39"/>
  <c r="L607" i="39" s="1"/>
  <c r="L774" i="39"/>
  <c r="N848" i="39"/>
  <c r="N868" i="39" s="1" a="1"/>
  <c r="N868" i="39" s="1"/>
  <c r="N900" i="39" s="1"/>
  <c r="N886" i="39"/>
  <c r="N879" i="39" a="1"/>
  <c r="N879" i="39" s="1"/>
  <c r="N877" i="39" a="1"/>
  <c r="N877" i="39" s="1"/>
  <c r="N890" i="39"/>
  <c r="N893" i="39"/>
  <c r="N889" i="39"/>
  <c r="N892" i="39"/>
  <c r="N888" i="39"/>
  <c r="N912" i="39"/>
  <c r="N966" i="39"/>
  <c r="N878" i="39" a="1"/>
  <c r="N878" i="39" s="1"/>
  <c r="N910" i="39" s="1"/>
  <c r="N843" i="39"/>
  <c r="N950" i="39" s="1"/>
  <c r="N865" i="39" a="1"/>
  <c r="N865" i="39" s="1"/>
  <c r="N849" i="39"/>
  <c r="N869" i="39" s="1" a="1"/>
  <c r="N869" i="39" s="1"/>
  <c r="N872" i="39" a="1"/>
  <c r="N872" i="39" s="1"/>
  <c r="L863" i="39"/>
  <c r="L875" i="39" s="1"/>
  <c r="L882" i="39" s="1"/>
  <c r="L981" i="39" s="1"/>
  <c r="L899" i="39"/>
  <c r="L569" i="39"/>
  <c r="L581" i="39" s="1"/>
  <c r="L588" i="39" s="1"/>
  <c r="L591" i="39" s="1"/>
  <c r="L593" i="39" s="1"/>
  <c r="L594" i="39" s="1"/>
  <c r="M937" i="39"/>
  <c r="L285" i="39"/>
  <c r="M611" i="39"/>
  <c r="L934" i="39"/>
  <c r="O523" i="39"/>
  <c r="O543" i="39" s="1" a="1"/>
  <c r="O543" i="39" s="1"/>
  <c r="O575" i="39" s="1"/>
  <c r="M724" i="39"/>
  <c r="M722" i="39" s="1"/>
  <c r="L448" i="39"/>
  <c r="L110" i="39"/>
  <c r="M599" i="39"/>
  <c r="M597" i="39" s="1"/>
  <c r="L122" i="39"/>
  <c r="M235" i="39"/>
  <c r="M233" i="39" s="1"/>
  <c r="L700" i="39"/>
  <c r="L712" i="39" s="1"/>
  <c r="L719" i="39" s="1"/>
  <c r="L805" i="39" s="1"/>
  <c r="N561" i="39"/>
  <c r="N559" i="39" s="1"/>
  <c r="L374" i="39"/>
  <c r="L386" i="39" s="1"/>
  <c r="L393" i="39" s="1"/>
  <c r="L492" i="39" s="1"/>
  <c r="L493" i="39" s="1"/>
  <c r="L494" i="39" s="1"/>
  <c r="M899" i="39"/>
  <c r="M398" i="39"/>
  <c r="M396" i="39" s="1"/>
  <c r="M925" i="39"/>
  <c r="M923" i="39" s="1"/>
  <c r="M72" i="39"/>
  <c r="M70" i="39" s="1"/>
  <c r="Q521" i="39"/>
  <c r="L762" i="39"/>
  <c r="L760" i="39" s="1"/>
  <c r="P684" i="39"/>
  <c r="M617" i="39"/>
  <c r="M614" i="39" s="1"/>
  <c r="M579" i="39"/>
  <c r="M576" i="39" s="1"/>
  <c r="M572" i="39"/>
  <c r="M570" i="39" s="1"/>
  <c r="M610" i="39"/>
  <c r="M608" i="39" s="1"/>
  <c r="L436" i="39"/>
  <c r="L434" i="39" s="1"/>
  <c r="N578" i="39"/>
  <c r="N616" i="39"/>
  <c r="N547" i="39" a="1"/>
  <c r="N547" i="39" s="1"/>
  <c r="M453" i="39"/>
  <c r="M415" i="39"/>
  <c r="M384" i="39" a="1"/>
  <c r="M384" i="39" s="1"/>
  <c r="N738" i="39"/>
  <c r="M544" i="39"/>
  <c r="M51" i="39"/>
  <c r="M120" i="39"/>
  <c r="M82" i="39"/>
  <c r="M737" i="39"/>
  <c r="M775" i="39"/>
  <c r="M704" i="39"/>
  <c r="N584" i="39"/>
  <c r="N622" i="39"/>
  <c r="Q194" i="39"/>
  <c r="M89" i="39"/>
  <c r="M127" i="39"/>
  <c r="M58" i="39" a="1"/>
  <c r="M58" i="39" s="1"/>
  <c r="M55" i="39" s="1"/>
  <c r="O849" i="39"/>
  <c r="O869" i="39" s="1" a="1"/>
  <c r="O869" i="39" s="1"/>
  <c r="P847" i="39"/>
  <c r="N583" i="39"/>
  <c r="N621" i="39"/>
  <c r="M458" i="39"/>
  <c r="M420" i="39"/>
  <c r="L777" i="39"/>
  <c r="L253" i="39"/>
  <c r="L250" i="39" s="1"/>
  <c r="L291" i="39"/>
  <c r="L288" i="39" s="1"/>
  <c r="L773" i="39"/>
  <c r="L771" i="39" s="1"/>
  <c r="L735" i="39"/>
  <c r="L733" i="39" s="1"/>
  <c r="L732" i="39" s="1"/>
  <c r="L744" i="39" s="1"/>
  <c r="L751" i="39" s="1"/>
  <c r="L754" i="39" s="1"/>
  <c r="L756" i="39" s="1"/>
  <c r="L757" i="39" s="1"/>
  <c r="M133" i="39"/>
  <c r="M95" i="39"/>
  <c r="L451" i="39"/>
  <c r="M245" i="39"/>
  <c r="M214" i="39"/>
  <c r="M212" i="39" s="1"/>
  <c r="M283" i="39"/>
  <c r="N241" i="39"/>
  <c r="N225" i="39" a="1"/>
  <c r="N225" i="39" s="1"/>
  <c r="N191" i="39"/>
  <c r="N220" i="39" a="1"/>
  <c r="N220" i="39" s="1"/>
  <c r="N226" i="39" a="1"/>
  <c r="N226" i="39" s="1"/>
  <c r="N234" i="39"/>
  <c r="N251" i="39"/>
  <c r="N227" i="39" a="1"/>
  <c r="N227" i="39" s="1"/>
  <c r="N213" i="39" a="1"/>
  <c r="N213" i="39" s="1"/>
  <c r="N260" i="39"/>
  <c r="N314" i="39"/>
  <c r="N238" i="39"/>
  <c r="N240" i="39"/>
  <c r="N236" i="39"/>
  <c r="N239" i="39"/>
  <c r="N237" i="39"/>
  <c r="N196" i="39"/>
  <c r="N216" i="39" s="1" a="1"/>
  <c r="N216" i="39" s="1"/>
  <c r="M905" i="39"/>
  <c r="M902" i="39" s="1"/>
  <c r="M943" i="39"/>
  <c r="M940" i="39" s="1"/>
  <c r="L218" i="39"/>
  <c r="L211" i="39" s="1"/>
  <c r="L223" i="39" s="1"/>
  <c r="L230" i="39" s="1"/>
  <c r="M94" i="39"/>
  <c r="M132" i="39"/>
  <c r="M459" i="39"/>
  <c r="M421" i="39"/>
  <c r="O190" i="39"/>
  <c r="O197" i="39" s="1"/>
  <c r="O217" i="39" s="1" a="1"/>
  <c r="O217" i="39" s="1"/>
  <c r="P188" i="39"/>
  <c r="N729" i="39"/>
  <c r="N723" i="39"/>
  <c r="N702" i="39" a="1"/>
  <c r="N702" i="39" s="1"/>
  <c r="N728" i="39"/>
  <c r="N716" i="39" a="1"/>
  <c r="N716" i="39" s="1"/>
  <c r="N715" i="39" a="1"/>
  <c r="N715" i="39" s="1"/>
  <c r="N680" i="39"/>
  <c r="N776" i="39" s="1"/>
  <c r="N709" i="39" a="1"/>
  <c r="N709" i="39" s="1"/>
  <c r="N714" i="39" a="1"/>
  <c r="N714" i="39" s="1"/>
  <c r="N740" i="39"/>
  <c r="N727" i="39"/>
  <c r="N803" i="39"/>
  <c r="N749" i="39"/>
  <c r="N730" i="39"/>
  <c r="N726" i="39"/>
  <c r="N685" i="39"/>
  <c r="N705" i="39" s="1" a="1"/>
  <c r="N705" i="39" s="1"/>
  <c r="N725" i="39"/>
  <c r="M761" i="39"/>
  <c r="M764" i="39"/>
  <c r="M778" i="39"/>
  <c r="M787" i="39"/>
  <c r="M767" i="39"/>
  <c r="M766" i="39"/>
  <c r="M768" i="39"/>
  <c r="M765" i="39"/>
  <c r="M763" i="39"/>
  <c r="N585" i="39"/>
  <c r="N623" i="39"/>
  <c r="O679" i="39"/>
  <c r="O686" i="39" s="1"/>
  <c r="O706" i="39" s="1" a="1"/>
  <c r="O706" i="39" s="1"/>
  <c r="P677" i="39"/>
  <c r="M785" i="39"/>
  <c r="M747" i="39"/>
  <c r="M259" i="39"/>
  <c r="M297" i="39"/>
  <c r="M776" i="39"/>
  <c r="M738" i="39"/>
  <c r="L284" i="39"/>
  <c r="L282" i="39" s="1"/>
  <c r="L246" i="39"/>
  <c r="L244" i="39" s="1"/>
  <c r="O848" i="39"/>
  <c r="O868" i="39" s="1" a="1"/>
  <c r="O868" i="39" s="1"/>
  <c r="P846" i="39"/>
  <c r="M109" i="39"/>
  <c r="M135" i="39"/>
  <c r="M111" i="39"/>
  <c r="M115" i="39"/>
  <c r="M114" i="39"/>
  <c r="M112" i="39"/>
  <c r="M113" i="39"/>
  <c r="M116" i="39"/>
  <c r="M126" i="39"/>
  <c r="O878" i="39" a="1"/>
  <c r="O878" i="39" s="1"/>
  <c r="O886" i="39"/>
  <c r="O843" i="39"/>
  <c r="O872" i="39" a="1"/>
  <c r="O872" i="39" s="1"/>
  <c r="O877" i="39" a="1"/>
  <c r="O877" i="39" s="1"/>
  <c r="O879" i="39" a="1"/>
  <c r="O879" i="39" s="1"/>
  <c r="O903" i="39"/>
  <c r="O865" i="39" a="1"/>
  <c r="O865" i="39" s="1"/>
  <c r="O912" i="39"/>
  <c r="O966" i="39"/>
  <c r="O892" i="39"/>
  <c r="O893" i="39"/>
  <c r="O891" i="39"/>
  <c r="O890" i="39"/>
  <c r="O888" i="39"/>
  <c r="O889" i="39"/>
  <c r="M290" i="39"/>
  <c r="M252" i="39"/>
  <c r="M221" i="39" a="1"/>
  <c r="M221" i="39" s="1"/>
  <c r="M218" i="39" s="1"/>
  <c r="P351" i="39"/>
  <c r="O353" i="39"/>
  <c r="O359" i="39" s="1"/>
  <c r="O379" i="39" s="1" a="1"/>
  <c r="O379" i="39" s="1"/>
  <c r="M134" i="39"/>
  <c r="M96" i="39"/>
  <c r="M703" i="39"/>
  <c r="M701" i="39" s="1"/>
  <c r="M772" i="39"/>
  <c r="M734" i="39"/>
  <c r="M936" i="39"/>
  <c r="M934" i="39" s="1"/>
  <c r="M898" i="39"/>
  <c r="M896" i="39" s="1"/>
  <c r="Q840" i="39"/>
  <c r="P842" i="39"/>
  <c r="O560" i="39"/>
  <c r="O553" i="39" a="1"/>
  <c r="O553" i="39" s="1"/>
  <c r="O539" i="39" a="1"/>
  <c r="O539" i="39" s="1"/>
  <c r="O552" i="39" a="1"/>
  <c r="O552" i="39" s="1"/>
  <c r="O563" i="39"/>
  <c r="O517" i="39"/>
  <c r="O546" i="39" a="1"/>
  <c r="O546" i="39" s="1"/>
  <c r="O551" i="39" a="1"/>
  <c r="O551" i="39" s="1"/>
  <c r="O586" i="39"/>
  <c r="O640" i="39"/>
  <c r="O577" i="39"/>
  <c r="O564" i="39"/>
  <c r="O562" i="39"/>
  <c r="O565" i="39"/>
  <c r="O567" i="39"/>
  <c r="O566" i="39"/>
  <c r="P357" i="39"/>
  <c r="M786" i="39"/>
  <c r="M748" i="39"/>
  <c r="M863" i="39"/>
  <c r="M875" i="39" s="1"/>
  <c r="M882" i="39" s="1"/>
  <c r="L125" i="39"/>
  <c r="M450" i="39"/>
  <c r="M448" i="39" s="1"/>
  <c r="M412" i="39"/>
  <c r="M410" i="39" s="1"/>
  <c r="Q514" i="39"/>
  <c r="P516" i="39"/>
  <c r="P523" i="39" s="1"/>
  <c r="P543" i="39" s="1" a="1"/>
  <c r="P543" i="39" s="1"/>
  <c r="M272" i="39"/>
  <c r="M276" i="39"/>
  <c r="M279" i="39"/>
  <c r="M298" i="39"/>
  <c r="M274" i="39"/>
  <c r="M277" i="39"/>
  <c r="M275" i="39"/>
  <c r="M278" i="39"/>
  <c r="M289" i="39"/>
  <c r="N388" i="39" a="1"/>
  <c r="N388" i="39" s="1"/>
  <c r="N389" i="39" a="1"/>
  <c r="N389" i="39" s="1"/>
  <c r="N397" i="39"/>
  <c r="N383" i="39" a="1"/>
  <c r="N383" i="39" s="1"/>
  <c r="N400" i="39"/>
  <c r="N390" i="39" a="1"/>
  <c r="N390" i="39" s="1"/>
  <c r="N376" i="39" a="1"/>
  <c r="N376" i="39" s="1"/>
  <c r="N354" i="39"/>
  <c r="N423" i="39"/>
  <c r="N477" i="39"/>
  <c r="N401" i="39"/>
  <c r="N414" i="39"/>
  <c r="N402" i="39"/>
  <c r="N403" i="39"/>
  <c r="N404" i="39"/>
  <c r="N399" i="39"/>
  <c r="N359" i="39"/>
  <c r="N379" i="39" s="1" a="1"/>
  <c r="N379" i="39" s="1"/>
  <c r="L108" i="39"/>
  <c r="L968" i="39"/>
  <c r="P358" i="39"/>
  <c r="M123" i="39"/>
  <c r="M52" i="39"/>
  <c r="M85" i="39"/>
  <c r="M779" i="39"/>
  <c r="M741" i="39"/>
  <c r="M710" i="39" a="1"/>
  <c r="M710" i="39" s="1"/>
  <c r="M707" i="39" s="1"/>
  <c r="N360" i="39"/>
  <c r="N380" i="39" s="1" a="1"/>
  <c r="N380" i="39" s="1"/>
  <c r="M257" i="39"/>
  <c r="M295" i="39"/>
  <c r="N575" i="39"/>
  <c r="N613" i="39"/>
  <c r="M439" i="39"/>
  <c r="M441" i="39"/>
  <c r="M435" i="39"/>
  <c r="M461" i="39"/>
  <c r="M440" i="39"/>
  <c r="M442" i="39"/>
  <c r="M452" i="39"/>
  <c r="M437" i="39"/>
  <c r="M438" i="39"/>
  <c r="P195" i="39"/>
  <c r="M124" i="39"/>
  <c r="M86" i="39"/>
  <c r="M746" i="39"/>
  <c r="M784" i="39"/>
  <c r="N574" i="39"/>
  <c r="N612" i="39"/>
  <c r="N541" i="39"/>
  <c r="Q520" i="39"/>
  <c r="L447" i="39"/>
  <c r="L445" i="39" s="1"/>
  <c r="L409" i="39"/>
  <c r="L407" i="39" s="1"/>
  <c r="L406" i="39" s="1"/>
  <c r="L418" i="39" s="1"/>
  <c r="L425" i="39" s="1"/>
  <c r="L428" i="39" s="1"/>
  <c r="L430" i="39" s="1"/>
  <c r="L431" i="39" s="1"/>
  <c r="L273" i="39"/>
  <c r="L271" i="39" s="1"/>
  <c r="M460" i="39"/>
  <c r="M422" i="39"/>
  <c r="T31" i="39"/>
  <c r="R32" i="39"/>
  <c r="N197" i="39"/>
  <c r="N217" i="39" s="1" a="1"/>
  <c r="N217" i="39" s="1"/>
  <c r="N62" i="39" a="1"/>
  <c r="N62" i="39" s="1"/>
  <c r="N71" i="39"/>
  <c r="N77" i="39"/>
  <c r="N63" i="39" a="1"/>
  <c r="N63" i="39" s="1"/>
  <c r="N78" i="39"/>
  <c r="N57" i="39" a="1"/>
  <c r="N57" i="39" s="1"/>
  <c r="N64" i="39" a="1"/>
  <c r="N64" i="39" s="1"/>
  <c r="N28" i="39"/>
  <c r="N50" i="39" a="1"/>
  <c r="N50" i="39" s="1"/>
  <c r="H13" i="56"/>
  <c r="N151" i="39"/>
  <c r="N97" i="39"/>
  <c r="N76" i="39"/>
  <c r="N33" i="39"/>
  <c r="N53" i="39" s="1" a="1"/>
  <c r="N53" i="39" s="1"/>
  <c r="N88" i="39"/>
  <c r="N34" i="39"/>
  <c r="N54" i="39" s="1" a="1"/>
  <c r="N54" i="39" s="1"/>
  <c r="N75" i="39"/>
  <c r="N74" i="39"/>
  <c r="N73" i="39"/>
  <c r="R683" i="39"/>
  <c r="L83" i="39"/>
  <c r="L81" i="39" s="1"/>
  <c r="L80" i="39" s="1"/>
  <c r="L92" i="39" s="1"/>
  <c r="L99" i="39" s="1"/>
  <c r="L102" i="39" s="1"/>
  <c r="L104" i="39" s="1"/>
  <c r="L105" i="39" s="1"/>
  <c r="L121" i="39"/>
  <c r="L119" i="39" s="1"/>
  <c r="O574" i="39"/>
  <c r="N598" i="39"/>
  <c r="N624" i="39"/>
  <c r="N600" i="39"/>
  <c r="N603" i="39"/>
  <c r="N604" i="39"/>
  <c r="N615" i="39"/>
  <c r="N601" i="39"/>
  <c r="N605" i="39"/>
  <c r="N602" i="39"/>
  <c r="M296" i="39"/>
  <c r="M258" i="39"/>
  <c r="M286" i="39"/>
  <c r="M285" i="39" s="1"/>
  <c r="M248" i="39"/>
  <c r="M247" i="39" s="1"/>
  <c r="M215" i="39"/>
  <c r="M446" i="39"/>
  <c r="M377" i="39"/>
  <c r="M408" i="39"/>
  <c r="M538" i="39"/>
  <c r="P25" i="39"/>
  <c r="O27" i="39"/>
  <c r="L48" i="39"/>
  <c r="L60" i="39" s="1"/>
  <c r="L67" i="39" s="1"/>
  <c r="L645" i="39"/>
  <c r="L646" i="39" s="1"/>
  <c r="L643" i="39"/>
  <c r="N609" i="39"/>
  <c r="N571" i="39"/>
  <c r="N540" i="39"/>
  <c r="N538" i="39" s="1"/>
  <c r="N947" i="39" l="1"/>
  <c r="L895" i="39"/>
  <c r="L907" i="39" s="1"/>
  <c r="L914" i="39" s="1"/>
  <c r="L917" i="39" s="1"/>
  <c r="L919" i="39" s="1"/>
  <c r="L920" i="39" s="1"/>
  <c r="N942" i="39"/>
  <c r="N949" i="39"/>
  <c r="N873" i="39" a="1"/>
  <c r="N873" i="39" s="1"/>
  <c r="N943" i="39" s="1"/>
  <c r="N940" i="39" s="1"/>
  <c r="L619" i="39"/>
  <c r="L626" i="39" s="1"/>
  <c r="L629" i="39" s="1"/>
  <c r="L631" i="39" s="1"/>
  <c r="L632" i="39" s="1"/>
  <c r="L655" i="39"/>
  <c r="L656" i="39" s="1"/>
  <c r="L657" i="39" s="1"/>
  <c r="L659" i="39" s="1"/>
  <c r="L933" i="39"/>
  <c r="L945" i="39" s="1"/>
  <c r="L952" i="39" s="1"/>
  <c r="L955" i="39" s="1"/>
  <c r="L957" i="39" s="1"/>
  <c r="L958" i="39" s="1"/>
  <c r="N930" i="39"/>
  <c r="N929" i="39"/>
  <c r="N911" i="39"/>
  <c r="N887" i="39"/>
  <c r="N885" i="39" s="1"/>
  <c r="N909" i="39"/>
  <c r="L479" i="39"/>
  <c r="L480" i="39" s="1"/>
  <c r="N867" i="39"/>
  <c r="N927" i="39"/>
  <c r="M537" i="39"/>
  <c r="M549" i="39" s="1"/>
  <c r="M556" i="39" s="1"/>
  <c r="M655" i="39" s="1"/>
  <c r="N941" i="39"/>
  <c r="N939" i="39"/>
  <c r="N935" i="39"/>
  <c r="N938" i="39"/>
  <c r="N931" i="39"/>
  <c r="N904" i="39"/>
  <c r="N926" i="39"/>
  <c r="N928" i="39"/>
  <c r="N897" i="39"/>
  <c r="N924" i="39"/>
  <c r="N901" i="39"/>
  <c r="N899" i="39" s="1"/>
  <c r="N866" i="39"/>
  <c r="N864" i="39" s="1"/>
  <c r="N948" i="39"/>
  <c r="O541" i="39"/>
  <c r="O561" i="39"/>
  <c r="O559" i="39" s="1"/>
  <c r="O613" i="39"/>
  <c r="L444" i="39"/>
  <c r="L456" i="39" s="1"/>
  <c r="L463" i="39" s="1"/>
  <c r="L466" i="39" s="1"/>
  <c r="L468" i="39" s="1"/>
  <c r="L469" i="39" s="1"/>
  <c r="L770" i="39"/>
  <c r="L782" i="39" s="1"/>
  <c r="L789" i="39" s="1"/>
  <c r="L792" i="39" s="1"/>
  <c r="L794" i="39" s="1"/>
  <c r="L795" i="39" s="1"/>
  <c r="L818" i="39"/>
  <c r="L819" i="39" s="1"/>
  <c r="L820" i="39" s="1"/>
  <c r="N398" i="39"/>
  <c r="N396" i="39" s="1"/>
  <c r="L243" i="39"/>
  <c r="L255" i="39" s="1"/>
  <c r="L262" i="39" s="1"/>
  <c r="L265" i="39" s="1"/>
  <c r="L267" i="39" s="1"/>
  <c r="L268" i="39" s="1"/>
  <c r="O887" i="39"/>
  <c r="O885" i="39" s="1"/>
  <c r="M84" i="39"/>
  <c r="O573" i="39"/>
  <c r="L118" i="39"/>
  <c r="L130" i="39" s="1"/>
  <c r="L137" i="39" s="1"/>
  <c r="L140" i="39" s="1"/>
  <c r="L142" i="39" s="1"/>
  <c r="L143" i="39" s="1"/>
  <c r="P522" i="39"/>
  <c r="P542" i="39" s="1" a="1"/>
  <c r="P542" i="39" s="1"/>
  <c r="P574" i="39" s="1"/>
  <c r="O612" i="39"/>
  <c r="N72" i="39"/>
  <c r="N70" i="39" s="1"/>
  <c r="N573" i="39"/>
  <c r="M895" i="39"/>
  <c r="M907" i="39" s="1"/>
  <c r="M914" i="39" s="1"/>
  <c r="M917" i="39" s="1"/>
  <c r="M919" i="39" s="1"/>
  <c r="M920" i="39" s="1"/>
  <c r="M110" i="39"/>
  <c r="M108" i="39" s="1"/>
  <c r="M569" i="39"/>
  <c r="M581" i="39" s="1"/>
  <c r="M588" i="39" s="1"/>
  <c r="M591" i="39" s="1"/>
  <c r="M593" i="39" s="1"/>
  <c r="M594" i="39" s="1"/>
  <c r="O411" i="39"/>
  <c r="O738" i="39"/>
  <c r="L281" i="39"/>
  <c r="L293" i="39" s="1"/>
  <c r="L300" i="39" s="1"/>
  <c r="L303" i="39" s="1"/>
  <c r="L305" i="39" s="1"/>
  <c r="L306" i="39" s="1"/>
  <c r="L496" i="39"/>
  <c r="P575" i="39"/>
  <c r="R520" i="39"/>
  <c r="L971" i="39"/>
  <c r="L972" i="39" s="1"/>
  <c r="L969" i="39"/>
  <c r="O623" i="39"/>
  <c r="O585" i="39"/>
  <c r="O924" i="39"/>
  <c r="O929" i="39"/>
  <c r="O950" i="39"/>
  <c r="O930" i="39"/>
  <c r="O941" i="39"/>
  <c r="O931" i="39"/>
  <c r="O928" i="39"/>
  <c r="O926" i="39"/>
  <c r="O927" i="39"/>
  <c r="M211" i="39"/>
  <c r="M223" i="39" s="1"/>
  <c r="M230" i="39" s="1"/>
  <c r="M121" i="39"/>
  <c r="M83" i="39"/>
  <c r="M81" i="39" s="1"/>
  <c r="N579" i="39"/>
  <c r="N576" i="39" s="1"/>
  <c r="N617" i="39"/>
  <c r="N614" i="39" s="1"/>
  <c r="N94" i="39"/>
  <c r="N132" i="39"/>
  <c r="L329" i="39"/>
  <c r="L316" i="39"/>
  <c r="N772" i="39"/>
  <c r="N734" i="39"/>
  <c r="N703" i="39"/>
  <c r="N701" i="39" s="1"/>
  <c r="N235" i="39"/>
  <c r="N233" i="39" s="1"/>
  <c r="M284" i="39"/>
  <c r="M282" i="39" s="1"/>
  <c r="M246" i="39"/>
  <c r="M244" i="39" s="1"/>
  <c r="M49" i="39"/>
  <c r="M48" i="39" s="1"/>
  <c r="M60" i="39" s="1"/>
  <c r="M67" i="39" s="1"/>
  <c r="N124" i="39"/>
  <c r="N86" i="39"/>
  <c r="N249" i="39"/>
  <c r="N287" i="39"/>
  <c r="Q195" i="39"/>
  <c r="M780" i="39"/>
  <c r="M777" i="39" s="1"/>
  <c r="M742" i="39"/>
  <c r="M739" i="39" s="1"/>
  <c r="O948" i="39"/>
  <c r="O910" i="39"/>
  <c r="P848" i="39"/>
  <c r="P868" i="39" s="1" a="1"/>
  <c r="P868" i="39" s="1"/>
  <c r="Q846" i="39"/>
  <c r="N544" i="39"/>
  <c r="N537" i="39" s="1"/>
  <c r="N549" i="39" s="1"/>
  <c r="N556" i="39" s="1"/>
  <c r="S32" i="39"/>
  <c r="O249" i="39"/>
  <c r="O938" i="39"/>
  <c r="O900" i="39"/>
  <c r="O867" i="39"/>
  <c r="N724" i="39"/>
  <c r="N722" i="39" s="1"/>
  <c r="Q684" i="39"/>
  <c r="N123" i="39"/>
  <c r="N85" i="39"/>
  <c r="N52" i="39"/>
  <c r="N611" i="39"/>
  <c r="M273" i="39"/>
  <c r="M271" i="39" s="1"/>
  <c r="O390" i="39" a="1"/>
  <c r="O390" i="39" s="1"/>
  <c r="O397" i="39"/>
  <c r="O400" i="39"/>
  <c r="O404" i="39"/>
  <c r="O354" i="39"/>
  <c r="O449" i="39" s="1"/>
  <c r="O388" i="39" a="1"/>
  <c r="O388" i="39" s="1"/>
  <c r="O389" i="39" a="1"/>
  <c r="O389" i="39" s="1"/>
  <c r="O383" i="39" a="1"/>
  <c r="O383" i="39" s="1"/>
  <c r="O376" i="39" a="1"/>
  <c r="O376" i="39" s="1"/>
  <c r="O423" i="39"/>
  <c r="O477" i="39"/>
  <c r="O402" i="39"/>
  <c r="O399" i="39"/>
  <c r="O414" i="39"/>
  <c r="O403" i="39"/>
  <c r="O401" i="39"/>
  <c r="M933" i="39"/>
  <c r="M945" i="39" s="1"/>
  <c r="M952" i="39" s="1"/>
  <c r="M955" i="39" s="1"/>
  <c r="M957" i="39" s="1"/>
  <c r="M958" i="39" s="1"/>
  <c r="N775" i="39"/>
  <c r="N774" i="39" s="1"/>
  <c r="N737" i="39"/>
  <c r="N736" i="39" s="1"/>
  <c r="N704" i="39"/>
  <c r="O71" i="39"/>
  <c r="O74" i="39"/>
  <c r="O63" i="39" a="1"/>
  <c r="O63" i="39" s="1"/>
  <c r="O62" i="39" a="1"/>
  <c r="O62" i="39" s="1"/>
  <c r="O64" i="39" a="1"/>
  <c r="O64" i="39" s="1"/>
  <c r="O28" i="39"/>
  <c r="O75" i="39"/>
  <c r="O78" i="39"/>
  <c r="O50" i="39" a="1"/>
  <c r="O50" i="39" s="1"/>
  <c r="O57" i="39" a="1"/>
  <c r="O57" i="39" s="1"/>
  <c r="O97" i="39"/>
  <c r="O151" i="39"/>
  <c r="O88" i="39"/>
  <c r="O77" i="39"/>
  <c r="O73" i="39"/>
  <c r="O33" i="39"/>
  <c r="O53" i="39" s="1" a="1"/>
  <c r="O53" i="39" s="1"/>
  <c r="O76" i="39"/>
  <c r="O34" i="39"/>
  <c r="O54" i="39" s="1" a="1"/>
  <c r="O54" i="39" s="1"/>
  <c r="Q351" i="39"/>
  <c r="P353" i="39"/>
  <c r="P359" i="39" s="1"/>
  <c r="P379" i="39" s="1" a="1"/>
  <c r="P379" i="39" s="1"/>
  <c r="Q25" i="39"/>
  <c r="P27" i="39"/>
  <c r="Q188" i="39"/>
  <c r="P190" i="39"/>
  <c r="N214" i="39"/>
  <c r="N212" i="39" s="1"/>
  <c r="N245" i="39"/>
  <c r="N283" i="39"/>
  <c r="M981" i="39"/>
  <c r="M968" i="39"/>
  <c r="O226" i="39" a="1"/>
  <c r="O226" i="39" s="1"/>
  <c r="O191" i="39"/>
  <c r="O225" i="39" a="1"/>
  <c r="O225" i="39" s="1"/>
  <c r="O234" i="39"/>
  <c r="O240" i="39"/>
  <c r="O220" i="39" a="1"/>
  <c r="O220" i="39" s="1"/>
  <c r="O227" i="39" a="1"/>
  <c r="O227" i="39" s="1"/>
  <c r="O237" i="39"/>
  <c r="O213" i="39" a="1"/>
  <c r="O213" i="39" s="1"/>
  <c r="O260" i="39"/>
  <c r="O314" i="39"/>
  <c r="O236" i="39"/>
  <c r="O239" i="39"/>
  <c r="O251" i="39"/>
  <c r="O241" i="39"/>
  <c r="O238" i="39"/>
  <c r="O196" i="39"/>
  <c r="O216" i="39" s="1" a="1"/>
  <c r="O216" i="39" s="1"/>
  <c r="N259" i="39"/>
  <c r="N297" i="39"/>
  <c r="P849" i="39"/>
  <c r="P869" i="39" s="1" a="1"/>
  <c r="P869" i="39" s="1"/>
  <c r="Q847" i="39"/>
  <c r="R521" i="39"/>
  <c r="N599" i="39"/>
  <c r="N597" i="39" s="1"/>
  <c r="N435" i="39"/>
  <c r="N438" i="39"/>
  <c r="N440" i="39"/>
  <c r="N461" i="39"/>
  <c r="N452" i="39"/>
  <c r="N437" i="39"/>
  <c r="N442" i="39"/>
  <c r="N441" i="39"/>
  <c r="N439" i="39"/>
  <c r="M291" i="39"/>
  <c r="M288" i="39" s="1"/>
  <c r="M253" i="39"/>
  <c r="M250" i="39" s="1"/>
  <c r="O939" i="39"/>
  <c r="O901" i="39"/>
  <c r="M90" i="39"/>
  <c r="M87" i="39" s="1"/>
  <c r="M128" i="39"/>
  <c r="M125" i="39" s="1"/>
  <c r="N95" i="39"/>
  <c r="N133" i="39"/>
  <c r="N572" i="39"/>
  <c r="N570" i="39" s="1"/>
  <c r="N610" i="39"/>
  <c r="N608" i="39" s="1"/>
  <c r="U31" i="39"/>
  <c r="M436" i="39"/>
  <c r="M434" i="39" s="1"/>
  <c r="N450" i="39"/>
  <c r="N412" i="39"/>
  <c r="M447" i="39"/>
  <c r="M445" i="39" s="1"/>
  <c r="M409" i="39"/>
  <c r="M407" i="39" s="1"/>
  <c r="N51" i="39"/>
  <c r="N49" i="39" s="1"/>
  <c r="N82" i="39"/>
  <c r="N120" i="39"/>
  <c r="M122" i="39"/>
  <c r="N905" i="39"/>
  <c r="N377" i="39"/>
  <c r="N375" i="39" s="1"/>
  <c r="N446" i="39"/>
  <c r="N408" i="39"/>
  <c r="P890" i="39"/>
  <c r="P879" i="39" a="1"/>
  <c r="P879" i="39" s="1"/>
  <c r="P872" i="39" a="1"/>
  <c r="P872" i="39" s="1"/>
  <c r="P877" i="39" a="1"/>
  <c r="P877" i="39" s="1"/>
  <c r="P886" i="39"/>
  <c r="P878" i="39" a="1"/>
  <c r="P878" i="39" s="1"/>
  <c r="P865" i="39" a="1"/>
  <c r="P865" i="39" s="1"/>
  <c r="P843" i="39"/>
  <c r="P966" i="39"/>
  <c r="P912" i="39"/>
  <c r="P892" i="39"/>
  <c r="P891" i="39"/>
  <c r="P903" i="39"/>
  <c r="P889" i="39"/>
  <c r="P888" i="39"/>
  <c r="P893" i="39"/>
  <c r="M762" i="39"/>
  <c r="M760" i="39" s="1"/>
  <c r="M454" i="39"/>
  <c r="M451" i="39" s="1"/>
  <c r="M416" i="39"/>
  <c r="M413" i="39" s="1"/>
  <c r="S683" i="39"/>
  <c r="N112" i="39"/>
  <c r="N135" i="39"/>
  <c r="N109" i="39"/>
  <c r="N113" i="39"/>
  <c r="N116" i="39"/>
  <c r="N115" i="39"/>
  <c r="N126" i="39"/>
  <c r="N111" i="39"/>
  <c r="N114" i="39"/>
  <c r="N870" i="39"/>
  <c r="N422" i="39"/>
  <c r="N460" i="39"/>
  <c r="P560" i="39"/>
  <c r="P552" i="39" a="1"/>
  <c r="P552" i="39" s="1"/>
  <c r="P553" i="39" a="1"/>
  <c r="P553" i="39" s="1"/>
  <c r="P546" i="39" a="1"/>
  <c r="P546" i="39" s="1"/>
  <c r="P551" i="39" a="1"/>
  <c r="P551" i="39" s="1"/>
  <c r="P517" i="39"/>
  <c r="P613" i="39" s="1"/>
  <c r="P539" i="39" a="1"/>
  <c r="P539" i="39" s="1"/>
  <c r="P563" i="39"/>
  <c r="P586" i="39"/>
  <c r="P640" i="39"/>
  <c r="P566" i="39"/>
  <c r="P564" i="39"/>
  <c r="P577" i="39"/>
  <c r="P567" i="39"/>
  <c r="P565" i="39"/>
  <c r="P562" i="39"/>
  <c r="O583" i="39"/>
  <c r="O621" i="39"/>
  <c r="Q842" i="39"/>
  <c r="R840" i="39"/>
  <c r="M773" i="39"/>
  <c r="M771" i="39" s="1"/>
  <c r="M735" i="39"/>
  <c r="M733" i="39" s="1"/>
  <c r="P679" i="39"/>
  <c r="P686" i="39" s="1"/>
  <c r="P706" i="39" s="1" a="1"/>
  <c r="P706" i="39" s="1"/>
  <c r="Q677" i="39"/>
  <c r="N296" i="39"/>
  <c r="N258" i="39"/>
  <c r="M381" i="39"/>
  <c r="L166" i="39"/>
  <c r="L153" i="39"/>
  <c r="M375" i="39"/>
  <c r="N134" i="39"/>
  <c r="N96" i="39"/>
  <c r="Q516" i="39"/>
  <c r="Q523" i="39" s="1"/>
  <c r="Q543" i="39" s="1" a="1"/>
  <c r="Q543" i="39" s="1"/>
  <c r="R514" i="39"/>
  <c r="O616" i="39"/>
  <c r="O578" i="39"/>
  <c r="O547" i="39" a="1"/>
  <c r="O547" i="39" s="1"/>
  <c r="O544" i="39" s="1"/>
  <c r="M700" i="39"/>
  <c r="M712" i="39" s="1"/>
  <c r="M719" i="39" s="1"/>
  <c r="O866" i="39"/>
  <c r="O897" i="39"/>
  <c r="O935" i="39"/>
  <c r="O727" i="39"/>
  <c r="O723" i="39"/>
  <c r="O714" i="39" a="1"/>
  <c r="O714" i="39" s="1"/>
  <c r="O716" i="39" a="1"/>
  <c r="O716" i="39" s="1"/>
  <c r="O709" i="39" a="1"/>
  <c r="O709" i="39" s="1"/>
  <c r="O715" i="39" a="1"/>
  <c r="O715" i="39" s="1"/>
  <c r="O680" i="39"/>
  <c r="O702" i="39" a="1"/>
  <c r="O702" i="39" s="1"/>
  <c r="O803" i="39"/>
  <c r="O749" i="39"/>
  <c r="O728" i="39"/>
  <c r="O726" i="39"/>
  <c r="O725" i="39"/>
  <c r="O740" i="39"/>
  <c r="O730" i="39"/>
  <c r="O729" i="39"/>
  <c r="O685" i="39"/>
  <c r="O705" i="39" s="1" a="1"/>
  <c r="O705" i="39" s="1"/>
  <c r="N784" i="39"/>
  <c r="N746" i="39"/>
  <c r="N290" i="39"/>
  <c r="N252" i="39"/>
  <c r="N221" i="39" a="1"/>
  <c r="N221" i="39" s="1"/>
  <c r="N218" i="39" s="1"/>
  <c r="N89" i="39"/>
  <c r="N127" i="39"/>
  <c r="N58" i="39" a="1"/>
  <c r="N58" i="39" s="1"/>
  <c r="N55" i="39" s="1"/>
  <c r="Q358" i="39"/>
  <c r="N415" i="39"/>
  <c r="N453" i="39"/>
  <c r="N384" i="39" a="1"/>
  <c r="N384" i="39" s="1"/>
  <c r="N381" i="39" s="1"/>
  <c r="O624" i="39"/>
  <c r="O601" i="39"/>
  <c r="O602" i="39"/>
  <c r="O598" i="39"/>
  <c r="O605" i="39"/>
  <c r="O603" i="39"/>
  <c r="O615" i="39"/>
  <c r="O604" i="39"/>
  <c r="O600" i="39"/>
  <c r="N741" i="39"/>
  <c r="N779" i="39"/>
  <c r="N710" i="39" a="1"/>
  <c r="N710" i="39" s="1"/>
  <c r="N275" i="39"/>
  <c r="N279" i="39"/>
  <c r="N298" i="39"/>
  <c r="N272" i="39"/>
  <c r="N289" i="39"/>
  <c r="N277" i="39"/>
  <c r="N276" i="39"/>
  <c r="N278" i="39"/>
  <c r="N274" i="39"/>
  <c r="M607" i="39"/>
  <c r="M619" i="39" s="1"/>
  <c r="M626" i="39" s="1"/>
  <c r="M629" i="39" s="1"/>
  <c r="M631" i="39" s="1"/>
  <c r="M632" i="39" s="1"/>
  <c r="M774" i="39"/>
  <c r="O360" i="39"/>
  <c r="O380" i="39" s="1" a="1"/>
  <c r="O380" i="39" s="1"/>
  <c r="O949" i="39"/>
  <c r="O911" i="39"/>
  <c r="N767" i="39"/>
  <c r="N787" i="39"/>
  <c r="N761" i="39"/>
  <c r="N768" i="39"/>
  <c r="N763" i="39"/>
  <c r="N778" i="39"/>
  <c r="N764" i="39"/>
  <c r="N766" i="39"/>
  <c r="N765" i="39"/>
  <c r="N257" i="39"/>
  <c r="N295" i="39"/>
  <c r="M736" i="39"/>
  <c r="L806" i="39"/>
  <c r="L808" i="39"/>
  <c r="L809" i="39" s="1"/>
  <c r="N411" i="39"/>
  <c r="N449" i="39"/>
  <c r="N378" i="39"/>
  <c r="N421" i="39"/>
  <c r="N459" i="39"/>
  <c r="O622" i="39"/>
  <c r="O584" i="39"/>
  <c r="O947" i="39"/>
  <c r="O909" i="39"/>
  <c r="N747" i="39"/>
  <c r="N785" i="39"/>
  <c r="N286" i="39"/>
  <c r="N215" i="39"/>
  <c r="N248" i="39"/>
  <c r="R194" i="39"/>
  <c r="L982" i="39"/>
  <c r="L983" i="39" s="1"/>
  <c r="N420" i="39"/>
  <c r="N458" i="39"/>
  <c r="Q357" i="39"/>
  <c r="O571" i="39"/>
  <c r="O540" i="39"/>
  <c r="O538" i="39" s="1"/>
  <c r="O609" i="39"/>
  <c r="O904" i="39"/>
  <c r="O942" i="39"/>
  <c r="O873" i="39" a="1"/>
  <c r="O873" i="39" s="1"/>
  <c r="O870" i="39" s="1"/>
  <c r="N748" i="39"/>
  <c r="N786" i="39"/>
  <c r="M119" i="39"/>
  <c r="N448" i="39" l="1"/>
  <c r="N936" i="39"/>
  <c r="N902" i="39"/>
  <c r="L482" i="39"/>
  <c r="L483" i="39" s="1"/>
  <c r="N925" i="39"/>
  <c r="M642" i="39"/>
  <c r="O611" i="39"/>
  <c r="N410" i="39"/>
  <c r="N934" i="39"/>
  <c r="N863" i="39"/>
  <c r="N875" i="39" s="1"/>
  <c r="N882" i="39" s="1"/>
  <c r="N968" i="39" s="1"/>
  <c r="N937" i="39"/>
  <c r="N923" i="39"/>
  <c r="N898" i="39"/>
  <c r="N896" i="39" s="1"/>
  <c r="N247" i="39"/>
  <c r="P360" i="39"/>
  <c r="P380" i="39" s="1" a="1"/>
  <c r="P380" i="39" s="1"/>
  <c r="P412" i="39" s="1"/>
  <c r="N569" i="39"/>
  <c r="N581" i="39" s="1"/>
  <c r="N588" i="39" s="1"/>
  <c r="N591" i="39" s="1"/>
  <c r="N593" i="39" s="1"/>
  <c r="N594" i="39" s="1"/>
  <c r="N285" i="39"/>
  <c r="M374" i="39"/>
  <c r="M386" i="39" s="1"/>
  <c r="M393" i="39" s="1"/>
  <c r="M492" i="39" s="1"/>
  <c r="O599" i="39"/>
  <c r="O597" i="39" s="1"/>
  <c r="O925" i="39"/>
  <c r="O923" i="39" s="1"/>
  <c r="M80" i="39"/>
  <c r="M92" i="39" s="1"/>
  <c r="M99" i="39" s="1"/>
  <c r="M102" i="39" s="1"/>
  <c r="M104" i="39" s="1"/>
  <c r="M105" i="39" s="1"/>
  <c r="N607" i="39"/>
  <c r="N619" i="39" s="1"/>
  <c r="N626" i="39" s="1"/>
  <c r="N629" i="39" s="1"/>
  <c r="N631" i="39" s="1"/>
  <c r="N632" i="39" s="1"/>
  <c r="P541" i="39"/>
  <c r="O724" i="39"/>
  <c r="O722" i="39" s="1"/>
  <c r="M770" i="39"/>
  <c r="M782" i="39" s="1"/>
  <c r="M789" i="39" s="1"/>
  <c r="M792" i="39" s="1"/>
  <c r="M794" i="39" s="1"/>
  <c r="M795" i="39" s="1"/>
  <c r="M406" i="39"/>
  <c r="M418" i="39" s="1"/>
  <c r="M425" i="39" s="1"/>
  <c r="M428" i="39" s="1"/>
  <c r="M430" i="39" s="1"/>
  <c r="M431" i="39" s="1"/>
  <c r="N273" i="39"/>
  <c r="N271" i="39" s="1"/>
  <c r="P887" i="39"/>
  <c r="P885" i="39" s="1"/>
  <c r="M243" i="39"/>
  <c r="M255" i="39" s="1"/>
  <c r="M262" i="39" s="1"/>
  <c r="M265" i="39" s="1"/>
  <c r="M267" i="39" s="1"/>
  <c r="M268" i="39" s="1"/>
  <c r="M118" i="39"/>
  <c r="M130" i="39" s="1"/>
  <c r="M137" i="39" s="1"/>
  <c r="M140" i="39" s="1"/>
  <c r="M142" i="39" s="1"/>
  <c r="M143" i="39" s="1"/>
  <c r="N110" i="39"/>
  <c r="N108" i="39" s="1"/>
  <c r="O235" i="39"/>
  <c r="O233" i="39" s="1"/>
  <c r="N642" i="39"/>
  <c r="N655" i="39"/>
  <c r="P738" i="39"/>
  <c r="Q575" i="39"/>
  <c r="M444" i="39"/>
  <c r="M456" i="39" s="1"/>
  <c r="M463" i="39" s="1"/>
  <c r="M466" i="39" s="1"/>
  <c r="M468" i="39" s="1"/>
  <c r="M469" i="39" s="1"/>
  <c r="L167" i="39"/>
  <c r="L168" i="39" s="1"/>
  <c r="N436" i="39"/>
  <c r="N434" i="39" s="1"/>
  <c r="N246" i="39"/>
  <c r="N244" i="39" s="1"/>
  <c r="N284" i="39"/>
  <c r="N282" i="39" s="1"/>
  <c r="O134" i="39"/>
  <c r="O96" i="39"/>
  <c r="T32" i="39"/>
  <c r="P900" i="39"/>
  <c r="P867" i="39"/>
  <c r="P938" i="39"/>
  <c r="M166" i="39"/>
  <c r="M153" i="39"/>
  <c r="R677" i="39"/>
  <c r="Q679" i="39"/>
  <c r="Q686" i="39" s="1"/>
  <c r="Q706" i="39" s="1" a="1"/>
  <c r="Q706" i="39" s="1"/>
  <c r="L985" i="39"/>
  <c r="L822" i="39"/>
  <c r="N742" i="39"/>
  <c r="N739" i="39" s="1"/>
  <c r="N780" i="39"/>
  <c r="O943" i="39"/>
  <c r="O940" i="39" s="1"/>
  <c r="O905" i="39"/>
  <c r="O902" i="39" s="1"/>
  <c r="N707" i="39"/>
  <c r="N700" i="39" s="1"/>
  <c r="N712" i="39" s="1"/>
  <c r="N719" i="39" s="1"/>
  <c r="O772" i="39"/>
  <c r="O703" i="39"/>
  <c r="O701" i="39" s="1"/>
  <c r="O734" i="39"/>
  <c r="S521" i="39"/>
  <c r="O94" i="39"/>
  <c r="O132" i="39"/>
  <c r="O460" i="39"/>
  <c r="O422" i="39"/>
  <c r="N253" i="39"/>
  <c r="N250" i="39" s="1"/>
  <c r="N291" i="39"/>
  <c r="N288" i="39" s="1"/>
  <c r="O761" i="39"/>
  <c r="O787" i="39"/>
  <c r="O765" i="39"/>
  <c r="O763" i="39"/>
  <c r="O767" i="39"/>
  <c r="O778" i="39"/>
  <c r="O768" i="39"/>
  <c r="O766" i="39"/>
  <c r="O764" i="39"/>
  <c r="P540" i="39"/>
  <c r="P538" i="39" s="1"/>
  <c r="P571" i="39"/>
  <c r="P609" i="39"/>
  <c r="P950" i="39"/>
  <c r="P924" i="39"/>
  <c r="P926" i="39"/>
  <c r="P941" i="39"/>
  <c r="P927" i="39"/>
  <c r="P930" i="39"/>
  <c r="P931" i="39"/>
  <c r="P928" i="39"/>
  <c r="P929" i="39"/>
  <c r="M971" i="39"/>
  <c r="M972" i="39" s="1"/>
  <c r="M969" i="39"/>
  <c r="P234" i="39"/>
  <c r="P220" i="39" a="1"/>
  <c r="P220" i="39" s="1"/>
  <c r="P191" i="39"/>
  <c r="P239" i="39"/>
  <c r="P241" i="39"/>
  <c r="P227" i="39" a="1"/>
  <c r="P227" i="39" s="1"/>
  <c r="P226" i="39" a="1"/>
  <c r="P226" i="39" s="1"/>
  <c r="P213" i="39" a="1"/>
  <c r="P213" i="39" s="1"/>
  <c r="P225" i="39" a="1"/>
  <c r="P225" i="39" s="1"/>
  <c r="P260" i="39"/>
  <c r="P314" i="39"/>
  <c r="P251" i="39"/>
  <c r="P238" i="39"/>
  <c r="P237" i="39"/>
  <c r="P236" i="39"/>
  <c r="P240" i="39"/>
  <c r="P196" i="39"/>
  <c r="P216" i="39" s="1" a="1"/>
  <c r="P216" i="39" s="1"/>
  <c r="O95" i="39"/>
  <c r="O133" i="39"/>
  <c r="M805" i="39"/>
  <c r="M818" i="39"/>
  <c r="N416" i="39"/>
  <c r="N413" i="39" s="1"/>
  <c r="N454" i="39"/>
  <c r="N451" i="39" s="1"/>
  <c r="O747" i="39"/>
  <c r="O785" i="39"/>
  <c r="R842" i="39"/>
  <c r="S840" i="39"/>
  <c r="P598" i="39"/>
  <c r="P601" i="39"/>
  <c r="P624" i="39"/>
  <c r="P602" i="39"/>
  <c r="P615" i="39"/>
  <c r="P603" i="39"/>
  <c r="P600" i="39"/>
  <c r="P605" i="39"/>
  <c r="P604" i="39"/>
  <c r="P866" i="39"/>
  <c r="P864" i="39" s="1"/>
  <c r="P935" i="39"/>
  <c r="P897" i="39"/>
  <c r="V31" i="39"/>
  <c r="L660" i="39"/>
  <c r="M982" i="39"/>
  <c r="M983" i="39" s="1"/>
  <c r="R188" i="39"/>
  <c r="Q190" i="39"/>
  <c r="Q197" i="39" s="1"/>
  <c r="Q217" i="39" s="1" a="1"/>
  <c r="Q217" i="39" s="1"/>
  <c r="O86" i="39"/>
  <c r="O124" i="39"/>
  <c r="Q886" i="39"/>
  <c r="Q889" i="39"/>
  <c r="Q890" i="39"/>
  <c r="Q843" i="39"/>
  <c r="Q877" i="39" a="1"/>
  <c r="Q877" i="39" s="1"/>
  <c r="Q878" i="39" a="1"/>
  <c r="Q878" i="39" s="1"/>
  <c r="Q879" i="39" a="1"/>
  <c r="Q879" i="39" s="1"/>
  <c r="Q865" i="39" a="1"/>
  <c r="Q865" i="39" s="1"/>
  <c r="Q872" i="39" a="1"/>
  <c r="Q872" i="39" s="1"/>
  <c r="Q912" i="39"/>
  <c r="Q966" i="39"/>
  <c r="Q891" i="39"/>
  <c r="Q903" i="39"/>
  <c r="Q893" i="39"/>
  <c r="Q892" i="39"/>
  <c r="Q888" i="39"/>
  <c r="P583" i="39"/>
  <c r="P621" i="39"/>
  <c r="P948" i="39"/>
  <c r="P910" i="39"/>
  <c r="O283" i="39"/>
  <c r="O214" i="39"/>
  <c r="O212" i="39" s="1"/>
  <c r="O245" i="39"/>
  <c r="L317" i="39"/>
  <c r="L319" i="39"/>
  <c r="L320" i="39" s="1"/>
  <c r="L497" i="39"/>
  <c r="O786" i="39"/>
  <c r="O748" i="39"/>
  <c r="Q551" i="39" a="1"/>
  <c r="Q551" i="39" s="1"/>
  <c r="Q560" i="39"/>
  <c r="Q552" i="39" a="1"/>
  <c r="Q552" i="39" s="1"/>
  <c r="Q565" i="39"/>
  <c r="Q546" i="39" a="1"/>
  <c r="Q546" i="39" s="1"/>
  <c r="Q517" i="39"/>
  <c r="Q613" i="39" s="1"/>
  <c r="Q553" i="39" a="1"/>
  <c r="Q553" i="39" s="1"/>
  <c r="Q539" i="39" a="1"/>
  <c r="Q539" i="39" s="1"/>
  <c r="Q566" i="39"/>
  <c r="Q640" i="39"/>
  <c r="Q586" i="39"/>
  <c r="Q577" i="39"/>
  <c r="Q563" i="39"/>
  <c r="Q564" i="39"/>
  <c r="Q567" i="39"/>
  <c r="Q562" i="39"/>
  <c r="P578" i="39"/>
  <c r="P616" i="39"/>
  <c r="P547" i="39" a="1"/>
  <c r="P547" i="39" s="1"/>
  <c r="P76" i="39"/>
  <c r="P71" i="39"/>
  <c r="P63" i="39" a="1"/>
  <c r="P63" i="39" s="1"/>
  <c r="P57" i="39" a="1"/>
  <c r="P57" i="39" s="1"/>
  <c r="P28" i="39"/>
  <c r="P62" i="39" a="1"/>
  <c r="P62" i="39" s="1"/>
  <c r="P50" i="39" a="1"/>
  <c r="P50" i="39" s="1"/>
  <c r="P64" i="39" a="1"/>
  <c r="P64" i="39" s="1"/>
  <c r="P97" i="39"/>
  <c r="P151" i="39"/>
  <c r="P78" i="39"/>
  <c r="P73" i="39"/>
  <c r="P88" i="39"/>
  <c r="P74" i="39"/>
  <c r="P33" i="39"/>
  <c r="P53" i="39" s="1" a="1"/>
  <c r="P53" i="39" s="1"/>
  <c r="P75" i="39"/>
  <c r="P77" i="39"/>
  <c r="P34" i="39"/>
  <c r="P54" i="39" s="1" a="1"/>
  <c r="P54" i="39" s="1"/>
  <c r="O123" i="39"/>
  <c r="O85" i="39"/>
  <c r="O52" i="39"/>
  <c r="O398" i="39"/>
  <c r="O396" i="39" s="1"/>
  <c r="L330" i="39"/>
  <c r="L331" i="39" s="1"/>
  <c r="O784" i="39"/>
  <c r="O746" i="39"/>
  <c r="P585" i="39"/>
  <c r="P623" i="39"/>
  <c r="T683" i="39"/>
  <c r="P947" i="39"/>
  <c r="P909" i="39"/>
  <c r="N121" i="39"/>
  <c r="N119" i="39" s="1"/>
  <c r="N83" i="39"/>
  <c r="N81" i="39" s="1"/>
  <c r="Q849" i="39"/>
  <c r="Q869" i="39" s="1" a="1"/>
  <c r="Q869" i="39" s="1"/>
  <c r="R847" i="39"/>
  <c r="O259" i="39"/>
  <c r="O297" i="39"/>
  <c r="M656" i="39"/>
  <c r="M657" i="39" s="1"/>
  <c r="Q27" i="39"/>
  <c r="R25" i="39"/>
  <c r="O72" i="39"/>
  <c r="O70" i="39" s="1"/>
  <c r="P622" i="39"/>
  <c r="P584" i="39"/>
  <c r="P942" i="39"/>
  <c r="P904" i="39"/>
  <c r="P873" i="39" a="1"/>
  <c r="P873" i="39" s="1"/>
  <c r="P870" i="39" s="1"/>
  <c r="N48" i="39"/>
  <c r="N60" i="39" s="1"/>
  <c r="N67" i="39" s="1"/>
  <c r="M732" i="39"/>
  <c r="M744" i="39" s="1"/>
  <c r="M751" i="39" s="1"/>
  <c r="M754" i="39" s="1"/>
  <c r="M756" i="39" s="1"/>
  <c r="M757" i="39" s="1"/>
  <c r="P939" i="39"/>
  <c r="P901" i="39"/>
  <c r="O252" i="39"/>
  <c r="O290" i="39"/>
  <c r="O221" i="39" a="1"/>
  <c r="O221" i="39" s="1"/>
  <c r="O218" i="39" s="1"/>
  <c r="M643" i="39"/>
  <c r="M645" i="39"/>
  <c r="M646" i="39" s="1"/>
  <c r="M316" i="39"/>
  <c r="M329" i="39"/>
  <c r="O776" i="39"/>
  <c r="R358" i="39"/>
  <c r="O537" i="39"/>
  <c r="O549" i="39" s="1"/>
  <c r="O556" i="39" s="1"/>
  <c r="O737" i="39"/>
  <c r="O736" i="39" s="1"/>
  <c r="O775" i="39"/>
  <c r="O704" i="39"/>
  <c r="O899" i="39"/>
  <c r="N773" i="39"/>
  <c r="N771" i="39" s="1"/>
  <c r="N735" i="39"/>
  <c r="N733" i="39" s="1"/>
  <c r="P949" i="39"/>
  <c r="P911" i="39"/>
  <c r="O610" i="39"/>
  <c r="O608" i="39" s="1"/>
  <c r="O572" i="39"/>
  <c r="O570" i="39" s="1"/>
  <c r="S194" i="39"/>
  <c r="O412" i="39"/>
  <c r="O410" i="39" s="1"/>
  <c r="O450" i="39"/>
  <c r="O448" i="39" s="1"/>
  <c r="P561" i="39"/>
  <c r="P559" i="39" s="1"/>
  <c r="O377" i="39"/>
  <c r="O375" i="39" s="1"/>
  <c r="O408" i="39"/>
  <c r="O446" i="39"/>
  <c r="O937" i="39"/>
  <c r="R195" i="39"/>
  <c r="P573" i="39"/>
  <c r="O257" i="39"/>
  <c r="O295" i="39"/>
  <c r="O453" i="39"/>
  <c r="O415" i="39"/>
  <c r="O384" i="39" a="1"/>
  <c r="O384" i="39" s="1"/>
  <c r="O381" i="39" s="1"/>
  <c r="P197" i="39"/>
  <c r="P217" i="39" s="1" a="1"/>
  <c r="P217" i="39" s="1"/>
  <c r="P612" i="39"/>
  <c r="P611" i="39" s="1"/>
  <c r="N90" i="39"/>
  <c r="N87" i="39" s="1"/>
  <c r="N128" i="39"/>
  <c r="N125" i="39" s="1"/>
  <c r="O272" i="39"/>
  <c r="O298" i="39"/>
  <c r="O278" i="39"/>
  <c r="O275" i="39"/>
  <c r="O274" i="39"/>
  <c r="O276" i="39"/>
  <c r="O279" i="39"/>
  <c r="O277" i="39"/>
  <c r="O289" i="39"/>
  <c r="O89" i="39"/>
  <c r="O127" i="39"/>
  <c r="O58" i="39" a="1"/>
  <c r="O58" i="39" s="1"/>
  <c r="O55" i="39" s="1"/>
  <c r="O459" i="39"/>
  <c r="O421" i="39"/>
  <c r="S520" i="39"/>
  <c r="M281" i="39"/>
  <c r="M293" i="39" s="1"/>
  <c r="M300" i="39" s="1"/>
  <c r="M303" i="39" s="1"/>
  <c r="M305" i="39" s="1"/>
  <c r="M306" i="39" s="1"/>
  <c r="R357" i="39"/>
  <c r="P411" i="39"/>
  <c r="O936" i="39"/>
  <c r="O934" i="39" s="1"/>
  <c r="O898" i="39"/>
  <c r="O896" i="39" s="1"/>
  <c r="O248" i="39"/>
  <c r="O247" i="39" s="1"/>
  <c r="O286" i="39"/>
  <c r="O215" i="39"/>
  <c r="O296" i="39"/>
  <c r="O258" i="39"/>
  <c r="O120" i="39"/>
  <c r="O82" i="39"/>
  <c r="O51" i="39"/>
  <c r="O49" i="39" s="1"/>
  <c r="O420" i="39"/>
  <c r="O458" i="39"/>
  <c r="N84" i="39"/>
  <c r="Q522" i="39"/>
  <c r="Q542" i="39" s="1" a="1"/>
  <c r="Q542" i="39" s="1"/>
  <c r="O378" i="39"/>
  <c r="O779" i="39"/>
  <c r="O741" i="39"/>
  <c r="O710" i="39" a="1"/>
  <c r="O710" i="39" s="1"/>
  <c r="S514" i="39"/>
  <c r="R516" i="39"/>
  <c r="R523" i="39" s="1"/>
  <c r="R543" i="39" s="1" a="1"/>
  <c r="R543" i="39" s="1"/>
  <c r="N777" i="39"/>
  <c r="N762" i="39"/>
  <c r="N760" i="39" s="1"/>
  <c r="O864" i="39"/>
  <c r="O863" i="39" s="1"/>
  <c r="O875" i="39" s="1"/>
  <c r="O882" i="39" s="1"/>
  <c r="N447" i="39"/>
  <c r="N445" i="39" s="1"/>
  <c r="N409" i="39"/>
  <c r="N407" i="39" s="1"/>
  <c r="P404" i="39"/>
  <c r="P354" i="39"/>
  <c r="P389" i="39" a="1"/>
  <c r="P389" i="39" s="1"/>
  <c r="P383" i="39" a="1"/>
  <c r="P383" i="39" s="1"/>
  <c r="P390" i="39" a="1"/>
  <c r="P390" i="39" s="1"/>
  <c r="P397" i="39"/>
  <c r="P388" i="39" a="1"/>
  <c r="P388" i="39" s="1"/>
  <c r="P376" i="39" a="1"/>
  <c r="P376" i="39" s="1"/>
  <c r="P477" i="39"/>
  <c r="P423" i="39"/>
  <c r="P399" i="39"/>
  <c r="P414" i="39"/>
  <c r="P403" i="39"/>
  <c r="P400" i="39"/>
  <c r="P401" i="39"/>
  <c r="P402" i="39"/>
  <c r="O442" i="39"/>
  <c r="O441" i="39"/>
  <c r="O435" i="39"/>
  <c r="O452" i="39"/>
  <c r="O461" i="39"/>
  <c r="O437" i="39"/>
  <c r="O439" i="39"/>
  <c r="O438" i="39"/>
  <c r="O440" i="39"/>
  <c r="N122" i="39"/>
  <c r="N374" i="39"/>
  <c r="N386" i="39" s="1"/>
  <c r="N393" i="39" s="1"/>
  <c r="R351" i="39"/>
  <c r="Q353" i="39"/>
  <c r="Q360" i="39" s="1"/>
  <c r="Q380" i="39" s="1" a="1"/>
  <c r="Q380" i="39" s="1"/>
  <c r="O287" i="39"/>
  <c r="O617" i="39"/>
  <c r="O614" i="39" s="1"/>
  <c r="O579" i="39"/>
  <c r="O576" i="39" s="1"/>
  <c r="L154" i="39"/>
  <c r="L156" i="39"/>
  <c r="L157" i="39" s="1"/>
  <c r="P723" i="39"/>
  <c r="P714" i="39" a="1"/>
  <c r="P714" i="39" s="1"/>
  <c r="P709" i="39" a="1"/>
  <c r="P709" i="39" s="1"/>
  <c r="P702" i="39" a="1"/>
  <c r="P702" i="39" s="1"/>
  <c r="P715" i="39" a="1"/>
  <c r="P715" i="39" s="1"/>
  <c r="P716" i="39" a="1"/>
  <c r="P716" i="39" s="1"/>
  <c r="P729" i="39"/>
  <c r="P680" i="39"/>
  <c r="P776" i="39" s="1"/>
  <c r="P749" i="39"/>
  <c r="P803" i="39"/>
  <c r="P725" i="39"/>
  <c r="P740" i="39"/>
  <c r="P728" i="39"/>
  <c r="P730" i="39"/>
  <c r="P727" i="39"/>
  <c r="P726" i="39"/>
  <c r="P685" i="39"/>
  <c r="P705" i="39" s="1" a="1"/>
  <c r="P705" i="39" s="1"/>
  <c r="N211" i="39"/>
  <c r="N223" i="39" s="1"/>
  <c r="N230" i="39" s="1"/>
  <c r="O109" i="39"/>
  <c r="O135" i="39"/>
  <c r="O113" i="39"/>
  <c r="O126" i="39"/>
  <c r="O112" i="39"/>
  <c r="O111" i="39"/>
  <c r="O115" i="39"/>
  <c r="O116" i="39"/>
  <c r="O114" i="39"/>
  <c r="R684" i="39"/>
  <c r="Q848" i="39"/>
  <c r="Q868" i="39" s="1" a="1"/>
  <c r="Q868" i="39" s="1"/>
  <c r="R846" i="39"/>
  <c r="N933" i="39" l="1"/>
  <c r="N945" i="39" s="1"/>
  <c r="N952" i="39" s="1"/>
  <c r="N955" i="39" s="1"/>
  <c r="N957" i="39" s="1"/>
  <c r="N958" i="39" s="1"/>
  <c r="N895" i="39"/>
  <c r="N907" i="39" s="1"/>
  <c r="N914" i="39" s="1"/>
  <c r="N917" i="39" s="1"/>
  <c r="N919" i="39" s="1"/>
  <c r="N920" i="39" s="1"/>
  <c r="N981" i="39"/>
  <c r="P378" i="39"/>
  <c r="M479" i="39"/>
  <c r="M482" i="39" s="1"/>
  <c r="M483" i="39" s="1"/>
  <c r="P450" i="39"/>
  <c r="N406" i="39"/>
  <c r="N418" i="39" s="1"/>
  <c r="N425" i="39" s="1"/>
  <c r="N428" i="39" s="1"/>
  <c r="N430" i="39" s="1"/>
  <c r="N431" i="39" s="1"/>
  <c r="O110" i="39"/>
  <c r="P235" i="39"/>
  <c r="O84" i="39"/>
  <c r="P599" i="39"/>
  <c r="P597" i="39" s="1"/>
  <c r="N770" i="39"/>
  <c r="N782" i="39" s="1"/>
  <c r="N789" i="39" s="1"/>
  <c r="N792" i="39" s="1"/>
  <c r="N794" i="39" s="1"/>
  <c r="N795" i="39" s="1"/>
  <c r="O122" i="39"/>
  <c r="N281" i="39"/>
  <c r="N293" i="39" s="1"/>
  <c r="N300" i="39" s="1"/>
  <c r="N303" i="39" s="1"/>
  <c r="N305" i="39" s="1"/>
  <c r="N306" i="39" s="1"/>
  <c r="P925" i="39"/>
  <c r="P923" i="39" s="1"/>
  <c r="P449" i="39"/>
  <c r="P448" i="39" s="1"/>
  <c r="P410" i="39"/>
  <c r="N243" i="39"/>
  <c r="N255" i="39" s="1"/>
  <c r="N262" i="39" s="1"/>
  <c r="N265" i="39" s="1"/>
  <c r="N267" i="39" s="1"/>
  <c r="N268" i="39" s="1"/>
  <c r="Q359" i="39"/>
  <c r="Q379" i="39" s="1" a="1"/>
  <c r="Q379" i="39" s="1"/>
  <c r="Q378" i="39" s="1"/>
  <c r="P72" i="39"/>
  <c r="P70" i="39" s="1"/>
  <c r="P937" i="39"/>
  <c r="O374" i="39"/>
  <c r="O386" i="39" s="1"/>
  <c r="O393" i="39" s="1"/>
  <c r="O479" i="39" s="1"/>
  <c r="M985" i="39"/>
  <c r="M986" i="39" s="1"/>
  <c r="L170" i="39"/>
  <c r="R575" i="39"/>
  <c r="O48" i="39"/>
  <c r="O60" i="39" s="1"/>
  <c r="O67" i="39" s="1"/>
  <c r="Q901" i="39"/>
  <c r="Q939" i="39"/>
  <c r="P95" i="39"/>
  <c r="P133" i="39"/>
  <c r="O211" i="39"/>
  <c r="O223" i="39" s="1"/>
  <c r="O230" i="39" s="1"/>
  <c r="Q948" i="39"/>
  <c r="Q910" i="39"/>
  <c r="M819" i="39"/>
  <c r="M820" i="39" s="1"/>
  <c r="P258" i="39"/>
  <c r="P296" i="39"/>
  <c r="N329" i="39"/>
  <c r="N316" i="39"/>
  <c r="P748" i="39"/>
  <c r="P786" i="39"/>
  <c r="N479" i="39"/>
  <c r="N492" i="39"/>
  <c r="N444" i="39"/>
  <c r="N456" i="39" s="1"/>
  <c r="N463" i="39" s="1"/>
  <c r="N466" i="39" s="1"/>
  <c r="N468" i="39" s="1"/>
  <c r="N469" i="39" s="1"/>
  <c r="Q412" i="39"/>
  <c r="P943" i="39"/>
  <c r="P940" i="39" s="1"/>
  <c r="P905" i="39"/>
  <c r="P902" i="39" s="1"/>
  <c r="P86" i="39"/>
  <c r="P124" i="39"/>
  <c r="N118" i="39"/>
  <c r="N130" i="39" s="1"/>
  <c r="N137" i="39" s="1"/>
  <c r="N140" i="39" s="1"/>
  <c r="N142" i="39" s="1"/>
  <c r="N143" i="39" s="1"/>
  <c r="Q947" i="39"/>
  <c r="Q909" i="39"/>
  <c r="M806" i="39"/>
  <c r="M808" i="39"/>
  <c r="M809" i="39" s="1"/>
  <c r="P297" i="39"/>
  <c r="P259" i="39"/>
  <c r="M330" i="39"/>
  <c r="M331" i="39" s="1"/>
  <c r="M333" i="39" s="1"/>
  <c r="Q950" i="39"/>
  <c r="Q924" i="39"/>
  <c r="Q931" i="39"/>
  <c r="Q927" i="39"/>
  <c r="Q941" i="39"/>
  <c r="Q926" i="39"/>
  <c r="Q928" i="39"/>
  <c r="Q929" i="39"/>
  <c r="Q930" i="39"/>
  <c r="P899" i="39"/>
  <c r="M319" i="39"/>
  <c r="M320" i="39" s="1"/>
  <c r="M317" i="39"/>
  <c r="U32" i="39"/>
  <c r="P85" i="39"/>
  <c r="P123" i="39"/>
  <c r="P52" i="39"/>
  <c r="Q609" i="39"/>
  <c r="Q540" i="39"/>
  <c r="Q571" i="39"/>
  <c r="P272" i="39"/>
  <c r="P298" i="39"/>
  <c r="P277" i="39"/>
  <c r="P275" i="39"/>
  <c r="P289" i="39"/>
  <c r="P274" i="39"/>
  <c r="P276" i="39"/>
  <c r="P279" i="39"/>
  <c r="P278" i="39"/>
  <c r="U683" i="39"/>
  <c r="N80" i="39"/>
  <c r="N92" i="39" s="1"/>
  <c r="N99" i="39" s="1"/>
  <c r="N102" i="39" s="1"/>
  <c r="N104" i="39" s="1"/>
  <c r="N105" i="39" s="1"/>
  <c r="Q623" i="39"/>
  <c r="Q585" i="39"/>
  <c r="P290" i="39"/>
  <c r="P252" i="39"/>
  <c r="P221" i="39" a="1"/>
  <c r="P221" i="39" s="1"/>
  <c r="P785" i="39"/>
  <c r="P747" i="39"/>
  <c r="P703" i="39"/>
  <c r="P701" i="39" s="1"/>
  <c r="P734" i="39"/>
  <c r="P772" i="39"/>
  <c r="P779" i="39"/>
  <c r="P741" i="39"/>
  <c r="P710" i="39" a="1"/>
  <c r="P710" i="39" s="1"/>
  <c r="P707" i="39" s="1"/>
  <c r="O981" i="39"/>
  <c r="O968" i="39"/>
  <c r="M493" i="39"/>
  <c r="M494" i="39" s="1"/>
  <c r="P746" i="39"/>
  <c r="P784" i="39"/>
  <c r="O933" i="39"/>
  <c r="O945" i="39" s="1"/>
  <c r="O952" i="39" s="1"/>
  <c r="O955" i="39" s="1"/>
  <c r="O957" i="39" s="1"/>
  <c r="O958" i="39" s="1"/>
  <c r="P704" i="39"/>
  <c r="P775" i="39"/>
  <c r="P774" i="39" s="1"/>
  <c r="P737" i="39"/>
  <c r="P736" i="39" s="1"/>
  <c r="P377" i="39"/>
  <c r="P375" i="39" s="1"/>
  <c r="P446" i="39"/>
  <c r="P408" i="39"/>
  <c r="O569" i="39"/>
  <c r="O581" i="39" s="1"/>
  <c r="O588" i="39" s="1"/>
  <c r="O591" i="39" s="1"/>
  <c r="O593" i="39" s="1"/>
  <c r="O594" i="39" s="1"/>
  <c r="Q603" i="39"/>
  <c r="Q605" i="39"/>
  <c r="Q598" i="39"/>
  <c r="Q624" i="39"/>
  <c r="Q604" i="39"/>
  <c r="Q601" i="39"/>
  <c r="Q615" i="39"/>
  <c r="Q602" i="39"/>
  <c r="Q600" i="39"/>
  <c r="Q887" i="39"/>
  <c r="Q885" i="39" s="1"/>
  <c r="P286" i="39"/>
  <c r="P248" i="39"/>
  <c r="P215" i="39"/>
  <c r="P233" i="39"/>
  <c r="L823" i="39"/>
  <c r="Q616" i="39"/>
  <c r="Q578" i="39"/>
  <c r="Q547" i="39" a="1"/>
  <c r="Q547" i="39" s="1"/>
  <c r="P572" i="39"/>
  <c r="P570" i="39" s="1"/>
  <c r="P610" i="39"/>
  <c r="P608" i="39" s="1"/>
  <c r="P579" i="39"/>
  <c r="P576" i="39" s="1"/>
  <c r="P617" i="39"/>
  <c r="P614" i="39" s="1"/>
  <c r="W31" i="39"/>
  <c r="T840" i="39"/>
  <c r="S842" i="39"/>
  <c r="T521" i="39"/>
  <c r="O436" i="39"/>
  <c r="S516" i="39"/>
  <c r="S522" i="39" s="1"/>
  <c r="S542" i="39" s="1" a="1"/>
  <c r="S542" i="39" s="1"/>
  <c r="T514" i="39"/>
  <c r="S195" i="39"/>
  <c r="O774" i="39"/>
  <c r="O253" i="39"/>
  <c r="O250" i="39" s="1"/>
  <c r="O291" i="39"/>
  <c r="O288" i="39" s="1"/>
  <c r="S25" i="39"/>
  <c r="R27" i="39"/>
  <c r="P544" i="39"/>
  <c r="P537" i="39" s="1"/>
  <c r="P549" i="39" s="1"/>
  <c r="P556" i="39" s="1"/>
  <c r="Q622" i="39"/>
  <c r="Q584" i="39"/>
  <c r="R886" i="39"/>
  <c r="R878" i="39" a="1"/>
  <c r="R878" i="39" s="1"/>
  <c r="R872" i="39" a="1"/>
  <c r="R872" i="39" s="1"/>
  <c r="R877" i="39" a="1"/>
  <c r="R877" i="39" s="1"/>
  <c r="R843" i="39"/>
  <c r="R879" i="39" a="1"/>
  <c r="R879" i="39" s="1"/>
  <c r="R865" i="39" a="1"/>
  <c r="R865" i="39" s="1"/>
  <c r="R912" i="39"/>
  <c r="R966" i="39"/>
  <c r="R891" i="39"/>
  <c r="R890" i="39"/>
  <c r="R889" i="39"/>
  <c r="R888" i="39"/>
  <c r="R893" i="39"/>
  <c r="R903" i="39"/>
  <c r="R892" i="39"/>
  <c r="L986" i="39"/>
  <c r="O607" i="39"/>
  <c r="O619" i="39" s="1"/>
  <c r="O626" i="39" s="1"/>
  <c r="O629" i="39" s="1"/>
  <c r="O631" i="39" s="1"/>
  <c r="O632" i="39" s="1"/>
  <c r="N732" i="39"/>
  <c r="N744" i="39" s="1"/>
  <c r="N751" i="39" s="1"/>
  <c r="N754" i="39" s="1"/>
  <c r="N756" i="39" s="1"/>
  <c r="N757" i="39" s="1"/>
  <c r="Q57" i="39" a="1"/>
  <c r="Q57" i="39" s="1"/>
  <c r="Q71" i="39"/>
  <c r="Q63" i="39" a="1"/>
  <c r="Q63" i="39" s="1"/>
  <c r="Q76" i="39"/>
  <c r="Q62" i="39" a="1"/>
  <c r="Q62" i="39" s="1"/>
  <c r="Q64" i="39" a="1"/>
  <c r="Q64" i="39" s="1"/>
  <c r="Q28" i="39"/>
  <c r="Q50" i="39" a="1"/>
  <c r="Q50" i="39" s="1"/>
  <c r="Q97" i="39"/>
  <c r="Q151" i="39"/>
  <c r="Q75" i="39"/>
  <c r="Q78" i="39"/>
  <c r="Q73" i="39"/>
  <c r="Q88" i="39"/>
  <c r="Q77" i="39"/>
  <c r="Q74" i="39"/>
  <c r="Q33" i="39"/>
  <c r="Q53" i="39" s="1" a="1"/>
  <c r="Q53" i="39" s="1"/>
  <c r="Q34" i="39"/>
  <c r="Q54" i="39" s="1" a="1"/>
  <c r="Q54" i="39" s="1"/>
  <c r="Q227" i="39" a="1"/>
  <c r="Q227" i="39" s="1"/>
  <c r="Q234" i="39"/>
  <c r="Q225" i="39" a="1"/>
  <c r="Q225" i="39" s="1"/>
  <c r="Q238" i="39"/>
  <c r="Q220" i="39" a="1"/>
  <c r="Q220" i="39" s="1"/>
  <c r="Q191" i="39"/>
  <c r="Q287" i="39" s="1"/>
  <c r="Q226" i="39" a="1"/>
  <c r="Q226" i="39" s="1"/>
  <c r="Q213" i="39" a="1"/>
  <c r="Q213" i="39" s="1"/>
  <c r="Q260" i="39"/>
  <c r="Q314" i="39"/>
  <c r="Q239" i="39"/>
  <c r="Q236" i="39"/>
  <c r="Q240" i="39"/>
  <c r="Q237" i="39"/>
  <c r="Q251" i="39"/>
  <c r="Q241" i="39"/>
  <c r="Q196" i="39"/>
  <c r="Q216" i="39" s="1" a="1"/>
  <c r="Q216" i="39" s="1"/>
  <c r="N982" i="39"/>
  <c r="N983" i="39" s="1"/>
  <c r="N985" i="39" s="1"/>
  <c r="O434" i="39"/>
  <c r="M659" i="39"/>
  <c r="L333" i="39"/>
  <c r="P134" i="39"/>
  <c r="P96" i="39"/>
  <c r="Q583" i="39"/>
  <c r="Q621" i="39"/>
  <c r="R190" i="39"/>
  <c r="S188" i="39"/>
  <c r="N969" i="39"/>
  <c r="N971" i="39"/>
  <c r="N972" i="39" s="1"/>
  <c r="Q723" i="39"/>
  <c r="Q729" i="39"/>
  <c r="Q715" i="39" a="1"/>
  <c r="Q715" i="39" s="1"/>
  <c r="Q716" i="39" a="1"/>
  <c r="Q716" i="39" s="1"/>
  <c r="Q709" i="39" a="1"/>
  <c r="Q709" i="39" s="1"/>
  <c r="Q714" i="39" a="1"/>
  <c r="Q714" i="39" s="1"/>
  <c r="Q680" i="39"/>
  <c r="Q776" i="39" s="1"/>
  <c r="Q702" i="39" a="1"/>
  <c r="Q702" i="39" s="1"/>
  <c r="Q749" i="39"/>
  <c r="Q803" i="39"/>
  <c r="Q725" i="39"/>
  <c r="Q740" i="39"/>
  <c r="Q730" i="39"/>
  <c r="Q727" i="39"/>
  <c r="Q726" i="39"/>
  <c r="Q728" i="39"/>
  <c r="Q685" i="39"/>
  <c r="Q705" i="39" s="1" a="1"/>
  <c r="Q705" i="39" s="1"/>
  <c r="P460" i="39"/>
  <c r="P422" i="39"/>
  <c r="O780" i="39"/>
  <c r="O777" i="39" s="1"/>
  <c r="O742" i="39"/>
  <c r="O739" i="39" s="1"/>
  <c r="P415" i="39"/>
  <c r="P453" i="39"/>
  <c r="P384" i="39" a="1"/>
  <c r="P384" i="39" s="1"/>
  <c r="P381" i="39" s="1"/>
  <c r="O707" i="39"/>
  <c r="O700" i="39" s="1"/>
  <c r="O712" i="39" s="1"/>
  <c r="O719" i="39" s="1"/>
  <c r="S357" i="39"/>
  <c r="P421" i="39"/>
  <c r="P459" i="39"/>
  <c r="P287" i="39"/>
  <c r="P249" i="39"/>
  <c r="P51" i="39"/>
  <c r="P49" i="39" s="1"/>
  <c r="P82" i="39"/>
  <c r="P120" i="39"/>
  <c r="Q561" i="39"/>
  <c r="Q559" i="39" s="1"/>
  <c r="P863" i="39"/>
  <c r="P875" i="39" s="1"/>
  <c r="P882" i="39" s="1"/>
  <c r="R679" i="39"/>
  <c r="R686" i="39" s="1"/>
  <c r="R706" i="39" s="1" a="1"/>
  <c r="R706" i="39" s="1"/>
  <c r="S677" i="39"/>
  <c r="P398" i="39"/>
  <c r="P396" i="39" s="1"/>
  <c r="O83" i="39"/>
  <c r="O81" i="39" s="1"/>
  <c r="O121" i="39"/>
  <c r="O119" i="39" s="1"/>
  <c r="Q738" i="39"/>
  <c r="Q249" i="39"/>
  <c r="T194" i="39"/>
  <c r="P724" i="39"/>
  <c r="P722" i="39" s="1"/>
  <c r="N818" i="39"/>
  <c r="N805" i="39"/>
  <c r="P442" i="39"/>
  <c r="P461" i="39"/>
  <c r="P435" i="39"/>
  <c r="P441" i="39"/>
  <c r="P438" i="39"/>
  <c r="P437" i="39"/>
  <c r="P440" i="39"/>
  <c r="P439" i="39"/>
  <c r="P452" i="39"/>
  <c r="Q354" i="39"/>
  <c r="Q397" i="39"/>
  <c r="Q403" i="39"/>
  <c r="Q388" i="39" a="1"/>
  <c r="Q388" i="39" s="1"/>
  <c r="Q390" i="39" a="1"/>
  <c r="Q390" i="39" s="1"/>
  <c r="Q414" i="39"/>
  <c r="Q383" i="39" a="1"/>
  <c r="Q383" i="39" s="1"/>
  <c r="Q376" i="39" a="1"/>
  <c r="Q376" i="39" s="1"/>
  <c r="Q389" i="39" a="1"/>
  <c r="Q389" i="39" s="1"/>
  <c r="Q423" i="39"/>
  <c r="Q477" i="39"/>
  <c r="Q399" i="39"/>
  <c r="Q404" i="39"/>
  <c r="Q402" i="39"/>
  <c r="Q400" i="39"/>
  <c r="Q401" i="39"/>
  <c r="O285" i="39"/>
  <c r="T520" i="39"/>
  <c r="O273" i="39"/>
  <c r="O271" i="39" s="1"/>
  <c r="O642" i="39"/>
  <c r="O655" i="39"/>
  <c r="P94" i="39"/>
  <c r="P132" i="39"/>
  <c r="Q942" i="39"/>
  <c r="Q904" i="39"/>
  <c r="Q873" i="39" a="1"/>
  <c r="Q873" i="39" s="1"/>
  <c r="Q870" i="39" s="1"/>
  <c r="P898" i="39"/>
  <c r="P896" i="39" s="1"/>
  <c r="P936" i="39"/>
  <c r="P934" i="39" s="1"/>
  <c r="O762" i="39"/>
  <c r="O760" i="39" s="1"/>
  <c r="N656" i="39"/>
  <c r="N657" i="39" s="1"/>
  <c r="N659" i="39" s="1"/>
  <c r="R848" i="39"/>
  <c r="R868" i="39" s="1" a="1"/>
  <c r="R868" i="39" s="1"/>
  <c r="S846" i="39"/>
  <c r="Q938" i="39"/>
  <c r="Q867" i="39"/>
  <c r="Q900" i="39"/>
  <c r="O90" i="39"/>
  <c r="O87" i="39" s="1"/>
  <c r="O128" i="39"/>
  <c r="O125" i="39" s="1"/>
  <c r="O895" i="39"/>
  <c r="O907" i="39" s="1"/>
  <c r="O914" i="39" s="1"/>
  <c r="O917" i="39" s="1"/>
  <c r="O919" i="39" s="1"/>
  <c r="O920" i="39" s="1"/>
  <c r="S684" i="39"/>
  <c r="P458" i="39"/>
  <c r="P420" i="39"/>
  <c r="R552" i="39" a="1"/>
  <c r="R552" i="39" s="1"/>
  <c r="R560" i="39"/>
  <c r="R553" i="39" a="1"/>
  <c r="R553" i="39" s="1"/>
  <c r="R546" i="39" a="1"/>
  <c r="R546" i="39" s="1"/>
  <c r="R517" i="39"/>
  <c r="R613" i="39" s="1"/>
  <c r="R539" i="39" a="1"/>
  <c r="R539" i="39" s="1"/>
  <c r="R551" i="39" a="1"/>
  <c r="R551" i="39" s="1"/>
  <c r="R640" i="39"/>
  <c r="R586" i="39"/>
  <c r="R563" i="39"/>
  <c r="R566" i="39"/>
  <c r="R567" i="39"/>
  <c r="R562" i="39"/>
  <c r="R564" i="39"/>
  <c r="R565" i="39"/>
  <c r="R577" i="39"/>
  <c r="O108" i="39"/>
  <c r="P787" i="39"/>
  <c r="P761" i="39"/>
  <c r="P768" i="39"/>
  <c r="P767" i="39"/>
  <c r="P763" i="39"/>
  <c r="P765" i="39"/>
  <c r="P764" i="39"/>
  <c r="P778" i="39"/>
  <c r="P766" i="39"/>
  <c r="R353" i="39"/>
  <c r="R360" i="39" s="1"/>
  <c r="R380" i="39" s="1" a="1"/>
  <c r="R380" i="39" s="1"/>
  <c r="S351" i="39"/>
  <c r="Q574" i="39"/>
  <c r="Q573" i="39" s="1"/>
  <c r="Q541" i="39"/>
  <c r="Q612" i="39"/>
  <c r="Q611" i="39" s="1"/>
  <c r="R522" i="39"/>
  <c r="R542" i="39" s="1" a="1"/>
  <c r="R542" i="39" s="1"/>
  <c r="O454" i="39"/>
  <c r="O451" i="39" s="1"/>
  <c r="O416" i="39"/>
  <c r="O413" i="39" s="1"/>
  <c r="P135" i="39"/>
  <c r="P114" i="39"/>
  <c r="P109" i="39"/>
  <c r="P112" i="39"/>
  <c r="P116" i="39"/>
  <c r="P126" i="39"/>
  <c r="P115" i="39"/>
  <c r="P111" i="39"/>
  <c r="P113" i="39"/>
  <c r="O284" i="39"/>
  <c r="O282" i="39" s="1"/>
  <c r="O246" i="39"/>
  <c r="O244" i="39" s="1"/>
  <c r="Q866" i="39"/>
  <c r="Q935" i="39"/>
  <c r="Q897" i="39"/>
  <c r="P295" i="39"/>
  <c r="P257" i="39"/>
  <c r="O773" i="39"/>
  <c r="O771" i="39" s="1"/>
  <c r="O735" i="39"/>
  <c r="O733" i="39" s="1"/>
  <c r="M156" i="39"/>
  <c r="M157" i="39" s="1"/>
  <c r="M154" i="39"/>
  <c r="N645" i="39"/>
  <c r="N646" i="39" s="1"/>
  <c r="N643" i="39"/>
  <c r="O447" i="39"/>
  <c r="O445" i="39" s="1"/>
  <c r="O409" i="39"/>
  <c r="O407" i="39" s="1"/>
  <c r="S358" i="39"/>
  <c r="N166" i="39"/>
  <c r="N153" i="39"/>
  <c r="R849" i="39"/>
  <c r="R869" i="39" s="1" a="1"/>
  <c r="R869" i="39" s="1"/>
  <c r="S847" i="39"/>
  <c r="P89" i="39"/>
  <c r="P127" i="39"/>
  <c r="P58" i="39" a="1"/>
  <c r="P58" i="39" s="1"/>
  <c r="P55" i="39" s="1"/>
  <c r="Q949" i="39"/>
  <c r="Q911" i="39"/>
  <c r="P283" i="39"/>
  <c r="P214" i="39"/>
  <c r="P212" i="39" s="1"/>
  <c r="P245" i="39"/>
  <c r="M167" i="39"/>
  <c r="M168" i="39" s="1"/>
  <c r="M480" i="39" l="1"/>
  <c r="P273" i="39"/>
  <c r="P933" i="39"/>
  <c r="P895" i="39"/>
  <c r="P907" i="39" s="1"/>
  <c r="P914" i="39" s="1"/>
  <c r="P917" i="39" s="1"/>
  <c r="P919" i="39" s="1"/>
  <c r="P920" i="39" s="1"/>
  <c r="O492" i="39"/>
  <c r="O243" i="39"/>
  <c r="O255" i="39" s="1"/>
  <c r="O262" i="39" s="1"/>
  <c r="O265" i="39" s="1"/>
  <c r="O267" i="39" s="1"/>
  <c r="O268" i="39" s="1"/>
  <c r="Q411" i="39"/>
  <c r="Q410" i="39" s="1"/>
  <c r="P110" i="39"/>
  <c r="P108" i="39" s="1"/>
  <c r="Q899" i="39"/>
  <c r="O732" i="39"/>
  <c r="O744" i="39" s="1"/>
  <c r="O751" i="39" s="1"/>
  <c r="O754" i="39" s="1"/>
  <c r="O756" i="39" s="1"/>
  <c r="O757" i="39" s="1"/>
  <c r="R887" i="39"/>
  <c r="P569" i="39"/>
  <c r="P581" i="39" s="1"/>
  <c r="P588" i="39" s="1"/>
  <c r="P591" i="39" s="1"/>
  <c r="P593" i="39" s="1"/>
  <c r="P594" i="39" s="1"/>
  <c r="P48" i="39"/>
  <c r="P60" i="39" s="1"/>
  <c r="P67" i="39" s="1"/>
  <c r="P166" i="39" s="1"/>
  <c r="Q724" i="39"/>
  <c r="Q722" i="39" s="1"/>
  <c r="Q72" i="39"/>
  <c r="O118" i="39"/>
  <c r="O130" i="39" s="1"/>
  <c r="O137" i="39" s="1"/>
  <c r="O140" i="39" s="1"/>
  <c r="O142" i="39" s="1"/>
  <c r="O143" i="39" s="1"/>
  <c r="O80" i="39"/>
  <c r="O92" i="39" s="1"/>
  <c r="O99" i="39" s="1"/>
  <c r="O102" i="39" s="1"/>
  <c r="O104" i="39" s="1"/>
  <c r="O105" i="39" s="1"/>
  <c r="Q937" i="39"/>
  <c r="M822" i="39"/>
  <c r="O805" i="39"/>
  <c r="O818" i="39"/>
  <c r="P607" i="39"/>
  <c r="P619" i="39" s="1"/>
  <c r="P626" i="39" s="1"/>
  <c r="P629" i="39" s="1"/>
  <c r="P631" i="39" s="1"/>
  <c r="P632" i="39" s="1"/>
  <c r="P642" i="39"/>
  <c r="P655" i="39"/>
  <c r="M496" i="39"/>
  <c r="R738" i="39"/>
  <c r="M170" i="39"/>
  <c r="M171" i="39" s="1"/>
  <c r="Q610" i="39"/>
  <c r="Q608" i="39" s="1"/>
  <c r="Q572" i="39"/>
  <c r="Q570" i="39" s="1"/>
  <c r="Q747" i="39"/>
  <c r="Q785" i="39"/>
  <c r="L334" i="39"/>
  <c r="M334" i="39"/>
  <c r="Q936" i="39"/>
  <c r="Q934" i="39" s="1"/>
  <c r="Q898" i="39"/>
  <c r="R584" i="39"/>
  <c r="R622" i="39"/>
  <c r="Q461" i="39"/>
  <c r="Q435" i="39"/>
  <c r="Q441" i="39"/>
  <c r="Q438" i="39"/>
  <c r="Q452" i="39"/>
  <c r="Q437" i="39"/>
  <c r="Q439" i="39"/>
  <c r="Q440" i="39"/>
  <c r="Q442" i="39"/>
  <c r="Q449" i="39"/>
  <c r="R234" i="39"/>
  <c r="R226" i="39" a="1"/>
  <c r="R226" i="39" s="1"/>
  <c r="R191" i="39"/>
  <c r="R220" i="39" a="1"/>
  <c r="R220" i="39" s="1"/>
  <c r="R225" i="39" a="1"/>
  <c r="R225" i="39" s="1"/>
  <c r="R227" i="39" a="1"/>
  <c r="R227" i="39" s="1"/>
  <c r="R213" i="39" a="1"/>
  <c r="R213" i="39" s="1"/>
  <c r="R260" i="39"/>
  <c r="R314" i="39"/>
  <c r="R236" i="39"/>
  <c r="R240" i="39"/>
  <c r="R251" i="39"/>
  <c r="R241" i="39"/>
  <c r="R237" i="39"/>
  <c r="R238" i="39"/>
  <c r="R239" i="39"/>
  <c r="R196" i="39"/>
  <c r="R216" i="39" s="1" a="1"/>
  <c r="R216" i="39" s="1"/>
  <c r="Q133" i="39"/>
  <c r="Q95" i="39"/>
  <c r="Q864" i="39"/>
  <c r="Q863" i="39" s="1"/>
  <c r="Q875" i="39" s="1"/>
  <c r="Q882" i="39" s="1"/>
  <c r="P454" i="39"/>
  <c r="P451" i="39" s="1"/>
  <c r="P416" i="39"/>
  <c r="P413" i="39" s="1"/>
  <c r="Q127" i="39"/>
  <c r="Q89" i="39"/>
  <c r="Q58" i="39" a="1"/>
  <c r="Q58" i="39" s="1"/>
  <c r="Q55" i="39" s="1"/>
  <c r="Q925" i="39"/>
  <c r="T684" i="39"/>
  <c r="U194" i="39"/>
  <c r="Q761" i="39"/>
  <c r="Q767" i="39"/>
  <c r="Q778" i="39"/>
  <c r="Q787" i="39"/>
  <c r="Q768" i="39"/>
  <c r="Q766" i="39"/>
  <c r="Q765" i="39"/>
  <c r="Q764" i="39"/>
  <c r="Q763" i="39"/>
  <c r="Q538" i="39"/>
  <c r="O770" i="39"/>
  <c r="O782" i="39" s="1"/>
  <c r="O789" i="39" s="1"/>
  <c r="O792" i="39" s="1"/>
  <c r="O794" i="39" s="1"/>
  <c r="O795" i="39" s="1"/>
  <c r="T358" i="39"/>
  <c r="R574" i="39"/>
  <c r="R573" i="39" s="1"/>
  <c r="R541" i="39"/>
  <c r="R612" i="39"/>
  <c r="R611" i="39" s="1"/>
  <c r="P981" i="39"/>
  <c r="P968" i="39"/>
  <c r="Q124" i="39"/>
  <c r="Q86" i="39"/>
  <c r="Q70" i="39"/>
  <c r="P284" i="39"/>
  <c r="P282" i="39" s="1"/>
  <c r="P246" i="39"/>
  <c r="P244" i="39" s="1"/>
  <c r="R561" i="39"/>
  <c r="R559" i="39" s="1"/>
  <c r="P436" i="39"/>
  <c r="P434" i="39" s="1"/>
  <c r="Q746" i="39"/>
  <c r="Q784" i="39"/>
  <c r="Q235" i="39"/>
  <c r="T195" i="39"/>
  <c r="V683" i="39"/>
  <c r="O166" i="39"/>
  <c r="O153" i="39"/>
  <c r="N167" i="39"/>
  <c r="N168" i="39" s="1"/>
  <c r="Q703" i="39"/>
  <c r="Q772" i="39"/>
  <c r="Q734" i="39"/>
  <c r="Q905" i="39"/>
  <c r="Q902" i="39" s="1"/>
  <c r="Q943" i="39"/>
  <c r="Q940" i="39" s="1"/>
  <c r="Q398" i="39"/>
  <c r="Q396" i="39" s="1"/>
  <c r="Q779" i="39"/>
  <c r="Q741" i="39"/>
  <c r="Q710" i="39" a="1"/>
  <c r="Q710" i="39" s="1"/>
  <c r="N986" i="39"/>
  <c r="R197" i="39"/>
  <c r="R217" i="39" s="1" a="1"/>
  <c r="R217" i="39" s="1"/>
  <c r="O482" i="39"/>
  <c r="O483" i="39" s="1"/>
  <c r="O480" i="39"/>
  <c r="R412" i="39"/>
  <c r="Q52" i="39"/>
  <c r="Q123" i="39"/>
  <c r="Q85" i="39"/>
  <c r="S353" i="39"/>
  <c r="S360" i="39" s="1"/>
  <c r="S380" i="39" s="1" a="1"/>
  <c r="S380" i="39" s="1"/>
  <c r="T351" i="39"/>
  <c r="R390" i="39" a="1"/>
  <c r="R390" i="39" s="1"/>
  <c r="R403" i="39"/>
  <c r="R388" i="39" a="1"/>
  <c r="R388" i="39" s="1"/>
  <c r="R376" i="39" a="1"/>
  <c r="R376" i="39" s="1"/>
  <c r="R400" i="39"/>
  <c r="R389" i="39" a="1"/>
  <c r="R389" i="39" s="1"/>
  <c r="R383" i="39" a="1"/>
  <c r="R383" i="39" s="1"/>
  <c r="R397" i="39"/>
  <c r="R354" i="39"/>
  <c r="R450" i="39" s="1"/>
  <c r="R423" i="39"/>
  <c r="R477" i="39"/>
  <c r="R399" i="39"/>
  <c r="R404" i="39"/>
  <c r="R414" i="39"/>
  <c r="R402" i="39"/>
  <c r="R401" i="39"/>
  <c r="P121" i="39"/>
  <c r="P119" i="39" s="1"/>
  <c r="P83" i="39"/>
  <c r="P81" i="39" s="1"/>
  <c r="Q748" i="39"/>
  <c r="Q786" i="39"/>
  <c r="P122" i="39"/>
  <c r="Q923" i="39"/>
  <c r="O493" i="39"/>
  <c r="O494" i="39" s="1"/>
  <c r="O496" i="39" s="1"/>
  <c r="T516" i="39"/>
  <c r="T523" i="39" s="1"/>
  <c r="T543" i="39" s="1" a="1"/>
  <c r="T543" i="39" s="1"/>
  <c r="U514" i="39"/>
  <c r="Q579" i="39"/>
  <c r="Q576" i="39" s="1"/>
  <c r="Q617" i="39"/>
  <c r="Q614" i="39" s="1"/>
  <c r="P773" i="39"/>
  <c r="P771" i="39" s="1"/>
  <c r="P735" i="39"/>
  <c r="P733" i="39" s="1"/>
  <c r="P84" i="39"/>
  <c r="S553" i="39" a="1"/>
  <c r="S553" i="39" s="1"/>
  <c r="S566" i="39"/>
  <c r="S552" i="39" a="1"/>
  <c r="S552" i="39" s="1"/>
  <c r="S560" i="39"/>
  <c r="S551" i="39" a="1"/>
  <c r="S551" i="39" s="1"/>
  <c r="S539" i="39" a="1"/>
  <c r="S539" i="39" s="1"/>
  <c r="S517" i="39"/>
  <c r="S612" i="39" s="1"/>
  <c r="S546" i="39" a="1"/>
  <c r="S546" i="39" s="1"/>
  <c r="S640" i="39"/>
  <c r="S586" i="39"/>
  <c r="S567" i="39"/>
  <c r="S562" i="39"/>
  <c r="S564" i="39"/>
  <c r="S563" i="39"/>
  <c r="S565" i="39"/>
  <c r="S577" i="39"/>
  <c r="Q544" i="39"/>
  <c r="P247" i="39"/>
  <c r="P700" i="39"/>
  <c r="P712" i="39" s="1"/>
  <c r="P719" i="39" s="1"/>
  <c r="V32" i="39"/>
  <c r="Q450" i="39"/>
  <c r="Q421" i="39"/>
  <c r="Q459" i="39"/>
  <c r="O444" i="39"/>
  <c r="O456" i="39" s="1"/>
  <c r="O463" i="39" s="1"/>
  <c r="O466" i="39" s="1"/>
  <c r="O468" i="39" s="1"/>
  <c r="O469" i="39" s="1"/>
  <c r="Q214" i="39"/>
  <c r="Q212" i="39" s="1"/>
  <c r="Q245" i="39"/>
  <c r="Q283" i="39"/>
  <c r="R866" i="39"/>
  <c r="R864" i="39" s="1"/>
  <c r="R897" i="39"/>
  <c r="R935" i="39"/>
  <c r="Q704" i="39"/>
  <c r="Q737" i="39"/>
  <c r="Q736" i="39" s="1"/>
  <c r="Q775" i="39"/>
  <c r="Q774" i="39" s="1"/>
  <c r="Q258" i="39"/>
  <c r="Q296" i="39"/>
  <c r="R911" i="39"/>
  <c r="R949" i="39"/>
  <c r="P285" i="39"/>
  <c r="L171" i="39"/>
  <c r="P90" i="39"/>
  <c r="P87" i="39" s="1"/>
  <c r="P128" i="39"/>
  <c r="P125" i="39" s="1"/>
  <c r="R583" i="39"/>
  <c r="R621" i="39"/>
  <c r="Q453" i="39"/>
  <c r="Q415" i="39"/>
  <c r="Q384" i="39" a="1"/>
  <c r="Q384" i="39" s="1"/>
  <c r="N660" i="39"/>
  <c r="M660" i="39"/>
  <c r="Q275" i="39"/>
  <c r="Q298" i="39"/>
  <c r="Q276" i="39"/>
  <c r="Q272" i="39"/>
  <c r="Q274" i="39"/>
  <c r="Q277" i="39"/>
  <c r="Q278" i="39"/>
  <c r="Q279" i="39"/>
  <c r="Q289" i="39"/>
  <c r="R924" i="39"/>
  <c r="R929" i="39"/>
  <c r="R950" i="39"/>
  <c r="R931" i="39"/>
  <c r="R926" i="39"/>
  <c r="R930" i="39"/>
  <c r="R928" i="39"/>
  <c r="R927" i="39"/>
  <c r="R941" i="39"/>
  <c r="O329" i="39"/>
  <c r="O316" i="39"/>
  <c r="Q377" i="39"/>
  <c r="Q375" i="39" s="1"/>
  <c r="Q446" i="39"/>
  <c r="Q408" i="39"/>
  <c r="P762" i="39"/>
  <c r="P760" i="39" s="1"/>
  <c r="R540" i="39"/>
  <c r="R538" i="39" s="1"/>
  <c r="R609" i="39"/>
  <c r="R571" i="39"/>
  <c r="S848" i="39"/>
  <c r="S868" i="39" s="1" a="1"/>
  <c r="S868" i="39" s="1"/>
  <c r="T846" i="39"/>
  <c r="O656" i="39"/>
  <c r="O657" i="39" s="1"/>
  <c r="Q252" i="39"/>
  <c r="Q290" i="39"/>
  <c r="Q221" i="39" a="1"/>
  <c r="Q221" i="39" s="1"/>
  <c r="Q82" i="39"/>
  <c r="Q51" i="39"/>
  <c r="Q120" i="39"/>
  <c r="R909" i="39"/>
  <c r="R947" i="39"/>
  <c r="U521" i="39"/>
  <c r="P253" i="39"/>
  <c r="P250" i="39" s="1"/>
  <c r="P291" i="39"/>
  <c r="P288" i="39" s="1"/>
  <c r="N493" i="39"/>
  <c r="N494" i="39" s="1"/>
  <c r="R598" i="39"/>
  <c r="R624" i="39"/>
  <c r="R601" i="39"/>
  <c r="R604" i="39"/>
  <c r="R603" i="39"/>
  <c r="R600" i="39"/>
  <c r="R615" i="39"/>
  <c r="R602" i="39"/>
  <c r="R605" i="39"/>
  <c r="R900" i="39"/>
  <c r="R867" i="39"/>
  <c r="R938" i="39"/>
  <c r="O643" i="39"/>
  <c r="O645" i="39"/>
  <c r="O646" i="39" s="1"/>
  <c r="Q460" i="39"/>
  <c r="Q422" i="39"/>
  <c r="N806" i="39"/>
  <c r="N808" i="39"/>
  <c r="N809" i="39" s="1"/>
  <c r="Q113" i="39"/>
  <c r="Q135" i="39"/>
  <c r="Q109" i="39"/>
  <c r="Q114" i="39"/>
  <c r="Q126" i="39"/>
  <c r="Q112" i="39"/>
  <c r="Q116" i="39"/>
  <c r="Q111" i="39"/>
  <c r="Q115" i="39"/>
  <c r="R904" i="39"/>
  <c r="R942" i="39"/>
  <c r="R873" i="39" a="1"/>
  <c r="R873" i="39" s="1"/>
  <c r="R870" i="39" s="1"/>
  <c r="S523" i="39"/>
  <c r="S543" i="39" s="1" a="1"/>
  <c r="S543" i="39" s="1"/>
  <c r="S541" i="39" s="1"/>
  <c r="Q599" i="39"/>
  <c r="Q597" i="39" s="1"/>
  <c r="P447" i="39"/>
  <c r="P445" i="39" s="1"/>
  <c r="P409" i="39"/>
  <c r="P407" i="39" s="1"/>
  <c r="O971" i="39"/>
  <c r="O972" i="39" s="1"/>
  <c r="O969" i="39"/>
  <c r="P218" i="39"/>
  <c r="P211" i="39" s="1"/>
  <c r="P223" i="39" s="1"/>
  <c r="P230" i="39" s="1"/>
  <c r="N482" i="39"/>
  <c r="N483" i="39" s="1"/>
  <c r="N480" i="39"/>
  <c r="S877" i="39" a="1"/>
  <c r="S877" i="39" s="1"/>
  <c r="S878" i="39" a="1"/>
  <c r="S878" i="39" s="1"/>
  <c r="S886" i="39"/>
  <c r="S890" i="39"/>
  <c r="S872" i="39" a="1"/>
  <c r="S872" i="39" s="1"/>
  <c r="S879" i="39" a="1"/>
  <c r="S879" i="39" s="1"/>
  <c r="S843" i="39"/>
  <c r="S889" i="39"/>
  <c r="S865" i="39" a="1"/>
  <c r="S865" i="39" s="1"/>
  <c r="S912" i="39"/>
  <c r="S966" i="39"/>
  <c r="S888" i="39"/>
  <c r="S893" i="39"/>
  <c r="S891" i="39"/>
  <c r="S892" i="39"/>
  <c r="S903" i="39"/>
  <c r="P374" i="39"/>
  <c r="P386" i="39" s="1"/>
  <c r="P393" i="39" s="1"/>
  <c r="O982" i="39"/>
  <c r="O983" i="39" s="1"/>
  <c r="O985" i="39" s="1"/>
  <c r="O986" i="39" s="1"/>
  <c r="T842" i="39"/>
  <c r="U840" i="39"/>
  <c r="P780" i="39"/>
  <c r="P777" i="39" s="1"/>
  <c r="P742" i="39"/>
  <c r="P739" i="39" s="1"/>
  <c r="P945" i="39"/>
  <c r="P952" i="39" s="1"/>
  <c r="P955" i="39" s="1"/>
  <c r="P957" i="39" s="1"/>
  <c r="P958" i="39" s="1"/>
  <c r="O281" i="39"/>
  <c r="O293" i="39" s="1"/>
  <c r="O300" i="39" s="1"/>
  <c r="O303" i="39" s="1"/>
  <c r="O305" i="39" s="1"/>
  <c r="O306" i="39" s="1"/>
  <c r="S849" i="39"/>
  <c r="S869" i="39" s="1" a="1"/>
  <c r="S869" i="39" s="1"/>
  <c r="T847" i="39"/>
  <c r="R616" i="39"/>
  <c r="R578" i="39"/>
  <c r="R547" i="39" a="1"/>
  <c r="R547" i="39" s="1"/>
  <c r="R544" i="39" s="1"/>
  <c r="Q420" i="39"/>
  <c r="Q458" i="39"/>
  <c r="N819" i="39"/>
  <c r="N820" i="39" s="1"/>
  <c r="S679" i="39"/>
  <c r="S686" i="39" s="1"/>
  <c r="S706" i="39" s="1" a="1"/>
  <c r="S706" i="39" s="1"/>
  <c r="T677" i="39"/>
  <c r="S359" i="39"/>
  <c r="S379" i="39" s="1" a="1"/>
  <c r="S379" i="39" s="1"/>
  <c r="T357" i="39"/>
  <c r="Q295" i="39"/>
  <c r="Q257" i="39"/>
  <c r="Q134" i="39"/>
  <c r="Q96" i="39"/>
  <c r="R910" i="39"/>
  <c r="R948" i="39"/>
  <c r="R939" i="39"/>
  <c r="R901" i="39"/>
  <c r="Q896" i="39"/>
  <c r="O406" i="39"/>
  <c r="O418" i="39" s="1"/>
  <c r="O425" i="39" s="1"/>
  <c r="O428" i="39" s="1"/>
  <c r="O430" i="39" s="1"/>
  <c r="O431" i="39" s="1"/>
  <c r="R585" i="39"/>
  <c r="R623" i="39"/>
  <c r="U520" i="39"/>
  <c r="R723" i="39"/>
  <c r="R716" i="39" a="1"/>
  <c r="R716" i="39" s="1"/>
  <c r="R680" i="39"/>
  <c r="R715" i="39" a="1"/>
  <c r="R715" i="39" s="1"/>
  <c r="R709" i="39" a="1"/>
  <c r="R709" i="39" s="1"/>
  <c r="R714" i="39" a="1"/>
  <c r="R714" i="39" s="1"/>
  <c r="R702" i="39" a="1"/>
  <c r="R702" i="39" s="1"/>
  <c r="R749" i="39"/>
  <c r="R803" i="39"/>
  <c r="R728" i="39"/>
  <c r="R729" i="39"/>
  <c r="R727" i="39"/>
  <c r="R730" i="39"/>
  <c r="R740" i="39"/>
  <c r="R725" i="39"/>
  <c r="R726" i="39"/>
  <c r="R685" i="39"/>
  <c r="R705" i="39" s="1" a="1"/>
  <c r="R705" i="39" s="1"/>
  <c r="R359" i="39"/>
  <c r="R379" i="39" s="1" a="1"/>
  <c r="R379" i="39" s="1"/>
  <c r="Q233" i="39"/>
  <c r="Q132" i="39"/>
  <c r="Q94" i="39"/>
  <c r="R885" i="39"/>
  <c r="N156" i="39"/>
  <c r="N157" i="39" s="1"/>
  <c r="N154" i="39"/>
  <c r="S574" i="39"/>
  <c r="T188" i="39"/>
  <c r="S190" i="39"/>
  <c r="Q215" i="39"/>
  <c r="Q248" i="39"/>
  <c r="Q247" i="39" s="1"/>
  <c r="Q286" i="39"/>
  <c r="Q285" i="39" s="1"/>
  <c r="Q259" i="39"/>
  <c r="Q297" i="39"/>
  <c r="R71" i="39"/>
  <c r="R62" i="39" a="1"/>
  <c r="R62" i="39" s="1"/>
  <c r="R57" i="39" a="1"/>
  <c r="R57" i="39" s="1"/>
  <c r="R64" i="39" a="1"/>
  <c r="R64" i="39" s="1"/>
  <c r="R63" i="39" a="1"/>
  <c r="R63" i="39" s="1"/>
  <c r="R28" i="39"/>
  <c r="R50" i="39" a="1"/>
  <c r="R50" i="39" s="1"/>
  <c r="R97" i="39"/>
  <c r="R151" i="39"/>
  <c r="R78" i="39"/>
  <c r="R73" i="39"/>
  <c r="R77" i="39"/>
  <c r="R76" i="39"/>
  <c r="R74" i="39"/>
  <c r="R88" i="39"/>
  <c r="R75" i="39"/>
  <c r="R33" i="39"/>
  <c r="R53" i="39" s="1" a="1"/>
  <c r="R53" i="39" s="1"/>
  <c r="R34" i="39"/>
  <c r="R54" i="39" s="1" a="1"/>
  <c r="R54" i="39" s="1"/>
  <c r="X31" i="39"/>
  <c r="P271" i="39"/>
  <c r="N317" i="39"/>
  <c r="N319" i="39"/>
  <c r="N320" i="39" s="1"/>
  <c r="T25" i="39"/>
  <c r="S27" i="39"/>
  <c r="N330" i="39"/>
  <c r="N331" i="39" s="1"/>
  <c r="T522" i="39" l="1"/>
  <c r="T542" i="39" s="1" a="1"/>
  <c r="T542" i="39" s="1"/>
  <c r="P80" i="39"/>
  <c r="P92" i="39" s="1"/>
  <c r="P99" i="39" s="1"/>
  <c r="P102" i="39" s="1"/>
  <c r="P104" i="39" s="1"/>
  <c r="P105" i="39" s="1"/>
  <c r="P153" i="39"/>
  <c r="Q273" i="39"/>
  <c r="Q537" i="39"/>
  <c r="Q549" i="39" s="1"/>
  <c r="Q556" i="39" s="1"/>
  <c r="Q762" i="39"/>
  <c r="Q760" i="39" s="1"/>
  <c r="P732" i="39"/>
  <c r="P744" i="39" s="1"/>
  <c r="P751" i="39" s="1"/>
  <c r="P754" i="39" s="1"/>
  <c r="P756" i="39" s="1"/>
  <c r="P757" i="39" s="1"/>
  <c r="S561" i="39"/>
  <c r="S559" i="39" s="1"/>
  <c r="R599" i="39"/>
  <c r="R597" i="39" s="1"/>
  <c r="R937" i="39"/>
  <c r="P243" i="39"/>
  <c r="P255" i="39" s="1"/>
  <c r="P262" i="39" s="1"/>
  <c r="P265" i="39" s="1"/>
  <c r="P267" i="39" s="1"/>
  <c r="P268" i="39" s="1"/>
  <c r="Q448" i="39"/>
  <c r="S887" i="39"/>
  <c r="S885" i="39" s="1"/>
  <c r="N333" i="39"/>
  <c r="N496" i="39"/>
  <c r="O497" i="39" s="1"/>
  <c r="R863" i="39"/>
  <c r="R875" i="39" s="1"/>
  <c r="R882" i="39" s="1"/>
  <c r="N822" i="39"/>
  <c r="N823" i="39" s="1"/>
  <c r="P329" i="39"/>
  <c r="P316" i="39"/>
  <c r="N170" i="39"/>
  <c r="Y31" i="39"/>
  <c r="R96" i="39"/>
  <c r="R134" i="39"/>
  <c r="Q933" i="39"/>
  <c r="Q945" i="39" s="1"/>
  <c r="Q952" i="39" s="1"/>
  <c r="Q955" i="39" s="1"/>
  <c r="Q957" i="39" s="1"/>
  <c r="Q958" i="39" s="1"/>
  <c r="S924" i="39"/>
  <c r="S950" i="39"/>
  <c r="S929" i="39"/>
  <c r="S927" i="39"/>
  <c r="S928" i="39"/>
  <c r="S930" i="39"/>
  <c r="S931" i="39"/>
  <c r="S926" i="39"/>
  <c r="S941" i="39"/>
  <c r="R610" i="39"/>
  <c r="R608" i="39" s="1"/>
  <c r="R572" i="39"/>
  <c r="U358" i="39"/>
  <c r="R89" i="39"/>
  <c r="R127" i="39"/>
  <c r="R58" i="39" a="1"/>
  <c r="R58" i="39" s="1"/>
  <c r="R55" i="39" s="1"/>
  <c r="Q895" i="39"/>
  <c r="Q907" i="39" s="1"/>
  <c r="Q914" i="39" s="1"/>
  <c r="Q917" i="39" s="1"/>
  <c r="Q919" i="39" s="1"/>
  <c r="Q920" i="39" s="1"/>
  <c r="S911" i="39"/>
  <c r="S949" i="39"/>
  <c r="S613" i="39"/>
  <c r="S575" i="39"/>
  <c r="S573" i="39" s="1"/>
  <c r="Q121" i="39"/>
  <c r="Q119" i="39" s="1"/>
  <c r="Q83" i="39"/>
  <c r="Q81" i="39" s="1"/>
  <c r="R537" i="39"/>
  <c r="R549" i="39" s="1"/>
  <c r="R556" i="39" s="1"/>
  <c r="R415" i="39"/>
  <c r="R453" i="39"/>
  <c r="R384" i="39" a="1"/>
  <c r="R384" i="39" s="1"/>
  <c r="Q735" i="39"/>
  <c r="Q733" i="39" s="1"/>
  <c r="Q773" i="39"/>
  <c r="Q771" i="39" s="1"/>
  <c r="S412" i="39"/>
  <c r="P118" i="39"/>
  <c r="R214" i="39"/>
  <c r="R212" i="39" s="1"/>
  <c r="R283" i="39"/>
  <c r="R245" i="39"/>
  <c r="M497" i="39"/>
  <c r="R124" i="39"/>
  <c r="R86" i="39"/>
  <c r="R132" i="39"/>
  <c r="R94" i="39"/>
  <c r="V840" i="39"/>
  <c r="U842" i="39"/>
  <c r="S942" i="39"/>
  <c r="S904" i="39"/>
  <c r="S873" i="39" a="1"/>
  <c r="S873" i="39" s="1"/>
  <c r="S870" i="39" s="1"/>
  <c r="U516" i="39"/>
  <c r="V514" i="39"/>
  <c r="R421" i="39"/>
  <c r="R459" i="39"/>
  <c r="P770" i="39"/>
  <c r="P782" i="39" s="1"/>
  <c r="P789" i="39" s="1"/>
  <c r="P792" i="39" s="1"/>
  <c r="P794" i="39" s="1"/>
  <c r="P795" i="39" s="1"/>
  <c r="Q701" i="39"/>
  <c r="V194" i="39"/>
  <c r="Q981" i="39"/>
  <c r="Q968" i="39"/>
  <c r="R297" i="39"/>
  <c r="R259" i="39"/>
  <c r="P656" i="39"/>
  <c r="P657" i="39" s="1"/>
  <c r="Q569" i="39"/>
  <c r="Q581" i="39" s="1"/>
  <c r="Q588" i="39" s="1"/>
  <c r="Q591" i="39" s="1"/>
  <c r="Q593" i="39" s="1"/>
  <c r="Q594" i="39" s="1"/>
  <c r="R123" i="39"/>
  <c r="R85" i="39"/>
  <c r="R52" i="39"/>
  <c r="T886" i="39"/>
  <c r="T879" i="39" a="1"/>
  <c r="T879" i="39" s="1"/>
  <c r="T865" i="39" a="1"/>
  <c r="T865" i="39" s="1"/>
  <c r="T843" i="39"/>
  <c r="T878" i="39" a="1"/>
  <c r="T878" i="39" s="1"/>
  <c r="T892" i="39"/>
  <c r="T872" i="39" a="1"/>
  <c r="T872" i="39" s="1"/>
  <c r="T877" i="39" a="1"/>
  <c r="T877" i="39" s="1"/>
  <c r="T912" i="39"/>
  <c r="T966" i="39"/>
  <c r="T891" i="39"/>
  <c r="T889" i="39"/>
  <c r="T893" i="39"/>
  <c r="T890" i="39"/>
  <c r="T888" i="39"/>
  <c r="T903" i="39"/>
  <c r="R943" i="39"/>
  <c r="R905" i="39"/>
  <c r="R902" i="39" s="1"/>
  <c r="Q49" i="39"/>
  <c r="Q48" i="39" s="1"/>
  <c r="Q60" i="39" s="1"/>
  <c r="Q67" i="39" s="1"/>
  <c r="Q284" i="39"/>
  <c r="Q282" i="39" s="1"/>
  <c r="Q246" i="39"/>
  <c r="Q244" i="39" s="1"/>
  <c r="T560" i="39"/>
  <c r="T546" i="39" a="1"/>
  <c r="T546" i="39" s="1"/>
  <c r="T551" i="39" a="1"/>
  <c r="T551" i="39" s="1"/>
  <c r="T553" i="39" a="1"/>
  <c r="T553" i="39" s="1"/>
  <c r="T517" i="39"/>
  <c r="T552" i="39" a="1"/>
  <c r="T552" i="39" s="1"/>
  <c r="T539" i="39" a="1"/>
  <c r="T539" i="39" s="1"/>
  <c r="T586" i="39"/>
  <c r="T640" i="39"/>
  <c r="T566" i="39"/>
  <c r="T567" i="39"/>
  <c r="T564" i="39"/>
  <c r="T563" i="39"/>
  <c r="T565" i="39"/>
  <c r="T577" i="39"/>
  <c r="T562" i="39"/>
  <c r="R249" i="39"/>
  <c r="R287" i="39"/>
  <c r="R257" i="39"/>
  <c r="R295" i="39"/>
  <c r="P645" i="39"/>
  <c r="P646" i="39" s="1"/>
  <c r="P643" i="39"/>
  <c r="U188" i="39"/>
  <c r="T190" i="39"/>
  <c r="T197" i="39" s="1"/>
  <c r="T217" i="39" s="1" a="1"/>
  <c r="T217" i="39" s="1"/>
  <c r="R734" i="39"/>
  <c r="R772" i="39"/>
  <c r="R703" i="39"/>
  <c r="R701" i="39" s="1"/>
  <c r="Q253" i="39"/>
  <c r="Q250" i="39" s="1"/>
  <c r="Q291" i="39"/>
  <c r="Q288" i="39" s="1"/>
  <c r="R408" i="39"/>
  <c r="R446" i="39"/>
  <c r="R377" i="39"/>
  <c r="R375" i="39" s="1"/>
  <c r="U684" i="39"/>
  <c r="R290" i="39"/>
  <c r="R252" i="39"/>
  <c r="R221" i="39" a="1"/>
  <c r="R221" i="39" s="1"/>
  <c r="R746" i="39"/>
  <c r="R784" i="39"/>
  <c r="R579" i="39"/>
  <c r="R576" i="39" s="1"/>
  <c r="R617" i="39"/>
  <c r="R614" i="39" s="1"/>
  <c r="S910" i="39"/>
  <c r="S948" i="39"/>
  <c r="Q218" i="39"/>
  <c r="Q211" i="39" s="1"/>
  <c r="Q223" i="39" s="1"/>
  <c r="Q230" i="39" s="1"/>
  <c r="S578" i="39"/>
  <c r="S616" i="39"/>
  <c r="S547" i="39" a="1"/>
  <c r="S547" i="39" s="1"/>
  <c r="S544" i="39" s="1"/>
  <c r="R458" i="39"/>
  <c r="R420" i="39"/>
  <c r="Q655" i="39"/>
  <c r="Q642" i="39"/>
  <c r="S738" i="39"/>
  <c r="R272" i="39"/>
  <c r="R298" i="39"/>
  <c r="R278" i="39"/>
  <c r="R277" i="39"/>
  <c r="R279" i="39"/>
  <c r="R275" i="39"/>
  <c r="R276" i="39"/>
  <c r="R274" i="39"/>
  <c r="R289" i="39"/>
  <c r="R779" i="39"/>
  <c r="R741" i="39"/>
  <c r="R710" i="39" a="1"/>
  <c r="R710" i="39" s="1"/>
  <c r="P479" i="39"/>
  <c r="P492" i="39"/>
  <c r="S947" i="39"/>
  <c r="S909" i="39"/>
  <c r="S598" i="39"/>
  <c r="S624" i="39"/>
  <c r="S615" i="39"/>
  <c r="S604" i="39"/>
  <c r="S600" i="39"/>
  <c r="S605" i="39"/>
  <c r="S602" i="39"/>
  <c r="S601" i="39"/>
  <c r="S603" i="39"/>
  <c r="R258" i="39"/>
  <c r="R296" i="39"/>
  <c r="O819" i="39"/>
  <c r="O820" i="39" s="1"/>
  <c r="O822" i="39" s="1"/>
  <c r="R747" i="39"/>
  <c r="R785" i="39"/>
  <c r="Q447" i="39"/>
  <c r="Q445" i="39" s="1"/>
  <c r="Q409" i="39"/>
  <c r="Q407" i="39" s="1"/>
  <c r="S540" i="39"/>
  <c r="S538" i="39" s="1"/>
  <c r="S609" i="39"/>
  <c r="S571" i="39"/>
  <c r="R422" i="39"/>
  <c r="R460" i="39"/>
  <c r="Q780" i="39"/>
  <c r="Q742" i="39"/>
  <c r="Q739" i="39" s="1"/>
  <c r="O156" i="39"/>
  <c r="O157" i="39" s="1"/>
  <c r="O154" i="39"/>
  <c r="R248" i="39"/>
  <c r="R215" i="39"/>
  <c r="R286" i="39"/>
  <c r="O806" i="39"/>
  <c r="O808" i="39"/>
  <c r="O809" i="39" s="1"/>
  <c r="R766" i="39"/>
  <c r="R761" i="39"/>
  <c r="R768" i="39"/>
  <c r="R787" i="39"/>
  <c r="R765" i="39"/>
  <c r="R764" i="39"/>
  <c r="R767" i="39"/>
  <c r="R778" i="39"/>
  <c r="R763" i="39"/>
  <c r="P444" i="39"/>
  <c r="P456" i="39" s="1"/>
  <c r="P463" i="39" s="1"/>
  <c r="P466" i="39" s="1"/>
  <c r="P468" i="39" s="1"/>
  <c r="P469" i="39" s="1"/>
  <c r="O317" i="39"/>
  <c r="O319" i="39"/>
  <c r="O320" i="39" s="1"/>
  <c r="Q454" i="39"/>
  <c r="Q451" i="39" s="1"/>
  <c r="Q416" i="39"/>
  <c r="Q413" i="39" s="1"/>
  <c r="W32" i="39"/>
  <c r="S583" i="39"/>
  <c r="S621" i="39"/>
  <c r="U351" i="39"/>
  <c r="T353" i="39"/>
  <c r="T359" i="39" s="1"/>
  <c r="T379" i="39" s="1" a="1"/>
  <c r="T379" i="39" s="1"/>
  <c r="Q707" i="39"/>
  <c r="O167" i="39"/>
  <c r="O168" i="39" s="1"/>
  <c r="Q607" i="39"/>
  <c r="Q619" i="39" s="1"/>
  <c r="Q626" i="39" s="1"/>
  <c r="Q629" i="39" s="1"/>
  <c r="Q631" i="39" s="1"/>
  <c r="Q632" i="39" s="1"/>
  <c r="R72" i="39"/>
  <c r="R70" i="39" s="1"/>
  <c r="S234" i="39"/>
  <c r="S220" i="39" a="1"/>
  <c r="S220" i="39" s="1"/>
  <c r="S191" i="39"/>
  <c r="S227" i="39" a="1"/>
  <c r="S227" i="39" s="1"/>
  <c r="S225" i="39" a="1"/>
  <c r="S225" i="39" s="1"/>
  <c r="S241" i="39"/>
  <c r="S213" i="39" a="1"/>
  <c r="S213" i="39" s="1"/>
  <c r="S226" i="39" a="1"/>
  <c r="S226" i="39" s="1"/>
  <c r="S260" i="39"/>
  <c r="S314" i="39"/>
  <c r="S236" i="39"/>
  <c r="S240" i="39"/>
  <c r="S239" i="39"/>
  <c r="S238" i="39"/>
  <c r="S251" i="39"/>
  <c r="S237" i="39"/>
  <c r="S196" i="39"/>
  <c r="S216" i="39" s="1" a="1"/>
  <c r="S216" i="39" s="1"/>
  <c r="R449" i="39"/>
  <c r="R448" i="39" s="1"/>
  <c r="R411" i="39"/>
  <c r="R410" i="39" s="1"/>
  <c r="R378" i="39"/>
  <c r="R786" i="39"/>
  <c r="R748" i="39"/>
  <c r="T849" i="39"/>
  <c r="T869" i="39" s="1" a="1"/>
  <c r="T869" i="39" s="1"/>
  <c r="U847" i="39"/>
  <c r="Q110" i="39"/>
  <c r="Q108" i="39" s="1"/>
  <c r="R899" i="39"/>
  <c r="U523" i="39"/>
  <c r="U543" i="39" s="1" a="1"/>
  <c r="U543" i="39" s="1"/>
  <c r="V521" i="39"/>
  <c r="O330" i="39"/>
  <c r="O331" i="39" s="1"/>
  <c r="Q381" i="39"/>
  <c r="Q374" i="39" s="1"/>
  <c r="Q386" i="39" s="1"/>
  <c r="Q393" i="39" s="1"/>
  <c r="S389" i="39" a="1"/>
  <c r="S389" i="39" s="1"/>
  <c r="S388" i="39" a="1"/>
  <c r="S388" i="39" s="1"/>
  <c r="S354" i="39"/>
  <c r="S450" i="39" s="1"/>
  <c r="S390" i="39" a="1"/>
  <c r="S390" i="39" s="1"/>
  <c r="S397" i="39"/>
  <c r="S383" i="39" a="1"/>
  <c r="S383" i="39" s="1"/>
  <c r="S376" i="39" a="1"/>
  <c r="S376" i="39" s="1"/>
  <c r="S477" i="39"/>
  <c r="S423" i="39"/>
  <c r="S399" i="39"/>
  <c r="S400" i="39"/>
  <c r="S401" i="39"/>
  <c r="S403" i="39"/>
  <c r="S404" i="39"/>
  <c r="S414" i="39"/>
  <c r="S402" i="39"/>
  <c r="W683" i="39"/>
  <c r="P969" i="39"/>
  <c r="P971" i="39"/>
  <c r="P972" i="39" s="1"/>
  <c r="R737" i="39"/>
  <c r="R736" i="39" s="1"/>
  <c r="R704" i="39"/>
  <c r="R775" i="39"/>
  <c r="T575" i="39"/>
  <c r="O659" i="39"/>
  <c r="P406" i="39"/>
  <c r="P418" i="39" s="1"/>
  <c r="P425" i="39" s="1"/>
  <c r="P428" i="39" s="1"/>
  <c r="P430" i="39" s="1"/>
  <c r="P431" i="39" s="1"/>
  <c r="P805" i="39"/>
  <c r="P818" i="39"/>
  <c r="S584" i="39"/>
  <c r="S622" i="39"/>
  <c r="P281" i="39"/>
  <c r="P293" i="39" s="1"/>
  <c r="P300" i="39" s="1"/>
  <c r="P303" i="39" s="1"/>
  <c r="P305" i="39" s="1"/>
  <c r="P306" i="39" s="1"/>
  <c r="P982" i="39"/>
  <c r="P983" i="39" s="1"/>
  <c r="P156" i="39"/>
  <c r="P157" i="39" s="1"/>
  <c r="P154" i="39"/>
  <c r="R940" i="39"/>
  <c r="Q271" i="39"/>
  <c r="Q84" i="39"/>
  <c r="U195" i="39"/>
  <c r="P167" i="39"/>
  <c r="P168" i="39" s="1"/>
  <c r="P170" i="39" s="1"/>
  <c r="T848" i="39"/>
  <c r="T868" i="39" s="1" a="1"/>
  <c r="T868" i="39" s="1"/>
  <c r="U846" i="39"/>
  <c r="S623" i="39"/>
  <c r="S585" i="39"/>
  <c r="R398" i="39"/>
  <c r="R396" i="39" s="1"/>
  <c r="Q122" i="39"/>
  <c r="S197" i="39"/>
  <c r="S217" i="39" s="1" a="1"/>
  <c r="S217" i="39" s="1"/>
  <c r="Q90" i="39"/>
  <c r="Q87" i="39" s="1"/>
  <c r="Q128" i="39"/>
  <c r="Q125" i="39" s="1"/>
  <c r="U25" i="39"/>
  <c r="T27" i="39"/>
  <c r="R724" i="39"/>
  <c r="R722" i="39" s="1"/>
  <c r="S449" i="39"/>
  <c r="S411" i="39"/>
  <c r="S410" i="39" s="1"/>
  <c r="S378" i="39"/>
  <c r="R776" i="39"/>
  <c r="S939" i="39"/>
  <c r="S901" i="39"/>
  <c r="S64" i="39" a="1"/>
  <c r="S64" i="39" s="1"/>
  <c r="S57" i="39" a="1"/>
  <c r="S57" i="39" s="1"/>
  <c r="S63" i="39" a="1"/>
  <c r="S63" i="39" s="1"/>
  <c r="S71" i="39"/>
  <c r="S28" i="39"/>
  <c r="S62" i="39" a="1"/>
  <c r="S62" i="39" s="1"/>
  <c r="S50" i="39" a="1"/>
  <c r="S50" i="39" s="1"/>
  <c r="S97" i="39"/>
  <c r="S151" i="39"/>
  <c r="S75" i="39"/>
  <c r="S78" i="39"/>
  <c r="S88" i="39"/>
  <c r="S73" i="39"/>
  <c r="S77" i="39"/>
  <c r="S76" i="39"/>
  <c r="S74" i="39"/>
  <c r="S33" i="39"/>
  <c r="S53" i="39" s="1" a="1"/>
  <c r="S53" i="39" s="1"/>
  <c r="S34" i="39"/>
  <c r="S54" i="39" s="1" a="1"/>
  <c r="S54" i="39" s="1"/>
  <c r="R51" i="39"/>
  <c r="R49" i="39" s="1"/>
  <c r="R82" i="39"/>
  <c r="R120" i="39"/>
  <c r="S611" i="39"/>
  <c r="R135" i="39"/>
  <c r="R113" i="39"/>
  <c r="R109" i="39"/>
  <c r="R126" i="39"/>
  <c r="R115" i="39"/>
  <c r="R111" i="39"/>
  <c r="R116" i="39"/>
  <c r="R114" i="39"/>
  <c r="R112" i="39"/>
  <c r="T679" i="39"/>
  <c r="T686" i="39" s="1"/>
  <c r="T706" i="39" s="1" a="1"/>
  <c r="T706" i="39" s="1"/>
  <c r="U677" i="39"/>
  <c r="S935" i="39"/>
  <c r="S866" i="39"/>
  <c r="S864" i="39" s="1"/>
  <c r="S897" i="39"/>
  <c r="R570" i="39"/>
  <c r="P130" i="39"/>
  <c r="P137" i="39" s="1"/>
  <c r="P140" i="39" s="1"/>
  <c r="P142" i="39" s="1"/>
  <c r="P143" i="39" s="1"/>
  <c r="Q777" i="39"/>
  <c r="R235" i="39"/>
  <c r="R233" i="39" s="1"/>
  <c r="Q436" i="39"/>
  <c r="Q434" i="39" s="1"/>
  <c r="M823" i="39"/>
  <c r="U522" i="39"/>
  <c r="U542" i="39" s="1" a="1"/>
  <c r="U542" i="39" s="1"/>
  <c r="V520" i="39"/>
  <c r="T574" i="39"/>
  <c r="T541" i="39"/>
  <c r="U357" i="39"/>
  <c r="S938" i="39"/>
  <c r="S900" i="39"/>
  <c r="S867" i="39"/>
  <c r="R936" i="39"/>
  <c r="R934" i="39" s="1"/>
  <c r="R898" i="39"/>
  <c r="R896" i="39" s="1"/>
  <c r="R133" i="39"/>
  <c r="R95" i="39"/>
  <c r="S680" i="39"/>
  <c r="S776" i="39" s="1"/>
  <c r="S723" i="39"/>
  <c r="S716" i="39" a="1"/>
  <c r="S716" i="39" s="1"/>
  <c r="S709" i="39" a="1"/>
  <c r="S709" i="39" s="1"/>
  <c r="S729" i="39"/>
  <c r="S714" i="39" a="1"/>
  <c r="S714" i="39" s="1"/>
  <c r="S702" i="39" a="1"/>
  <c r="S702" i="39" s="1"/>
  <c r="S715" i="39" a="1"/>
  <c r="S715" i="39" s="1"/>
  <c r="S803" i="39"/>
  <c r="S749" i="39"/>
  <c r="S730" i="39"/>
  <c r="S726" i="39"/>
  <c r="S725" i="39"/>
  <c r="S727" i="39"/>
  <c r="S740" i="39"/>
  <c r="S728" i="39"/>
  <c r="S685" i="39"/>
  <c r="S705" i="39" s="1" a="1"/>
  <c r="S705" i="39" s="1"/>
  <c r="R925" i="39"/>
  <c r="R923" i="39" s="1"/>
  <c r="R435" i="39"/>
  <c r="R441" i="39"/>
  <c r="R461" i="39"/>
  <c r="R442" i="39"/>
  <c r="R439" i="39"/>
  <c r="R437" i="39"/>
  <c r="R438" i="39"/>
  <c r="R440" i="39"/>
  <c r="R452" i="39"/>
  <c r="R247" i="39" l="1"/>
  <c r="T612" i="39"/>
  <c r="T561" i="39"/>
  <c r="T573" i="39"/>
  <c r="T613" i="39"/>
  <c r="R273" i="39"/>
  <c r="R122" i="39"/>
  <c r="R607" i="39"/>
  <c r="R619" i="39" s="1"/>
  <c r="R626" i="39" s="1"/>
  <c r="R629" i="39" s="1"/>
  <c r="R631" i="39" s="1"/>
  <c r="R632" i="39" s="1"/>
  <c r="N497" i="39"/>
  <c r="O823" i="39"/>
  <c r="Q732" i="39"/>
  <c r="Q744" i="39" s="1"/>
  <c r="Q751" i="39" s="1"/>
  <c r="Q754" i="39" s="1"/>
  <c r="Q756" i="39" s="1"/>
  <c r="Q757" i="39" s="1"/>
  <c r="S937" i="39"/>
  <c r="S724" i="39"/>
  <c r="S722" i="39" s="1"/>
  <c r="R933" i="39"/>
  <c r="R945" i="39" s="1"/>
  <c r="R952" i="39" s="1"/>
  <c r="R955" i="39" s="1"/>
  <c r="R957" i="39" s="1"/>
  <c r="R958" i="39" s="1"/>
  <c r="Q770" i="39"/>
  <c r="Q782" i="39" s="1"/>
  <c r="Q789" i="39" s="1"/>
  <c r="Q792" i="39" s="1"/>
  <c r="Q794" i="39" s="1"/>
  <c r="Q795" i="39" s="1"/>
  <c r="S448" i="39"/>
  <c r="Q281" i="39"/>
  <c r="Q293" i="39" s="1"/>
  <c r="Q300" i="39" s="1"/>
  <c r="Q303" i="39" s="1"/>
  <c r="Q305" i="39" s="1"/>
  <c r="Q306" i="39" s="1"/>
  <c r="Q118" i="39"/>
  <c r="Q130" i="39" s="1"/>
  <c r="Q137" i="39" s="1"/>
  <c r="Q140" i="39" s="1"/>
  <c r="Q142" i="39" s="1"/>
  <c r="Q143" i="39" s="1"/>
  <c r="S863" i="39"/>
  <c r="S875" i="39" s="1"/>
  <c r="S882" i="39" s="1"/>
  <c r="S981" i="39" s="1"/>
  <c r="S599" i="39"/>
  <c r="S597" i="39" s="1"/>
  <c r="S537" i="39"/>
  <c r="S549" i="39" s="1"/>
  <c r="S556" i="39" s="1"/>
  <c r="S655" i="39" s="1"/>
  <c r="S235" i="39"/>
  <c r="R84" i="39"/>
  <c r="O333" i="39"/>
  <c r="O334" i="39" s="1"/>
  <c r="T738" i="39"/>
  <c r="Q406" i="39"/>
  <c r="Q418" i="39" s="1"/>
  <c r="Q425" i="39" s="1"/>
  <c r="Q428" i="39" s="1"/>
  <c r="Q430" i="39" s="1"/>
  <c r="Q431" i="39" s="1"/>
  <c r="P659" i="39"/>
  <c r="O170" i="39"/>
  <c r="P171" i="39" s="1"/>
  <c r="Q492" i="39"/>
  <c r="Q479" i="39"/>
  <c r="R895" i="39"/>
  <c r="R907" i="39" s="1"/>
  <c r="R914" i="39" s="1"/>
  <c r="R917" i="39" s="1"/>
  <c r="R919" i="39" s="1"/>
  <c r="R920" i="39" s="1"/>
  <c r="Q243" i="39"/>
  <c r="Q255" i="39" s="1"/>
  <c r="Q262" i="39" s="1"/>
  <c r="Q265" i="39" s="1"/>
  <c r="Q267" i="39" s="1"/>
  <c r="Q268" i="39" s="1"/>
  <c r="T585" i="39"/>
  <c r="T623" i="39"/>
  <c r="U560" i="39"/>
  <c r="U517" i="39"/>
  <c r="U612" i="39" s="1"/>
  <c r="U553" i="39" a="1"/>
  <c r="U553" i="39" s="1"/>
  <c r="U552" i="39" a="1"/>
  <c r="U552" i="39" s="1"/>
  <c r="U539" i="39" a="1"/>
  <c r="U539" i="39" s="1"/>
  <c r="U546" i="39" a="1"/>
  <c r="U546" i="39" s="1"/>
  <c r="U577" i="39"/>
  <c r="U551" i="39" a="1"/>
  <c r="U551" i="39" s="1"/>
  <c r="U586" i="39"/>
  <c r="U640" i="39"/>
  <c r="U567" i="39"/>
  <c r="U566" i="39"/>
  <c r="U565" i="39"/>
  <c r="U563" i="39"/>
  <c r="U562" i="39"/>
  <c r="U564" i="39"/>
  <c r="V195" i="39"/>
  <c r="P493" i="39"/>
  <c r="P494" i="39" s="1"/>
  <c r="T583" i="39"/>
  <c r="T621" i="39"/>
  <c r="Q329" i="39"/>
  <c r="Q316" i="39"/>
  <c r="T71" i="39"/>
  <c r="T57" i="39" a="1"/>
  <c r="T57" i="39" s="1"/>
  <c r="T64" i="39" a="1"/>
  <c r="T64" i="39" s="1"/>
  <c r="T28" i="39"/>
  <c r="T78" i="39"/>
  <c r="T62" i="39" a="1"/>
  <c r="T62" i="39" s="1"/>
  <c r="T63" i="39" a="1"/>
  <c r="T63" i="39" s="1"/>
  <c r="T50" i="39" a="1"/>
  <c r="T50" i="39" s="1"/>
  <c r="T151" i="39"/>
  <c r="T97" i="39"/>
  <c r="T76" i="39"/>
  <c r="T74" i="39"/>
  <c r="T73" i="39"/>
  <c r="T77" i="39"/>
  <c r="T75" i="39"/>
  <c r="T88" i="39"/>
  <c r="T33" i="39"/>
  <c r="T53" i="39" s="1" a="1"/>
  <c r="T53" i="39" s="1"/>
  <c r="T34" i="39"/>
  <c r="T54" i="39" s="1" a="1"/>
  <c r="T54" i="39" s="1"/>
  <c r="T249" i="39"/>
  <c r="P480" i="39"/>
  <c r="P482" i="39"/>
  <c r="P483" i="39" s="1"/>
  <c r="Q645" i="39"/>
  <c r="Q646" i="39" s="1"/>
  <c r="Q643" i="39"/>
  <c r="T616" i="39"/>
  <c r="T578" i="39"/>
  <c r="T547" i="39" a="1"/>
  <c r="T547" i="39" s="1"/>
  <c r="Q80" i="39"/>
  <c r="Q92" i="39" s="1"/>
  <c r="Q99" i="39" s="1"/>
  <c r="Q102" i="39" s="1"/>
  <c r="Q104" i="39" s="1"/>
  <c r="Q105" i="39" s="1"/>
  <c r="R454" i="39"/>
  <c r="R451" i="39" s="1"/>
  <c r="R416" i="39"/>
  <c r="R413" i="39" s="1"/>
  <c r="S123" i="39"/>
  <c r="S85" i="39"/>
  <c r="S52" i="39"/>
  <c r="U27" i="39"/>
  <c r="V25" i="39"/>
  <c r="O660" i="39"/>
  <c r="W521" i="39"/>
  <c r="R780" i="39"/>
  <c r="R777" i="39" s="1"/>
  <c r="R742" i="39"/>
  <c r="R739" i="39" s="1"/>
  <c r="Q656" i="39"/>
  <c r="Q657" i="39" s="1"/>
  <c r="Q659" i="39" s="1"/>
  <c r="T559" i="39"/>
  <c r="T909" i="39"/>
  <c r="T947" i="39"/>
  <c r="R381" i="39"/>
  <c r="R374" i="39" s="1"/>
  <c r="R386" i="39" s="1"/>
  <c r="R393" i="39" s="1"/>
  <c r="R968" i="39"/>
  <c r="R981" i="39"/>
  <c r="S779" i="39"/>
  <c r="S741" i="39"/>
  <c r="S710" i="39" a="1"/>
  <c r="S710" i="39" s="1"/>
  <c r="S707" i="39" s="1"/>
  <c r="V357" i="39"/>
  <c r="S133" i="39"/>
  <c r="S95" i="39"/>
  <c r="S704" i="39"/>
  <c r="S737" i="39"/>
  <c r="S736" i="39" s="1"/>
  <c r="S775" i="39"/>
  <c r="S774" i="39" s="1"/>
  <c r="S761" i="39"/>
  <c r="S787" i="39"/>
  <c r="S778" i="39"/>
  <c r="S767" i="39"/>
  <c r="S765" i="39"/>
  <c r="S763" i="39"/>
  <c r="S764" i="39"/>
  <c r="S768" i="39"/>
  <c r="S766" i="39"/>
  <c r="U575" i="39"/>
  <c r="T397" i="39"/>
  <c r="T388" i="39" a="1"/>
  <c r="T388" i="39" s="1"/>
  <c r="T390" i="39" a="1"/>
  <c r="T390" i="39" s="1"/>
  <c r="T383" i="39" a="1"/>
  <c r="T383" i="39" s="1"/>
  <c r="T389" i="39" a="1"/>
  <c r="T389" i="39" s="1"/>
  <c r="T414" i="39"/>
  <c r="T354" i="39"/>
  <c r="T449" i="39" s="1"/>
  <c r="T376" i="39" a="1"/>
  <c r="T376" i="39" s="1"/>
  <c r="T477" i="39"/>
  <c r="T423" i="39"/>
  <c r="T401" i="39"/>
  <c r="T400" i="39"/>
  <c r="T404" i="39"/>
  <c r="T399" i="39"/>
  <c r="T402" i="39"/>
  <c r="T403" i="39"/>
  <c r="R707" i="39"/>
  <c r="R700" i="39" s="1"/>
  <c r="R712" i="39" s="1"/>
  <c r="R719" i="39" s="1"/>
  <c r="T904" i="39"/>
  <c r="T942" i="39"/>
  <c r="T873" i="39" a="1"/>
  <c r="T873" i="39" s="1"/>
  <c r="V358" i="39"/>
  <c r="S703" i="39"/>
  <c r="S701" i="39" s="1"/>
  <c r="S772" i="39"/>
  <c r="S734" i="39"/>
  <c r="R48" i="39"/>
  <c r="R60" i="39" s="1"/>
  <c r="R67" i="39" s="1"/>
  <c r="S746" i="39"/>
  <c r="S784" i="39"/>
  <c r="U679" i="39"/>
  <c r="U686" i="39" s="1"/>
  <c r="U706" i="39" s="1" a="1"/>
  <c r="U706" i="39" s="1"/>
  <c r="V677" i="39"/>
  <c r="S398" i="39"/>
  <c r="S396" i="39" s="1"/>
  <c r="V351" i="39"/>
  <c r="U353" i="39"/>
  <c r="U359" i="39" s="1"/>
  <c r="U379" i="39" s="1" a="1"/>
  <c r="U379" i="39" s="1"/>
  <c r="S905" i="39"/>
  <c r="S902" i="39" s="1"/>
  <c r="S943" i="39"/>
  <c r="S940" i="39" s="1"/>
  <c r="T360" i="39"/>
  <c r="T380" i="39" s="1" a="1"/>
  <c r="T380" i="39" s="1"/>
  <c r="U541" i="39"/>
  <c r="U574" i="39"/>
  <c r="R436" i="39"/>
  <c r="R434" i="39" s="1"/>
  <c r="S72" i="39"/>
  <c r="S70" i="39" s="1"/>
  <c r="R569" i="39"/>
  <c r="R581" i="39" s="1"/>
  <c r="R588" i="39" s="1"/>
  <c r="R591" i="39" s="1"/>
  <c r="R593" i="39" s="1"/>
  <c r="R594" i="39" s="1"/>
  <c r="T910" i="39"/>
  <c r="T948" i="39"/>
  <c r="S135" i="39"/>
  <c r="S109" i="39"/>
  <c r="S111" i="39"/>
  <c r="S115" i="39"/>
  <c r="S126" i="39"/>
  <c r="S114" i="39"/>
  <c r="S113" i="39"/>
  <c r="S116" i="39"/>
  <c r="S112" i="39"/>
  <c r="S748" i="39"/>
  <c r="S786" i="39"/>
  <c r="T411" i="39"/>
  <c r="S86" i="39"/>
  <c r="S124" i="39"/>
  <c r="S127" i="39"/>
  <c r="S89" i="39"/>
  <c r="S58" i="39" a="1"/>
  <c r="S58" i="39" s="1"/>
  <c r="S55" i="39" s="1"/>
  <c r="S96" i="39"/>
  <c r="S134" i="39"/>
  <c r="R110" i="39"/>
  <c r="R108" i="39" s="1"/>
  <c r="W520" i="39"/>
  <c r="S899" i="39"/>
  <c r="S287" i="39"/>
  <c r="S249" i="39"/>
  <c r="R774" i="39"/>
  <c r="U849" i="39"/>
  <c r="U869" i="39" s="1" a="1"/>
  <c r="U869" i="39" s="1"/>
  <c r="V847" i="39"/>
  <c r="S296" i="39"/>
  <c r="S258" i="39"/>
  <c r="S579" i="39"/>
  <c r="S576" i="39" s="1"/>
  <c r="S617" i="39"/>
  <c r="T924" i="39"/>
  <c r="T929" i="39"/>
  <c r="T950" i="39"/>
  <c r="T928" i="39"/>
  <c r="T927" i="39"/>
  <c r="T931" i="39"/>
  <c r="T930" i="39"/>
  <c r="T941" i="39"/>
  <c r="T926" i="39"/>
  <c r="Q969" i="39"/>
  <c r="Q971" i="39"/>
  <c r="Q972" i="39" s="1"/>
  <c r="R642" i="39"/>
  <c r="R655" i="39"/>
  <c r="P985" i="39"/>
  <c r="S446" i="39"/>
  <c r="S377" i="39"/>
  <c r="S375" i="39" s="1"/>
  <c r="S408" i="39"/>
  <c r="T939" i="39"/>
  <c r="T901" i="39"/>
  <c r="S245" i="39"/>
  <c r="S283" i="39"/>
  <c r="S214" i="39"/>
  <c r="X32" i="39"/>
  <c r="S572" i="39"/>
  <c r="S570" i="39" s="1"/>
  <c r="S610" i="39"/>
  <c r="S608" i="39" s="1"/>
  <c r="R253" i="39"/>
  <c r="R250" i="39" s="1"/>
  <c r="R291" i="39"/>
  <c r="R288" i="39" s="1"/>
  <c r="Q166" i="39"/>
  <c r="Q153" i="39"/>
  <c r="T866" i="39"/>
  <c r="T935" i="39"/>
  <c r="T897" i="39"/>
  <c r="Q982" i="39"/>
  <c r="Q983" i="39" s="1"/>
  <c r="U886" i="39"/>
  <c r="U877" i="39" a="1"/>
  <c r="U877" i="39" s="1"/>
  <c r="U872" i="39" a="1"/>
  <c r="U872" i="39" s="1"/>
  <c r="U843" i="39"/>
  <c r="U879" i="39" a="1"/>
  <c r="U879" i="39" s="1"/>
  <c r="U878" i="39" a="1"/>
  <c r="U878" i="39" s="1"/>
  <c r="U865" i="39" a="1"/>
  <c r="U865" i="39" s="1"/>
  <c r="U912" i="39"/>
  <c r="U966" i="39"/>
  <c r="U893" i="39"/>
  <c r="U903" i="39"/>
  <c r="U888" i="39"/>
  <c r="U892" i="39"/>
  <c r="U889" i="39"/>
  <c r="U891" i="39"/>
  <c r="U890" i="39"/>
  <c r="S747" i="39"/>
  <c r="S785" i="39"/>
  <c r="S415" i="39"/>
  <c r="S453" i="39"/>
  <c r="S384" i="39" a="1"/>
  <c r="S384" i="39" s="1"/>
  <c r="R218" i="39"/>
  <c r="R211" i="39" s="1"/>
  <c r="R223" i="39" s="1"/>
  <c r="R230" i="39" s="1"/>
  <c r="R735" i="39"/>
  <c r="R733" i="39" s="1"/>
  <c r="R773" i="39"/>
  <c r="R771" i="39" s="1"/>
  <c r="T949" i="39"/>
  <c r="T911" i="39"/>
  <c r="W194" i="39"/>
  <c r="W840" i="39"/>
  <c r="V842" i="39"/>
  <c r="Z31" i="39"/>
  <c r="S257" i="39"/>
  <c r="S295" i="39"/>
  <c r="S614" i="39"/>
  <c r="S422" i="39"/>
  <c r="S460" i="39"/>
  <c r="S297" i="39"/>
  <c r="S259" i="39"/>
  <c r="R285" i="39"/>
  <c r="Q700" i="39"/>
  <c r="Q712" i="39" s="1"/>
  <c r="Q719" i="39" s="1"/>
  <c r="S435" i="39"/>
  <c r="S461" i="39"/>
  <c r="S441" i="39"/>
  <c r="S437" i="39"/>
  <c r="S440" i="39"/>
  <c r="S439" i="39"/>
  <c r="S438" i="39"/>
  <c r="S442" i="39"/>
  <c r="S452" i="39"/>
  <c r="S272" i="39"/>
  <c r="S298" i="39"/>
  <c r="S278" i="39"/>
  <c r="S277" i="39"/>
  <c r="S276" i="39"/>
  <c r="S274" i="39"/>
  <c r="S275" i="39"/>
  <c r="S289" i="39"/>
  <c r="S279" i="39"/>
  <c r="V684" i="39"/>
  <c r="T226" i="39" a="1"/>
  <c r="T226" i="39" s="1"/>
  <c r="T225" i="39" a="1"/>
  <c r="T225" i="39" s="1"/>
  <c r="T220" i="39" a="1"/>
  <c r="T220" i="39" s="1"/>
  <c r="T234" i="39"/>
  <c r="T227" i="39" a="1"/>
  <c r="T227" i="39" s="1"/>
  <c r="T239" i="39"/>
  <c r="T191" i="39"/>
  <c r="T287" i="39" s="1"/>
  <c r="T213" i="39" a="1"/>
  <c r="T213" i="39" s="1"/>
  <c r="T260" i="39"/>
  <c r="T314" i="39"/>
  <c r="T236" i="39"/>
  <c r="T238" i="39"/>
  <c r="T251" i="39"/>
  <c r="T240" i="39"/>
  <c r="T241" i="39"/>
  <c r="T237" i="39"/>
  <c r="T196" i="39"/>
  <c r="T216" i="39" s="1" a="1"/>
  <c r="T216" i="39" s="1"/>
  <c r="T887" i="39"/>
  <c r="T885" i="39" s="1"/>
  <c r="R246" i="39"/>
  <c r="R244" i="39" s="1"/>
  <c r="R284" i="39"/>
  <c r="R282" i="39" s="1"/>
  <c r="N171" i="39"/>
  <c r="U848" i="39"/>
  <c r="U868" i="39" s="1" a="1"/>
  <c r="U868" i="39" s="1"/>
  <c r="V846" i="39"/>
  <c r="X683" i="39"/>
  <c r="S420" i="39"/>
  <c r="S458" i="39"/>
  <c r="S290" i="39"/>
  <c r="S252" i="39"/>
  <c r="S221" i="39" a="1"/>
  <c r="S221" i="39" s="1"/>
  <c r="V188" i="39"/>
  <c r="U190" i="39"/>
  <c r="U197" i="39" s="1"/>
  <c r="U217" i="39" s="1" a="1"/>
  <c r="U217" i="39" s="1"/>
  <c r="T540" i="39"/>
  <c r="T571" i="39"/>
  <c r="T609" i="39"/>
  <c r="N334" i="39"/>
  <c r="T900" i="39"/>
  <c r="T867" i="39"/>
  <c r="T938" i="39"/>
  <c r="P819" i="39"/>
  <c r="P820" i="39" s="1"/>
  <c r="S421" i="39"/>
  <c r="S459" i="39"/>
  <c r="S286" i="39"/>
  <c r="S248" i="39"/>
  <c r="S215" i="39"/>
  <c r="S233" i="39"/>
  <c r="Q444" i="39"/>
  <c r="Q456" i="39" s="1"/>
  <c r="Q463" i="39" s="1"/>
  <c r="Q466" i="39" s="1"/>
  <c r="Q468" i="39" s="1"/>
  <c r="Q469" i="39" s="1"/>
  <c r="R409" i="39"/>
  <c r="R407" i="39" s="1"/>
  <c r="R447" i="39"/>
  <c r="R445" i="39" s="1"/>
  <c r="T584" i="39"/>
  <c r="T622" i="39"/>
  <c r="S925" i="39"/>
  <c r="S923" i="39" s="1"/>
  <c r="P319" i="39"/>
  <c r="P320" i="39" s="1"/>
  <c r="P317" i="39"/>
  <c r="S936" i="39"/>
  <c r="S934" i="39" s="1"/>
  <c r="S898" i="39"/>
  <c r="S896" i="39" s="1"/>
  <c r="S51" i="39"/>
  <c r="S49" i="39" s="1"/>
  <c r="S82" i="39"/>
  <c r="S120" i="39"/>
  <c r="S94" i="39"/>
  <c r="S132" i="39"/>
  <c r="T723" i="39"/>
  <c r="T714" i="39" a="1"/>
  <c r="T714" i="39" s="1"/>
  <c r="T715" i="39" a="1"/>
  <c r="T715" i="39" s="1"/>
  <c r="T716" i="39" a="1"/>
  <c r="T716" i="39" s="1"/>
  <c r="T702" i="39" a="1"/>
  <c r="T702" i="39" s="1"/>
  <c r="T729" i="39"/>
  <c r="T709" i="39" a="1"/>
  <c r="T709" i="39" s="1"/>
  <c r="T680" i="39"/>
  <c r="T749" i="39"/>
  <c r="T803" i="39"/>
  <c r="T740" i="39"/>
  <c r="T726" i="39"/>
  <c r="T730" i="39"/>
  <c r="T725" i="39"/>
  <c r="T728" i="39"/>
  <c r="T727" i="39"/>
  <c r="T685" i="39"/>
  <c r="T705" i="39" s="1" a="1"/>
  <c r="T705" i="39" s="1"/>
  <c r="R121" i="39"/>
  <c r="R119" i="39" s="1"/>
  <c r="R83" i="39"/>
  <c r="R81" i="39" s="1"/>
  <c r="P806" i="39"/>
  <c r="P808" i="39"/>
  <c r="P809" i="39" s="1"/>
  <c r="R762" i="39"/>
  <c r="R760" i="39" s="1"/>
  <c r="R271" i="39"/>
  <c r="T598" i="39"/>
  <c r="T624" i="39"/>
  <c r="T604" i="39"/>
  <c r="T603" i="39"/>
  <c r="T615" i="39"/>
  <c r="T601" i="39"/>
  <c r="T602" i="39"/>
  <c r="T600" i="39"/>
  <c r="T605" i="39"/>
  <c r="W514" i="39"/>
  <c r="V516" i="39"/>
  <c r="R90" i="39"/>
  <c r="R87" i="39" s="1"/>
  <c r="R128" i="39"/>
  <c r="R125" i="39" s="1"/>
  <c r="P330" i="39"/>
  <c r="P331" i="39" s="1"/>
  <c r="T611" i="39" l="1"/>
  <c r="U360" i="39"/>
  <c r="U380" i="39" s="1" a="1"/>
  <c r="U380" i="39" s="1"/>
  <c r="U378" i="39" s="1"/>
  <c r="R732" i="39"/>
  <c r="R744" i="39" s="1"/>
  <c r="R751" i="39" s="1"/>
  <c r="R754" i="39" s="1"/>
  <c r="R756" i="39" s="1"/>
  <c r="R757" i="39" s="1"/>
  <c r="O171" i="39"/>
  <c r="T899" i="39"/>
  <c r="T599" i="39"/>
  <c r="S247" i="39"/>
  <c r="U613" i="39"/>
  <c r="S968" i="39"/>
  <c r="S969" i="39" s="1"/>
  <c r="S642" i="39"/>
  <c r="S643" i="39" s="1"/>
  <c r="S762" i="39"/>
  <c r="S760" i="39" s="1"/>
  <c r="S700" i="39"/>
  <c r="S712" i="39" s="1"/>
  <c r="S719" i="39" s="1"/>
  <c r="S818" i="39" s="1"/>
  <c r="S819" i="39" s="1"/>
  <c r="S820" i="39" s="1"/>
  <c r="S822" i="39" s="1"/>
  <c r="S122" i="39"/>
  <c r="R444" i="39"/>
  <c r="R456" i="39" s="1"/>
  <c r="R463" i="39" s="1"/>
  <c r="R466" i="39" s="1"/>
  <c r="R468" i="39" s="1"/>
  <c r="R469" i="39" s="1"/>
  <c r="R80" i="39"/>
  <c r="R92" i="39" s="1"/>
  <c r="R99" i="39" s="1"/>
  <c r="R102" i="39" s="1"/>
  <c r="R104" i="39" s="1"/>
  <c r="R105" i="39" s="1"/>
  <c r="S48" i="39"/>
  <c r="S60" i="39" s="1"/>
  <c r="S67" i="39" s="1"/>
  <c r="S153" i="39" s="1"/>
  <c r="S285" i="39"/>
  <c r="S895" i="39"/>
  <c r="S907" i="39" s="1"/>
  <c r="S914" i="39" s="1"/>
  <c r="S917" i="39" s="1"/>
  <c r="S919" i="39" s="1"/>
  <c r="S920" i="39" s="1"/>
  <c r="S436" i="39"/>
  <c r="S434" i="39" s="1"/>
  <c r="S933" i="39"/>
  <c r="S945" i="39" s="1"/>
  <c r="S952" i="39" s="1"/>
  <c r="S955" i="39" s="1"/>
  <c r="S957" i="39" s="1"/>
  <c r="S958" i="39" s="1"/>
  <c r="T235" i="39"/>
  <c r="T937" i="39"/>
  <c r="U887" i="39"/>
  <c r="U885" i="39" s="1"/>
  <c r="T398" i="39"/>
  <c r="T396" i="39" s="1"/>
  <c r="S607" i="39"/>
  <c r="T925" i="39"/>
  <c r="U573" i="39"/>
  <c r="S84" i="39"/>
  <c r="R406" i="39"/>
  <c r="R418" i="39" s="1"/>
  <c r="R425" i="39" s="1"/>
  <c r="R428" i="39" s="1"/>
  <c r="R430" i="39" s="1"/>
  <c r="R431" i="39" s="1"/>
  <c r="R243" i="39"/>
  <c r="R255" i="39" s="1"/>
  <c r="R262" i="39" s="1"/>
  <c r="R265" i="39" s="1"/>
  <c r="R267" i="39" s="1"/>
  <c r="R268" i="39" s="1"/>
  <c r="R818" i="39"/>
  <c r="R805" i="39"/>
  <c r="P822" i="39"/>
  <c r="P333" i="39"/>
  <c r="Q985" i="39"/>
  <c r="R479" i="39"/>
  <c r="R492" i="39"/>
  <c r="U249" i="39"/>
  <c r="U411" i="39"/>
  <c r="T905" i="39"/>
  <c r="T902" i="39" s="1"/>
  <c r="T943" i="39"/>
  <c r="T415" i="39"/>
  <c r="T453" i="39"/>
  <c r="T384" i="39" a="1"/>
  <c r="T384" i="39" s="1"/>
  <c r="T381" i="39" s="1"/>
  <c r="T132" i="39"/>
  <c r="T94" i="39"/>
  <c r="W195" i="39"/>
  <c r="U598" i="39"/>
  <c r="U601" i="39"/>
  <c r="U624" i="39"/>
  <c r="U604" i="39"/>
  <c r="U603" i="39"/>
  <c r="U605" i="39"/>
  <c r="U600" i="39"/>
  <c r="U602" i="39"/>
  <c r="U615" i="39"/>
  <c r="S416" i="39"/>
  <c r="S413" i="39" s="1"/>
  <c r="S454" i="39"/>
  <c r="U935" i="39"/>
  <c r="U866" i="39"/>
  <c r="U897" i="39"/>
  <c r="P986" i="39"/>
  <c r="T422" i="39"/>
  <c r="T460" i="39"/>
  <c r="Q660" i="39"/>
  <c r="T741" i="39"/>
  <c r="T779" i="39"/>
  <c r="T710" i="39" a="1"/>
  <c r="T710" i="39" s="1"/>
  <c r="R281" i="39"/>
  <c r="R293" i="39" s="1"/>
  <c r="R300" i="39" s="1"/>
  <c r="R303" i="39" s="1"/>
  <c r="R305" i="39" s="1"/>
  <c r="R306" i="39" s="1"/>
  <c r="U948" i="39"/>
  <c r="U910" i="39"/>
  <c r="R656" i="39"/>
  <c r="R657" i="39" s="1"/>
  <c r="R659" i="39" s="1"/>
  <c r="R660" i="39" s="1"/>
  <c r="T420" i="39"/>
  <c r="T458" i="39"/>
  <c r="W25" i="39"/>
  <c r="V27" i="39"/>
  <c r="T109" i="39"/>
  <c r="T112" i="39"/>
  <c r="T135" i="39"/>
  <c r="T116" i="39"/>
  <c r="T111" i="39"/>
  <c r="T126" i="39"/>
  <c r="T114" i="39"/>
  <c r="T115" i="39"/>
  <c r="T113" i="39"/>
  <c r="T768" i="39"/>
  <c r="T787" i="39"/>
  <c r="T761" i="39"/>
  <c r="T764" i="39"/>
  <c r="T765" i="39"/>
  <c r="T778" i="39"/>
  <c r="T763" i="39"/>
  <c r="T767" i="39"/>
  <c r="T766" i="39"/>
  <c r="S381" i="39"/>
  <c r="S374" i="39" s="1"/>
  <c r="S386" i="39" s="1"/>
  <c r="S393" i="39" s="1"/>
  <c r="T572" i="39"/>
  <c r="T570" i="39" s="1"/>
  <c r="T610" i="39"/>
  <c r="T608" i="39" s="1"/>
  <c r="S273" i="39"/>
  <c r="Q818" i="39"/>
  <c r="Q805" i="39"/>
  <c r="U949" i="39"/>
  <c r="U911" i="39"/>
  <c r="R645" i="39"/>
  <c r="R646" i="39" s="1"/>
  <c r="R643" i="39"/>
  <c r="V679" i="39"/>
  <c r="V686" i="39" s="1"/>
  <c r="V706" i="39" s="1" a="1"/>
  <c r="V706" i="39" s="1"/>
  <c r="W677" i="39"/>
  <c r="U63" i="39" a="1"/>
  <c r="U63" i="39" s="1"/>
  <c r="U28" i="39"/>
  <c r="U62" i="39" a="1"/>
  <c r="U62" i="39" s="1"/>
  <c r="U74" i="39"/>
  <c r="U64" i="39" a="1"/>
  <c r="U64" i="39" s="1"/>
  <c r="U57" i="39" a="1"/>
  <c r="U57" i="39" s="1"/>
  <c r="U76" i="39"/>
  <c r="U71" i="39"/>
  <c r="U50" i="39" a="1"/>
  <c r="U50" i="39" s="1"/>
  <c r="U97" i="39"/>
  <c r="U151" i="39"/>
  <c r="H7" i="56"/>
  <c r="U73" i="39"/>
  <c r="U75" i="39"/>
  <c r="U78" i="39"/>
  <c r="U77" i="39"/>
  <c r="U88" i="39"/>
  <c r="U33" i="39"/>
  <c r="U53" i="39" s="1" a="1"/>
  <c r="U53" i="39" s="1"/>
  <c r="U34" i="39"/>
  <c r="U54" i="39" s="1" a="1"/>
  <c r="U54" i="39" s="1"/>
  <c r="T96" i="39"/>
  <c r="T134" i="39"/>
  <c r="U561" i="39"/>
  <c r="U559" i="39" s="1"/>
  <c r="T772" i="39"/>
  <c r="T703" i="39"/>
  <c r="T734" i="39"/>
  <c r="T538" i="39"/>
  <c r="AA31" i="39"/>
  <c r="R118" i="39"/>
  <c r="R130" i="39" s="1"/>
  <c r="R137" i="39" s="1"/>
  <c r="R140" i="39" s="1"/>
  <c r="R142" i="39" s="1"/>
  <c r="R143" i="39" s="1"/>
  <c r="U924" i="39"/>
  <c r="U928" i="39"/>
  <c r="U950" i="39"/>
  <c r="U929" i="39"/>
  <c r="U926" i="39"/>
  <c r="U941" i="39"/>
  <c r="U931" i="39"/>
  <c r="U930" i="39"/>
  <c r="U927" i="39"/>
  <c r="Y32" i="39"/>
  <c r="U729" i="39"/>
  <c r="U715" i="39" a="1"/>
  <c r="U715" i="39" s="1"/>
  <c r="U727" i="39"/>
  <c r="U716" i="39" a="1"/>
  <c r="U716" i="39" s="1"/>
  <c r="U709" i="39" a="1"/>
  <c r="U709" i="39" s="1"/>
  <c r="U723" i="39"/>
  <c r="U680" i="39"/>
  <c r="U714" i="39" a="1"/>
  <c r="U714" i="39" s="1"/>
  <c r="U702" i="39" a="1"/>
  <c r="U702" i="39" s="1"/>
  <c r="U749" i="39"/>
  <c r="U803" i="39"/>
  <c r="U725" i="39"/>
  <c r="U730" i="39"/>
  <c r="U728" i="39"/>
  <c r="U740" i="39"/>
  <c r="U726" i="39"/>
  <c r="U685" i="39"/>
  <c r="U705" i="39" s="1" a="1"/>
  <c r="U705" i="39" s="1"/>
  <c r="T86" i="39"/>
  <c r="T124" i="39"/>
  <c r="T89" i="39"/>
  <c r="T127" i="39"/>
  <c r="T58" i="39" a="1"/>
  <c r="T58" i="39" s="1"/>
  <c r="T55" i="39" s="1"/>
  <c r="U900" i="39"/>
  <c r="U867" i="39"/>
  <c r="U938" i="39"/>
  <c r="V560" i="39"/>
  <c r="V551" i="39" a="1"/>
  <c r="V551" i="39" s="1"/>
  <c r="V552" i="39" a="1"/>
  <c r="V552" i="39" s="1"/>
  <c r="V517" i="39"/>
  <c r="V553" i="39" a="1"/>
  <c r="V553" i="39" s="1"/>
  <c r="V546" i="39" a="1"/>
  <c r="V546" i="39" s="1"/>
  <c r="V539" i="39" a="1"/>
  <c r="V539" i="39" s="1"/>
  <c r="V586" i="39"/>
  <c r="V640" i="39"/>
  <c r="V567" i="39"/>
  <c r="V566" i="39"/>
  <c r="V563" i="39"/>
  <c r="V564" i="39"/>
  <c r="V562" i="39"/>
  <c r="V565" i="39"/>
  <c r="V577" i="39"/>
  <c r="T747" i="39"/>
  <c r="T785" i="39"/>
  <c r="T279" i="39"/>
  <c r="T272" i="39"/>
  <c r="T298" i="39"/>
  <c r="T274" i="39"/>
  <c r="T289" i="39"/>
  <c r="T277" i="39"/>
  <c r="T276" i="39"/>
  <c r="T278" i="39"/>
  <c r="T275" i="39"/>
  <c r="T784" i="39"/>
  <c r="T746" i="39"/>
  <c r="S253" i="39"/>
  <c r="S250" i="39" s="1"/>
  <c r="S291" i="39"/>
  <c r="S288" i="39" s="1"/>
  <c r="V872" i="39" a="1"/>
  <c r="V872" i="39" s="1"/>
  <c r="V886" i="39"/>
  <c r="V892" i="39"/>
  <c r="V877" i="39" a="1"/>
  <c r="V877" i="39" s="1"/>
  <c r="V843" i="39"/>
  <c r="V879" i="39" a="1"/>
  <c r="V879" i="39" s="1"/>
  <c r="V878" i="39" a="1"/>
  <c r="V878" i="39" s="1"/>
  <c r="V865" i="39" a="1"/>
  <c r="V865" i="39" s="1"/>
  <c r="V912" i="39"/>
  <c r="V966" i="39"/>
  <c r="V893" i="39"/>
  <c r="V888" i="39"/>
  <c r="V891" i="39"/>
  <c r="V889" i="39"/>
  <c r="V903" i="39"/>
  <c r="V890" i="39"/>
  <c r="T940" i="39"/>
  <c r="R166" i="39"/>
  <c r="R153" i="39"/>
  <c r="W357" i="39"/>
  <c r="Q317" i="39"/>
  <c r="Q319" i="39"/>
  <c r="Q320" i="39" s="1"/>
  <c r="S656" i="39"/>
  <c r="S657" i="39" s="1"/>
  <c r="S659" i="39" s="1"/>
  <c r="T85" i="39"/>
  <c r="T123" i="39"/>
  <c r="T52" i="39"/>
  <c r="R329" i="39"/>
  <c r="R316" i="39"/>
  <c r="S246" i="39"/>
  <c r="S244" i="39" s="1"/>
  <c r="S284" i="39"/>
  <c r="S282" i="39" s="1"/>
  <c r="S110" i="39"/>
  <c r="S108" i="39" s="1"/>
  <c r="T297" i="39"/>
  <c r="T259" i="39"/>
  <c r="T450" i="39"/>
  <c r="T448" i="39" s="1"/>
  <c r="T412" i="39"/>
  <c r="T410" i="39" s="1"/>
  <c r="Q330" i="39"/>
  <c r="Q331" i="39" s="1"/>
  <c r="S645" i="39"/>
  <c r="S646" i="39" s="1"/>
  <c r="U942" i="39"/>
  <c r="U904" i="39"/>
  <c r="U873" i="39" a="1"/>
  <c r="U873" i="39" s="1"/>
  <c r="U870" i="39" s="1"/>
  <c r="V849" i="39"/>
  <c r="V869" i="39" s="1" a="1"/>
  <c r="V869" i="39" s="1"/>
  <c r="W847" i="39"/>
  <c r="X514" i="39"/>
  <c r="W516" i="39"/>
  <c r="W522" i="39" s="1"/>
  <c r="W542" i="39" s="1" a="1"/>
  <c r="W542" i="39" s="1"/>
  <c r="W188" i="39"/>
  <c r="V190" i="39"/>
  <c r="U611" i="39"/>
  <c r="T704" i="39"/>
  <c r="T775" i="39"/>
  <c r="T737" i="39"/>
  <c r="T736" i="39" s="1"/>
  <c r="S218" i="39"/>
  <c r="S271" i="39"/>
  <c r="W842" i="39"/>
  <c r="X840" i="39"/>
  <c r="T233" i="39"/>
  <c r="S451" i="39"/>
  <c r="X194" i="39"/>
  <c r="S212" i="39"/>
  <c r="S780" i="39"/>
  <c r="S777" i="39" s="1"/>
  <c r="S742" i="39"/>
  <c r="S739" i="39" s="1"/>
  <c r="X521" i="39"/>
  <c r="T72" i="39"/>
  <c r="T70" i="39" s="1"/>
  <c r="U901" i="39"/>
  <c r="U939" i="39"/>
  <c r="T252" i="39"/>
  <c r="T290" i="39"/>
  <c r="T221" i="39" a="1"/>
  <c r="T221" i="39" s="1"/>
  <c r="V523" i="39"/>
  <c r="V543" i="39" s="1" a="1"/>
  <c r="V543" i="39" s="1"/>
  <c r="U583" i="39"/>
  <c r="U621" i="39"/>
  <c r="T776" i="39"/>
  <c r="T786" i="39"/>
  <c r="T748" i="39"/>
  <c r="U234" i="39"/>
  <c r="U226" i="39" a="1"/>
  <c r="U226" i="39" s="1"/>
  <c r="U239" i="39"/>
  <c r="U191" i="39"/>
  <c r="U227" i="39" a="1"/>
  <c r="U227" i="39" s="1"/>
  <c r="U213" i="39" a="1"/>
  <c r="U213" i="39" s="1"/>
  <c r="U225" i="39" a="1"/>
  <c r="U225" i="39" s="1"/>
  <c r="U220" i="39" a="1"/>
  <c r="U220" i="39" s="1"/>
  <c r="U260" i="39"/>
  <c r="U314" i="39"/>
  <c r="U251" i="39"/>
  <c r="U238" i="39"/>
  <c r="U236" i="39"/>
  <c r="U237" i="39"/>
  <c r="U241" i="39"/>
  <c r="U240" i="39"/>
  <c r="U196" i="39"/>
  <c r="U216" i="39" s="1" a="1"/>
  <c r="U216" i="39" s="1"/>
  <c r="U909" i="39"/>
  <c r="U947" i="39"/>
  <c r="T579" i="39"/>
  <c r="T576" i="39" s="1"/>
  <c r="T617" i="39"/>
  <c r="T614" i="39" s="1"/>
  <c r="T724" i="39"/>
  <c r="T722" i="39" s="1"/>
  <c r="T257" i="39"/>
  <c r="T295" i="39"/>
  <c r="T378" i="39"/>
  <c r="S773" i="39"/>
  <c r="S771" i="39" s="1"/>
  <c r="S735" i="39"/>
  <c r="S733" i="39" s="1"/>
  <c r="T544" i="39"/>
  <c r="T286" i="39"/>
  <c r="T285" i="39" s="1"/>
  <c r="T248" i="39"/>
  <c r="T247" i="39" s="1"/>
  <c r="T215" i="39"/>
  <c r="T377" i="39"/>
  <c r="T446" i="39"/>
  <c r="T408" i="39"/>
  <c r="P660" i="39"/>
  <c r="U578" i="39"/>
  <c r="U616" i="39"/>
  <c r="U547" i="39" a="1"/>
  <c r="U547" i="39" s="1"/>
  <c r="Q482" i="39"/>
  <c r="Q483" i="39" s="1"/>
  <c r="Q480" i="39"/>
  <c r="S128" i="39"/>
  <c r="S125" i="39" s="1"/>
  <c r="S90" i="39"/>
  <c r="S87" i="39" s="1"/>
  <c r="T258" i="39"/>
  <c r="T296" i="39"/>
  <c r="T936" i="39"/>
  <c r="T934" i="39" s="1"/>
  <c r="T898" i="39"/>
  <c r="T896" i="39" s="1"/>
  <c r="T895" i="39" s="1"/>
  <c r="T907" i="39" s="1"/>
  <c r="T914" i="39" s="1"/>
  <c r="T917" i="39" s="1"/>
  <c r="T919" i="39" s="1"/>
  <c r="T920" i="39" s="1"/>
  <c r="S569" i="39"/>
  <c r="S581" i="39" s="1"/>
  <c r="S588" i="39" s="1"/>
  <c r="S591" i="39" s="1"/>
  <c r="S593" i="39" s="1"/>
  <c r="S594" i="39" s="1"/>
  <c r="Y683" i="39"/>
  <c r="W684" i="39"/>
  <c r="T864" i="39"/>
  <c r="S447" i="39"/>
  <c r="S445" i="39" s="1"/>
  <c r="S409" i="39"/>
  <c r="S407" i="39" s="1"/>
  <c r="U388" i="39" a="1"/>
  <c r="U388" i="39" s="1"/>
  <c r="U389" i="39" a="1"/>
  <c r="U389" i="39" s="1"/>
  <c r="U397" i="39"/>
  <c r="U390" i="39" a="1"/>
  <c r="U390" i="39" s="1"/>
  <c r="U383" i="39" a="1"/>
  <c r="U383" i="39" s="1"/>
  <c r="U354" i="39"/>
  <c r="U450" i="39" s="1"/>
  <c r="U376" i="39" a="1"/>
  <c r="U376" i="39" s="1"/>
  <c r="U477" i="39"/>
  <c r="U423" i="39"/>
  <c r="U401" i="39"/>
  <c r="U399" i="39"/>
  <c r="U404" i="39"/>
  <c r="U414" i="39"/>
  <c r="U400" i="39"/>
  <c r="U403" i="39"/>
  <c r="U402" i="39"/>
  <c r="W358" i="39"/>
  <c r="T440" i="39"/>
  <c r="T461" i="39"/>
  <c r="T435" i="39"/>
  <c r="T438" i="39"/>
  <c r="T437" i="39"/>
  <c r="T442" i="39"/>
  <c r="T439" i="39"/>
  <c r="T452" i="39"/>
  <c r="T441" i="39"/>
  <c r="R982" i="39"/>
  <c r="R983" i="39" s="1"/>
  <c r="R985" i="39" s="1"/>
  <c r="U540" i="39"/>
  <c r="U538" i="39" s="1"/>
  <c r="U571" i="39"/>
  <c r="U609" i="39"/>
  <c r="Q493" i="39"/>
  <c r="Q494" i="39" s="1"/>
  <c r="U738" i="39"/>
  <c r="Q156" i="39"/>
  <c r="Q157" i="39" s="1"/>
  <c r="Q154" i="39"/>
  <c r="T923" i="39"/>
  <c r="X520" i="39"/>
  <c r="W351" i="39"/>
  <c r="V353" i="39"/>
  <c r="V360" i="39" s="1"/>
  <c r="V380" i="39" s="1" a="1"/>
  <c r="V380" i="39" s="1"/>
  <c r="U412" i="39"/>
  <c r="R971" i="39"/>
  <c r="R972" i="39" s="1"/>
  <c r="R969" i="39"/>
  <c r="T82" i="39"/>
  <c r="T51" i="39"/>
  <c r="T120" i="39"/>
  <c r="P496" i="39"/>
  <c r="U622" i="39"/>
  <c r="U584" i="39"/>
  <c r="T214" i="39"/>
  <c r="T212" i="39" s="1"/>
  <c r="T283" i="39"/>
  <c r="T245" i="39"/>
  <c r="S83" i="39"/>
  <c r="S81" i="39" s="1"/>
  <c r="S121" i="39"/>
  <c r="S119" i="39" s="1"/>
  <c r="T597" i="39"/>
  <c r="V848" i="39"/>
  <c r="V868" i="39" s="1" a="1"/>
  <c r="V868" i="39" s="1"/>
  <c r="W846" i="39"/>
  <c r="S619" i="39"/>
  <c r="S626" i="39" s="1"/>
  <c r="S629" i="39" s="1"/>
  <c r="S631" i="39" s="1"/>
  <c r="S632" i="39" s="1"/>
  <c r="R770" i="39"/>
  <c r="R782" i="39" s="1"/>
  <c r="R789" i="39" s="1"/>
  <c r="R792" i="39" s="1"/>
  <c r="R794" i="39" s="1"/>
  <c r="R795" i="39" s="1"/>
  <c r="Q167" i="39"/>
  <c r="Q168" i="39" s="1"/>
  <c r="V522" i="39"/>
  <c r="V542" i="39" s="1" a="1"/>
  <c r="V542" i="39" s="1"/>
  <c r="T870" i="39"/>
  <c r="T459" i="39"/>
  <c r="T421" i="39"/>
  <c r="T95" i="39"/>
  <c r="T133" i="39"/>
  <c r="U623" i="39"/>
  <c r="U585" i="39"/>
  <c r="S982" i="39"/>
  <c r="S983" i="39" s="1"/>
  <c r="S985" i="39" s="1"/>
  <c r="T762" i="39" l="1"/>
  <c r="S243" i="39"/>
  <c r="S255" i="39" s="1"/>
  <c r="S262" i="39" s="1"/>
  <c r="S265" i="39" s="1"/>
  <c r="S267" i="39" s="1"/>
  <c r="S268" i="39" s="1"/>
  <c r="S971" i="39"/>
  <c r="S972" i="39" s="1"/>
  <c r="S805" i="39"/>
  <c r="S806" i="39" s="1"/>
  <c r="S732" i="39"/>
  <c r="S744" i="39" s="1"/>
  <c r="S751" i="39" s="1"/>
  <c r="S754" i="39" s="1"/>
  <c r="S756" i="39" s="1"/>
  <c r="S757" i="39" s="1"/>
  <c r="V359" i="39"/>
  <c r="V379" i="39" s="1" a="1"/>
  <c r="V379" i="39" s="1"/>
  <c r="S166" i="39"/>
  <c r="T774" i="39"/>
  <c r="S80" i="39"/>
  <c r="S92" i="39" s="1"/>
  <c r="S99" i="39" s="1"/>
  <c r="S102" i="39" s="1"/>
  <c r="S104" i="39" s="1"/>
  <c r="S105" i="39" s="1"/>
  <c r="S444" i="39"/>
  <c r="S456" i="39" s="1"/>
  <c r="S463" i="39" s="1"/>
  <c r="S466" i="39" s="1"/>
  <c r="S468" i="39" s="1"/>
  <c r="S469" i="39" s="1"/>
  <c r="S808" i="39"/>
  <c r="S809" i="39" s="1"/>
  <c r="V887" i="39"/>
  <c r="V885" i="39" s="1"/>
  <c r="T436" i="39"/>
  <c r="T434" i="39" s="1"/>
  <c r="T110" i="39"/>
  <c r="T863" i="39"/>
  <c r="T875" i="39" s="1"/>
  <c r="T882" i="39" s="1"/>
  <c r="T968" i="39" s="1"/>
  <c r="U72" i="39"/>
  <c r="U70" i="39" s="1"/>
  <c r="U235" i="39"/>
  <c r="U233" i="39" s="1"/>
  <c r="T607" i="39"/>
  <c r="T619" i="39" s="1"/>
  <c r="T626" i="39" s="1"/>
  <c r="T629" i="39" s="1"/>
  <c r="T631" i="39" s="1"/>
  <c r="T632" i="39" s="1"/>
  <c r="T933" i="39"/>
  <c r="T945" i="39" s="1"/>
  <c r="T952" i="39" s="1"/>
  <c r="T955" i="39" s="1"/>
  <c r="T957" i="39" s="1"/>
  <c r="T958" i="39" s="1"/>
  <c r="T84" i="39"/>
  <c r="U599" i="39"/>
  <c r="U597" i="39" s="1"/>
  <c r="T569" i="39"/>
  <c r="T581" i="39" s="1"/>
  <c r="T588" i="39" s="1"/>
  <c r="T591" i="39" s="1"/>
  <c r="T593" i="39" s="1"/>
  <c r="T594" i="39" s="1"/>
  <c r="Q333" i="39"/>
  <c r="Q334" i="39" s="1"/>
  <c r="S986" i="39"/>
  <c r="W574" i="39"/>
  <c r="S660" i="39"/>
  <c r="S406" i="39"/>
  <c r="S418" i="39" s="1"/>
  <c r="S425" i="39" s="1"/>
  <c r="S428" i="39" s="1"/>
  <c r="S430" i="39" s="1"/>
  <c r="S431" i="39" s="1"/>
  <c r="S118" i="39"/>
  <c r="S130" i="39" s="1"/>
  <c r="S137" i="39" s="1"/>
  <c r="S140" i="39" s="1"/>
  <c r="S142" i="39" s="1"/>
  <c r="S143" i="39" s="1"/>
  <c r="Q496" i="39"/>
  <c r="Q497" i="39" s="1"/>
  <c r="Y520" i="39"/>
  <c r="P497" i="39"/>
  <c r="U377" i="39"/>
  <c r="U375" i="39" s="1"/>
  <c r="U408" i="39"/>
  <c r="U446" i="39"/>
  <c r="R330" i="39"/>
  <c r="R331" i="39" s="1"/>
  <c r="R333" i="39" s="1"/>
  <c r="U51" i="39"/>
  <c r="U120" i="39"/>
  <c r="U82" i="39"/>
  <c r="V900" i="39"/>
  <c r="V938" i="39"/>
  <c r="V867" i="39"/>
  <c r="W849" i="39"/>
  <c r="W869" i="39" s="1" a="1"/>
  <c r="W869" i="39" s="1"/>
  <c r="X847" i="39"/>
  <c r="R154" i="39"/>
  <c r="R156" i="39"/>
  <c r="R157" i="39" s="1"/>
  <c r="W891" i="39"/>
  <c r="W878" i="39" a="1"/>
  <c r="W878" i="39" s="1"/>
  <c r="W843" i="39"/>
  <c r="W872" i="39" a="1"/>
  <c r="W872" i="39" s="1"/>
  <c r="W886" i="39"/>
  <c r="W903" i="39"/>
  <c r="W865" i="39" a="1"/>
  <c r="W865" i="39" s="1"/>
  <c r="W877" i="39" a="1"/>
  <c r="W877" i="39" s="1"/>
  <c r="W879" i="39" a="1"/>
  <c r="W879" i="39" s="1"/>
  <c r="W966" i="39"/>
  <c r="W912" i="39"/>
  <c r="W890" i="39"/>
  <c r="W893" i="39"/>
  <c r="W888" i="39"/>
  <c r="W892" i="39"/>
  <c r="W889" i="39"/>
  <c r="V904" i="39"/>
  <c r="V942" i="39"/>
  <c r="V873" i="39" a="1"/>
  <c r="V873" i="39" s="1"/>
  <c r="U937" i="39"/>
  <c r="T735" i="39"/>
  <c r="T733" i="39" s="1"/>
  <c r="T773" i="39"/>
  <c r="T771" i="39" s="1"/>
  <c r="U435" i="39"/>
  <c r="U438" i="39"/>
  <c r="U461" i="39"/>
  <c r="U452" i="39"/>
  <c r="U440" i="39"/>
  <c r="U437" i="39"/>
  <c r="U442" i="39"/>
  <c r="U441" i="39"/>
  <c r="U439" i="39"/>
  <c r="Y521" i="39"/>
  <c r="U724" i="39"/>
  <c r="U722" i="39" s="1"/>
  <c r="T108" i="39"/>
  <c r="U579" i="39"/>
  <c r="U576" i="39" s="1"/>
  <c r="U617" i="39"/>
  <c r="U614" i="39" s="1"/>
  <c r="R482" i="39"/>
  <c r="R483" i="39" s="1"/>
  <c r="R480" i="39"/>
  <c r="Q170" i="39"/>
  <c r="T246" i="39"/>
  <c r="T244" i="39" s="1"/>
  <c r="T284" i="39"/>
  <c r="T282" i="39" s="1"/>
  <c r="U453" i="39"/>
  <c r="U415" i="39"/>
  <c r="U384" i="39" a="1"/>
  <c r="U384" i="39" s="1"/>
  <c r="W523" i="39"/>
  <c r="W543" i="39" s="1" a="1"/>
  <c r="W543" i="39" s="1"/>
  <c r="W541" i="39" s="1"/>
  <c r="T122" i="39"/>
  <c r="V561" i="39"/>
  <c r="V559" i="39" s="1"/>
  <c r="U899" i="39"/>
  <c r="T701" i="39"/>
  <c r="Q808" i="39"/>
  <c r="Q809" i="39" s="1"/>
  <c r="Q806" i="39"/>
  <c r="V71" i="39"/>
  <c r="V62" i="39" a="1"/>
  <c r="V62" i="39" s="1"/>
  <c r="V74" i="39"/>
  <c r="V64" i="39" a="1"/>
  <c r="V64" i="39" s="1"/>
  <c r="V75" i="39"/>
  <c r="V76" i="39"/>
  <c r="V57" i="39" a="1"/>
  <c r="V57" i="39" s="1"/>
  <c r="V28" i="39"/>
  <c r="V63" i="39" a="1"/>
  <c r="V63" i="39" s="1"/>
  <c r="V50" i="39" a="1"/>
  <c r="V50" i="39" s="1"/>
  <c r="V97" i="39"/>
  <c r="V151" i="39"/>
  <c r="V77" i="39"/>
  <c r="V73" i="39"/>
  <c r="V88" i="39"/>
  <c r="V78" i="39"/>
  <c r="V33" i="39"/>
  <c r="V53" i="39" s="1" a="1"/>
  <c r="V53" i="39" s="1"/>
  <c r="V34" i="39"/>
  <c r="V54" i="39" s="1" a="1"/>
  <c r="V54" i="39" s="1"/>
  <c r="T416" i="39"/>
  <c r="T413" i="39" s="1"/>
  <c r="T454" i="39"/>
  <c r="T451" i="39" s="1"/>
  <c r="U296" i="39"/>
  <c r="U258" i="39"/>
  <c r="S281" i="39"/>
  <c r="S293" i="39" s="1"/>
  <c r="S300" i="39" s="1"/>
  <c r="S303" i="39" s="1"/>
  <c r="S305" i="39" s="1"/>
  <c r="S306" i="39" s="1"/>
  <c r="S479" i="39"/>
  <c r="S492" i="39"/>
  <c r="U422" i="39"/>
  <c r="U460" i="39"/>
  <c r="U89" i="39"/>
  <c r="U127" i="39"/>
  <c r="U58" i="39" a="1"/>
  <c r="U58" i="39" s="1"/>
  <c r="U55" i="39" s="1"/>
  <c r="Q819" i="39"/>
  <c r="Q820" i="39" s="1"/>
  <c r="Q822" i="39" s="1"/>
  <c r="Q823" i="39" s="1"/>
  <c r="X25" i="39"/>
  <c r="W27" i="39"/>
  <c r="V574" i="39"/>
  <c r="V541" i="39"/>
  <c r="V612" i="39"/>
  <c r="R317" i="39"/>
  <c r="R319" i="39"/>
  <c r="R320" i="39" s="1"/>
  <c r="V390" i="39" a="1"/>
  <c r="V390" i="39" s="1"/>
  <c r="V388" i="39" a="1"/>
  <c r="V388" i="39" s="1"/>
  <c r="V397" i="39"/>
  <c r="V354" i="39"/>
  <c r="V450" i="39" s="1"/>
  <c r="V402" i="39"/>
  <c r="V376" i="39" a="1"/>
  <c r="V376" i="39" s="1"/>
  <c r="V389" i="39" a="1"/>
  <c r="V389" i="39" s="1"/>
  <c r="V383" i="39" a="1"/>
  <c r="V383" i="39" s="1"/>
  <c r="V423" i="39"/>
  <c r="V477" i="39"/>
  <c r="V401" i="39"/>
  <c r="V404" i="39"/>
  <c r="V414" i="39"/>
  <c r="V399" i="39"/>
  <c r="V400" i="39"/>
  <c r="V403" i="39"/>
  <c r="U572" i="39"/>
  <c r="U570" i="39" s="1"/>
  <c r="U610" i="39"/>
  <c r="U608" i="39" s="1"/>
  <c r="U703" i="39"/>
  <c r="U772" i="39"/>
  <c r="U734" i="39"/>
  <c r="U925" i="39"/>
  <c r="U923" i="39" s="1"/>
  <c r="U96" i="39"/>
  <c r="U134" i="39"/>
  <c r="W353" i="39"/>
  <c r="W359" i="39" s="1"/>
  <c r="W379" i="39" s="1" a="1"/>
  <c r="W379" i="39" s="1"/>
  <c r="X351" i="39"/>
  <c r="X358" i="39"/>
  <c r="U421" i="39"/>
  <c r="U459" i="39"/>
  <c r="T409" i="39"/>
  <c r="T407" i="39" s="1"/>
  <c r="T447" i="39"/>
  <c r="T445" i="39" s="1"/>
  <c r="V613" i="39"/>
  <c r="V575" i="39"/>
  <c r="T90" i="39"/>
  <c r="T87" i="39" s="1"/>
  <c r="T128" i="39"/>
  <c r="T125" i="39" s="1"/>
  <c r="U784" i="39"/>
  <c r="U746" i="39"/>
  <c r="T760" i="39"/>
  <c r="U420" i="39"/>
  <c r="U458" i="39"/>
  <c r="T375" i="39"/>
  <c r="T374" i="39" s="1"/>
  <c r="T386" i="39" s="1"/>
  <c r="T393" i="39" s="1"/>
  <c r="S770" i="39"/>
  <c r="S782" i="39" s="1"/>
  <c r="S789" i="39" s="1"/>
  <c r="S792" i="39" s="1"/>
  <c r="S794" i="39" s="1"/>
  <c r="S795" i="39" s="1"/>
  <c r="S211" i="39"/>
  <c r="S223" i="39" s="1"/>
  <c r="S230" i="39" s="1"/>
  <c r="V220" i="39" a="1"/>
  <c r="V220" i="39" s="1"/>
  <c r="V225" i="39" a="1"/>
  <c r="V225" i="39" s="1"/>
  <c r="V191" i="39"/>
  <c r="V227" i="39" a="1"/>
  <c r="V227" i="39" s="1"/>
  <c r="V226" i="39" a="1"/>
  <c r="V226" i="39" s="1"/>
  <c r="V234" i="39"/>
  <c r="V213" i="39" a="1"/>
  <c r="V213" i="39" s="1"/>
  <c r="V314" i="39"/>
  <c r="V260" i="39"/>
  <c r="V236" i="39"/>
  <c r="V238" i="39"/>
  <c r="V240" i="39"/>
  <c r="V251" i="39"/>
  <c r="V241" i="39"/>
  <c r="V239" i="39"/>
  <c r="V237" i="39"/>
  <c r="V196" i="39"/>
  <c r="V216" i="39" s="1" a="1"/>
  <c r="V216" i="39" s="1"/>
  <c r="U761" i="39"/>
  <c r="U766" i="39"/>
  <c r="U787" i="39"/>
  <c r="U768" i="39"/>
  <c r="U765" i="39"/>
  <c r="U763" i="39"/>
  <c r="U778" i="39"/>
  <c r="U767" i="39"/>
  <c r="U764" i="39"/>
  <c r="U86" i="39"/>
  <c r="U124" i="39"/>
  <c r="U132" i="39"/>
  <c r="U94" i="39"/>
  <c r="V412" i="39"/>
  <c r="W848" i="39"/>
  <c r="W868" i="39" s="1" a="1"/>
  <c r="W868" i="39" s="1"/>
  <c r="X846" i="39"/>
  <c r="U290" i="39"/>
  <c r="U252" i="39"/>
  <c r="U221" i="39" a="1"/>
  <c r="U221" i="39" s="1"/>
  <c r="Y194" i="39"/>
  <c r="X188" i="39"/>
  <c r="W190" i="39"/>
  <c r="W197" i="39" s="1"/>
  <c r="W217" i="39" s="1" a="1"/>
  <c r="W217" i="39" s="1"/>
  <c r="U123" i="39"/>
  <c r="U85" i="39"/>
  <c r="U52" i="39"/>
  <c r="U109" i="39"/>
  <c r="U112" i="39"/>
  <c r="H8" i="56"/>
  <c r="U135" i="39"/>
  <c r="U126" i="39"/>
  <c r="U111" i="39"/>
  <c r="U116" i="39"/>
  <c r="U115" i="39"/>
  <c r="U114" i="39"/>
  <c r="U113" i="39"/>
  <c r="R986" i="39"/>
  <c r="T291" i="39"/>
  <c r="T288" i="39" s="1"/>
  <c r="T253" i="39"/>
  <c r="T250" i="39" s="1"/>
  <c r="W560" i="39"/>
  <c r="W517" i="39"/>
  <c r="W612" i="39" s="1"/>
  <c r="W567" i="39"/>
  <c r="W546" i="39" a="1"/>
  <c r="W546" i="39" s="1"/>
  <c r="W553" i="39" a="1"/>
  <c r="W553" i="39" s="1"/>
  <c r="W552" i="39" a="1"/>
  <c r="W552" i="39" s="1"/>
  <c r="W564" i="39"/>
  <c r="W551" i="39" a="1"/>
  <c r="W551" i="39" s="1"/>
  <c r="W563" i="39"/>
  <c r="W539" i="39" a="1"/>
  <c r="W539" i="39" s="1"/>
  <c r="W586" i="39"/>
  <c r="W640" i="39"/>
  <c r="W562" i="39"/>
  <c r="W566" i="39"/>
  <c r="W565" i="39"/>
  <c r="W577" i="39"/>
  <c r="U741" i="39"/>
  <c r="U779" i="39"/>
  <c r="U710" i="39" a="1"/>
  <c r="U710" i="39" s="1"/>
  <c r="U707" i="39" s="1"/>
  <c r="U133" i="39"/>
  <c r="U95" i="39"/>
  <c r="U410" i="39"/>
  <c r="P334" i="39"/>
  <c r="U283" i="39"/>
  <c r="U214" i="39"/>
  <c r="U212" i="39" s="1"/>
  <c r="U245" i="39"/>
  <c r="T218" i="39"/>
  <c r="T211" i="39" s="1"/>
  <c r="T223" i="39" s="1"/>
  <c r="T230" i="39" s="1"/>
  <c r="X516" i="39"/>
  <c r="X522" i="39" s="1"/>
  <c r="X542" i="39" s="1" a="1"/>
  <c r="X542" i="39" s="1"/>
  <c r="Y514" i="39"/>
  <c r="X357" i="39"/>
  <c r="V935" i="39"/>
  <c r="V897" i="39"/>
  <c r="V866" i="39"/>
  <c r="V540" i="39"/>
  <c r="V538" i="39" s="1"/>
  <c r="V609" i="39"/>
  <c r="V571" i="39"/>
  <c r="U786" i="39"/>
  <c r="U748" i="39"/>
  <c r="U449" i="39"/>
  <c r="U448" i="39" s="1"/>
  <c r="V411" i="39"/>
  <c r="V378" i="39"/>
  <c r="V910" i="39"/>
  <c r="V948" i="39"/>
  <c r="T273" i="39"/>
  <c r="T271" i="39" s="1"/>
  <c r="V616" i="39"/>
  <c r="V578" i="39"/>
  <c r="V547" i="39" a="1"/>
  <c r="V547" i="39" s="1"/>
  <c r="V544" i="39" s="1"/>
  <c r="AB31" i="39"/>
  <c r="Q986" i="39"/>
  <c r="P823" i="39"/>
  <c r="V949" i="39"/>
  <c r="V911" i="39"/>
  <c r="V623" i="39"/>
  <c r="V585" i="39"/>
  <c r="U747" i="39"/>
  <c r="U785" i="39"/>
  <c r="X677" i="39"/>
  <c r="W679" i="39"/>
  <c r="W686" i="39" s="1"/>
  <c r="W706" i="39" s="1" a="1"/>
  <c r="W706" i="39" s="1"/>
  <c r="X195" i="39"/>
  <c r="S156" i="39"/>
  <c r="S157" i="39" s="1"/>
  <c r="S154" i="39"/>
  <c r="U295" i="39"/>
  <c r="U257" i="39"/>
  <c r="T83" i="39"/>
  <c r="T81" i="39" s="1"/>
  <c r="T121" i="39"/>
  <c r="T119" i="39" s="1"/>
  <c r="U298" i="39"/>
  <c r="U272" i="39"/>
  <c r="U278" i="39"/>
  <c r="U289" i="39"/>
  <c r="U274" i="39"/>
  <c r="U275" i="39"/>
  <c r="U279" i="39"/>
  <c r="U276" i="39"/>
  <c r="U277" i="39"/>
  <c r="T49" i="39"/>
  <c r="T48" i="39" s="1"/>
  <c r="T60" i="39" s="1"/>
  <c r="T67" i="39" s="1"/>
  <c r="U398" i="39"/>
  <c r="U396" i="39" s="1"/>
  <c r="X684" i="39"/>
  <c r="Y840" i="39"/>
  <c r="X842" i="39"/>
  <c r="V939" i="39"/>
  <c r="V901" i="39"/>
  <c r="R167" i="39"/>
  <c r="R168" i="39" s="1"/>
  <c r="R170" i="39" s="1"/>
  <c r="V950" i="39"/>
  <c r="V924" i="39"/>
  <c r="V941" i="39"/>
  <c r="V928" i="39"/>
  <c r="V927" i="39"/>
  <c r="V931" i="39"/>
  <c r="V926" i="39"/>
  <c r="V930" i="39"/>
  <c r="V929" i="39"/>
  <c r="V624" i="39"/>
  <c r="V598" i="39"/>
  <c r="V602" i="39"/>
  <c r="V601" i="39"/>
  <c r="V603" i="39"/>
  <c r="V600" i="39"/>
  <c r="V615" i="39"/>
  <c r="V605" i="39"/>
  <c r="V604" i="39"/>
  <c r="U775" i="39"/>
  <c r="U737" i="39"/>
  <c r="U736" i="39" s="1"/>
  <c r="U704" i="39"/>
  <c r="T537" i="39"/>
  <c r="T549" i="39" s="1"/>
  <c r="T556" i="39" s="1"/>
  <c r="V723" i="39"/>
  <c r="V680" i="39"/>
  <c r="V776" i="39" s="1"/>
  <c r="V727" i="39"/>
  <c r="V728" i="39"/>
  <c r="V729" i="39"/>
  <c r="V709" i="39" a="1"/>
  <c r="V709" i="39" s="1"/>
  <c r="V715" i="39" a="1"/>
  <c r="V715" i="39" s="1"/>
  <c r="V702" i="39" a="1"/>
  <c r="V702" i="39" s="1"/>
  <c r="V714" i="39" a="1"/>
  <c r="V714" i="39" s="1"/>
  <c r="V716" i="39" a="1"/>
  <c r="V716" i="39" s="1"/>
  <c r="V749" i="39"/>
  <c r="V803" i="39"/>
  <c r="V740" i="39"/>
  <c r="V726" i="39"/>
  <c r="V730" i="39"/>
  <c r="V725" i="39"/>
  <c r="V685" i="39"/>
  <c r="V705" i="39" s="1" a="1"/>
  <c r="V705" i="39" s="1"/>
  <c r="V197" i="39"/>
  <c r="V217" i="39" s="1" a="1"/>
  <c r="V217" i="39" s="1"/>
  <c r="U287" i="39"/>
  <c r="S167" i="39"/>
  <c r="S168" i="39" s="1"/>
  <c r="S170" i="39" s="1"/>
  <c r="V738" i="39"/>
  <c r="V947" i="39"/>
  <c r="V909" i="39"/>
  <c r="V622" i="39"/>
  <c r="V584" i="39"/>
  <c r="T742" i="39"/>
  <c r="T739" i="39" s="1"/>
  <c r="T780" i="39"/>
  <c r="T777" i="39" s="1"/>
  <c r="U936" i="39"/>
  <c r="U934" i="39" s="1"/>
  <c r="U898" i="39"/>
  <c r="U896" i="39" s="1"/>
  <c r="R806" i="39"/>
  <c r="R808" i="39"/>
  <c r="R809" i="39" s="1"/>
  <c r="U297" i="39"/>
  <c r="U259" i="39"/>
  <c r="U905" i="39"/>
  <c r="U902" i="39" s="1"/>
  <c r="U943" i="39"/>
  <c r="U940" i="39" s="1"/>
  <c r="U776" i="39"/>
  <c r="Z683" i="39"/>
  <c r="U544" i="39"/>
  <c r="U537" i="39" s="1"/>
  <c r="U549" i="39" s="1"/>
  <c r="U556" i="39" s="1"/>
  <c r="U286" i="39"/>
  <c r="U248" i="39"/>
  <c r="U247" i="39" s="1"/>
  <c r="U215" i="39"/>
  <c r="V621" i="39"/>
  <c r="V583" i="39"/>
  <c r="Z32" i="39"/>
  <c r="T707" i="39"/>
  <c r="U864" i="39"/>
  <c r="U863" i="39" s="1"/>
  <c r="U875" i="39" s="1"/>
  <c r="U882" i="39" s="1"/>
  <c r="R493" i="39"/>
  <c r="R494" i="39" s="1"/>
  <c r="R496" i="39" s="1"/>
  <c r="R819" i="39"/>
  <c r="R820" i="39" s="1"/>
  <c r="R822" i="39" s="1"/>
  <c r="U762" i="39" l="1"/>
  <c r="U607" i="39"/>
  <c r="T981" i="39"/>
  <c r="V449" i="39"/>
  <c r="V448" i="39" s="1"/>
  <c r="T118" i="39"/>
  <c r="U569" i="39"/>
  <c r="U581" i="39" s="1"/>
  <c r="U588" i="39" s="1"/>
  <c r="U591" i="39" s="1"/>
  <c r="U593" i="39" s="1"/>
  <c r="U594" i="39" s="1"/>
  <c r="T80" i="39"/>
  <c r="T92" i="39" s="1"/>
  <c r="T99" i="39" s="1"/>
  <c r="T102" i="39" s="1"/>
  <c r="T104" i="39" s="1"/>
  <c r="T105" i="39" s="1"/>
  <c r="U84" i="39"/>
  <c r="W887" i="39"/>
  <c r="W885" i="39" s="1"/>
  <c r="T444" i="39"/>
  <c r="T456" i="39" s="1"/>
  <c r="T463" i="39" s="1"/>
  <c r="T466" i="39" s="1"/>
  <c r="T468" i="39" s="1"/>
  <c r="T469" i="39" s="1"/>
  <c r="T406" i="39"/>
  <c r="T418" i="39" s="1"/>
  <c r="T425" i="39" s="1"/>
  <c r="T428" i="39" s="1"/>
  <c r="T430" i="39" s="1"/>
  <c r="T431" i="39" s="1"/>
  <c r="V398" i="39"/>
  <c r="V396" i="39" s="1"/>
  <c r="U436" i="39"/>
  <c r="U434" i="39" s="1"/>
  <c r="W360" i="39"/>
  <c r="W380" i="39" s="1" a="1"/>
  <c r="W380" i="39" s="1"/>
  <c r="W412" i="39" s="1"/>
  <c r="T281" i="39"/>
  <c r="T293" i="39" s="1"/>
  <c r="T300" i="39" s="1"/>
  <c r="T303" i="39" s="1"/>
  <c r="T305" i="39" s="1"/>
  <c r="T306" i="39" s="1"/>
  <c r="T243" i="39"/>
  <c r="T255" i="39" s="1"/>
  <c r="T262" i="39" s="1"/>
  <c r="T265" i="39" s="1"/>
  <c r="T267" i="39" s="1"/>
  <c r="T268" i="39" s="1"/>
  <c r="U895" i="39"/>
  <c r="U907" i="39" s="1"/>
  <c r="U914" i="39" s="1"/>
  <c r="U917" i="39" s="1"/>
  <c r="U919" i="39" s="1"/>
  <c r="U920" i="39" s="1"/>
  <c r="V537" i="39"/>
  <c r="V549" i="39" s="1"/>
  <c r="V556" i="39" s="1"/>
  <c r="V642" i="39" s="1"/>
  <c r="V724" i="39"/>
  <c r="V722" i="39" s="1"/>
  <c r="V925" i="39"/>
  <c r="V923" i="39" s="1"/>
  <c r="U933" i="39"/>
  <c r="U945" i="39" s="1"/>
  <c r="U952" i="39" s="1"/>
  <c r="U955" i="39" s="1"/>
  <c r="U957" i="39" s="1"/>
  <c r="U958" i="39" s="1"/>
  <c r="U122" i="39"/>
  <c r="T732" i="39"/>
  <c r="T744" i="39" s="1"/>
  <c r="T751" i="39" s="1"/>
  <c r="T754" i="39" s="1"/>
  <c r="T756" i="39" s="1"/>
  <c r="T757" i="39" s="1"/>
  <c r="W561" i="39"/>
  <c r="R334" i="39"/>
  <c r="T316" i="39"/>
  <c r="T329" i="39"/>
  <c r="X574" i="39"/>
  <c r="R497" i="39"/>
  <c r="R823" i="39"/>
  <c r="S823" i="39"/>
  <c r="U655" i="39"/>
  <c r="U642" i="39"/>
  <c r="T770" i="39"/>
  <c r="T782" i="39" s="1"/>
  <c r="T789" i="39" s="1"/>
  <c r="T792" i="39" s="1"/>
  <c r="T794" i="39" s="1"/>
  <c r="T795" i="39" s="1"/>
  <c r="W738" i="39"/>
  <c r="AC31" i="39"/>
  <c r="Y684" i="39"/>
  <c r="V704" i="39"/>
  <c r="V775" i="39"/>
  <c r="V774" i="39" s="1"/>
  <c r="V737" i="39"/>
  <c r="V736" i="39" s="1"/>
  <c r="T479" i="39"/>
  <c r="T492" i="39"/>
  <c r="V422" i="39"/>
  <c r="V460" i="39"/>
  <c r="V937" i="39"/>
  <c r="V747" i="39"/>
  <c r="V785" i="39"/>
  <c r="S316" i="39"/>
  <c r="S329" i="39"/>
  <c r="V905" i="39"/>
  <c r="V902" i="39" s="1"/>
  <c r="V943" i="39"/>
  <c r="V940" i="39" s="1"/>
  <c r="W942" i="39"/>
  <c r="W904" i="39"/>
  <c r="W873" i="39" a="1"/>
  <c r="W873" i="39" s="1"/>
  <c r="V899" i="39"/>
  <c r="U246" i="39"/>
  <c r="U244" i="39" s="1"/>
  <c r="U284" i="39"/>
  <c r="U282" i="39" s="1"/>
  <c r="W935" i="39"/>
  <c r="W897" i="39"/>
  <c r="W866" i="39"/>
  <c r="V898" i="39"/>
  <c r="V896" i="39" s="1"/>
  <c r="V936" i="39"/>
  <c r="V934" i="39" s="1"/>
  <c r="V72" i="39"/>
  <c r="V70" i="39" s="1"/>
  <c r="Z521" i="39"/>
  <c r="V870" i="39"/>
  <c r="W931" i="39"/>
  <c r="W924" i="39"/>
  <c r="W929" i="39"/>
  <c r="W950" i="39"/>
  <c r="W926" i="39"/>
  <c r="W930" i="39"/>
  <c r="W928" i="39"/>
  <c r="W927" i="39"/>
  <c r="W941" i="39"/>
  <c r="V249" i="39"/>
  <c r="V287" i="39"/>
  <c r="Y842" i="39"/>
  <c r="Z840" i="39"/>
  <c r="V458" i="39"/>
  <c r="V420" i="39"/>
  <c r="W609" i="39"/>
  <c r="W571" i="39"/>
  <c r="W540" i="39"/>
  <c r="W538" i="39" s="1"/>
  <c r="W234" i="39"/>
  <c r="W240" i="39"/>
  <c r="W227" i="39" a="1"/>
  <c r="W227" i="39" s="1"/>
  <c r="W225" i="39" a="1"/>
  <c r="W225" i="39" s="1"/>
  <c r="W220" i="39" a="1"/>
  <c r="W220" i="39" s="1"/>
  <c r="W226" i="39" a="1"/>
  <c r="W226" i="39" s="1"/>
  <c r="W191" i="39"/>
  <c r="W287" i="39" s="1"/>
  <c r="W213" i="39" a="1"/>
  <c r="W213" i="39" s="1"/>
  <c r="W260" i="39"/>
  <c r="W314" i="39"/>
  <c r="W241" i="39"/>
  <c r="W251" i="39"/>
  <c r="W237" i="39"/>
  <c r="W239" i="39"/>
  <c r="W238" i="39"/>
  <c r="W236" i="39"/>
  <c r="W196" i="39"/>
  <c r="W216" i="39" s="1" a="1"/>
  <c r="W216" i="39" s="1"/>
  <c r="X353" i="39"/>
  <c r="X359" i="39" s="1"/>
  <c r="X379" i="39" s="1" a="1"/>
  <c r="X379" i="39" s="1"/>
  <c r="Y351" i="39"/>
  <c r="T700" i="39"/>
  <c r="T712" i="39" s="1"/>
  <c r="T719" i="39" s="1"/>
  <c r="X523" i="39"/>
  <c r="X543" i="39" s="1" a="1"/>
  <c r="X543" i="39" s="1"/>
  <c r="X541" i="39" s="1"/>
  <c r="W948" i="39"/>
  <c r="W910" i="39"/>
  <c r="V124" i="39"/>
  <c r="V86" i="39"/>
  <c r="T130" i="39"/>
  <c r="T137" i="39" s="1"/>
  <c r="T140" i="39" s="1"/>
  <c r="T142" i="39" s="1"/>
  <c r="T143" i="39" s="1"/>
  <c r="V761" i="39"/>
  <c r="V766" i="39"/>
  <c r="V787" i="39"/>
  <c r="V767" i="39"/>
  <c r="V764" i="39"/>
  <c r="V768" i="39"/>
  <c r="V763" i="39"/>
  <c r="V778" i="39"/>
  <c r="V765" i="39"/>
  <c r="U285" i="39"/>
  <c r="T655" i="39"/>
  <c r="T642" i="39"/>
  <c r="Y358" i="39"/>
  <c r="V864" i="39"/>
  <c r="AA683" i="39"/>
  <c r="Y357" i="39"/>
  <c r="U981" i="39"/>
  <c r="U968" i="39"/>
  <c r="U774" i="39"/>
  <c r="Y195" i="39"/>
  <c r="V410" i="39"/>
  <c r="W411" i="39"/>
  <c r="X190" i="39"/>
  <c r="Y188" i="39"/>
  <c r="V235" i="39"/>
  <c r="V233" i="39" s="1"/>
  <c r="W402" i="39"/>
  <c r="W404" i="39"/>
  <c r="W388" i="39" a="1"/>
  <c r="W388" i="39" s="1"/>
  <c r="W383" i="39" a="1"/>
  <c r="W383" i="39" s="1"/>
  <c r="W397" i="39"/>
  <c r="W390" i="39" a="1"/>
  <c r="W390" i="39" s="1"/>
  <c r="W389" i="39" a="1"/>
  <c r="W389" i="39" s="1"/>
  <c r="W354" i="39"/>
  <c r="W449" i="39" s="1"/>
  <c r="W400" i="39"/>
  <c r="W376" i="39" a="1"/>
  <c r="W376" i="39" s="1"/>
  <c r="W423" i="39"/>
  <c r="W477" i="39"/>
  <c r="W414" i="39"/>
  <c r="W399" i="39"/>
  <c r="W401" i="39"/>
  <c r="W403" i="39"/>
  <c r="S171" i="39"/>
  <c r="R171" i="39"/>
  <c r="Q171" i="39"/>
  <c r="U83" i="39"/>
  <c r="U81" i="39" s="1"/>
  <c r="U121" i="39"/>
  <c r="U119" i="39" s="1"/>
  <c r="Z520" i="39"/>
  <c r="V741" i="39"/>
  <c r="V779" i="39"/>
  <c r="V710" i="39" a="1"/>
  <c r="V710" i="39" s="1"/>
  <c r="W559" i="39"/>
  <c r="V85" i="39"/>
  <c r="V123" i="39"/>
  <c r="V52" i="39"/>
  <c r="W249" i="39"/>
  <c r="U619" i="39"/>
  <c r="U626" i="39" s="1"/>
  <c r="U629" i="39" s="1"/>
  <c r="U631" i="39" s="1"/>
  <c r="U632" i="39" s="1"/>
  <c r="Y516" i="39"/>
  <c r="Z514" i="39"/>
  <c r="W621" i="39"/>
  <c r="W583" i="39"/>
  <c r="U110" i="39"/>
  <c r="U108" i="39" s="1"/>
  <c r="Z194" i="39"/>
  <c r="V611" i="39"/>
  <c r="S493" i="39"/>
  <c r="S494" i="39" s="1"/>
  <c r="S496" i="39" s="1"/>
  <c r="U49" i="39"/>
  <c r="U48" i="39" s="1"/>
  <c r="U60" i="39" s="1"/>
  <c r="U67" i="39" s="1"/>
  <c r="V786" i="39"/>
  <c r="V748" i="39"/>
  <c r="V132" i="39"/>
  <c r="V94" i="39"/>
  <c r="T153" i="39"/>
  <c r="T166" i="39"/>
  <c r="U273" i="39"/>
  <c r="U271" i="39" s="1"/>
  <c r="X546" i="39" a="1"/>
  <c r="X546" i="39" s="1"/>
  <c r="X552" i="39" a="1"/>
  <c r="X552" i="39" s="1"/>
  <c r="X551" i="39" a="1"/>
  <c r="X551" i="39" s="1"/>
  <c r="X560" i="39"/>
  <c r="X563" i="39"/>
  <c r="X553" i="39" a="1"/>
  <c r="X553" i="39" s="1"/>
  <c r="X517" i="39"/>
  <c r="X539" i="39" a="1"/>
  <c r="X539" i="39" s="1"/>
  <c r="X586" i="39"/>
  <c r="X640" i="39"/>
  <c r="X566" i="39"/>
  <c r="X562" i="39"/>
  <c r="X564" i="39"/>
  <c r="X567" i="39"/>
  <c r="X565" i="39"/>
  <c r="X577" i="39"/>
  <c r="S482" i="39"/>
  <c r="S483" i="39" s="1"/>
  <c r="S480" i="39"/>
  <c r="V51" i="39"/>
  <c r="V82" i="39"/>
  <c r="V120" i="39"/>
  <c r="W723" i="39"/>
  <c r="W716" i="39" a="1"/>
  <c r="W716" i="39" s="1"/>
  <c r="W715" i="39" a="1"/>
  <c r="W715" i="39" s="1"/>
  <c r="W709" i="39" a="1"/>
  <c r="W709" i="39" s="1"/>
  <c r="W714" i="39" a="1"/>
  <c r="W714" i="39" s="1"/>
  <c r="W680" i="39"/>
  <c r="W702" i="39" a="1"/>
  <c r="W702" i="39" s="1"/>
  <c r="W749" i="39"/>
  <c r="W803" i="39"/>
  <c r="W730" i="39"/>
  <c r="W728" i="39"/>
  <c r="W725" i="39"/>
  <c r="W729" i="39"/>
  <c r="W726" i="39"/>
  <c r="W727" i="39"/>
  <c r="W740" i="39"/>
  <c r="W685" i="39"/>
  <c r="W705" i="39" s="1" a="1"/>
  <c r="W705" i="39" s="1"/>
  <c r="U253" i="39"/>
  <c r="U250" i="39" s="1"/>
  <c r="U291" i="39"/>
  <c r="U288" i="39" s="1"/>
  <c r="V245" i="39"/>
  <c r="V214" i="39"/>
  <c r="V283" i="39"/>
  <c r="V573" i="39"/>
  <c r="V95" i="39"/>
  <c r="V133" i="39"/>
  <c r="W584" i="39"/>
  <c r="W622" i="39"/>
  <c r="AA32" i="39"/>
  <c r="V784" i="39"/>
  <c r="V746" i="39"/>
  <c r="V599" i="39"/>
  <c r="V597" i="39" s="1"/>
  <c r="Y677" i="39"/>
  <c r="X679" i="39"/>
  <c r="X686" i="39" s="1"/>
  <c r="X706" i="39" s="1" a="1"/>
  <c r="X706" i="39" s="1"/>
  <c r="W623" i="39"/>
  <c r="W585" i="39"/>
  <c r="U218" i="39"/>
  <c r="U211" i="39" s="1"/>
  <c r="U223" i="39" s="1"/>
  <c r="U230" i="39" s="1"/>
  <c r="W71" i="39"/>
  <c r="W75" i="39"/>
  <c r="W62" i="39" a="1"/>
  <c r="W62" i="39" s="1"/>
  <c r="W57" i="39" a="1"/>
  <c r="W57" i="39" s="1"/>
  <c r="W28" i="39"/>
  <c r="W63" i="39" a="1"/>
  <c r="W63" i="39" s="1"/>
  <c r="W64" i="39" a="1"/>
  <c r="W64" i="39" s="1"/>
  <c r="W50" i="39" a="1"/>
  <c r="W50" i="39" s="1"/>
  <c r="W97" i="39"/>
  <c r="W151" i="39"/>
  <c r="W74" i="39"/>
  <c r="W76" i="39"/>
  <c r="W88" i="39"/>
  <c r="W77" i="39"/>
  <c r="W78" i="39"/>
  <c r="W73" i="39"/>
  <c r="W33" i="39"/>
  <c r="W53" i="39" s="1" a="1"/>
  <c r="W53" i="39" s="1"/>
  <c r="W34" i="39"/>
  <c r="W54" i="39" s="1" a="1"/>
  <c r="W54" i="39" s="1"/>
  <c r="V135" i="39"/>
  <c r="V115" i="39"/>
  <c r="V109" i="39"/>
  <c r="V126" i="39"/>
  <c r="V113" i="39"/>
  <c r="V111" i="39"/>
  <c r="V116" i="39"/>
  <c r="V112" i="39"/>
  <c r="V114" i="39"/>
  <c r="X849" i="39"/>
  <c r="X869" i="39" s="1" a="1"/>
  <c r="X869" i="39" s="1"/>
  <c r="Y847" i="39"/>
  <c r="V258" i="39"/>
  <c r="V296" i="39"/>
  <c r="V453" i="39"/>
  <c r="V415" i="39"/>
  <c r="V384" i="39" a="1"/>
  <c r="V384" i="39" s="1"/>
  <c r="Y25" i="39"/>
  <c r="X27" i="39"/>
  <c r="V89" i="39"/>
  <c r="V127" i="39"/>
  <c r="V58" i="39" a="1"/>
  <c r="V58" i="39" s="1"/>
  <c r="W901" i="39"/>
  <c r="W939" i="39"/>
  <c r="V703" i="39"/>
  <c r="V701" i="39" s="1"/>
  <c r="V772" i="39"/>
  <c r="V734" i="39"/>
  <c r="V259" i="39"/>
  <c r="V297" i="39"/>
  <c r="U735" i="39"/>
  <c r="U733" i="39" s="1"/>
  <c r="U773" i="39"/>
  <c r="U771" i="39" s="1"/>
  <c r="V459" i="39"/>
  <c r="V421" i="39"/>
  <c r="W575" i="39"/>
  <c r="W573" i="39" s="1"/>
  <c r="W613" i="39"/>
  <c r="W611" i="39" s="1"/>
  <c r="U780" i="39"/>
  <c r="U777" i="39" s="1"/>
  <c r="U742" i="39"/>
  <c r="U739" i="39" s="1"/>
  <c r="V617" i="39"/>
  <c r="V614" i="39" s="1"/>
  <c r="V579" i="39"/>
  <c r="V576" i="39" s="1"/>
  <c r="W602" i="39"/>
  <c r="W601" i="39"/>
  <c r="W624" i="39"/>
  <c r="W598" i="39"/>
  <c r="W600" i="39"/>
  <c r="W605" i="39"/>
  <c r="W604" i="39"/>
  <c r="W615" i="39"/>
  <c r="W603" i="39"/>
  <c r="X848" i="39"/>
  <c r="X868" i="39" s="1" a="1"/>
  <c r="X868" i="39" s="1"/>
  <c r="Y846" i="39"/>
  <c r="V272" i="39"/>
  <c r="V298" i="39"/>
  <c r="V278" i="39"/>
  <c r="V276" i="39"/>
  <c r="V289" i="39"/>
  <c r="V274" i="39"/>
  <c r="V279" i="39"/>
  <c r="V277" i="39"/>
  <c r="V275" i="39"/>
  <c r="U701" i="39"/>
  <c r="U700" i="39" s="1"/>
  <c r="U712" i="39" s="1"/>
  <c r="U719" i="39" s="1"/>
  <c r="V377" i="39"/>
  <c r="V375" i="39" s="1"/>
  <c r="V408" i="39"/>
  <c r="V446" i="39"/>
  <c r="U416" i="39"/>
  <c r="U413" i="39" s="1"/>
  <c r="U454" i="39"/>
  <c r="U451" i="39" s="1"/>
  <c r="W867" i="39"/>
  <c r="W938" i="39"/>
  <c r="W900" i="39"/>
  <c r="U760" i="39"/>
  <c r="V257" i="39"/>
  <c r="V295" i="39"/>
  <c r="V96" i="39"/>
  <c r="V134" i="39"/>
  <c r="W911" i="39"/>
  <c r="W949" i="39"/>
  <c r="T982" i="39"/>
  <c r="T983" i="39" s="1"/>
  <c r="T985" i="39" s="1"/>
  <c r="U447" i="39"/>
  <c r="U445" i="39" s="1"/>
  <c r="U409" i="39"/>
  <c r="U407" i="39" s="1"/>
  <c r="W616" i="39"/>
  <c r="W578" i="39"/>
  <c r="W547" i="39" a="1"/>
  <c r="W547" i="39" s="1"/>
  <c r="X886" i="39"/>
  <c r="X872" i="39" a="1"/>
  <c r="X872" i="39" s="1"/>
  <c r="X879" i="39" a="1"/>
  <c r="X879" i="39" s="1"/>
  <c r="X878" i="39" a="1"/>
  <c r="X878" i="39" s="1"/>
  <c r="X892" i="39"/>
  <c r="X877" i="39" a="1"/>
  <c r="X877" i="39" s="1"/>
  <c r="X843" i="39"/>
  <c r="X865" i="39" a="1"/>
  <c r="X865" i="39" s="1"/>
  <c r="X912" i="39"/>
  <c r="X966" i="39"/>
  <c r="X888" i="39"/>
  <c r="X889" i="39"/>
  <c r="X893" i="39"/>
  <c r="X891" i="39"/>
  <c r="X890" i="39"/>
  <c r="X903" i="39"/>
  <c r="V610" i="39"/>
  <c r="V608" i="39" s="1"/>
  <c r="V572" i="39"/>
  <c r="V570" i="39" s="1"/>
  <c r="V248" i="39"/>
  <c r="V286" i="39"/>
  <c r="V215" i="39"/>
  <c r="V290" i="39"/>
  <c r="V252" i="39"/>
  <c r="V221" i="39" a="1"/>
  <c r="V221" i="39" s="1"/>
  <c r="V218" i="39" s="1"/>
  <c r="V435" i="39"/>
  <c r="V461" i="39"/>
  <c r="V440" i="39"/>
  <c r="V452" i="39"/>
  <c r="V442" i="39"/>
  <c r="V439" i="39"/>
  <c r="V438" i="39"/>
  <c r="V437" i="39"/>
  <c r="V441" i="39"/>
  <c r="U90" i="39"/>
  <c r="U87" i="39" s="1"/>
  <c r="U128" i="39"/>
  <c r="U125" i="39" s="1"/>
  <c r="U381" i="39"/>
  <c r="U374" i="39" s="1"/>
  <c r="U386" i="39" s="1"/>
  <c r="U393" i="39" s="1"/>
  <c r="W947" i="39"/>
  <c r="W909" i="39"/>
  <c r="T969" i="39"/>
  <c r="T971" i="39"/>
  <c r="T972" i="39" s="1"/>
  <c r="V247" i="39" l="1"/>
  <c r="V569" i="39"/>
  <c r="V581" i="39" s="1"/>
  <c r="V588" i="39" s="1"/>
  <c r="V591" i="39" s="1"/>
  <c r="V593" i="39" s="1"/>
  <c r="V594" i="39" s="1"/>
  <c r="V84" i="39"/>
  <c r="V607" i="39"/>
  <c r="W925" i="39"/>
  <c r="X360" i="39"/>
  <c r="X380" i="39" s="1" a="1"/>
  <c r="X380" i="39" s="1"/>
  <c r="X412" i="39" s="1"/>
  <c r="V122" i="39"/>
  <c r="W378" i="39"/>
  <c r="V655" i="39"/>
  <c r="V656" i="39" s="1"/>
  <c r="V657" i="39" s="1"/>
  <c r="V659" i="39" s="1"/>
  <c r="V285" i="39"/>
  <c r="U770" i="39"/>
  <c r="U782" i="39" s="1"/>
  <c r="U789" i="39" s="1"/>
  <c r="U792" i="39" s="1"/>
  <c r="U794" i="39" s="1"/>
  <c r="U795" i="39" s="1"/>
  <c r="U732" i="39"/>
  <c r="U744" i="39" s="1"/>
  <c r="U751" i="39" s="1"/>
  <c r="U754" i="39" s="1"/>
  <c r="U756" i="39" s="1"/>
  <c r="U757" i="39" s="1"/>
  <c r="V863" i="39"/>
  <c r="V875" i="39" s="1"/>
  <c r="V882" i="39" s="1"/>
  <c r="V968" i="39" s="1"/>
  <c r="W398" i="39"/>
  <c r="W396" i="39" s="1"/>
  <c r="V895" i="39"/>
  <c r="V907" i="39" s="1"/>
  <c r="V914" i="39" s="1"/>
  <c r="V917" i="39" s="1"/>
  <c r="V919" i="39" s="1"/>
  <c r="V920" i="39" s="1"/>
  <c r="W410" i="39"/>
  <c r="V762" i="39"/>
  <c r="V760" i="39" s="1"/>
  <c r="W235" i="39"/>
  <c r="W233" i="39" s="1"/>
  <c r="U80" i="39"/>
  <c r="U92" i="39" s="1"/>
  <c r="U99" i="39" s="1"/>
  <c r="U102" i="39" s="1"/>
  <c r="U104" i="39" s="1"/>
  <c r="U105" i="39" s="1"/>
  <c r="U329" i="39"/>
  <c r="U316" i="39"/>
  <c r="U492" i="39"/>
  <c r="U479" i="39"/>
  <c r="X738" i="39"/>
  <c r="V619" i="39"/>
  <c r="V626" i="39" s="1"/>
  <c r="V629" i="39" s="1"/>
  <c r="V631" i="39" s="1"/>
  <c r="V632" i="39" s="1"/>
  <c r="X901" i="39"/>
  <c r="X939" i="39"/>
  <c r="U406" i="39"/>
  <c r="U418" i="39" s="1"/>
  <c r="U425" i="39" s="1"/>
  <c r="U428" i="39" s="1"/>
  <c r="U430" i="39" s="1"/>
  <c r="U431" i="39" s="1"/>
  <c r="W761" i="39"/>
  <c r="W765" i="39"/>
  <c r="W787" i="39"/>
  <c r="W778" i="39"/>
  <c r="W768" i="39"/>
  <c r="W766" i="39"/>
  <c r="W763" i="39"/>
  <c r="W764" i="39"/>
  <c r="W767" i="39"/>
  <c r="V454" i="39"/>
  <c r="V451" i="39" s="1"/>
  <c r="V416" i="39"/>
  <c r="V413" i="39" s="1"/>
  <c r="W132" i="39"/>
  <c r="W94" i="39"/>
  <c r="T167" i="39"/>
  <c r="T168" i="39" s="1"/>
  <c r="T170" i="39" s="1"/>
  <c r="Y552" i="39" a="1"/>
  <c r="Y552" i="39" s="1"/>
  <c r="Y560" i="39"/>
  <c r="Y551" i="39" a="1"/>
  <c r="Y551" i="39" s="1"/>
  <c r="Y517" i="39"/>
  <c r="Y565" i="39"/>
  <c r="Y553" i="39" a="1"/>
  <c r="Y553" i="39" s="1"/>
  <c r="Y546" i="39" a="1"/>
  <c r="Y546" i="39" s="1"/>
  <c r="Y566" i="39"/>
  <c r="Y539" i="39" a="1"/>
  <c r="Y539" i="39" s="1"/>
  <c r="Y586" i="39"/>
  <c r="Y640" i="39"/>
  <c r="Y563" i="39"/>
  <c r="Y577" i="39"/>
  <c r="Y567" i="39"/>
  <c r="Y562" i="39"/>
  <c r="Y564" i="39"/>
  <c r="Y522" i="39"/>
  <c r="Y542" i="39" s="1" a="1"/>
  <c r="Y542" i="39" s="1"/>
  <c r="Z358" i="39"/>
  <c r="Z684" i="39"/>
  <c r="X900" i="39"/>
  <c r="X867" i="39"/>
  <c r="X938" i="39"/>
  <c r="X937" i="39" s="1"/>
  <c r="U243" i="39"/>
  <c r="U255" i="39" s="1"/>
  <c r="U262" i="39" s="1"/>
  <c r="U265" i="39" s="1"/>
  <c r="U267" i="39" s="1"/>
  <c r="U268" i="39" s="1"/>
  <c r="V246" i="39"/>
  <c r="V284" i="39"/>
  <c r="V282" i="39" s="1"/>
  <c r="W109" i="39"/>
  <c r="W135" i="39"/>
  <c r="W114" i="39"/>
  <c r="W115" i="39"/>
  <c r="W112" i="39"/>
  <c r="W116" i="39"/>
  <c r="W126" i="39"/>
  <c r="W111" i="39"/>
  <c r="W113" i="39"/>
  <c r="X220" i="39" a="1"/>
  <c r="X220" i="39" s="1"/>
  <c r="X226" i="39" a="1"/>
  <c r="X226" i="39" s="1"/>
  <c r="X227" i="39" a="1"/>
  <c r="X227" i="39" s="1"/>
  <c r="X234" i="39"/>
  <c r="X225" i="39" a="1"/>
  <c r="X225" i="39" s="1"/>
  <c r="X237" i="39"/>
  <c r="X241" i="39"/>
  <c r="X191" i="39"/>
  <c r="X213" i="39" a="1"/>
  <c r="X213" i="39" s="1"/>
  <c r="X260" i="39"/>
  <c r="X314" i="39"/>
  <c r="X251" i="39"/>
  <c r="X240" i="39"/>
  <c r="X236" i="39"/>
  <c r="X239" i="39"/>
  <c r="X238" i="39"/>
  <c r="X196" i="39"/>
  <c r="X216" i="39" s="1" a="1"/>
  <c r="X216" i="39" s="1"/>
  <c r="S330" i="39"/>
  <c r="S331" i="39" s="1"/>
  <c r="S333" i="39" s="1"/>
  <c r="U656" i="39"/>
  <c r="U657" i="39" s="1"/>
  <c r="U659" i="39" s="1"/>
  <c r="W899" i="39"/>
  <c r="V381" i="39"/>
  <c r="V374" i="39" s="1"/>
  <c r="V386" i="39" s="1"/>
  <c r="V393" i="39" s="1"/>
  <c r="Z516" i="39"/>
  <c r="Z522" i="39" s="1"/>
  <c r="Z542" i="39" s="1" a="1"/>
  <c r="Z542" i="39" s="1"/>
  <c r="AA514" i="39"/>
  <c r="W898" i="39"/>
  <c r="W896" i="39" s="1"/>
  <c r="W936" i="39"/>
  <c r="W934" i="39" s="1"/>
  <c r="W937" i="39"/>
  <c r="V273" i="39"/>
  <c r="V271" i="39" s="1"/>
  <c r="U281" i="39"/>
  <c r="U293" i="39" s="1"/>
  <c r="U300" i="39" s="1"/>
  <c r="U303" i="39" s="1"/>
  <c r="U305" i="39" s="1"/>
  <c r="U306" i="39" s="1"/>
  <c r="W408" i="39"/>
  <c r="W377" i="39"/>
  <c r="W375" i="39" s="1"/>
  <c r="W446" i="39"/>
  <c r="W923" i="39"/>
  <c r="V645" i="39"/>
  <c r="V646" i="39" s="1"/>
  <c r="V643" i="39"/>
  <c r="X910" i="39"/>
  <c r="X948" i="39"/>
  <c r="X714" i="39" a="1"/>
  <c r="X714" i="39" s="1"/>
  <c r="X723" i="39"/>
  <c r="X729" i="39"/>
  <c r="X709" i="39" a="1"/>
  <c r="X709" i="39" s="1"/>
  <c r="X716" i="39" a="1"/>
  <c r="X716" i="39" s="1"/>
  <c r="X715" i="39" a="1"/>
  <c r="X715" i="39" s="1"/>
  <c r="X680" i="39"/>
  <c r="X702" i="39" a="1"/>
  <c r="X702" i="39" s="1"/>
  <c r="X749" i="39"/>
  <c r="X803" i="39"/>
  <c r="X740" i="39"/>
  <c r="X726" i="39"/>
  <c r="X728" i="39"/>
  <c r="X727" i="39"/>
  <c r="X730" i="39"/>
  <c r="X725" i="39"/>
  <c r="X685" i="39"/>
  <c r="X705" i="39" s="1" a="1"/>
  <c r="X705" i="39" s="1"/>
  <c r="Y27" i="39"/>
  <c r="Z25" i="39"/>
  <c r="W86" i="39"/>
  <c r="W124" i="39"/>
  <c r="V83" i="39"/>
  <c r="V81" i="39" s="1"/>
  <c r="V121" i="39"/>
  <c r="V119" i="39" s="1"/>
  <c r="W123" i="39"/>
  <c r="W52" i="39"/>
  <c r="W85" i="39"/>
  <c r="W724" i="39"/>
  <c r="W722" i="39" s="1"/>
  <c r="V49" i="39"/>
  <c r="X603" i="39"/>
  <c r="X598" i="39"/>
  <c r="X624" i="39"/>
  <c r="X605" i="39"/>
  <c r="X615" i="39"/>
  <c r="X600" i="39"/>
  <c r="X601" i="39"/>
  <c r="X604" i="39"/>
  <c r="X602" i="39"/>
  <c r="W864" i="39"/>
  <c r="AD31" i="39"/>
  <c r="W579" i="39"/>
  <c r="W576" i="39" s="1"/>
  <c r="W617" i="39"/>
  <c r="W614" i="39" s="1"/>
  <c r="AB32" i="39"/>
  <c r="W610" i="39"/>
  <c r="W608" i="39" s="1"/>
  <c r="W572" i="39"/>
  <c r="W570" i="39" s="1"/>
  <c r="W544" i="39"/>
  <c r="W537" i="39" s="1"/>
  <c r="W549" i="39" s="1"/>
  <c r="W556" i="39" s="1"/>
  <c r="X571" i="39"/>
  <c r="X540" i="39"/>
  <c r="X538" i="39" s="1"/>
  <c r="X609" i="39"/>
  <c r="T156" i="39"/>
  <c r="T157" i="39" s="1"/>
  <c r="T154" i="39"/>
  <c r="X887" i="39"/>
  <c r="X885" i="39" s="1"/>
  <c r="W72" i="39"/>
  <c r="W70" i="39" s="1"/>
  <c r="X585" i="39"/>
  <c r="X623" i="39"/>
  <c r="W442" i="39"/>
  <c r="W440" i="39"/>
  <c r="W461" i="39"/>
  <c r="W435" i="39"/>
  <c r="W452" i="39"/>
  <c r="W438" i="39"/>
  <c r="W439" i="39"/>
  <c r="W437" i="39"/>
  <c r="W441" i="39"/>
  <c r="V933" i="39"/>
  <c r="V945" i="39" s="1"/>
  <c r="V952" i="39" s="1"/>
  <c r="V955" i="39" s="1"/>
  <c r="V957" i="39" s="1"/>
  <c r="V958" i="39" s="1"/>
  <c r="W89" i="39"/>
  <c r="W127" i="39"/>
  <c r="W58" i="39" a="1"/>
  <c r="W58" i="39" s="1"/>
  <c r="AA520" i="39"/>
  <c r="S319" i="39"/>
  <c r="S320" i="39" s="1"/>
  <c r="S317" i="39"/>
  <c r="V291" i="39"/>
  <c r="V288" i="39" s="1"/>
  <c r="V253" i="39"/>
  <c r="V250" i="39" s="1"/>
  <c r="V735" i="39"/>
  <c r="V733" i="39" s="1"/>
  <c r="V773" i="39"/>
  <c r="V771" i="39" s="1"/>
  <c r="W459" i="39"/>
  <c r="W421" i="39"/>
  <c r="T645" i="39"/>
  <c r="T646" i="39" s="1"/>
  <c r="T643" i="39"/>
  <c r="AA521" i="39"/>
  <c r="V128" i="39"/>
  <c r="V125" i="39" s="1"/>
  <c r="V90" i="39"/>
  <c r="V87" i="39" s="1"/>
  <c r="V244" i="39"/>
  <c r="X866" i="39"/>
  <c r="X864" i="39" s="1"/>
  <c r="X897" i="39"/>
  <c r="X935" i="39"/>
  <c r="U444" i="39"/>
  <c r="U456" i="39" s="1"/>
  <c r="U463" i="39" s="1"/>
  <c r="U466" i="39" s="1"/>
  <c r="U468" i="39" s="1"/>
  <c r="U469" i="39" s="1"/>
  <c r="W460" i="39"/>
  <c r="W422" i="39"/>
  <c r="Z195" i="39"/>
  <c r="T656" i="39"/>
  <c r="T657" i="39" s="1"/>
  <c r="T659" i="39" s="1"/>
  <c r="T660" i="39" s="1"/>
  <c r="Z842" i="39"/>
  <c r="AA840" i="39"/>
  <c r="Y523" i="39"/>
  <c r="Y543" i="39" s="1" a="1"/>
  <c r="Y543" i="39" s="1"/>
  <c r="X621" i="39"/>
  <c r="X583" i="39"/>
  <c r="U166" i="39"/>
  <c r="U153" i="39"/>
  <c r="X197" i="39"/>
  <c r="X217" i="39" s="1" a="1"/>
  <c r="X217" i="39" s="1"/>
  <c r="U118" i="39"/>
  <c r="U130" i="39" s="1"/>
  <c r="U137" i="39" s="1"/>
  <c r="U140" i="39" s="1"/>
  <c r="U142" i="39" s="1"/>
  <c r="U143" i="39" s="1"/>
  <c r="W214" i="39"/>
  <c r="W212" i="39" s="1"/>
  <c r="W245" i="39"/>
  <c r="W283" i="39"/>
  <c r="Y877" i="39" a="1"/>
  <c r="Y877" i="39" s="1"/>
  <c r="Y886" i="39"/>
  <c r="Y879" i="39" a="1"/>
  <c r="Y879" i="39" s="1"/>
  <c r="Y872" i="39" a="1"/>
  <c r="Y872" i="39" s="1"/>
  <c r="Y843" i="39"/>
  <c r="Y893" i="39"/>
  <c r="Y878" i="39" a="1"/>
  <c r="Y878" i="39" s="1"/>
  <c r="Y865" i="39" a="1"/>
  <c r="Y865" i="39" s="1"/>
  <c r="Y912" i="39"/>
  <c r="Y966" i="39"/>
  <c r="Y891" i="39"/>
  <c r="Y890" i="39"/>
  <c r="Y889" i="39"/>
  <c r="Y903" i="39"/>
  <c r="Y892" i="39"/>
  <c r="Y888" i="39"/>
  <c r="W905" i="39"/>
  <c r="W902" i="39" s="1"/>
  <c r="W943" i="39"/>
  <c r="W940" i="39" s="1"/>
  <c r="W776" i="39"/>
  <c r="W703" i="39"/>
  <c r="W701" i="39" s="1"/>
  <c r="W772" i="39"/>
  <c r="W734" i="39"/>
  <c r="X584" i="39"/>
  <c r="X622" i="39"/>
  <c r="W453" i="39"/>
  <c r="W415" i="39"/>
  <c r="W384" i="39" a="1"/>
  <c r="W384" i="39" s="1"/>
  <c r="W272" i="39"/>
  <c r="W298" i="39"/>
  <c r="W279" i="39"/>
  <c r="W278" i="39"/>
  <c r="W289" i="39"/>
  <c r="W277" i="39"/>
  <c r="W275" i="39"/>
  <c r="W274" i="39"/>
  <c r="W276" i="39"/>
  <c r="X612" i="39"/>
  <c r="Y849" i="39"/>
  <c r="Y869" i="39" s="1" a="1"/>
  <c r="Y869" i="39" s="1"/>
  <c r="Z847" i="39"/>
  <c r="X578" i="39"/>
  <c r="X616" i="39"/>
  <c r="X547" i="39" a="1"/>
  <c r="X547" i="39" s="1"/>
  <c r="X544" i="39" s="1"/>
  <c r="W458" i="39"/>
  <c r="W420" i="39"/>
  <c r="W258" i="39"/>
  <c r="W296" i="39"/>
  <c r="T330" i="39"/>
  <c r="T331" i="39" s="1"/>
  <c r="T333" i="39" s="1"/>
  <c r="T986" i="39"/>
  <c r="W746" i="39"/>
  <c r="W784" i="39"/>
  <c r="U969" i="39"/>
  <c r="U971" i="39"/>
  <c r="U972" i="39" s="1"/>
  <c r="X613" i="39"/>
  <c r="X575" i="39"/>
  <c r="X573" i="39" s="1"/>
  <c r="W290" i="39"/>
  <c r="W252" i="39"/>
  <c r="W221" i="39" a="1"/>
  <c r="W221" i="39" s="1"/>
  <c r="W218" i="39" s="1"/>
  <c r="W450" i="39"/>
  <c r="W448" i="39" s="1"/>
  <c r="W870" i="39"/>
  <c r="T493" i="39"/>
  <c r="T494" i="39" s="1"/>
  <c r="T496" i="39" s="1"/>
  <c r="T319" i="39"/>
  <c r="T320" i="39" s="1"/>
  <c r="T317" i="39"/>
  <c r="X911" i="39"/>
  <c r="X949" i="39"/>
  <c r="V409" i="39"/>
  <c r="V407" i="39" s="1"/>
  <c r="V447" i="39"/>
  <c r="V445" i="39" s="1"/>
  <c r="V55" i="39"/>
  <c r="Y679" i="39"/>
  <c r="Z677" i="39"/>
  <c r="V212" i="39"/>
  <c r="V211" i="39" s="1"/>
  <c r="V223" i="39" s="1"/>
  <c r="V230" i="39" s="1"/>
  <c r="W779" i="39"/>
  <c r="W741" i="39"/>
  <c r="W710" i="39" a="1"/>
  <c r="W710" i="39" s="1"/>
  <c r="W707" i="39" s="1"/>
  <c r="AA194" i="39"/>
  <c r="U982" i="39"/>
  <c r="U983" i="39" s="1"/>
  <c r="U985" i="39" s="1"/>
  <c r="U986" i="39" s="1"/>
  <c r="T818" i="39"/>
  <c r="T805" i="39"/>
  <c r="W295" i="39"/>
  <c r="W257" i="39"/>
  <c r="T482" i="39"/>
  <c r="T483" i="39" s="1"/>
  <c r="T480" i="39"/>
  <c r="X950" i="39"/>
  <c r="X924" i="39"/>
  <c r="X930" i="39"/>
  <c r="X931" i="39"/>
  <c r="X927" i="39"/>
  <c r="X929" i="39"/>
  <c r="X941" i="39"/>
  <c r="X926" i="39"/>
  <c r="X928" i="39"/>
  <c r="Y848" i="39"/>
  <c r="Y868" i="39" s="1" a="1"/>
  <c r="Y868" i="39" s="1"/>
  <c r="Z846" i="39"/>
  <c r="W747" i="39"/>
  <c r="W785" i="39"/>
  <c r="V780" i="39"/>
  <c r="V777" i="39" s="1"/>
  <c r="V742" i="39"/>
  <c r="V739" i="39" s="1"/>
  <c r="Z357" i="39"/>
  <c r="Z351" i="39"/>
  <c r="Y353" i="39"/>
  <c r="Y360" i="39" s="1"/>
  <c r="Y380" i="39" s="1" a="1"/>
  <c r="Y380" i="39" s="1"/>
  <c r="W259" i="39"/>
  <c r="W297" i="39"/>
  <c r="X909" i="39"/>
  <c r="X947" i="39"/>
  <c r="W120" i="39"/>
  <c r="W51" i="39"/>
  <c r="W49" i="39" s="1"/>
  <c r="W82" i="39"/>
  <c r="V436" i="39"/>
  <c r="V434" i="39" s="1"/>
  <c r="U805" i="39"/>
  <c r="U818" i="39"/>
  <c r="W599" i="39"/>
  <c r="W597" i="39" s="1"/>
  <c r="W96" i="39"/>
  <c r="W134" i="39"/>
  <c r="W786" i="39"/>
  <c r="W748" i="39"/>
  <c r="V707" i="39"/>
  <c r="V700" i="39" s="1"/>
  <c r="V712" i="39" s="1"/>
  <c r="V719" i="39" s="1"/>
  <c r="X411" i="39"/>
  <c r="X383" i="39" a="1"/>
  <c r="X383" i="39" s="1"/>
  <c r="X397" i="39"/>
  <c r="X389" i="39" a="1"/>
  <c r="X389" i="39" s="1"/>
  <c r="X388" i="39" a="1"/>
  <c r="X388" i="39" s="1"/>
  <c r="X390" i="39" a="1"/>
  <c r="X390" i="39" s="1"/>
  <c r="X376" i="39" a="1"/>
  <c r="X376" i="39" s="1"/>
  <c r="X354" i="39"/>
  <c r="X449" i="39" s="1"/>
  <c r="X423" i="39"/>
  <c r="X477" i="39"/>
  <c r="X399" i="39"/>
  <c r="X403" i="39"/>
  <c r="X404" i="39"/>
  <c r="X414" i="39"/>
  <c r="X400" i="39"/>
  <c r="X402" i="39"/>
  <c r="X401" i="39"/>
  <c r="S497" i="39"/>
  <c r="X942" i="39"/>
  <c r="X904" i="39"/>
  <c r="X873" i="39" a="1"/>
  <c r="X873" i="39" s="1"/>
  <c r="X870" i="39" s="1"/>
  <c r="V110" i="39"/>
  <c r="V108" i="39" s="1"/>
  <c r="X71" i="39"/>
  <c r="X57" i="39" a="1"/>
  <c r="X57" i="39" s="1"/>
  <c r="X64" i="39" a="1"/>
  <c r="X64" i="39" s="1"/>
  <c r="X63" i="39" a="1"/>
  <c r="X63" i="39" s="1"/>
  <c r="X28" i="39"/>
  <c r="X62" i="39" a="1"/>
  <c r="X62" i="39" s="1"/>
  <c r="X88" i="39"/>
  <c r="X50" i="39" a="1"/>
  <c r="X50" i="39" s="1"/>
  <c r="X151" i="39"/>
  <c r="X97" i="39"/>
  <c r="X75" i="39"/>
  <c r="X77" i="39"/>
  <c r="X76" i="39"/>
  <c r="X78" i="39"/>
  <c r="X74" i="39"/>
  <c r="X73" i="39"/>
  <c r="X33" i="39"/>
  <c r="X53" i="39" s="1" a="1"/>
  <c r="X53" i="39" s="1"/>
  <c r="X34" i="39"/>
  <c r="X54" i="39" s="1" a="1"/>
  <c r="X54" i="39" s="1"/>
  <c r="W95" i="39"/>
  <c r="W133" i="39"/>
  <c r="W737" i="39"/>
  <c r="W736" i="39" s="1"/>
  <c r="W775" i="39"/>
  <c r="W704" i="39"/>
  <c r="X561" i="39"/>
  <c r="X559" i="39" s="1"/>
  <c r="Y190" i="39"/>
  <c r="Z188" i="39"/>
  <c r="AB683" i="39"/>
  <c r="W248" i="39"/>
  <c r="W247" i="39" s="1"/>
  <c r="W286" i="39"/>
  <c r="W285" i="39" s="1"/>
  <c r="W215" i="39"/>
  <c r="U643" i="39"/>
  <c r="U645" i="39"/>
  <c r="U646" i="39" s="1"/>
  <c r="X378" i="39" l="1"/>
  <c r="Y887" i="39"/>
  <c r="Z523" i="39"/>
  <c r="Z543" i="39" s="1" a="1"/>
  <c r="Z543" i="39" s="1"/>
  <c r="Z541" i="39" s="1"/>
  <c r="X410" i="39"/>
  <c r="X72" i="39"/>
  <c r="X925" i="39"/>
  <c r="V981" i="39"/>
  <c r="V982" i="39" s="1"/>
  <c r="V983" i="39" s="1"/>
  <c r="V985" i="39" s="1"/>
  <c r="V986" i="39" s="1"/>
  <c r="V444" i="39"/>
  <c r="W607" i="39"/>
  <c r="W569" i="39"/>
  <c r="W581" i="39" s="1"/>
  <c r="W588" i="39" s="1"/>
  <c r="W591" i="39" s="1"/>
  <c r="W593" i="39" s="1"/>
  <c r="W594" i="39" s="1"/>
  <c r="W84" i="39"/>
  <c r="W762" i="39"/>
  <c r="W760" i="39" s="1"/>
  <c r="V118" i="39"/>
  <c r="V130" i="39" s="1"/>
  <c r="V137" i="39" s="1"/>
  <c r="V140" i="39" s="1"/>
  <c r="V142" i="39" s="1"/>
  <c r="V143" i="39" s="1"/>
  <c r="X235" i="39"/>
  <c r="X233" i="39" s="1"/>
  <c r="W933" i="39"/>
  <c r="W945" i="39" s="1"/>
  <c r="W952" i="39" s="1"/>
  <c r="W955" i="39" s="1"/>
  <c r="W957" i="39" s="1"/>
  <c r="W958" i="39" s="1"/>
  <c r="X611" i="39"/>
  <c r="W895" i="39"/>
  <c r="W907" i="39" s="1"/>
  <c r="W914" i="39" s="1"/>
  <c r="W917" i="39" s="1"/>
  <c r="W919" i="39" s="1"/>
  <c r="W920" i="39" s="1"/>
  <c r="Y359" i="39"/>
  <c r="Y379" i="39" s="1" a="1"/>
  <c r="Y379" i="39" s="1"/>
  <c r="Y411" i="39" s="1"/>
  <c r="W700" i="39"/>
  <c r="W712" i="39" s="1"/>
  <c r="W719" i="39" s="1"/>
  <c r="W818" i="39" s="1"/>
  <c r="W436" i="39"/>
  <c r="W434" i="39" s="1"/>
  <c r="T497" i="39"/>
  <c r="V805" i="39"/>
  <c r="V818" i="39"/>
  <c r="Y412" i="39"/>
  <c r="T171" i="39"/>
  <c r="X537" i="39"/>
  <c r="X549" i="39" s="1"/>
  <c r="X556" i="39" s="1"/>
  <c r="W655" i="39"/>
  <c r="W642" i="39"/>
  <c r="V770" i="39"/>
  <c r="V782" i="39" s="1"/>
  <c r="V789" i="39" s="1"/>
  <c r="V792" i="39" s="1"/>
  <c r="V794" i="39" s="1"/>
  <c r="V795" i="39" s="1"/>
  <c r="V281" i="39"/>
  <c r="V293" i="39" s="1"/>
  <c r="V300" i="39" s="1"/>
  <c r="V303" i="39" s="1"/>
  <c r="V305" i="39" s="1"/>
  <c r="V306" i="39" s="1"/>
  <c r="V456" i="39"/>
  <c r="V463" i="39" s="1"/>
  <c r="V466" i="39" s="1"/>
  <c r="V468" i="39" s="1"/>
  <c r="V469" i="39" s="1"/>
  <c r="W211" i="39"/>
  <c r="W223" i="39" s="1"/>
  <c r="W230" i="39" s="1"/>
  <c r="U660" i="39"/>
  <c r="T334" i="39"/>
  <c r="S334" i="39"/>
  <c r="X703" i="39"/>
  <c r="X701" i="39" s="1"/>
  <c r="X734" i="39"/>
  <c r="X772" i="39"/>
  <c r="X450" i="39"/>
  <c r="X448" i="39" s="1"/>
  <c r="X422" i="39"/>
  <c r="X460" i="39"/>
  <c r="Z679" i="39"/>
  <c r="Z686" i="39" s="1"/>
  <c r="Z706" i="39" s="1" a="1"/>
  <c r="Z706" i="39" s="1"/>
  <c r="AA677" i="39"/>
  <c r="U156" i="39"/>
  <c r="U157" i="39" s="1"/>
  <c r="U154" i="39"/>
  <c r="X787" i="39"/>
  <c r="X761" i="39"/>
  <c r="X766" i="39"/>
  <c r="X764" i="39"/>
  <c r="X778" i="39"/>
  <c r="X765" i="39"/>
  <c r="X768" i="39"/>
  <c r="X763" i="39"/>
  <c r="X767" i="39"/>
  <c r="X899" i="39"/>
  <c r="X377" i="39"/>
  <c r="X375" i="39" s="1"/>
  <c r="X408" i="39"/>
  <c r="X446" i="39"/>
  <c r="Y866" i="39"/>
  <c r="Y864" i="39" s="1"/>
  <c r="Y935" i="39"/>
  <c r="Y897" i="39"/>
  <c r="U167" i="39"/>
  <c r="U168" i="39" s="1"/>
  <c r="U170" i="39" s="1"/>
  <c r="W90" i="39"/>
  <c r="W87" i="39" s="1"/>
  <c r="W128" i="39"/>
  <c r="W125" i="39" s="1"/>
  <c r="X785" i="39"/>
  <c r="X747" i="39"/>
  <c r="AA516" i="39"/>
  <c r="AA522" i="39" s="1"/>
  <c r="AA542" i="39" s="1" a="1"/>
  <c r="AA542" i="39" s="1"/>
  <c r="AB514" i="39"/>
  <c r="Z574" i="39"/>
  <c r="Y729" i="39"/>
  <c r="Y723" i="39"/>
  <c r="Y727" i="39"/>
  <c r="Y716" i="39" a="1"/>
  <c r="Y716" i="39" s="1"/>
  <c r="Y715" i="39" a="1"/>
  <c r="Y715" i="39" s="1"/>
  <c r="Y714" i="39" a="1"/>
  <c r="Y714" i="39" s="1"/>
  <c r="Y709" i="39" a="1"/>
  <c r="Y709" i="39" s="1"/>
  <c r="Y702" i="39" a="1"/>
  <c r="Y702" i="39" s="1"/>
  <c r="Y680" i="39"/>
  <c r="Y749" i="39"/>
  <c r="Y803" i="39"/>
  <c r="Y725" i="39"/>
  <c r="Y728" i="39"/>
  <c r="Y730" i="39"/>
  <c r="Y740" i="39"/>
  <c r="Y726" i="39"/>
  <c r="Y685" i="39"/>
  <c r="Y705" i="39" s="1" a="1"/>
  <c r="Y705" i="39" s="1"/>
  <c r="X459" i="39"/>
  <c r="X421" i="39"/>
  <c r="W273" i="39"/>
  <c r="W271" i="39" s="1"/>
  <c r="Y910" i="39"/>
  <c r="Y948" i="39"/>
  <c r="W55" i="39"/>
  <c r="W48" i="39" s="1"/>
  <c r="W60" i="39" s="1"/>
  <c r="W67" i="39" s="1"/>
  <c r="X599" i="39"/>
  <c r="X597" i="39" s="1"/>
  <c r="X786" i="39"/>
  <c r="X748" i="39"/>
  <c r="Z560" i="39"/>
  <c r="Z553" i="39" a="1"/>
  <c r="Z553" i="39" s="1"/>
  <c r="Z546" i="39" a="1"/>
  <c r="Z546" i="39" s="1"/>
  <c r="Z551" i="39" a="1"/>
  <c r="Z551" i="39" s="1"/>
  <c r="Z517" i="39"/>
  <c r="Z552" i="39" a="1"/>
  <c r="Z552" i="39" s="1"/>
  <c r="Z539" i="39" a="1"/>
  <c r="Z539" i="39" s="1"/>
  <c r="Z640" i="39"/>
  <c r="Z586" i="39"/>
  <c r="Z566" i="39"/>
  <c r="Z567" i="39"/>
  <c r="Z562" i="39"/>
  <c r="Z564" i="39"/>
  <c r="Z565" i="39"/>
  <c r="Z563" i="39"/>
  <c r="Z577" i="39"/>
  <c r="X458" i="39"/>
  <c r="X420" i="39"/>
  <c r="W774" i="39"/>
  <c r="Z848" i="39"/>
  <c r="Z868" i="39" s="1" a="1"/>
  <c r="Z868" i="39" s="1"/>
  <c r="AA846" i="39"/>
  <c r="W773" i="39"/>
  <c r="W771" i="39" s="1"/>
  <c r="W735" i="39"/>
  <c r="W733" i="39" s="1"/>
  <c r="X779" i="39"/>
  <c r="X741" i="39"/>
  <c r="X710" i="39" a="1"/>
  <c r="X710" i="39" s="1"/>
  <c r="W447" i="39"/>
  <c r="W445" i="39" s="1"/>
  <c r="W409" i="39"/>
  <c r="W407" i="39" s="1"/>
  <c r="X245" i="39"/>
  <c r="X283" i="39"/>
  <c r="X214" i="39"/>
  <c r="X212" i="39" s="1"/>
  <c r="V660" i="39"/>
  <c r="Y540" i="39"/>
  <c r="Y609" i="39"/>
  <c r="Y571" i="39"/>
  <c r="X82" i="39"/>
  <c r="X51" i="39"/>
  <c r="X120" i="39"/>
  <c r="X49" i="39"/>
  <c r="W121" i="39"/>
  <c r="W83" i="39"/>
  <c r="W81" i="39" s="1"/>
  <c r="X94" i="39"/>
  <c r="X132" i="39"/>
  <c r="X453" i="39"/>
  <c r="X415" i="39"/>
  <c r="X384" i="39" a="1"/>
  <c r="X384" i="39" s="1"/>
  <c r="W119" i="39"/>
  <c r="Y938" i="39"/>
  <c r="Y900" i="39"/>
  <c r="Y867" i="39"/>
  <c r="T808" i="39"/>
  <c r="T809" i="39" s="1"/>
  <c r="T806" i="39"/>
  <c r="Y924" i="39"/>
  <c r="Y950" i="39"/>
  <c r="Y931" i="39"/>
  <c r="Y929" i="39"/>
  <c r="Y926" i="39"/>
  <c r="Y927" i="39"/>
  <c r="Y930" i="39"/>
  <c r="Y941" i="39"/>
  <c r="Y928" i="39"/>
  <c r="Z27" i="39"/>
  <c r="AA25" i="39"/>
  <c r="X278" i="39"/>
  <c r="X298" i="39"/>
  <c r="X272" i="39"/>
  <c r="X275" i="39"/>
  <c r="X279" i="39"/>
  <c r="X277" i="39"/>
  <c r="X274" i="39"/>
  <c r="X289" i="39"/>
  <c r="X276" i="39"/>
  <c r="AA684" i="39"/>
  <c r="Y939" i="39"/>
  <c r="Y901" i="39"/>
  <c r="V316" i="39"/>
  <c r="V329" i="39"/>
  <c r="X109" i="39"/>
  <c r="X135" i="39"/>
  <c r="X113" i="39"/>
  <c r="X116" i="39"/>
  <c r="X115" i="39"/>
  <c r="X114" i="39"/>
  <c r="X111" i="39"/>
  <c r="X112" i="39"/>
  <c r="X126" i="39"/>
  <c r="Y942" i="39"/>
  <c r="Y904" i="39"/>
  <c r="Y873" i="39" a="1"/>
  <c r="Y873" i="39" s="1"/>
  <c r="X863" i="39"/>
  <c r="X875" i="39" s="1"/>
  <c r="X882" i="39" s="1"/>
  <c r="AC32" i="39"/>
  <c r="Y71" i="39"/>
  <c r="Y64" i="39" a="1"/>
  <c r="Y64" i="39" s="1"/>
  <c r="Y62" i="39" a="1"/>
  <c r="Y62" i="39" s="1"/>
  <c r="Y75" i="39"/>
  <c r="Y63" i="39" a="1"/>
  <c r="Y63" i="39" s="1"/>
  <c r="Y57" i="39" a="1"/>
  <c r="Y57" i="39" s="1"/>
  <c r="Y28" i="39"/>
  <c r="Y50" i="39" a="1"/>
  <c r="Y50" i="39" s="1"/>
  <c r="Y151" i="39"/>
  <c r="Y97" i="39"/>
  <c r="Y73" i="39"/>
  <c r="Y76" i="39"/>
  <c r="Y77" i="39"/>
  <c r="Y74" i="39"/>
  <c r="Y88" i="39"/>
  <c r="Y78" i="39"/>
  <c r="Y33" i="39"/>
  <c r="Y53" i="39" s="1" a="1"/>
  <c r="Y53" i="39" s="1"/>
  <c r="Y34" i="39"/>
  <c r="Y54" i="39" s="1" a="1"/>
  <c r="Y54" i="39" s="1"/>
  <c r="V732" i="39"/>
  <c r="V744" i="39" s="1"/>
  <c r="V751" i="39" s="1"/>
  <c r="V754" i="39" s="1"/>
  <c r="V756" i="39" s="1"/>
  <c r="V757" i="39" s="1"/>
  <c r="Y686" i="39"/>
  <c r="Y706" i="39" s="1" a="1"/>
  <c r="Y706" i="39" s="1"/>
  <c r="Y616" i="39"/>
  <c r="Y578" i="39"/>
  <c r="Y547" i="39" a="1"/>
  <c r="Y547" i="39" s="1"/>
  <c r="Y544" i="39" s="1"/>
  <c r="X905" i="39"/>
  <c r="X902" i="39" s="1"/>
  <c r="X943" i="39"/>
  <c r="X940" i="39" s="1"/>
  <c r="X737" i="39"/>
  <c r="X736" i="39" s="1"/>
  <c r="X775" i="39"/>
  <c r="X704" i="39"/>
  <c r="X746" i="39"/>
  <c r="X784" i="39"/>
  <c r="Y585" i="39"/>
  <c r="Y623" i="39"/>
  <c r="X133" i="39"/>
  <c r="X95" i="39"/>
  <c r="X134" i="39"/>
  <c r="X96" i="39"/>
  <c r="Y885" i="39"/>
  <c r="AA842" i="39"/>
  <c r="AB840" i="39"/>
  <c r="X724" i="39"/>
  <c r="X722" i="39" s="1"/>
  <c r="V406" i="39"/>
  <c r="V418" i="39" s="1"/>
  <c r="V425" i="39" s="1"/>
  <c r="V428" i="39" s="1"/>
  <c r="V430" i="39" s="1"/>
  <c r="V431" i="39" s="1"/>
  <c r="X295" i="39"/>
  <c r="X257" i="39"/>
  <c r="W253" i="39"/>
  <c r="W250" i="39" s="1"/>
  <c r="W291" i="39"/>
  <c r="W288" i="39" s="1"/>
  <c r="X572" i="39"/>
  <c r="X570" i="39" s="1"/>
  <c r="X610" i="39"/>
  <c r="X127" i="39"/>
  <c r="X89" i="39"/>
  <c r="X58" i="39" a="1"/>
  <c r="X58" i="39" s="1"/>
  <c r="AB194" i="39"/>
  <c r="Y909" i="39"/>
  <c r="Y947" i="39"/>
  <c r="Z872" i="39" a="1"/>
  <c r="Z872" i="39" s="1"/>
  <c r="Z843" i="39"/>
  <c r="Z893" i="39"/>
  <c r="Z886" i="39"/>
  <c r="Z879" i="39" a="1"/>
  <c r="Z879" i="39" s="1"/>
  <c r="Z878" i="39" a="1"/>
  <c r="Z878" i="39" s="1"/>
  <c r="Z865" i="39" a="1"/>
  <c r="Z865" i="39" s="1"/>
  <c r="Z891" i="39"/>
  <c r="Z877" i="39" a="1"/>
  <c r="Z877" i="39" s="1"/>
  <c r="Z912" i="39"/>
  <c r="Z966" i="39"/>
  <c r="Z890" i="39"/>
  <c r="Z892" i="39"/>
  <c r="Z888" i="39"/>
  <c r="Z889" i="39"/>
  <c r="Z903" i="39"/>
  <c r="X936" i="39"/>
  <c r="X934" i="39" s="1"/>
  <c r="X898" i="39"/>
  <c r="X896" i="39" s="1"/>
  <c r="V48" i="39"/>
  <c r="V60" i="39" s="1"/>
  <c r="V67" i="39" s="1"/>
  <c r="Y598" i="39"/>
  <c r="Y624" i="39"/>
  <c r="Y601" i="39"/>
  <c r="Y605" i="39"/>
  <c r="Y604" i="39"/>
  <c r="Y600" i="39"/>
  <c r="Y603" i="39"/>
  <c r="Y615" i="39"/>
  <c r="Y602" i="39"/>
  <c r="X776" i="39"/>
  <c r="Y949" i="39"/>
  <c r="Y911" i="39"/>
  <c r="V243" i="39"/>
  <c r="V255" i="39" s="1"/>
  <c r="V262" i="39" s="1"/>
  <c r="V265" i="39" s="1"/>
  <c r="V267" i="39" s="1"/>
  <c r="V268" i="39" s="1"/>
  <c r="X259" i="39"/>
  <c r="X297" i="39"/>
  <c r="AA358" i="39"/>
  <c r="Y621" i="39"/>
  <c r="Y583" i="39"/>
  <c r="U482" i="39"/>
  <c r="U483" i="39" s="1"/>
  <c r="U480" i="39"/>
  <c r="T819" i="39"/>
  <c r="T820" i="39" s="1"/>
  <c r="T822" i="39" s="1"/>
  <c r="X579" i="39"/>
  <c r="X576" i="39" s="1"/>
  <c r="X617" i="39"/>
  <c r="X614" i="39" s="1"/>
  <c r="X296" i="39"/>
  <c r="X258" i="39"/>
  <c r="U493" i="39"/>
  <c r="U494" i="39" s="1"/>
  <c r="U496" i="39" s="1"/>
  <c r="U497" i="39" s="1"/>
  <c r="Z190" i="39"/>
  <c r="Z197" i="39" s="1"/>
  <c r="Z217" i="39" s="1" a="1"/>
  <c r="Z217" i="39" s="1"/>
  <c r="AA188" i="39"/>
  <c r="V492" i="39"/>
  <c r="V479" i="39"/>
  <c r="X435" i="39"/>
  <c r="X461" i="39"/>
  <c r="X442" i="39"/>
  <c r="X437" i="39"/>
  <c r="X440" i="39"/>
  <c r="X438" i="39"/>
  <c r="X452" i="39"/>
  <c r="X439" i="39"/>
  <c r="X441" i="39"/>
  <c r="U819" i="39"/>
  <c r="U820" i="39" s="1"/>
  <c r="U822" i="39" s="1"/>
  <c r="X86" i="39"/>
  <c r="X124" i="39"/>
  <c r="X70" i="39"/>
  <c r="W619" i="39"/>
  <c r="W626" i="39" s="1"/>
  <c r="W629" i="39" s="1"/>
  <c r="W631" i="39" s="1"/>
  <c r="W632" i="39" s="1"/>
  <c r="X252" i="39"/>
  <c r="X290" i="39"/>
  <c r="X221" i="39" a="1"/>
  <c r="X221" i="39" s="1"/>
  <c r="Y584" i="39"/>
  <c r="Y622" i="39"/>
  <c r="U317" i="39"/>
  <c r="U319" i="39"/>
  <c r="U320" i="39" s="1"/>
  <c r="X287" i="39"/>
  <c r="X249" i="39"/>
  <c r="AB520" i="39"/>
  <c r="V971" i="39"/>
  <c r="V972" i="39" s="1"/>
  <c r="V969" i="39"/>
  <c r="V80" i="39"/>
  <c r="V92" i="39" s="1"/>
  <c r="V99" i="39" s="1"/>
  <c r="V102" i="39" s="1"/>
  <c r="V104" i="39" s="1"/>
  <c r="V105" i="39" s="1"/>
  <c r="X52" i="39"/>
  <c r="X85" i="39"/>
  <c r="X123" i="39"/>
  <c r="X286" i="39"/>
  <c r="X248" i="39"/>
  <c r="X215" i="39"/>
  <c r="W742" i="39"/>
  <c r="W739" i="39" s="1"/>
  <c r="W780" i="39"/>
  <c r="W777" i="39" s="1"/>
  <c r="AA195" i="39"/>
  <c r="U330" i="39"/>
  <c r="U331" i="39" s="1"/>
  <c r="U333" i="39" s="1"/>
  <c r="U334" i="39" s="1"/>
  <c r="Y234" i="39"/>
  <c r="Y239" i="39"/>
  <c r="Y241" i="39"/>
  <c r="Y226" i="39" a="1"/>
  <c r="Y226" i="39" s="1"/>
  <c r="Y227" i="39" a="1"/>
  <c r="Y227" i="39" s="1"/>
  <c r="Y191" i="39"/>
  <c r="Y238" i="39"/>
  <c r="Y220" i="39" a="1"/>
  <c r="Y220" i="39" s="1"/>
  <c r="Y225" i="39" a="1"/>
  <c r="Y225" i="39" s="1"/>
  <c r="Y213" i="39" a="1"/>
  <c r="Y213" i="39" s="1"/>
  <c r="Y260" i="39"/>
  <c r="Y314" i="39"/>
  <c r="Y237" i="39"/>
  <c r="Y240" i="39"/>
  <c r="Y236" i="39"/>
  <c r="Y251" i="39"/>
  <c r="Y196" i="39"/>
  <c r="Y216" i="39" s="1" a="1"/>
  <c r="Y216" i="39" s="1"/>
  <c r="U808" i="39"/>
  <c r="U809" i="39" s="1"/>
  <c r="U806" i="39"/>
  <c r="Y575" i="39"/>
  <c r="Y613" i="39"/>
  <c r="W416" i="39"/>
  <c r="W413" i="39" s="1"/>
  <c r="W454" i="39"/>
  <c r="W451" i="39" s="1"/>
  <c r="X398" i="39"/>
  <c r="X396" i="39" s="1"/>
  <c r="Y389" i="39" a="1"/>
  <c r="Y389" i="39" s="1"/>
  <c r="Y383" i="39" a="1"/>
  <c r="Y383" i="39" s="1"/>
  <c r="Y397" i="39"/>
  <c r="Y390" i="39" a="1"/>
  <c r="Y390" i="39" s="1"/>
  <c r="Y354" i="39"/>
  <c r="Y400" i="39"/>
  <c r="Y376" i="39" a="1"/>
  <c r="Y376" i="39" s="1"/>
  <c r="Y388" i="39" a="1"/>
  <c r="Y388" i="39" s="1"/>
  <c r="Y477" i="39"/>
  <c r="Y423" i="39"/>
  <c r="Y399" i="39"/>
  <c r="Y414" i="39"/>
  <c r="Y402" i="39"/>
  <c r="Y401" i="39"/>
  <c r="Y404" i="39"/>
  <c r="Y403" i="39"/>
  <c r="W381" i="39"/>
  <c r="W374" i="39" s="1"/>
  <c r="W386" i="39" s="1"/>
  <c r="W393" i="39" s="1"/>
  <c r="W246" i="39"/>
  <c r="W244" i="39" s="1"/>
  <c r="W284" i="39"/>
  <c r="W282" i="39" s="1"/>
  <c r="AE31" i="39"/>
  <c r="Y612" i="39"/>
  <c r="Y574" i="39"/>
  <c r="Y541" i="39"/>
  <c r="AC683" i="39"/>
  <c r="Z353" i="39"/>
  <c r="Z359" i="39" s="1"/>
  <c r="Z379" i="39" s="1" a="1"/>
  <c r="Z379" i="39" s="1"/>
  <c r="AA351" i="39"/>
  <c r="X923" i="39"/>
  <c r="AA357" i="39"/>
  <c r="Z849" i="39"/>
  <c r="Z869" i="39" s="1" a="1"/>
  <c r="Z869" i="39" s="1"/>
  <c r="AA847" i="39"/>
  <c r="Y197" i="39"/>
  <c r="Y217" i="39" s="1" a="1"/>
  <c r="Y217" i="39" s="1"/>
  <c r="AB521" i="39"/>
  <c r="X608" i="39"/>
  <c r="W863" i="39"/>
  <c r="W875" i="39" s="1"/>
  <c r="W882" i="39" s="1"/>
  <c r="W122" i="39"/>
  <c r="W110" i="39"/>
  <c r="W108" i="39" s="1"/>
  <c r="Y561" i="39"/>
  <c r="Y559" i="39" s="1"/>
  <c r="Y410" i="39" l="1"/>
  <c r="Z613" i="39"/>
  <c r="Z575" i="39"/>
  <c r="Y235" i="39"/>
  <c r="W243" i="39"/>
  <c r="W255" i="39" s="1"/>
  <c r="W262" i="39" s="1"/>
  <c r="W265" i="39" s="1"/>
  <c r="W267" i="39" s="1"/>
  <c r="W268" i="39" s="1"/>
  <c r="Y724" i="39"/>
  <c r="Z561" i="39"/>
  <c r="Z887" i="39"/>
  <c r="Z885" i="39" s="1"/>
  <c r="X569" i="39"/>
  <c r="X581" i="39" s="1"/>
  <c r="X588" i="39" s="1"/>
  <c r="X591" i="39" s="1"/>
  <c r="X593" i="39" s="1"/>
  <c r="X594" i="39" s="1"/>
  <c r="X247" i="39"/>
  <c r="AA523" i="39"/>
  <c r="AA543" i="39" s="1" a="1"/>
  <c r="AA543" i="39" s="1"/>
  <c r="AA541" i="39" s="1"/>
  <c r="Z559" i="39"/>
  <c r="W281" i="39"/>
  <c r="W293" i="39" s="1"/>
  <c r="W300" i="39" s="1"/>
  <c r="W303" i="39" s="1"/>
  <c r="W305" i="39" s="1"/>
  <c r="W306" i="39" s="1"/>
  <c r="W805" i="39"/>
  <c r="W806" i="39" s="1"/>
  <c r="W80" i="39"/>
  <c r="W92" i="39" s="1"/>
  <c r="W99" i="39" s="1"/>
  <c r="W102" i="39" s="1"/>
  <c r="W104" i="39" s="1"/>
  <c r="W105" i="39" s="1"/>
  <c r="X285" i="39"/>
  <c r="Y398" i="39"/>
  <c r="Y396" i="39" s="1"/>
  <c r="X122" i="39"/>
  <c r="X84" i="39"/>
  <c r="Y233" i="39"/>
  <c r="Y378" i="39"/>
  <c r="Y573" i="39"/>
  <c r="Y72" i="39"/>
  <c r="Y70" i="39" s="1"/>
  <c r="Y611" i="39"/>
  <c r="Y449" i="39"/>
  <c r="W732" i="39"/>
  <c r="W744" i="39" s="1"/>
  <c r="W751" i="39" s="1"/>
  <c r="W754" i="39" s="1"/>
  <c r="W756" i="39" s="1"/>
  <c r="W757" i="39" s="1"/>
  <c r="X436" i="39"/>
  <c r="X434" i="39" s="1"/>
  <c r="Z249" i="39"/>
  <c r="U171" i="39"/>
  <c r="X933" i="39"/>
  <c r="X945" i="39" s="1"/>
  <c r="X952" i="39" s="1"/>
  <c r="X955" i="39" s="1"/>
  <c r="X957" i="39" s="1"/>
  <c r="X958" i="39" s="1"/>
  <c r="T823" i="39"/>
  <c r="U823" i="39"/>
  <c r="W770" i="39"/>
  <c r="W782" i="39" s="1"/>
  <c r="W789" i="39" s="1"/>
  <c r="W792" i="39" s="1"/>
  <c r="W794" i="39" s="1"/>
  <c r="W795" i="39" s="1"/>
  <c r="W492" i="39"/>
  <c r="W479" i="39"/>
  <c r="AA574" i="39"/>
  <c r="AC194" i="39"/>
  <c r="X895" i="39"/>
  <c r="X907" i="39" s="1"/>
  <c r="X914" i="39" s="1"/>
  <c r="X917" i="39" s="1"/>
  <c r="X919" i="39" s="1"/>
  <c r="X920" i="39" s="1"/>
  <c r="Z585" i="39"/>
  <c r="Z623" i="39"/>
  <c r="AB358" i="39"/>
  <c r="AA872" i="39" a="1"/>
  <c r="AA872" i="39" s="1"/>
  <c r="AA878" i="39" a="1"/>
  <c r="AA878" i="39" s="1"/>
  <c r="AA886" i="39"/>
  <c r="AA879" i="39" a="1"/>
  <c r="AA879" i="39" s="1"/>
  <c r="AA877" i="39" a="1"/>
  <c r="AA877" i="39" s="1"/>
  <c r="AA893" i="39"/>
  <c r="AA843" i="39"/>
  <c r="AA865" i="39" a="1"/>
  <c r="AA865" i="39" s="1"/>
  <c r="AA912" i="39"/>
  <c r="AA966" i="39"/>
  <c r="AA903" i="39"/>
  <c r="AA890" i="39"/>
  <c r="AA892" i="39"/>
  <c r="AA889" i="39"/>
  <c r="AA891" i="39"/>
  <c r="AA888" i="39"/>
  <c r="Z400" i="39"/>
  <c r="Z397" i="39"/>
  <c r="Z383" i="39" a="1"/>
  <c r="Z383" i="39" s="1"/>
  <c r="Z354" i="39"/>
  <c r="Z449" i="39" s="1"/>
  <c r="Z389" i="39" a="1"/>
  <c r="Z389" i="39" s="1"/>
  <c r="Z390" i="39" a="1"/>
  <c r="Z390" i="39" s="1"/>
  <c r="Z388" i="39" a="1"/>
  <c r="Z388" i="39" s="1"/>
  <c r="Z376" i="39" a="1"/>
  <c r="Z376" i="39" s="1"/>
  <c r="Z414" i="39"/>
  <c r="Z423" i="39"/>
  <c r="Z477" i="39"/>
  <c r="Z401" i="39"/>
  <c r="Z399" i="39"/>
  <c r="Z403" i="39"/>
  <c r="Z402" i="39"/>
  <c r="Z404" i="39"/>
  <c r="Y298" i="39"/>
  <c r="Y272" i="39"/>
  <c r="Y274" i="39"/>
  <c r="Y276" i="39"/>
  <c r="Y275" i="39"/>
  <c r="Y278" i="39"/>
  <c r="Y277" i="39"/>
  <c r="Y279" i="39"/>
  <c r="Y289" i="39"/>
  <c r="Z360" i="39"/>
  <c r="Z380" i="39" s="1" a="1"/>
  <c r="Z380" i="39" s="1"/>
  <c r="Y599" i="39"/>
  <c r="Y597" i="39" s="1"/>
  <c r="Y579" i="39"/>
  <c r="Y576" i="39" s="1"/>
  <c r="Y617" i="39"/>
  <c r="Y614" i="39" s="1"/>
  <c r="Y51" i="39"/>
  <c r="Y49" i="39" s="1"/>
  <c r="Y82" i="39"/>
  <c r="Y120" i="39"/>
  <c r="Y925" i="39"/>
  <c r="Y923" i="39" s="1"/>
  <c r="X735" i="39"/>
  <c r="X733" i="39" s="1"/>
  <c r="X773" i="39"/>
  <c r="X771" i="39" s="1"/>
  <c r="Y257" i="39"/>
  <c r="Y295" i="39"/>
  <c r="Y290" i="39"/>
  <c r="Y252" i="39"/>
  <c r="Y221" i="39" a="1"/>
  <c r="Y221" i="39" s="1"/>
  <c r="Y218" i="39" s="1"/>
  <c r="AB195" i="39"/>
  <c r="AC840" i="39"/>
  <c r="AB842" i="39"/>
  <c r="Y936" i="39"/>
  <c r="Y934" i="39" s="1"/>
  <c r="Y898" i="39"/>
  <c r="Y896" i="39" s="1"/>
  <c r="W645" i="39"/>
  <c r="W646" i="39" s="1"/>
  <c r="W643" i="39"/>
  <c r="AA353" i="39"/>
  <c r="AA359" i="39" s="1"/>
  <c r="AA379" i="39" s="1" a="1"/>
  <c r="AA379" i="39" s="1"/>
  <c r="AB351" i="39"/>
  <c r="W656" i="39"/>
  <c r="W657" i="39" s="1"/>
  <c r="W659" i="39" s="1"/>
  <c r="W660" i="39" s="1"/>
  <c r="X90" i="39"/>
  <c r="X87" i="39" s="1"/>
  <c r="X128" i="39"/>
  <c r="X125" i="39" s="1"/>
  <c r="Y259" i="39"/>
  <c r="Y297" i="39"/>
  <c r="X55" i="39"/>
  <c r="X48" i="39" s="1"/>
  <c r="X60" i="39" s="1"/>
  <c r="X67" i="39" s="1"/>
  <c r="Y109" i="39"/>
  <c r="Y114" i="39"/>
  <c r="Y135" i="39"/>
  <c r="Y111" i="39"/>
  <c r="Y115" i="39"/>
  <c r="Y112" i="39"/>
  <c r="Y113" i="39"/>
  <c r="Y126" i="39"/>
  <c r="Y116" i="39"/>
  <c r="X110" i="39"/>
  <c r="X108" i="39" s="1"/>
  <c r="X273" i="39"/>
  <c r="X271" i="39" s="1"/>
  <c r="X642" i="39"/>
  <c r="X655" i="39"/>
  <c r="Z738" i="39"/>
  <c r="X246" i="39"/>
  <c r="X244" i="39" s="1"/>
  <c r="X284" i="39"/>
  <c r="X282" i="39" s="1"/>
  <c r="Z573" i="39"/>
  <c r="Y296" i="39"/>
  <c r="Y258" i="39"/>
  <c r="Z909" i="39"/>
  <c r="Z947" i="39"/>
  <c r="Y127" i="39"/>
  <c r="Y89" i="39"/>
  <c r="Y58" i="39" a="1"/>
  <c r="Y58" i="39" s="1"/>
  <c r="Y767" i="39"/>
  <c r="Y787" i="39"/>
  <c r="Y761" i="39"/>
  <c r="Y764" i="39"/>
  <c r="Y763" i="39"/>
  <c r="Y765" i="39"/>
  <c r="Y778" i="39"/>
  <c r="Y766" i="39"/>
  <c r="Y768" i="39"/>
  <c r="Z578" i="39"/>
  <c r="Z616" i="39"/>
  <c r="Z547" i="39" a="1"/>
  <c r="Z547" i="39" s="1"/>
  <c r="AD683" i="39"/>
  <c r="Y95" i="39"/>
  <c r="Y133" i="39"/>
  <c r="X780" i="39"/>
  <c r="X777" i="39" s="1"/>
  <c r="X742" i="39"/>
  <c r="X739" i="39" s="1"/>
  <c r="Y734" i="39"/>
  <c r="Y703" i="39"/>
  <c r="Y772" i="39"/>
  <c r="AB516" i="39"/>
  <c r="AB523" i="39" s="1"/>
  <c r="AB543" i="39" s="1" a="1"/>
  <c r="AB543" i="39" s="1"/>
  <c r="AC514" i="39"/>
  <c r="Y738" i="39"/>
  <c r="Y776" i="39"/>
  <c r="W968" i="39"/>
  <c r="W981" i="39"/>
  <c r="Z866" i="39"/>
  <c r="Z935" i="39"/>
  <c r="Z897" i="39"/>
  <c r="X707" i="39"/>
  <c r="X700" i="39" s="1"/>
  <c r="X712" i="39" s="1"/>
  <c r="X719" i="39" s="1"/>
  <c r="Y779" i="39"/>
  <c r="Y741" i="39"/>
  <c r="Y710" i="39" a="1"/>
  <c r="Y710" i="39" s="1"/>
  <c r="Y707" i="39" s="1"/>
  <c r="AA560" i="39"/>
  <c r="AA517" i="39"/>
  <c r="AA552" i="39" a="1"/>
  <c r="AA552" i="39" s="1"/>
  <c r="AA553" i="39" a="1"/>
  <c r="AA553" i="39" s="1"/>
  <c r="AA546" i="39" a="1"/>
  <c r="AA546" i="39" s="1"/>
  <c r="AA551" i="39" a="1"/>
  <c r="AA551" i="39" s="1"/>
  <c r="AA539" i="39" a="1"/>
  <c r="AA539" i="39" s="1"/>
  <c r="AA586" i="39"/>
  <c r="AA640" i="39"/>
  <c r="AA567" i="39"/>
  <c r="AA564" i="39"/>
  <c r="AA577" i="39"/>
  <c r="AA566" i="39"/>
  <c r="AA563" i="39"/>
  <c r="AA565" i="39"/>
  <c r="AA562" i="39"/>
  <c r="Z910" i="39"/>
  <c r="Z948" i="39"/>
  <c r="Y94" i="39"/>
  <c r="Y132" i="39"/>
  <c r="Y784" i="39"/>
  <c r="Y746" i="39"/>
  <c r="W444" i="39"/>
  <c r="W456" i="39" s="1"/>
  <c r="W463" i="39" s="1"/>
  <c r="W466" i="39" s="1"/>
  <c r="W468" i="39" s="1"/>
  <c r="W469" i="39" s="1"/>
  <c r="Y450" i="39"/>
  <c r="Y448" i="39" s="1"/>
  <c r="Z411" i="39"/>
  <c r="X607" i="39"/>
  <c r="X619" i="39" s="1"/>
  <c r="X626" i="39" s="1"/>
  <c r="X629" i="39" s="1"/>
  <c r="X631" i="39" s="1"/>
  <c r="X632" i="39" s="1"/>
  <c r="Y124" i="39"/>
  <c r="Y86" i="39"/>
  <c r="Y134" i="39"/>
  <c r="Y96" i="39"/>
  <c r="X121" i="39"/>
  <c r="X119" i="39" s="1"/>
  <c r="X83" i="39"/>
  <c r="X81" i="39" s="1"/>
  <c r="Y785" i="39"/>
  <c r="Y747" i="39"/>
  <c r="Y248" i="39"/>
  <c r="Y286" i="39"/>
  <c r="Y215" i="39"/>
  <c r="Z911" i="39"/>
  <c r="Z949" i="39"/>
  <c r="AC521" i="39"/>
  <c r="Y123" i="39"/>
  <c r="Y85" i="39"/>
  <c r="Y52" i="39"/>
  <c r="Y786" i="39"/>
  <c r="Y748" i="39"/>
  <c r="AB677" i="39"/>
  <c r="AA679" i="39"/>
  <c r="AA686" i="39" s="1"/>
  <c r="AA706" i="39" s="1" a="1"/>
  <c r="AA706" i="39" s="1"/>
  <c r="W329" i="39"/>
  <c r="W316" i="39"/>
  <c r="Y458" i="39"/>
  <c r="Y420" i="39"/>
  <c r="Y377" i="39"/>
  <c r="Y408" i="39"/>
  <c r="Y446" i="39"/>
  <c r="W153" i="39"/>
  <c r="W166" i="39"/>
  <c r="AF31" i="39"/>
  <c r="V482" i="39"/>
  <c r="V483" i="39" s="1"/>
  <c r="V480" i="39"/>
  <c r="V166" i="39"/>
  <c r="V153" i="39"/>
  <c r="AD32" i="39"/>
  <c r="V330" i="39"/>
  <c r="V331" i="39" s="1"/>
  <c r="V333" i="39" s="1"/>
  <c r="V334" i="39" s="1"/>
  <c r="W406" i="39"/>
  <c r="W418" i="39" s="1"/>
  <c r="W425" i="39" s="1"/>
  <c r="W428" i="39" s="1"/>
  <c r="W430" i="39" s="1"/>
  <c r="W431" i="39" s="1"/>
  <c r="Y899" i="39"/>
  <c r="X409" i="39"/>
  <c r="X407" i="39" s="1"/>
  <c r="X447" i="39"/>
  <c r="X445" i="39" s="1"/>
  <c r="Z714" i="39" a="1"/>
  <c r="Z714" i="39" s="1"/>
  <c r="Z715" i="39" a="1"/>
  <c r="Z715" i="39" s="1"/>
  <c r="Z723" i="39"/>
  <c r="Z716" i="39" a="1"/>
  <c r="Z716" i="39" s="1"/>
  <c r="Z702" i="39" a="1"/>
  <c r="Z702" i="39" s="1"/>
  <c r="Z740" i="39"/>
  <c r="Z680" i="39"/>
  <c r="Z776" i="39" s="1"/>
  <c r="Z709" i="39" a="1"/>
  <c r="Z709" i="39" s="1"/>
  <c r="Z749" i="39"/>
  <c r="Z803" i="39"/>
  <c r="Z729" i="39"/>
  <c r="Z728" i="39"/>
  <c r="Z726" i="39"/>
  <c r="Z725" i="39"/>
  <c r="Z727" i="39"/>
  <c r="Z730" i="39"/>
  <c r="Z685" i="39"/>
  <c r="Z705" i="39" s="1" a="1"/>
  <c r="Z705" i="39" s="1"/>
  <c r="V819" i="39"/>
  <c r="V820" i="39" s="1"/>
  <c r="V822" i="39" s="1"/>
  <c r="V823" i="39" s="1"/>
  <c r="X253" i="39"/>
  <c r="X250" i="39" s="1"/>
  <c r="X291" i="39"/>
  <c r="X288" i="39" s="1"/>
  <c r="Y249" i="39"/>
  <c r="Y287" i="39"/>
  <c r="Y435" i="39"/>
  <c r="Y440" i="39"/>
  <c r="Y461" i="39"/>
  <c r="Y439" i="39"/>
  <c r="Y437" i="39"/>
  <c r="Y442" i="39"/>
  <c r="Y438" i="39"/>
  <c r="Y441" i="39"/>
  <c r="Y452" i="39"/>
  <c r="V493" i="39"/>
  <c r="V494" i="39" s="1"/>
  <c r="V496" i="39" s="1"/>
  <c r="V497" i="39" s="1"/>
  <c r="Z950" i="39"/>
  <c r="Z924" i="39"/>
  <c r="Z941" i="39"/>
  <c r="Z930" i="39"/>
  <c r="Z929" i="39"/>
  <c r="Z926" i="39"/>
  <c r="Z928" i="39"/>
  <c r="Z927" i="39"/>
  <c r="Z931" i="39"/>
  <c r="V317" i="39"/>
  <c r="V319" i="39"/>
  <c r="V320" i="39" s="1"/>
  <c r="AA27" i="39"/>
  <c r="AB25" i="39"/>
  <c r="Y937" i="39"/>
  <c r="Z540" i="39"/>
  <c r="Z538" i="39" s="1"/>
  <c r="Z609" i="39"/>
  <c r="Z571" i="39"/>
  <c r="Y722" i="39"/>
  <c r="W819" i="39"/>
  <c r="W820" i="39" s="1"/>
  <c r="W822" i="39" s="1"/>
  <c r="V808" i="39"/>
  <c r="V809" i="39" s="1"/>
  <c r="V806" i="39"/>
  <c r="Y459" i="39"/>
  <c r="Y421" i="39"/>
  <c r="X218" i="39"/>
  <c r="X211" i="39" s="1"/>
  <c r="X223" i="39" s="1"/>
  <c r="X230" i="39" s="1"/>
  <c r="AA849" i="39"/>
  <c r="AA869" i="39" s="1" a="1"/>
  <c r="AA869" i="39" s="1"/>
  <c r="AB847" i="39"/>
  <c r="Z942" i="39"/>
  <c r="Z904" i="39"/>
  <c r="Z873" i="39" a="1"/>
  <c r="Z873" i="39" s="1"/>
  <c r="X968" i="39"/>
  <c r="X981" i="39"/>
  <c r="Z71" i="39"/>
  <c r="Z57" i="39" a="1"/>
  <c r="Z57" i="39" s="1"/>
  <c r="Z63" i="39" a="1"/>
  <c r="Z63" i="39" s="1"/>
  <c r="Z64" i="39" a="1"/>
  <c r="Z64" i="39" s="1"/>
  <c r="Z62" i="39" a="1"/>
  <c r="Z62" i="39" s="1"/>
  <c r="Z50" i="39" a="1"/>
  <c r="Z50" i="39" s="1"/>
  <c r="Z88" i="39"/>
  <c r="Z28" i="39"/>
  <c r="Z97" i="39"/>
  <c r="Z151" i="39"/>
  <c r="Z75" i="39"/>
  <c r="Z77" i="39"/>
  <c r="Z78" i="39"/>
  <c r="Z76" i="39"/>
  <c r="Z74" i="39"/>
  <c r="Z73" i="39"/>
  <c r="Z33" i="39"/>
  <c r="Z53" i="39" s="1" a="1"/>
  <c r="Z53" i="39" s="1"/>
  <c r="Z34" i="39"/>
  <c r="Z54" i="39" s="1" a="1"/>
  <c r="Z54" i="39" s="1"/>
  <c r="W118" i="39"/>
  <c r="W130" i="39" s="1"/>
  <c r="W137" i="39" s="1"/>
  <c r="W140" i="39" s="1"/>
  <c r="W142" i="39" s="1"/>
  <c r="W143" i="39" s="1"/>
  <c r="Y610" i="39"/>
  <c r="Y608" i="39" s="1"/>
  <c r="Y572" i="39"/>
  <c r="Y570" i="39" s="1"/>
  <c r="AA848" i="39"/>
  <c r="AA868" i="39" s="1" a="1"/>
  <c r="AA868" i="39" s="1"/>
  <c r="AB846" i="39"/>
  <c r="Z622" i="39"/>
  <c r="Z584" i="39"/>
  <c r="Y737" i="39"/>
  <c r="Y704" i="39"/>
  <c r="Y775" i="39"/>
  <c r="Y422" i="39"/>
  <c r="Y460" i="39"/>
  <c r="AB188" i="39"/>
  <c r="AA190" i="39"/>
  <c r="AA197" i="39" s="1"/>
  <c r="AA217" i="39" s="1" a="1"/>
  <c r="AA217" i="39" s="1"/>
  <c r="Y943" i="39"/>
  <c r="Y940" i="39" s="1"/>
  <c r="Y905" i="39"/>
  <c r="Y902" i="39" s="1"/>
  <c r="X416" i="39"/>
  <c r="X413" i="39" s="1"/>
  <c r="X454" i="39"/>
  <c r="X451" i="39" s="1"/>
  <c r="Y538" i="39"/>
  <c r="Y537" i="39" s="1"/>
  <c r="Y549" i="39" s="1"/>
  <c r="Y556" i="39" s="1"/>
  <c r="Z900" i="39"/>
  <c r="Z938" i="39"/>
  <c r="Z867" i="39"/>
  <c r="Z598" i="39"/>
  <c r="Z604" i="39"/>
  <c r="Z624" i="39"/>
  <c r="Z603" i="39"/>
  <c r="Z602" i="39"/>
  <c r="Z601" i="39"/>
  <c r="Z615" i="39"/>
  <c r="Z605" i="39"/>
  <c r="Z600" i="39"/>
  <c r="Z901" i="39"/>
  <c r="Z939" i="39"/>
  <c r="Z234" i="39"/>
  <c r="Z227" i="39" a="1"/>
  <c r="Z227" i="39" s="1"/>
  <c r="Z220" i="39" a="1"/>
  <c r="Z220" i="39" s="1"/>
  <c r="Z191" i="39"/>
  <c r="Z226" i="39" a="1"/>
  <c r="Z226" i="39" s="1"/>
  <c r="Z225" i="39" a="1"/>
  <c r="Z225" i="39" s="1"/>
  <c r="Z239" i="39"/>
  <c r="Z241" i="39"/>
  <c r="Z251" i="39"/>
  <c r="Z213" i="39" a="1"/>
  <c r="Z213" i="39" s="1"/>
  <c r="Z260" i="39"/>
  <c r="Z314" i="39"/>
  <c r="Z236" i="39"/>
  <c r="Z240" i="39"/>
  <c r="Z237" i="39"/>
  <c r="Z238" i="39"/>
  <c r="Z196" i="39"/>
  <c r="Z216" i="39" s="1" a="1"/>
  <c r="Z216" i="39" s="1"/>
  <c r="X774" i="39"/>
  <c r="AB357" i="39"/>
  <c r="Y453" i="39"/>
  <c r="Y415" i="39"/>
  <c r="Y384" i="39" a="1"/>
  <c r="Y384" i="39" s="1"/>
  <c r="Y381" i="39" s="1"/>
  <c r="Y245" i="39"/>
  <c r="Y283" i="39"/>
  <c r="Y214" i="39"/>
  <c r="Y212" i="39" s="1"/>
  <c r="AC520" i="39"/>
  <c r="Y870" i="39"/>
  <c r="Y863" i="39" s="1"/>
  <c r="Y875" i="39" s="1"/>
  <c r="Y882" i="39" s="1"/>
  <c r="AB684" i="39"/>
  <c r="X381" i="39"/>
  <c r="X374" i="39" s="1"/>
  <c r="X386" i="39" s="1"/>
  <c r="X393" i="39" s="1"/>
  <c r="Z583" i="39"/>
  <c r="Z621" i="39"/>
  <c r="Z612" i="39"/>
  <c r="Z611" i="39" s="1"/>
  <c r="X762" i="39"/>
  <c r="X760" i="39" s="1"/>
  <c r="AB522" i="39" l="1"/>
  <c r="AB542" i="39" s="1" a="1"/>
  <c r="AB542" i="39" s="1"/>
  <c r="W808" i="39"/>
  <c r="W809" i="39" s="1"/>
  <c r="X80" i="39"/>
  <c r="X92" i="39" s="1"/>
  <c r="X99" i="39" s="1"/>
  <c r="X102" i="39" s="1"/>
  <c r="X104" i="39" s="1"/>
  <c r="X105" i="39" s="1"/>
  <c r="Y84" i="39"/>
  <c r="Y736" i="39"/>
  <c r="AA575" i="39"/>
  <c r="Z724" i="39"/>
  <c r="Y122" i="39"/>
  <c r="Y436" i="39"/>
  <c r="Y434" i="39" s="1"/>
  <c r="AA561" i="39"/>
  <c r="AA559" i="39" s="1"/>
  <c r="Z72" i="39"/>
  <c r="Z70" i="39" s="1"/>
  <c r="Z925" i="39"/>
  <c r="Y774" i="39"/>
  <c r="Y110" i="39"/>
  <c r="Y108" i="39" s="1"/>
  <c r="Z899" i="39"/>
  <c r="Y569" i="39"/>
  <c r="Y581" i="39" s="1"/>
  <c r="Y588" i="39" s="1"/>
  <c r="Y591" i="39" s="1"/>
  <c r="Y593" i="39" s="1"/>
  <c r="Y594" i="39" s="1"/>
  <c r="Y285" i="39"/>
  <c r="AA887" i="39"/>
  <c r="AA885" i="39" s="1"/>
  <c r="Y607" i="39"/>
  <c r="Y619" i="39" s="1"/>
  <c r="Y626" i="39" s="1"/>
  <c r="Y629" i="39" s="1"/>
  <c r="Y631" i="39" s="1"/>
  <c r="Y632" i="39" s="1"/>
  <c r="Y247" i="39"/>
  <c r="W823" i="39"/>
  <c r="X118" i="39"/>
  <c r="X130" i="39" s="1"/>
  <c r="X137" i="39" s="1"/>
  <c r="X140" i="39" s="1"/>
  <c r="X142" i="39" s="1"/>
  <c r="X143" i="39" s="1"/>
  <c r="Y211" i="39"/>
  <c r="Y223" i="39" s="1"/>
  <c r="Y230" i="39" s="1"/>
  <c r="Y329" i="39" s="1"/>
  <c r="Y330" i="39" s="1"/>
  <c r="Y331" i="39" s="1"/>
  <c r="Y333" i="39" s="1"/>
  <c r="Y968" i="39"/>
  <c r="Y981" i="39"/>
  <c r="X281" i="39"/>
  <c r="X293" i="39" s="1"/>
  <c r="X300" i="39" s="1"/>
  <c r="X303" i="39" s="1"/>
  <c r="X305" i="39" s="1"/>
  <c r="X306" i="39" s="1"/>
  <c r="X243" i="39"/>
  <c r="X255" i="39" s="1"/>
  <c r="X262" i="39" s="1"/>
  <c r="X265" i="39" s="1"/>
  <c r="X267" i="39" s="1"/>
  <c r="X268" i="39" s="1"/>
  <c r="AA249" i="39"/>
  <c r="AA738" i="39"/>
  <c r="X770" i="39"/>
  <c r="X782" i="39" s="1"/>
  <c r="X789" i="39" s="1"/>
  <c r="X792" i="39" s="1"/>
  <c r="X794" i="39" s="1"/>
  <c r="X795" i="39" s="1"/>
  <c r="AA411" i="39"/>
  <c r="X329" i="39"/>
  <c r="X316" i="39"/>
  <c r="X479" i="39"/>
  <c r="X492" i="39"/>
  <c r="Z905" i="39"/>
  <c r="Z902" i="39" s="1"/>
  <c r="Z943" i="39"/>
  <c r="Z940" i="39" s="1"/>
  <c r="X406" i="39"/>
  <c r="X418" i="39" s="1"/>
  <c r="X425" i="39" s="1"/>
  <c r="X428" i="39" s="1"/>
  <c r="X430" i="39" s="1"/>
  <c r="X431" i="39" s="1"/>
  <c r="Z450" i="39"/>
  <c r="Z448" i="39" s="1"/>
  <c r="Z412" i="39"/>
  <c r="X732" i="39"/>
  <c r="X744" i="39" s="1"/>
  <c r="X751" i="39" s="1"/>
  <c r="X754" i="39" s="1"/>
  <c r="X756" i="39" s="1"/>
  <c r="X757" i="39" s="1"/>
  <c r="W482" i="39"/>
  <c r="W483" i="39" s="1"/>
  <c r="W480" i="39"/>
  <c r="Y895" i="39"/>
  <c r="Y907" i="39" s="1"/>
  <c r="Y914" i="39" s="1"/>
  <c r="Y917" i="39" s="1"/>
  <c r="Y919" i="39" s="1"/>
  <c r="Y920" i="39" s="1"/>
  <c r="Y454" i="39"/>
  <c r="Y451" i="39" s="1"/>
  <c r="Y416" i="39"/>
  <c r="Y413" i="39" s="1"/>
  <c r="Z870" i="39"/>
  <c r="W493" i="39"/>
  <c r="W494" i="39" s="1"/>
  <c r="W496" i="39" s="1"/>
  <c r="W497" i="39" s="1"/>
  <c r="X982" i="39"/>
  <c r="X983" i="39" s="1"/>
  <c r="X985" i="39" s="1"/>
  <c r="Y933" i="39"/>
  <c r="Y945" i="39" s="1"/>
  <c r="Y952" i="39" s="1"/>
  <c r="Y955" i="39" s="1"/>
  <c r="Y957" i="39" s="1"/>
  <c r="Y958" i="39" s="1"/>
  <c r="AB679" i="39"/>
  <c r="AB686" i="39" s="1"/>
  <c r="AB706" i="39" s="1" a="1"/>
  <c r="AB706" i="39" s="1"/>
  <c r="AC677" i="39"/>
  <c r="W167" i="39"/>
  <c r="W168" i="39" s="1"/>
  <c r="W170" i="39" s="1"/>
  <c r="AA540" i="39"/>
  <c r="AA538" i="39" s="1"/>
  <c r="AA609" i="39"/>
  <c r="AA571" i="39"/>
  <c r="Z936" i="39"/>
  <c r="Z934" i="39" s="1"/>
  <c r="Z898" i="39"/>
  <c r="Z896" i="39" s="1"/>
  <c r="AE683" i="39"/>
  <c r="Y90" i="39"/>
  <c r="Y87" i="39" s="1"/>
  <c r="Y128" i="39"/>
  <c r="Y125" i="39" s="1"/>
  <c r="Z408" i="39"/>
  <c r="Z446" i="39"/>
  <c r="Z377" i="39"/>
  <c r="AC188" i="39"/>
  <c r="AB190" i="39"/>
  <c r="AB197" i="39" s="1"/>
  <c r="AB217" i="39" s="1" a="1"/>
  <c r="AB217" i="39" s="1"/>
  <c r="Z295" i="39"/>
  <c r="Z257" i="39"/>
  <c r="W154" i="39"/>
  <c r="W156" i="39"/>
  <c r="W157" i="39" s="1"/>
  <c r="AA621" i="39"/>
  <c r="AA583" i="39"/>
  <c r="Z864" i="39"/>
  <c r="Y55" i="39"/>
  <c r="Y48" i="39" s="1"/>
  <c r="Y60" i="39" s="1"/>
  <c r="Y67" i="39" s="1"/>
  <c r="Z420" i="39"/>
  <c r="Z458" i="39"/>
  <c r="X153" i="39"/>
  <c r="X166" i="39"/>
  <c r="AC351" i="39"/>
  <c r="AB353" i="39"/>
  <c r="AB360" i="39" s="1"/>
  <c r="AB380" i="39" s="1" a="1"/>
  <c r="AB380" i="39" s="1"/>
  <c r="AC358" i="39"/>
  <c r="X971" i="39"/>
  <c r="X972" i="39" s="1"/>
  <c r="X969" i="39"/>
  <c r="AA360" i="39"/>
  <c r="AA380" i="39" s="1" a="1"/>
  <c r="AA380" i="39" s="1"/>
  <c r="AC357" i="39"/>
  <c r="Z741" i="39"/>
  <c r="Z779" i="39"/>
  <c r="Z710" i="39" a="1"/>
  <c r="Z710" i="39" s="1"/>
  <c r="AA578" i="39"/>
  <c r="AA616" i="39"/>
  <c r="AA547" i="39" a="1"/>
  <c r="AA547" i="39" s="1"/>
  <c r="AA544" i="39" s="1"/>
  <c r="W982" i="39"/>
  <c r="W983" i="39" s="1"/>
  <c r="W985" i="39" s="1"/>
  <c r="W986" i="39" s="1"/>
  <c r="Z579" i="39"/>
  <c r="Z576" i="39" s="1"/>
  <c r="Z617" i="39"/>
  <c r="Z614" i="39" s="1"/>
  <c r="Z460" i="39"/>
  <c r="Z422" i="39"/>
  <c r="AD194" i="39"/>
  <c r="Z258" i="39"/>
  <c r="Z296" i="39"/>
  <c r="Z272" i="39"/>
  <c r="Z298" i="39"/>
  <c r="Z277" i="39"/>
  <c r="Z279" i="39"/>
  <c r="Z275" i="39"/>
  <c r="Z289" i="39"/>
  <c r="Z274" i="39"/>
  <c r="Z276" i="39"/>
  <c r="Z278" i="39"/>
  <c r="Z766" i="39"/>
  <c r="Z761" i="39"/>
  <c r="Z787" i="39"/>
  <c r="Z778" i="39"/>
  <c r="Z767" i="39"/>
  <c r="Z765" i="39"/>
  <c r="Z763" i="39"/>
  <c r="Z764" i="39"/>
  <c r="Z768" i="39"/>
  <c r="AE32" i="39"/>
  <c r="AA623" i="39"/>
  <c r="AA585" i="39"/>
  <c r="W969" i="39"/>
  <c r="W971" i="39"/>
  <c r="W972" i="39" s="1"/>
  <c r="Z544" i="39"/>
  <c r="Z537" i="39" s="1"/>
  <c r="Z549" i="39" s="1"/>
  <c r="Z556" i="39" s="1"/>
  <c r="X656" i="39"/>
  <c r="X657" i="39" s="1"/>
  <c r="X659" i="39" s="1"/>
  <c r="X660" i="39" s="1"/>
  <c r="AB877" i="39" a="1"/>
  <c r="AB877" i="39" s="1"/>
  <c r="AB879" i="39" a="1"/>
  <c r="AB879" i="39" s="1"/>
  <c r="AB886" i="39"/>
  <c r="AB865" i="39" a="1"/>
  <c r="AB865" i="39" s="1"/>
  <c r="AB890" i="39"/>
  <c r="AB843" i="39"/>
  <c r="AB878" i="39" a="1"/>
  <c r="AB878" i="39" s="1"/>
  <c r="AB872" i="39" a="1"/>
  <c r="AB872" i="39" s="1"/>
  <c r="AB966" i="39"/>
  <c r="AB912" i="39"/>
  <c r="AB892" i="39"/>
  <c r="AB888" i="39"/>
  <c r="AB893" i="39"/>
  <c r="AB903" i="39"/>
  <c r="AB891" i="39"/>
  <c r="AB889" i="39"/>
  <c r="Z459" i="39"/>
  <c r="Z421" i="39"/>
  <c r="Z290" i="39"/>
  <c r="Z252" i="39"/>
  <c r="Z221" i="39" a="1"/>
  <c r="Z221" i="39" s="1"/>
  <c r="Z937" i="39"/>
  <c r="Z109" i="39"/>
  <c r="Z114" i="39"/>
  <c r="Z135" i="39"/>
  <c r="Z115" i="39"/>
  <c r="Z116" i="39"/>
  <c r="Z112" i="39"/>
  <c r="Z126" i="39"/>
  <c r="Z111" i="39"/>
  <c r="Z113" i="39"/>
  <c r="AB849" i="39"/>
  <c r="AB869" i="39" s="1" a="1"/>
  <c r="AB869" i="39" s="1"/>
  <c r="AC847" i="39"/>
  <c r="Z923" i="39"/>
  <c r="AA584" i="39"/>
  <c r="AA622" i="39"/>
  <c r="X643" i="39"/>
  <c r="X645" i="39"/>
  <c r="X646" i="39" s="1"/>
  <c r="AC842" i="39"/>
  <c r="AD840" i="39"/>
  <c r="Z435" i="39"/>
  <c r="Z461" i="39"/>
  <c r="Z437" i="39"/>
  <c r="Z439" i="39"/>
  <c r="Z442" i="39"/>
  <c r="Z452" i="39"/>
  <c r="Z440" i="39"/>
  <c r="Z441" i="39"/>
  <c r="Z438" i="39"/>
  <c r="AA935" i="39"/>
  <c r="AA897" i="39"/>
  <c r="AA866" i="39"/>
  <c r="AA864" i="39" s="1"/>
  <c r="AA573" i="39"/>
  <c r="Z259" i="39"/>
  <c r="Z297" i="39"/>
  <c r="AB848" i="39"/>
  <c r="AB868" i="39" s="1" a="1"/>
  <c r="AB868" i="39" s="1"/>
  <c r="AC846" i="39"/>
  <c r="AA901" i="39"/>
  <c r="AA939" i="39"/>
  <c r="Z572" i="39"/>
  <c r="Z570" i="39" s="1"/>
  <c r="Z610" i="39"/>
  <c r="Z608" i="39" s="1"/>
  <c r="Z703" i="39"/>
  <c r="Z734" i="39"/>
  <c r="Z772" i="39"/>
  <c r="V156" i="39"/>
  <c r="V157" i="39" s="1"/>
  <c r="V154" i="39"/>
  <c r="Y409" i="39"/>
  <c r="Y407" i="39" s="1"/>
  <c r="Y447" i="39"/>
  <c r="Y445" i="39" s="1"/>
  <c r="AA624" i="39"/>
  <c r="AA598" i="39"/>
  <c r="AA601" i="39"/>
  <c r="AA600" i="39"/>
  <c r="AA603" i="39"/>
  <c r="AA615" i="39"/>
  <c r="AA602" i="39"/>
  <c r="AA604" i="39"/>
  <c r="AA605" i="39"/>
  <c r="Y273" i="39"/>
  <c r="Y271" i="39" s="1"/>
  <c r="Z453" i="39"/>
  <c r="Z415" i="39"/>
  <c r="Z384" i="39" a="1"/>
  <c r="Z384" i="39" s="1"/>
  <c r="Z381" i="39" s="1"/>
  <c r="AA950" i="39"/>
  <c r="AA924" i="39"/>
  <c r="AA930" i="39"/>
  <c r="AA929" i="39"/>
  <c r="AA927" i="39"/>
  <c r="AA928" i="39"/>
  <c r="AA941" i="39"/>
  <c r="AA931" i="39"/>
  <c r="AA926" i="39"/>
  <c r="AA390" i="39" a="1"/>
  <c r="AA390" i="39" s="1"/>
  <c r="AA388" i="39" a="1"/>
  <c r="AA388" i="39" s="1"/>
  <c r="AA354" i="39"/>
  <c r="AA449" i="39" s="1"/>
  <c r="AA383" i="39" a="1"/>
  <c r="AA383" i="39" s="1"/>
  <c r="AA389" i="39" a="1"/>
  <c r="AA389" i="39" s="1"/>
  <c r="AA397" i="39"/>
  <c r="AA401" i="39"/>
  <c r="AA376" i="39" a="1"/>
  <c r="AA376" i="39" s="1"/>
  <c r="AA423" i="39"/>
  <c r="AA477" i="39"/>
  <c r="AA403" i="39"/>
  <c r="AA400" i="39"/>
  <c r="AA402" i="39"/>
  <c r="AA404" i="39"/>
  <c r="AA414" i="39"/>
  <c r="AA399" i="39"/>
  <c r="AC684" i="39"/>
  <c r="Y655" i="39"/>
  <c r="Y642" i="39"/>
  <c r="AA900" i="39"/>
  <c r="AA867" i="39"/>
  <c r="AA938" i="39"/>
  <c r="Z82" i="39"/>
  <c r="Z51" i="39"/>
  <c r="Z120" i="39"/>
  <c r="Z748" i="39"/>
  <c r="Z786" i="39"/>
  <c r="V167" i="39"/>
  <c r="V168" i="39" s="1"/>
  <c r="V170" i="39" s="1"/>
  <c r="V171" i="39" s="1"/>
  <c r="Y375" i="39"/>
  <c r="Y374" i="39" s="1"/>
  <c r="Y386" i="39" s="1"/>
  <c r="Y393" i="39" s="1"/>
  <c r="AD521" i="39"/>
  <c r="AC516" i="39"/>
  <c r="AC522" i="39" s="1"/>
  <c r="AC542" i="39" s="1" a="1"/>
  <c r="AC542" i="39" s="1"/>
  <c r="AD514" i="39"/>
  <c r="AC195" i="39"/>
  <c r="AA612" i="39"/>
  <c r="Z132" i="39"/>
  <c r="Z94" i="39"/>
  <c r="Z722" i="39"/>
  <c r="AB575" i="39"/>
  <c r="AB565" i="39"/>
  <c r="AB560" i="39"/>
  <c r="AB546" i="39" a="1"/>
  <c r="AB546" i="39" s="1"/>
  <c r="AB553" i="39" a="1"/>
  <c r="AB553" i="39" s="1"/>
  <c r="AB552" i="39" a="1"/>
  <c r="AB552" i="39" s="1"/>
  <c r="AB551" i="39" a="1"/>
  <c r="AB551" i="39" s="1"/>
  <c r="AB517" i="39"/>
  <c r="AB613" i="39" s="1"/>
  <c r="AB564" i="39"/>
  <c r="AB539" i="39" a="1"/>
  <c r="AB539" i="39" s="1"/>
  <c r="AB586" i="39"/>
  <c r="AB640" i="39"/>
  <c r="AB567" i="39"/>
  <c r="AB566" i="39"/>
  <c r="AB563" i="39"/>
  <c r="AB562" i="39"/>
  <c r="AB577" i="39"/>
  <c r="AA947" i="39"/>
  <c r="AA909" i="39"/>
  <c r="Z248" i="39"/>
  <c r="Z247" i="39" s="1"/>
  <c r="Z286" i="39"/>
  <c r="Z215" i="39"/>
  <c r="AD520" i="39"/>
  <c r="Z785" i="39"/>
  <c r="Z747" i="39"/>
  <c r="Y742" i="39"/>
  <c r="Y739" i="39" s="1"/>
  <c r="Y780" i="39"/>
  <c r="Y777" i="39" s="1"/>
  <c r="Y121" i="39"/>
  <c r="Y119" i="39" s="1"/>
  <c r="Y83" i="39"/>
  <c r="Y81" i="39" s="1"/>
  <c r="X805" i="39"/>
  <c r="X818" i="39"/>
  <c r="AA911" i="39"/>
  <c r="AA949" i="39"/>
  <c r="Z96" i="39"/>
  <c r="Z134" i="39"/>
  <c r="AB27" i="39"/>
  <c r="AC25" i="39"/>
  <c r="Z737" i="39"/>
  <c r="Z736" i="39" s="1"/>
  <c r="Z775" i="39"/>
  <c r="Z774" i="39" s="1"/>
  <c r="Z704" i="39"/>
  <c r="Z746" i="39"/>
  <c r="Z784" i="39"/>
  <c r="AG31" i="39"/>
  <c r="Z378" i="39"/>
  <c r="Y735" i="39"/>
  <c r="Y733" i="39" s="1"/>
  <c r="Y773" i="39"/>
  <c r="Y771" i="39" s="1"/>
  <c r="Y253" i="39"/>
  <c r="Y250" i="39" s="1"/>
  <c r="Y291" i="39"/>
  <c r="Y288" i="39" s="1"/>
  <c r="AA714" i="39" a="1"/>
  <c r="AA714" i="39" s="1"/>
  <c r="AA716" i="39" a="1"/>
  <c r="AA716" i="39" s="1"/>
  <c r="AA726" i="39"/>
  <c r="AA715" i="39" a="1"/>
  <c r="AA715" i="39" s="1"/>
  <c r="AA723" i="39"/>
  <c r="AA702" i="39" a="1"/>
  <c r="AA702" i="39" s="1"/>
  <c r="AA680" i="39"/>
  <c r="AA776" i="39" s="1"/>
  <c r="AA709" i="39" a="1"/>
  <c r="AA709" i="39" s="1"/>
  <c r="AA749" i="39"/>
  <c r="AA803" i="39"/>
  <c r="AA730" i="39"/>
  <c r="AA727" i="39"/>
  <c r="AA725" i="39"/>
  <c r="AA729" i="39"/>
  <c r="AA728" i="39"/>
  <c r="AA740" i="39"/>
  <c r="AA685" i="39"/>
  <c r="AA705" i="39" s="1" a="1"/>
  <c r="AA705" i="39" s="1"/>
  <c r="X444" i="39"/>
  <c r="X456" i="39" s="1"/>
  <c r="X463" i="39" s="1"/>
  <c r="X466" i="39" s="1"/>
  <c r="X468" i="39" s="1"/>
  <c r="X469" i="39" s="1"/>
  <c r="Z95" i="39"/>
  <c r="Z133" i="39"/>
  <c r="AA71" i="39"/>
  <c r="AA64" i="39" a="1"/>
  <c r="AA64" i="39" s="1"/>
  <c r="AA28" i="39"/>
  <c r="AA75" i="39"/>
  <c r="AA63" i="39" a="1"/>
  <c r="AA63" i="39" s="1"/>
  <c r="AA57" i="39" a="1"/>
  <c r="AA57" i="39" s="1"/>
  <c r="AA62" i="39" a="1"/>
  <c r="AA62" i="39" s="1"/>
  <c r="AA50" i="39" a="1"/>
  <c r="AA50" i="39" s="1"/>
  <c r="AA97" i="39"/>
  <c r="AA151" i="39"/>
  <c r="AA88" i="39"/>
  <c r="AA73" i="39"/>
  <c r="AA78" i="39"/>
  <c r="AA77" i="39"/>
  <c r="AA76" i="39"/>
  <c r="AA74" i="39"/>
  <c r="AA33" i="39"/>
  <c r="AA53" i="39" s="1" a="1"/>
  <c r="AA53" i="39" s="1"/>
  <c r="AA34" i="39"/>
  <c r="AA54" i="39" s="1" a="1"/>
  <c r="AA54" i="39" s="1"/>
  <c r="Y246" i="39"/>
  <c r="Y244" i="39" s="1"/>
  <c r="Y284" i="39"/>
  <c r="Y282" i="39" s="1"/>
  <c r="Z235" i="39"/>
  <c r="Z233" i="39" s="1"/>
  <c r="Z599" i="39"/>
  <c r="Z597" i="39" s="1"/>
  <c r="Z89" i="39"/>
  <c r="Z127" i="39"/>
  <c r="Z58" i="39" a="1"/>
  <c r="Z58" i="39" s="1"/>
  <c r="Z55" i="39" s="1"/>
  <c r="W319" i="39"/>
  <c r="W320" i="39" s="1"/>
  <c r="W317" i="39"/>
  <c r="AA910" i="39"/>
  <c r="AA948" i="39"/>
  <c r="Z214" i="39"/>
  <c r="Z283" i="39"/>
  <c r="Z245" i="39"/>
  <c r="AB574" i="39"/>
  <c r="AB541" i="39"/>
  <c r="Z124" i="39"/>
  <c r="Z86" i="39"/>
  <c r="AA226" i="39" a="1"/>
  <c r="AA226" i="39" s="1"/>
  <c r="AA227" i="39" a="1"/>
  <c r="AA227" i="39" s="1"/>
  <c r="AA191" i="39"/>
  <c r="AA234" i="39"/>
  <c r="AA241" i="39"/>
  <c r="AA220" i="39" a="1"/>
  <c r="AA220" i="39" s="1"/>
  <c r="AA225" i="39" a="1"/>
  <c r="AA225" i="39" s="1"/>
  <c r="AA213" i="39" a="1"/>
  <c r="AA213" i="39" s="1"/>
  <c r="AA260" i="39"/>
  <c r="AA314" i="39"/>
  <c r="AA237" i="39"/>
  <c r="AA238" i="39"/>
  <c r="AA251" i="39"/>
  <c r="AA236" i="39"/>
  <c r="AA239" i="39"/>
  <c r="AA240" i="39"/>
  <c r="AA196" i="39"/>
  <c r="AA216" i="39" s="1" a="1"/>
  <c r="AA216" i="39" s="1"/>
  <c r="Z85" i="39"/>
  <c r="Z123" i="39"/>
  <c r="Z52" i="39"/>
  <c r="AA613" i="39"/>
  <c r="W330" i="39"/>
  <c r="W331" i="39" s="1"/>
  <c r="W333" i="39" s="1"/>
  <c r="W334" i="39" s="1"/>
  <c r="Z410" i="39"/>
  <c r="Y701" i="39"/>
  <c r="Y700" i="39" s="1"/>
  <c r="Y712" i="39" s="1"/>
  <c r="Y719" i="39" s="1"/>
  <c r="Y762" i="39"/>
  <c r="Y760" i="39" s="1"/>
  <c r="Z398" i="39"/>
  <c r="Z396" i="39" s="1"/>
  <c r="AA904" i="39"/>
  <c r="AA942" i="39"/>
  <c r="AA873" i="39" a="1"/>
  <c r="AA873" i="39" s="1"/>
  <c r="AA870" i="39" s="1"/>
  <c r="Z287" i="39"/>
  <c r="Y80" i="39" l="1"/>
  <c r="Y92" i="39" s="1"/>
  <c r="Y99" i="39" s="1"/>
  <c r="Y102" i="39" s="1"/>
  <c r="Y104" i="39" s="1"/>
  <c r="Y105" i="39" s="1"/>
  <c r="AB612" i="39"/>
  <c r="AB611" i="39" s="1"/>
  <c r="Y406" i="39"/>
  <c r="Y418" i="39" s="1"/>
  <c r="Y425" i="39" s="1"/>
  <c r="Y428" i="39" s="1"/>
  <c r="Y430" i="39" s="1"/>
  <c r="Y431" i="39" s="1"/>
  <c r="Z863" i="39"/>
  <c r="Z875" i="39" s="1"/>
  <c r="Z882" i="39" s="1"/>
  <c r="Y281" i="39"/>
  <c r="Z607" i="39"/>
  <c r="Z895" i="39"/>
  <c r="Z907" i="39" s="1"/>
  <c r="Z914" i="39" s="1"/>
  <c r="Z917" i="39" s="1"/>
  <c r="Z919" i="39" s="1"/>
  <c r="Z920" i="39" s="1"/>
  <c r="AB561" i="39"/>
  <c r="AB559" i="39" s="1"/>
  <c r="Y243" i="39"/>
  <c r="Y255" i="39" s="1"/>
  <c r="Y262" i="39" s="1"/>
  <c r="Y265" i="39" s="1"/>
  <c r="Y267" i="39" s="1"/>
  <c r="Y268" i="39" s="1"/>
  <c r="W171" i="39"/>
  <c r="Z110" i="39"/>
  <c r="Z108" i="39" s="1"/>
  <c r="Y316" i="39"/>
  <c r="Y317" i="39" s="1"/>
  <c r="Y770" i="39"/>
  <c r="Z569" i="39"/>
  <c r="Z581" i="39" s="1"/>
  <c r="Z588" i="39" s="1"/>
  <c r="Z591" i="39" s="1"/>
  <c r="Z593" i="39" s="1"/>
  <c r="Z594" i="39" s="1"/>
  <c r="Z273" i="39"/>
  <c r="Z271" i="39" s="1"/>
  <c r="Z436" i="39"/>
  <c r="Z434" i="39" s="1"/>
  <c r="X986" i="39"/>
  <c r="AC523" i="39"/>
  <c r="AC543" i="39" s="1" a="1"/>
  <c r="AC543" i="39" s="1"/>
  <c r="AC541" i="39" s="1"/>
  <c r="Z122" i="39"/>
  <c r="AA599" i="39"/>
  <c r="AA597" i="39" s="1"/>
  <c r="Z762" i="39"/>
  <c r="Z760" i="39" s="1"/>
  <c r="Y118" i="39"/>
  <c r="Y130" i="39" s="1"/>
  <c r="Y137" i="39" s="1"/>
  <c r="Y140" i="39" s="1"/>
  <c r="Y142" i="39" s="1"/>
  <c r="Y143" i="39" s="1"/>
  <c r="Y444" i="39"/>
  <c r="Y456" i="39" s="1"/>
  <c r="Y463" i="39" s="1"/>
  <c r="Y466" i="39" s="1"/>
  <c r="Y468" i="39" s="1"/>
  <c r="Y469" i="39" s="1"/>
  <c r="AA863" i="39"/>
  <c r="AA875" i="39" s="1"/>
  <c r="AA882" i="39" s="1"/>
  <c r="AA968" i="39" s="1"/>
  <c r="AA235" i="39"/>
  <c r="AA233" i="39" s="1"/>
  <c r="Y166" i="39"/>
  <c r="Y153" i="39"/>
  <c r="Y782" i="39"/>
  <c r="Y789" i="39" s="1"/>
  <c r="Y792" i="39" s="1"/>
  <c r="Y794" i="39" s="1"/>
  <c r="Y795" i="39" s="1"/>
  <c r="Z642" i="39"/>
  <c r="Z655" i="39"/>
  <c r="AC574" i="39"/>
  <c r="AA785" i="39"/>
  <c r="AA747" i="39"/>
  <c r="AA748" i="39"/>
  <c r="AA786" i="39"/>
  <c r="AD25" i="39"/>
  <c r="AC27" i="39"/>
  <c r="AB609" i="39"/>
  <c r="AB540" i="39"/>
  <c r="AB571" i="39"/>
  <c r="AA611" i="39"/>
  <c r="Z83" i="39"/>
  <c r="Z81" i="39" s="1"/>
  <c r="Z121" i="39"/>
  <c r="Z119" i="39" s="1"/>
  <c r="AB938" i="39"/>
  <c r="AB900" i="39"/>
  <c r="AB867" i="39"/>
  <c r="AD351" i="39"/>
  <c r="AC353" i="39"/>
  <c r="AC359" i="39" s="1"/>
  <c r="AC379" i="39" s="1" a="1"/>
  <c r="AC379" i="39" s="1"/>
  <c r="AB226" i="39" a="1"/>
  <c r="AB226" i="39" s="1"/>
  <c r="AB220" i="39" a="1"/>
  <c r="AB220" i="39" s="1"/>
  <c r="AB234" i="39"/>
  <c r="AB238" i="39"/>
  <c r="AB240" i="39"/>
  <c r="AB227" i="39" a="1"/>
  <c r="AB227" i="39" s="1"/>
  <c r="AB225" i="39" a="1"/>
  <c r="AB225" i="39" s="1"/>
  <c r="AB191" i="39"/>
  <c r="AB287" i="39" s="1"/>
  <c r="AB213" i="39" a="1"/>
  <c r="AB213" i="39" s="1"/>
  <c r="AB260" i="39"/>
  <c r="AB314" i="39"/>
  <c r="AB237" i="39"/>
  <c r="AB239" i="39"/>
  <c r="AB251" i="39"/>
  <c r="AB241" i="39"/>
  <c r="AB236" i="39"/>
  <c r="AB196" i="39"/>
  <c r="AB216" i="39" s="1" a="1"/>
  <c r="AB216" i="39" s="1"/>
  <c r="AA124" i="39"/>
  <c r="AA86" i="39"/>
  <c r="AA276" i="39"/>
  <c r="AA272" i="39"/>
  <c r="AA298" i="39"/>
  <c r="AA277" i="39"/>
  <c r="AA289" i="39"/>
  <c r="AA278" i="39"/>
  <c r="AA279" i="39"/>
  <c r="AA274" i="39"/>
  <c r="AA275" i="39"/>
  <c r="Z619" i="39"/>
  <c r="Z626" i="39" s="1"/>
  <c r="Z629" i="39" s="1"/>
  <c r="Z631" i="39" s="1"/>
  <c r="Z632" i="39" s="1"/>
  <c r="AA610" i="39"/>
  <c r="AA608" i="39" s="1"/>
  <c r="AA572" i="39"/>
  <c r="AA570" i="39" s="1"/>
  <c r="Z84" i="39"/>
  <c r="AA296" i="39"/>
  <c r="AA258" i="39"/>
  <c r="AA746" i="39"/>
  <c r="AA784" i="39"/>
  <c r="AB28" i="39"/>
  <c r="AB71" i="39"/>
  <c r="AB64" i="39" a="1"/>
  <c r="AB64" i="39" s="1"/>
  <c r="AB62" i="39" a="1"/>
  <c r="AB62" i="39" s="1"/>
  <c r="AB57" i="39" a="1"/>
  <c r="AB57" i="39" s="1"/>
  <c r="AB76" i="39"/>
  <c r="AB50" i="39" a="1"/>
  <c r="AB50" i="39" s="1"/>
  <c r="AB63" i="39" a="1"/>
  <c r="AB63" i="39" s="1"/>
  <c r="AB97" i="39"/>
  <c r="AB151" i="39"/>
  <c r="AB75" i="39"/>
  <c r="AB74" i="39"/>
  <c r="AB78" i="39"/>
  <c r="AB73" i="39"/>
  <c r="AB77" i="39"/>
  <c r="AB88" i="39"/>
  <c r="AB33" i="39"/>
  <c r="AB53" i="39" s="1" a="1"/>
  <c r="AB53" i="39" s="1"/>
  <c r="AB34" i="39"/>
  <c r="AB54" i="39" s="1" a="1"/>
  <c r="AB54" i="39" s="1"/>
  <c r="AE520" i="39"/>
  <c r="AD842" i="39"/>
  <c r="AE840" i="39"/>
  <c r="AB887" i="39"/>
  <c r="AB885" i="39" s="1"/>
  <c r="X167" i="39"/>
  <c r="X168" i="39" s="1"/>
  <c r="X170" i="39" s="1"/>
  <c r="X171" i="39" s="1"/>
  <c r="AC190" i="39"/>
  <c r="AD188" i="39"/>
  <c r="AB412" i="39"/>
  <c r="AA286" i="39"/>
  <c r="AA248" i="39"/>
  <c r="AA247" i="39" s="1"/>
  <c r="AA215" i="39"/>
  <c r="AA737" i="39"/>
  <c r="AA736" i="39" s="1"/>
  <c r="AA704" i="39"/>
  <c r="AA775" i="39"/>
  <c r="AA774" i="39" s="1"/>
  <c r="AA943" i="39"/>
  <c r="AA940" i="39" s="1"/>
  <c r="AA905" i="39"/>
  <c r="AA902" i="39" s="1"/>
  <c r="AA72" i="39"/>
  <c r="AA70" i="39" s="1"/>
  <c r="AB598" i="39"/>
  <c r="AB603" i="39"/>
  <c r="AB605" i="39"/>
  <c r="AB624" i="39"/>
  <c r="AB604" i="39"/>
  <c r="AB601" i="39"/>
  <c r="AB615" i="39"/>
  <c r="AB600" i="39"/>
  <c r="AB602" i="39"/>
  <c r="Y293" i="39"/>
  <c r="Y300" i="39" s="1"/>
  <c r="Y303" i="39" s="1"/>
  <c r="Y305" i="39" s="1"/>
  <c r="Y306" i="39" s="1"/>
  <c r="Z49" i="39"/>
  <c r="Z48" i="39" s="1"/>
  <c r="Z60" i="39" s="1"/>
  <c r="Z67" i="39" s="1"/>
  <c r="AC886" i="39"/>
  <c r="AC843" i="39"/>
  <c r="AC889" i="39"/>
  <c r="AC877" i="39" a="1"/>
  <c r="AC877" i="39" s="1"/>
  <c r="AC878" i="39" a="1"/>
  <c r="AC878" i="39" s="1"/>
  <c r="AC879" i="39" a="1"/>
  <c r="AC879" i="39" s="1"/>
  <c r="AC872" i="39" a="1"/>
  <c r="AC872" i="39" s="1"/>
  <c r="AC890" i="39"/>
  <c r="AC893" i="39"/>
  <c r="AC865" i="39" a="1"/>
  <c r="AC865" i="39" s="1"/>
  <c r="AC912" i="39"/>
  <c r="AC966" i="39"/>
  <c r="AC903" i="39"/>
  <c r="AC892" i="39"/>
  <c r="AC888" i="39"/>
  <c r="AC891" i="39"/>
  <c r="AE194" i="39"/>
  <c r="X156" i="39"/>
  <c r="X157" i="39" s="1"/>
  <c r="X154" i="39"/>
  <c r="Z409" i="39"/>
  <c r="Z407" i="39" s="1"/>
  <c r="Z447" i="39"/>
  <c r="Z445" i="39" s="1"/>
  <c r="AA52" i="39"/>
  <c r="AA85" i="39"/>
  <c r="AA84" i="39" s="1"/>
  <c r="AA123" i="39"/>
  <c r="AA537" i="39"/>
  <c r="AA549" i="39" s="1"/>
  <c r="AA556" i="39" s="1"/>
  <c r="AB583" i="39"/>
  <c r="AB621" i="39"/>
  <c r="AD195" i="39"/>
  <c r="AA937" i="39"/>
  <c r="AA377" i="39"/>
  <c r="AA375" i="39" s="1"/>
  <c r="AA446" i="39"/>
  <c r="AA408" i="39"/>
  <c r="Z780" i="39"/>
  <c r="Z777" i="39" s="1"/>
  <c r="Z742" i="39"/>
  <c r="Z739" i="39" s="1"/>
  <c r="Z375" i="39"/>
  <c r="Z374" i="39" s="1"/>
  <c r="Z386" i="39" s="1"/>
  <c r="Z393" i="39" s="1"/>
  <c r="Z246" i="39"/>
  <c r="Z244" i="39" s="1"/>
  <c r="Z284" i="39"/>
  <c r="Z282" i="39" s="1"/>
  <c r="AA297" i="39"/>
  <c r="AA259" i="39"/>
  <c r="Y732" i="39"/>
  <c r="Y744" i="39" s="1"/>
  <c r="Y751" i="39" s="1"/>
  <c r="Y754" i="39" s="1"/>
  <c r="Y756" i="39" s="1"/>
  <c r="Y757" i="39" s="1"/>
  <c r="Z128" i="39"/>
  <c r="Z125" i="39" s="1"/>
  <c r="Z90" i="39"/>
  <c r="Z87" i="39" s="1"/>
  <c r="Z285" i="39"/>
  <c r="AB622" i="39"/>
  <c r="AB584" i="39"/>
  <c r="AB249" i="39"/>
  <c r="AA287" i="39"/>
  <c r="AA290" i="39"/>
  <c r="AA252" i="39"/>
  <c r="AA221" i="39" a="1"/>
  <c r="AA221" i="39" s="1"/>
  <c r="AD358" i="39"/>
  <c r="AB585" i="39"/>
  <c r="AB623" i="39"/>
  <c r="AD516" i="39"/>
  <c r="AD523" i="39" s="1"/>
  <c r="AD543" i="39" s="1" a="1"/>
  <c r="AD543" i="39" s="1"/>
  <c r="AE514" i="39"/>
  <c r="AA899" i="39"/>
  <c r="Z416" i="39"/>
  <c r="Z413" i="39" s="1"/>
  <c r="Z454" i="39"/>
  <c r="Z451" i="39" s="1"/>
  <c r="AA898" i="39"/>
  <c r="AA896" i="39" s="1"/>
  <c r="AA936" i="39"/>
  <c r="AA934" i="39" s="1"/>
  <c r="AB942" i="39"/>
  <c r="AB904" i="39"/>
  <c r="AB873" i="39" a="1"/>
  <c r="AB873" i="39" s="1"/>
  <c r="AF32" i="39"/>
  <c r="Z707" i="39"/>
  <c r="Z933" i="39"/>
  <c r="Z945" i="39" s="1"/>
  <c r="Z952" i="39" s="1"/>
  <c r="Z955" i="39" s="1"/>
  <c r="Z957" i="39" s="1"/>
  <c r="Z958" i="39" s="1"/>
  <c r="Z212" i="39"/>
  <c r="AB578" i="39"/>
  <c r="AB616" i="39"/>
  <c r="AB547" i="39" a="1"/>
  <c r="AB547" i="39" s="1"/>
  <c r="AB544" i="39" s="1"/>
  <c r="AC517" i="39"/>
  <c r="AC612" i="39" s="1"/>
  <c r="AC560" i="39"/>
  <c r="AC552" i="39" a="1"/>
  <c r="AC552" i="39" s="1"/>
  <c r="AC546" i="39" a="1"/>
  <c r="AC546" i="39" s="1"/>
  <c r="AC553" i="39" a="1"/>
  <c r="AC553" i="39" s="1"/>
  <c r="AC539" i="39" a="1"/>
  <c r="AC539" i="39" s="1"/>
  <c r="AC551" i="39" a="1"/>
  <c r="AC551" i="39" s="1"/>
  <c r="AC586" i="39"/>
  <c r="AC640" i="39"/>
  <c r="AC566" i="39"/>
  <c r="AC565" i="39"/>
  <c r="AC563" i="39"/>
  <c r="AC577" i="39"/>
  <c r="AC562" i="39"/>
  <c r="AC564" i="39"/>
  <c r="AC567" i="39"/>
  <c r="Y645" i="39"/>
  <c r="Y646" i="39" s="1"/>
  <c r="Y643" i="39"/>
  <c r="AA421" i="39"/>
  <c r="AA459" i="39"/>
  <c r="AB948" i="39"/>
  <c r="AB910" i="39"/>
  <c r="X493" i="39"/>
  <c r="X494" i="39" s="1"/>
  <c r="X496" i="39" s="1"/>
  <c r="X497" i="39" s="1"/>
  <c r="AA96" i="39"/>
  <c r="AA134" i="39"/>
  <c r="AA120" i="39"/>
  <c r="AA51" i="39"/>
  <c r="AA82" i="39"/>
  <c r="X819" i="39"/>
  <c r="X820" i="39" s="1"/>
  <c r="X822" i="39" s="1"/>
  <c r="X823" i="39" s="1"/>
  <c r="Y805" i="39"/>
  <c r="Y818" i="39"/>
  <c r="AA415" i="39"/>
  <c r="AA453" i="39"/>
  <c r="AA384" i="39" a="1"/>
  <c r="AA384" i="39" s="1"/>
  <c r="AA381" i="39" s="1"/>
  <c r="Z253" i="39"/>
  <c r="Z250" i="39" s="1"/>
  <c r="Z291" i="39"/>
  <c r="Z288" i="39" s="1"/>
  <c r="AB927" i="39"/>
  <c r="AB924" i="39"/>
  <c r="AB950" i="39"/>
  <c r="AB941" i="39"/>
  <c r="AB929" i="39"/>
  <c r="AB926" i="39"/>
  <c r="AB930" i="39"/>
  <c r="AB928" i="39"/>
  <c r="AB931" i="39"/>
  <c r="AD357" i="39"/>
  <c r="Z981" i="39"/>
  <c r="Z968" i="39"/>
  <c r="X480" i="39"/>
  <c r="X482" i="39"/>
  <c r="X483" i="39" s="1"/>
  <c r="AC848" i="39"/>
  <c r="AC868" i="39" s="1" a="1"/>
  <c r="AC868" i="39" s="1"/>
  <c r="AD846" i="39"/>
  <c r="AB389" i="39" a="1"/>
  <c r="AB389" i="39" s="1"/>
  <c r="AB383" i="39" a="1"/>
  <c r="AB383" i="39" s="1"/>
  <c r="AB390" i="39" a="1"/>
  <c r="AB390" i="39" s="1"/>
  <c r="AB397" i="39"/>
  <c r="AB354" i="39"/>
  <c r="AB450" i="39" s="1"/>
  <c r="AB388" i="39" a="1"/>
  <c r="AB388" i="39" s="1"/>
  <c r="AB376" i="39" a="1"/>
  <c r="AB376" i="39" s="1"/>
  <c r="AB423" i="39"/>
  <c r="AB477" i="39"/>
  <c r="AB401" i="39"/>
  <c r="AB399" i="39"/>
  <c r="AB400" i="39"/>
  <c r="AB402" i="39"/>
  <c r="AB404" i="39"/>
  <c r="AB403" i="39"/>
  <c r="AB414" i="39"/>
  <c r="AA724" i="39"/>
  <c r="AA722" i="39" s="1"/>
  <c r="AA132" i="39"/>
  <c r="AA94" i="39"/>
  <c r="X806" i="39"/>
  <c r="X808" i="39"/>
  <c r="X809" i="39" s="1"/>
  <c r="Y656" i="39"/>
  <c r="Y657" i="39" s="1"/>
  <c r="Y659" i="39" s="1"/>
  <c r="Y660" i="39" s="1"/>
  <c r="AB573" i="39"/>
  <c r="AA89" i="39"/>
  <c r="AA127" i="39"/>
  <c r="AA58" i="39" a="1"/>
  <c r="AA58" i="39" s="1"/>
  <c r="AA55" i="39" s="1"/>
  <c r="AE521" i="39"/>
  <c r="AA435" i="39"/>
  <c r="AA461" i="39"/>
  <c r="AA439" i="39"/>
  <c r="AA452" i="39"/>
  <c r="AA442" i="39"/>
  <c r="AA440" i="39"/>
  <c r="AA441" i="39"/>
  <c r="AA437" i="39"/>
  <c r="AA438" i="39"/>
  <c r="Z218" i="39"/>
  <c r="AB359" i="39"/>
  <c r="AB379" i="39" s="1" a="1"/>
  <c r="AB379" i="39" s="1"/>
  <c r="AF683" i="39"/>
  <c r="AD684" i="39"/>
  <c r="AA458" i="39"/>
  <c r="AA420" i="39"/>
  <c r="Z735" i="39"/>
  <c r="Z733" i="39" s="1"/>
  <c r="Z773" i="39"/>
  <c r="Z771" i="39" s="1"/>
  <c r="AB935" i="39"/>
  <c r="AB866" i="39"/>
  <c r="AB864" i="39" s="1"/>
  <c r="AB897" i="39"/>
  <c r="AA412" i="39"/>
  <c r="AA410" i="39" s="1"/>
  <c r="AA450" i="39"/>
  <c r="AA448" i="39" s="1"/>
  <c r="X317" i="39"/>
  <c r="X319" i="39"/>
  <c r="X320" i="39" s="1"/>
  <c r="AA133" i="39"/>
  <c r="AA95" i="39"/>
  <c r="AH31" i="39"/>
  <c r="AA779" i="39"/>
  <c r="AA741" i="39"/>
  <c r="AA710" i="39" a="1"/>
  <c r="AA710" i="39" s="1"/>
  <c r="Y479" i="39"/>
  <c r="Y492" i="39"/>
  <c r="AB738" i="39"/>
  <c r="AA460" i="39"/>
  <c r="AA422" i="39"/>
  <c r="Z701" i="39"/>
  <c r="AC679" i="39"/>
  <c r="AD677" i="39"/>
  <c r="X330" i="39"/>
  <c r="X331" i="39" s="1"/>
  <c r="X333" i="39" s="1"/>
  <c r="Y982" i="39"/>
  <c r="Y983" i="39" s="1"/>
  <c r="Y985" i="39" s="1"/>
  <c r="Y986" i="39" s="1"/>
  <c r="AA283" i="39"/>
  <c r="AA214" i="39"/>
  <c r="AA212" i="39" s="1"/>
  <c r="AA245" i="39"/>
  <c r="AA257" i="39"/>
  <c r="AA295" i="39"/>
  <c r="AA109" i="39"/>
  <c r="AA113" i="39"/>
  <c r="AA114" i="39"/>
  <c r="AA135" i="39"/>
  <c r="AA111" i="39"/>
  <c r="AA115" i="39"/>
  <c r="AA112" i="39"/>
  <c r="AA116" i="39"/>
  <c r="AA126" i="39"/>
  <c r="AA761" i="39"/>
  <c r="AA787" i="39"/>
  <c r="AA763" i="39"/>
  <c r="AA764" i="39"/>
  <c r="AA767" i="39"/>
  <c r="AA765" i="39"/>
  <c r="AA768" i="39"/>
  <c r="AA766" i="39"/>
  <c r="AA778" i="39"/>
  <c r="AA398" i="39"/>
  <c r="AA396" i="39" s="1"/>
  <c r="AA925" i="39"/>
  <c r="AA923" i="39" s="1"/>
  <c r="AC849" i="39"/>
  <c r="AC869" i="39" s="1" a="1"/>
  <c r="AC869" i="39" s="1"/>
  <c r="AD847" i="39"/>
  <c r="AB911" i="39"/>
  <c r="AB949" i="39"/>
  <c r="AB723" i="39"/>
  <c r="AB729" i="39"/>
  <c r="AB714" i="39" a="1"/>
  <c r="AB714" i="39" s="1"/>
  <c r="AB730" i="39"/>
  <c r="AB715" i="39" a="1"/>
  <c r="AB715" i="39" s="1"/>
  <c r="AB716" i="39" a="1"/>
  <c r="AB716" i="39" s="1"/>
  <c r="AB680" i="39"/>
  <c r="AB776" i="39" s="1"/>
  <c r="AB709" i="39" a="1"/>
  <c r="AB709" i="39" s="1"/>
  <c r="AB702" i="39" a="1"/>
  <c r="AB702" i="39" s="1"/>
  <c r="AB749" i="39"/>
  <c r="AB803" i="39"/>
  <c r="AB727" i="39"/>
  <c r="AB726" i="39"/>
  <c r="AB725" i="39"/>
  <c r="AB728" i="39"/>
  <c r="AB740" i="39"/>
  <c r="AB685" i="39"/>
  <c r="AB705" i="39" s="1" a="1"/>
  <c r="AB705" i="39" s="1"/>
  <c r="Y969" i="39"/>
  <c r="Y971" i="39"/>
  <c r="Y972" i="39" s="1"/>
  <c r="AA772" i="39"/>
  <c r="AA734" i="39"/>
  <c r="AA703" i="39"/>
  <c r="AA701" i="39" s="1"/>
  <c r="AB939" i="39"/>
  <c r="AB901" i="39"/>
  <c r="AB947" i="39"/>
  <c r="AB909" i="39"/>
  <c r="AA579" i="39"/>
  <c r="AA576" i="39" s="1"/>
  <c r="AA617" i="39"/>
  <c r="AA614" i="39" s="1"/>
  <c r="AA378" i="39"/>
  <c r="AB235" i="39" l="1"/>
  <c r="AD522" i="39"/>
  <c r="AD542" i="39" s="1" a="1"/>
  <c r="AD542" i="39" s="1"/>
  <c r="Y319" i="39"/>
  <c r="Y320" i="39" s="1"/>
  <c r="AC360" i="39"/>
  <c r="AC380" i="39" s="1" a="1"/>
  <c r="AC380" i="39" s="1"/>
  <c r="AB72" i="39"/>
  <c r="AB70" i="39" s="1"/>
  <c r="AC613" i="39"/>
  <c r="AC561" i="39"/>
  <c r="Z732" i="39"/>
  <c r="Z744" i="39" s="1"/>
  <c r="Z751" i="39" s="1"/>
  <c r="Z754" i="39" s="1"/>
  <c r="Z756" i="39" s="1"/>
  <c r="Z757" i="39" s="1"/>
  <c r="AC887" i="39"/>
  <c r="AC575" i="39"/>
  <c r="AC573" i="39" s="1"/>
  <c r="AC611" i="39"/>
  <c r="Z700" i="39"/>
  <c r="Z712" i="39" s="1"/>
  <c r="Z719" i="39" s="1"/>
  <c r="Z818" i="39" s="1"/>
  <c r="AA436" i="39"/>
  <c r="AA434" i="39" s="1"/>
  <c r="AA285" i="39"/>
  <c r="AB233" i="39"/>
  <c r="Z770" i="39"/>
  <c r="Z782" i="39" s="1"/>
  <c r="Z789" i="39" s="1"/>
  <c r="Z792" i="39" s="1"/>
  <c r="Z794" i="39" s="1"/>
  <c r="Z795" i="39" s="1"/>
  <c r="AA122" i="39"/>
  <c r="AA607" i="39"/>
  <c r="AA619" i="39" s="1"/>
  <c r="AA626" i="39" s="1"/>
  <c r="AA629" i="39" s="1"/>
  <c r="AA631" i="39" s="1"/>
  <c r="AA632" i="39" s="1"/>
  <c r="AA273" i="39"/>
  <c r="AA271" i="39" s="1"/>
  <c r="AB937" i="39"/>
  <c r="AB398" i="39"/>
  <c r="AB396" i="39" s="1"/>
  <c r="AA981" i="39"/>
  <c r="AA982" i="39" s="1"/>
  <c r="AA983" i="39" s="1"/>
  <c r="AA985" i="39" s="1"/>
  <c r="Z118" i="39"/>
  <c r="Z130" i="39" s="1"/>
  <c r="Z137" i="39" s="1"/>
  <c r="Z140" i="39" s="1"/>
  <c r="Z142" i="39" s="1"/>
  <c r="Z143" i="39" s="1"/>
  <c r="X334" i="39"/>
  <c r="Y334" i="39"/>
  <c r="AA895" i="39"/>
  <c r="AA907" i="39" s="1"/>
  <c r="AA914" i="39" s="1"/>
  <c r="AA917" i="39" s="1"/>
  <c r="AA919" i="39" s="1"/>
  <c r="AA920" i="39" s="1"/>
  <c r="AB124" i="39"/>
  <c r="AB86" i="39"/>
  <c r="AA110" i="39"/>
  <c r="AA108" i="39" s="1"/>
  <c r="Z444" i="39"/>
  <c r="Z456" i="39" s="1"/>
  <c r="Z463" i="39" s="1"/>
  <c r="Z466" i="39" s="1"/>
  <c r="Z468" i="39" s="1"/>
  <c r="Z469" i="39" s="1"/>
  <c r="AB52" i="39"/>
  <c r="AB123" i="39"/>
  <c r="AB85" i="39"/>
  <c r="AB135" i="39"/>
  <c r="AB109" i="39"/>
  <c r="AB114" i="39"/>
  <c r="AB115" i="39"/>
  <c r="AB112" i="39"/>
  <c r="AB111" i="39"/>
  <c r="AB113" i="39"/>
  <c r="AB116" i="39"/>
  <c r="AB126" i="39"/>
  <c r="AB214" i="39"/>
  <c r="AB245" i="39"/>
  <c r="AB283" i="39"/>
  <c r="AD679" i="39"/>
  <c r="AD686" i="39" s="1"/>
  <c r="AD706" i="39" s="1" a="1"/>
  <c r="AD706" i="39" s="1"/>
  <c r="AE677" i="39"/>
  <c r="AI31" i="39"/>
  <c r="Z211" i="39"/>
  <c r="Z223" i="39" s="1"/>
  <c r="Z230" i="39" s="1"/>
  <c r="AB276" i="39"/>
  <c r="AB272" i="39"/>
  <c r="AB298" i="39"/>
  <c r="AB279" i="39"/>
  <c r="AB275" i="39"/>
  <c r="AB278" i="39"/>
  <c r="AB289" i="39"/>
  <c r="AB274" i="39"/>
  <c r="AB277" i="39"/>
  <c r="AB703" i="39"/>
  <c r="AB734" i="39"/>
  <c r="AB772" i="39"/>
  <c r="AC723" i="39"/>
  <c r="AC680" i="39"/>
  <c r="AC715" i="39" a="1"/>
  <c r="AC715" i="39" s="1"/>
  <c r="AC709" i="39" a="1"/>
  <c r="AC709" i="39" s="1"/>
  <c r="AC714" i="39" a="1"/>
  <c r="AC714" i="39" s="1"/>
  <c r="AC702" i="39" a="1"/>
  <c r="AC702" i="39" s="1"/>
  <c r="AC728" i="39"/>
  <c r="AC716" i="39" a="1"/>
  <c r="AC716" i="39" s="1"/>
  <c r="AC803" i="39"/>
  <c r="AC749" i="39"/>
  <c r="AC729" i="39"/>
  <c r="AC726" i="39"/>
  <c r="AC730" i="39"/>
  <c r="AC725" i="39"/>
  <c r="AC727" i="39"/>
  <c r="AC740" i="39"/>
  <c r="AC685" i="39"/>
  <c r="AC705" i="39" s="1" a="1"/>
  <c r="AC705" i="39" s="1"/>
  <c r="AE684" i="39"/>
  <c r="AB446" i="39"/>
  <c r="AB377" i="39"/>
  <c r="AB375" i="39" s="1"/>
  <c r="AB408" i="39"/>
  <c r="AA933" i="39"/>
  <c r="AA945" i="39" s="1"/>
  <c r="AA952" i="39" s="1"/>
  <c r="AA955" i="39" s="1"/>
  <c r="AA957" i="39" s="1"/>
  <c r="AA958" i="39" s="1"/>
  <c r="Z479" i="39"/>
  <c r="Z492" i="39"/>
  <c r="AC942" i="39"/>
  <c r="AC904" i="39"/>
  <c r="AC873" i="39" a="1"/>
  <c r="AC873" i="39" s="1"/>
  <c r="AC870" i="39" s="1"/>
  <c r="AE188" i="39"/>
  <c r="AD190" i="39"/>
  <c r="AD197" i="39" s="1"/>
  <c r="AD217" i="39" s="1" a="1"/>
  <c r="AD217" i="39" s="1"/>
  <c r="AB295" i="39"/>
  <c r="AB257" i="39"/>
  <c r="AB96" i="39"/>
  <c r="AB134" i="39"/>
  <c r="AA642" i="39"/>
  <c r="AA655" i="39"/>
  <c r="AB741" i="39"/>
  <c r="AB779" i="39"/>
  <c r="AB710" i="39" a="1"/>
  <c r="AB710" i="39" s="1"/>
  <c r="AB707" i="39" s="1"/>
  <c r="AC686" i="39"/>
  <c r="AC706" i="39" s="1" a="1"/>
  <c r="AC706" i="39" s="1"/>
  <c r="AC949" i="39"/>
  <c r="AC911" i="39"/>
  <c r="AC237" i="39"/>
  <c r="AC238" i="39"/>
  <c r="AC225" i="39" a="1"/>
  <c r="AC225" i="39" s="1"/>
  <c r="AC220" i="39" a="1"/>
  <c r="AC220" i="39" s="1"/>
  <c r="AC191" i="39"/>
  <c r="AC234" i="39"/>
  <c r="AC226" i="39" a="1"/>
  <c r="AC226" i="39" s="1"/>
  <c r="AC227" i="39" a="1"/>
  <c r="AC227" i="39" s="1"/>
  <c r="AC239" i="39"/>
  <c r="AC251" i="39"/>
  <c r="AC213" i="39" a="1"/>
  <c r="AC213" i="39" s="1"/>
  <c r="AC260" i="39"/>
  <c r="AC314" i="39"/>
  <c r="AC241" i="39"/>
  <c r="AC240" i="39"/>
  <c r="AC236" i="39"/>
  <c r="AC196" i="39"/>
  <c r="AC216" i="39" s="1" a="1"/>
  <c r="AC216" i="39" s="1"/>
  <c r="AB297" i="39"/>
  <c r="AB259" i="39"/>
  <c r="AB572" i="39"/>
  <c r="AB570" i="39" s="1"/>
  <c r="AB610" i="39"/>
  <c r="AB608" i="39" s="1"/>
  <c r="Z656" i="39"/>
  <c r="Z657" i="39" s="1"/>
  <c r="Z659" i="39" s="1"/>
  <c r="Z660" i="39" s="1"/>
  <c r="AC866" i="39"/>
  <c r="AC935" i="39"/>
  <c r="AC897" i="39"/>
  <c r="AA773" i="39"/>
  <c r="AA771" i="39" s="1"/>
  <c r="AA735" i="39"/>
  <c r="AA733" i="39" s="1"/>
  <c r="AB458" i="39"/>
  <c r="AB420" i="39"/>
  <c r="Z971" i="39"/>
  <c r="Z972" i="39" s="1"/>
  <c r="Z969" i="39"/>
  <c r="Z406" i="39"/>
  <c r="Z418" i="39" s="1"/>
  <c r="Z425" i="39" s="1"/>
  <c r="Z428" i="39" s="1"/>
  <c r="Z430" i="39" s="1"/>
  <c r="Z431" i="39" s="1"/>
  <c r="AF514" i="39"/>
  <c r="AE516" i="39"/>
  <c r="AE523" i="39" s="1"/>
  <c r="AE543" i="39" s="1" a="1"/>
  <c r="AE543" i="39" s="1"/>
  <c r="AB767" i="39"/>
  <c r="AB768" i="39"/>
  <c r="AB766" i="39"/>
  <c r="AB787" i="39"/>
  <c r="AB761" i="39"/>
  <c r="AB763" i="39"/>
  <c r="AB765" i="39"/>
  <c r="AB764" i="39"/>
  <c r="AB778" i="39"/>
  <c r="AF521" i="39"/>
  <c r="AB461" i="39"/>
  <c r="AB435" i="39"/>
  <c r="AB441" i="39"/>
  <c r="AB452" i="39"/>
  <c r="AB439" i="39"/>
  <c r="AB440" i="39"/>
  <c r="AB438" i="39"/>
  <c r="AB437" i="39"/>
  <c r="AB442" i="39"/>
  <c r="Z982" i="39"/>
  <c r="Z983" i="39" s="1"/>
  <c r="Z985" i="39" s="1"/>
  <c r="Z986" i="39" s="1"/>
  <c r="AA416" i="39"/>
  <c r="AA413" i="39" s="1"/>
  <c r="AA454" i="39"/>
  <c r="AA451" i="39" s="1"/>
  <c r="AD560" i="39"/>
  <c r="AD565" i="39"/>
  <c r="AD566" i="39"/>
  <c r="AD552" i="39" a="1"/>
  <c r="AD552" i="39" s="1"/>
  <c r="AD551" i="39" a="1"/>
  <c r="AD551" i="39" s="1"/>
  <c r="AD539" i="39" a="1"/>
  <c r="AD539" i="39" s="1"/>
  <c r="AD546" i="39" a="1"/>
  <c r="AD546" i="39" s="1"/>
  <c r="AD517" i="39"/>
  <c r="AD613" i="39" s="1"/>
  <c r="AD553" i="39" a="1"/>
  <c r="AD553" i="39" s="1"/>
  <c r="AD586" i="39"/>
  <c r="AD640" i="39"/>
  <c r="AD577" i="39"/>
  <c r="AD562" i="39"/>
  <c r="AD563" i="39"/>
  <c r="AD564" i="39"/>
  <c r="AD567" i="39"/>
  <c r="AC910" i="39"/>
  <c r="AC948" i="39"/>
  <c r="Z645" i="39"/>
  <c r="Z646" i="39" s="1"/>
  <c r="Z643" i="39"/>
  <c r="AB748" i="39"/>
  <c r="AB786" i="39"/>
  <c r="Z281" i="39"/>
  <c r="Z293" i="39" s="1"/>
  <c r="Z300" i="39" s="1"/>
  <c r="Z303" i="39" s="1"/>
  <c r="Z305" i="39" s="1"/>
  <c r="Z306" i="39" s="1"/>
  <c r="AD575" i="39"/>
  <c r="AE357" i="39"/>
  <c r="AC583" i="39"/>
  <c r="AC621" i="39"/>
  <c r="AC947" i="39"/>
  <c r="AC909" i="39"/>
  <c r="AB538" i="39"/>
  <c r="AB537" i="39" s="1"/>
  <c r="AB549" i="39" s="1"/>
  <c r="AB556" i="39" s="1"/>
  <c r="AC939" i="39"/>
  <c r="AC901" i="39"/>
  <c r="AG683" i="39"/>
  <c r="AB460" i="39"/>
  <c r="AB422" i="39"/>
  <c r="AC411" i="39"/>
  <c r="AC378" i="39"/>
  <c r="AC571" i="39"/>
  <c r="AC609" i="39"/>
  <c r="AC540" i="39"/>
  <c r="AC538" i="39" s="1"/>
  <c r="AG32" i="39"/>
  <c r="AC57" i="39" a="1"/>
  <c r="AC57" i="39" s="1"/>
  <c r="AC75" i="39"/>
  <c r="AC71" i="39"/>
  <c r="AC64" i="39" a="1"/>
  <c r="AC64" i="39" s="1"/>
  <c r="AC77" i="39"/>
  <c r="AC50" i="39" a="1"/>
  <c r="AC50" i="39" s="1"/>
  <c r="AC63" i="39" a="1"/>
  <c r="AC63" i="39" s="1"/>
  <c r="AC28" i="39"/>
  <c r="AC78" i="39"/>
  <c r="AC62" i="39" a="1"/>
  <c r="AC62" i="39" s="1"/>
  <c r="AC88" i="39"/>
  <c r="AC97" i="39"/>
  <c r="AC151" i="39"/>
  <c r="AC74" i="39"/>
  <c r="AC76" i="39"/>
  <c r="AC73" i="39"/>
  <c r="AC33" i="39"/>
  <c r="AC53" i="39" s="1" a="1"/>
  <c r="AC53" i="39" s="1"/>
  <c r="AC34" i="39"/>
  <c r="AC54" i="39" s="1" a="1"/>
  <c r="AC54" i="39" s="1"/>
  <c r="AA121" i="39"/>
  <c r="AA119" i="39" s="1"/>
  <c r="AA83" i="39"/>
  <c r="AA81" i="39" s="1"/>
  <c r="AB415" i="39"/>
  <c r="AB453" i="39"/>
  <c r="AB384" i="39" a="1"/>
  <c r="AB384" i="39" s="1"/>
  <c r="AC623" i="39"/>
  <c r="AC585" i="39"/>
  <c r="AE358" i="39"/>
  <c r="AA447" i="39"/>
  <c r="AA445" i="39" s="1"/>
  <c r="AA409" i="39"/>
  <c r="AA407" i="39" s="1"/>
  <c r="AF194" i="39"/>
  <c r="AC950" i="39"/>
  <c r="AC924" i="39"/>
  <c r="AC927" i="39"/>
  <c r="AC931" i="39"/>
  <c r="AC941" i="39"/>
  <c r="AC928" i="39"/>
  <c r="AC929" i="39"/>
  <c r="AC926" i="39"/>
  <c r="AC930" i="39"/>
  <c r="AF840" i="39"/>
  <c r="AE842" i="39"/>
  <c r="AB252" i="39"/>
  <c r="AB290" i="39"/>
  <c r="AB221" i="39" a="1"/>
  <c r="AB221" i="39" s="1"/>
  <c r="AD27" i="39"/>
  <c r="AE25" i="39"/>
  <c r="AB747" i="39"/>
  <c r="AB785" i="39"/>
  <c r="AA569" i="39"/>
  <c r="AA581" i="39" s="1"/>
  <c r="AA588" i="39" s="1"/>
  <c r="AA591" i="39" s="1"/>
  <c r="AA593" i="39" s="1"/>
  <c r="AA594" i="39" s="1"/>
  <c r="AC412" i="39"/>
  <c r="AA374" i="39"/>
  <c r="AA386" i="39" s="1"/>
  <c r="AA393" i="39" s="1"/>
  <c r="AC885" i="39"/>
  <c r="AD886" i="39"/>
  <c r="AD892" i="39"/>
  <c r="AD879" i="39" a="1"/>
  <c r="AD879" i="39" s="1"/>
  <c r="AD877" i="39" a="1"/>
  <c r="AD877" i="39" s="1"/>
  <c r="AD878" i="39" a="1"/>
  <c r="AD878" i="39" s="1"/>
  <c r="AD843" i="39"/>
  <c r="AD865" i="39" a="1"/>
  <c r="AD865" i="39" s="1"/>
  <c r="AD903" i="39"/>
  <c r="AD872" i="39" a="1"/>
  <c r="AD872" i="39" s="1"/>
  <c r="AD966" i="39"/>
  <c r="AD912" i="39"/>
  <c r="AD893" i="39"/>
  <c r="AD888" i="39"/>
  <c r="AD890" i="39"/>
  <c r="AD891" i="39"/>
  <c r="AD889" i="39"/>
  <c r="AB248" i="39"/>
  <c r="AB247" i="39" s="1"/>
  <c r="AB286" i="39"/>
  <c r="AB285" i="39" s="1"/>
  <c r="AB215" i="39"/>
  <c r="AB258" i="39"/>
  <c r="AB296" i="39"/>
  <c r="AB943" i="39"/>
  <c r="AB940" i="39" s="1"/>
  <c r="AB905" i="39"/>
  <c r="AB902" i="39" s="1"/>
  <c r="AA762" i="39"/>
  <c r="AA760" i="39" s="1"/>
  <c r="AA253" i="39"/>
  <c r="AA250" i="39" s="1"/>
  <c r="AA291" i="39"/>
  <c r="AA288" i="39" s="1"/>
  <c r="AB133" i="39"/>
  <c r="AB95" i="39"/>
  <c r="AC383" i="39" a="1"/>
  <c r="AC383" i="39" s="1"/>
  <c r="AC403" i="39"/>
  <c r="AC397" i="39"/>
  <c r="AC376" i="39" a="1"/>
  <c r="AC376" i="39" s="1"/>
  <c r="AC354" i="39"/>
  <c r="AC449" i="39" s="1"/>
  <c r="AC401" i="39"/>
  <c r="AC388" i="39" a="1"/>
  <c r="AC388" i="39" s="1"/>
  <c r="AC389" i="39" a="1"/>
  <c r="AC389" i="39" s="1"/>
  <c r="AC390" i="39" a="1"/>
  <c r="AC390" i="39" s="1"/>
  <c r="AC400" i="39"/>
  <c r="AC423" i="39"/>
  <c r="AC477" i="39"/>
  <c r="AC404" i="39"/>
  <c r="AC399" i="39"/>
  <c r="AC414" i="39"/>
  <c r="AC402" i="39"/>
  <c r="AD541" i="39"/>
  <c r="AD612" i="39"/>
  <c r="AD574" i="39"/>
  <c r="AB421" i="39"/>
  <c r="AB459" i="39"/>
  <c r="Y819" i="39"/>
  <c r="Y820" i="39" s="1"/>
  <c r="Y822" i="39" s="1"/>
  <c r="Y823" i="39" s="1"/>
  <c r="AB737" i="39"/>
  <c r="AB736" i="39" s="1"/>
  <c r="AB704" i="39"/>
  <c r="AB775" i="39"/>
  <c r="AB774" i="39" s="1"/>
  <c r="AA246" i="39"/>
  <c r="AA244" i="39" s="1"/>
  <c r="AA284" i="39"/>
  <c r="AA282" i="39" s="1"/>
  <c r="Y493" i="39"/>
  <c r="Y494" i="39" s="1"/>
  <c r="Y496" i="39" s="1"/>
  <c r="Y497" i="39" s="1"/>
  <c r="AD848" i="39"/>
  <c r="AD868" i="39" s="1" a="1"/>
  <c r="AD868" i="39" s="1"/>
  <c r="AE846" i="39"/>
  <c r="AB925" i="39"/>
  <c r="AB923" i="39" s="1"/>
  <c r="AC559" i="39"/>
  <c r="AA218" i="39"/>
  <c r="AA211" i="39" s="1"/>
  <c r="AA223" i="39" s="1"/>
  <c r="AA230" i="39" s="1"/>
  <c r="AE195" i="39"/>
  <c r="Z153" i="39"/>
  <c r="Z166" i="39"/>
  <c r="AB120" i="39"/>
  <c r="AB51" i="39"/>
  <c r="AB49" i="39" s="1"/>
  <c r="AB82" i="39"/>
  <c r="AE351" i="39"/>
  <c r="AD353" i="39"/>
  <c r="AD360" i="39" s="1"/>
  <c r="AD380" i="39" s="1" a="1"/>
  <c r="AD380" i="39" s="1"/>
  <c r="AB411" i="39"/>
  <c r="AB410" i="39" s="1"/>
  <c r="AB378" i="39"/>
  <c r="AB449" i="39"/>
  <c r="AB448" i="39" s="1"/>
  <c r="AC622" i="39"/>
  <c r="AC584" i="39"/>
  <c r="AB870" i="39"/>
  <c r="AB863" i="39" s="1"/>
  <c r="AB875" i="39" s="1"/>
  <c r="AB882" i="39" s="1"/>
  <c r="Y482" i="39"/>
  <c r="Y483" i="39" s="1"/>
  <c r="Y480" i="39"/>
  <c r="AB936" i="39"/>
  <c r="AB934" i="39" s="1"/>
  <c r="AB898" i="39"/>
  <c r="AB896" i="39" s="1"/>
  <c r="AC867" i="39"/>
  <c r="AC900" i="39"/>
  <c r="AC938" i="39"/>
  <c r="AC598" i="39"/>
  <c r="AC624" i="39"/>
  <c r="AC601" i="39"/>
  <c r="AC605" i="39"/>
  <c r="AC604" i="39"/>
  <c r="AC615" i="39"/>
  <c r="AC602" i="39"/>
  <c r="AC600" i="39"/>
  <c r="AC603" i="39"/>
  <c r="AC197" i="39"/>
  <c r="AC217" i="39" s="1" a="1"/>
  <c r="AC217" i="39" s="1"/>
  <c r="AA971" i="39"/>
  <c r="AA972" i="39" s="1"/>
  <c r="AA969" i="39"/>
  <c r="AC578" i="39"/>
  <c r="AC616" i="39"/>
  <c r="AC547" i="39" a="1"/>
  <c r="AC547" i="39" s="1"/>
  <c r="AC544" i="39" s="1"/>
  <c r="AA742" i="39"/>
  <c r="AA739" i="39" s="1"/>
  <c r="AA780" i="39"/>
  <c r="AA777" i="39" s="1"/>
  <c r="AA49" i="39"/>
  <c r="AA48" i="39" s="1"/>
  <c r="AA60" i="39" s="1"/>
  <c r="AA67" i="39" s="1"/>
  <c r="Z80" i="39"/>
  <c r="Z92" i="39" s="1"/>
  <c r="Z99" i="39" s="1"/>
  <c r="Z102" i="39" s="1"/>
  <c r="Z104" i="39" s="1"/>
  <c r="Z105" i="39" s="1"/>
  <c r="AB127" i="39"/>
  <c r="AB89" i="39"/>
  <c r="AB58" i="39" a="1"/>
  <c r="AB58" i="39" s="1"/>
  <c r="Y156" i="39"/>
  <c r="Y157" i="39" s="1"/>
  <c r="Y154" i="39"/>
  <c r="AB746" i="39"/>
  <c r="AB784" i="39"/>
  <c r="Z243" i="39"/>
  <c r="Z255" i="39" s="1"/>
  <c r="Z262" i="39" s="1"/>
  <c r="Z265" i="39" s="1"/>
  <c r="Z267" i="39" s="1"/>
  <c r="Z268" i="39" s="1"/>
  <c r="AA90" i="39"/>
  <c r="AA87" i="39" s="1"/>
  <c r="AA128" i="39"/>
  <c r="AA125" i="39" s="1"/>
  <c r="Y808" i="39"/>
  <c r="Y809" i="39" s="1"/>
  <c r="Y806" i="39"/>
  <c r="AB617" i="39"/>
  <c r="AB614" i="39" s="1"/>
  <c r="AB579" i="39"/>
  <c r="AB576" i="39" s="1"/>
  <c r="AB724" i="39"/>
  <c r="AB722" i="39" s="1"/>
  <c r="AD849" i="39"/>
  <c r="AD869" i="39" s="1" a="1"/>
  <c r="AD869" i="39" s="1"/>
  <c r="AE847" i="39"/>
  <c r="AA707" i="39"/>
  <c r="AA700" i="39" s="1"/>
  <c r="AA712" i="39" s="1"/>
  <c r="AA719" i="39" s="1"/>
  <c r="AB599" i="39"/>
  <c r="AB597" i="39" s="1"/>
  <c r="AE522" i="39"/>
  <c r="AE542" i="39" s="1" a="1"/>
  <c r="AE542" i="39" s="1"/>
  <c r="AF520" i="39"/>
  <c r="AB132" i="39"/>
  <c r="AB94" i="39"/>
  <c r="AB899" i="39"/>
  <c r="Y167" i="39"/>
  <c r="Y168" i="39" s="1"/>
  <c r="Y170" i="39" s="1"/>
  <c r="Y171" i="39" s="1"/>
  <c r="AC937" i="39" l="1"/>
  <c r="Z805" i="39"/>
  <c r="AD573" i="39"/>
  <c r="AC899" i="39"/>
  <c r="AC925" i="39"/>
  <c r="AC923" i="39" s="1"/>
  <c r="AB895" i="39"/>
  <c r="AB907" i="39" s="1"/>
  <c r="AB914" i="39" s="1"/>
  <c r="AB917" i="39" s="1"/>
  <c r="AB919" i="39" s="1"/>
  <c r="AB920" i="39" s="1"/>
  <c r="AB762" i="39"/>
  <c r="AC72" i="39"/>
  <c r="AC70" i="39" s="1"/>
  <c r="AC724" i="39"/>
  <c r="AC722" i="39" s="1"/>
  <c r="AB110" i="39"/>
  <c r="AB108" i="39" s="1"/>
  <c r="AC599" i="39"/>
  <c r="AC597" i="39" s="1"/>
  <c r="AA986" i="39"/>
  <c r="AA406" i="39"/>
  <c r="AA418" i="39" s="1"/>
  <c r="AA425" i="39" s="1"/>
  <c r="AA428" i="39" s="1"/>
  <c r="AA430" i="39" s="1"/>
  <c r="AA431" i="39" s="1"/>
  <c r="AD359" i="39"/>
  <c r="AD379" i="39" s="1" a="1"/>
  <c r="AD379" i="39" s="1"/>
  <c r="AD378" i="39" s="1"/>
  <c r="AA281" i="39"/>
  <c r="AA293" i="39" s="1"/>
  <c r="AA300" i="39" s="1"/>
  <c r="AA303" i="39" s="1"/>
  <c r="AA305" i="39" s="1"/>
  <c r="AA306" i="39" s="1"/>
  <c r="AA243" i="39"/>
  <c r="AA255" i="39" s="1"/>
  <c r="AA262" i="39" s="1"/>
  <c r="AA265" i="39" s="1"/>
  <c r="AA267" i="39" s="1"/>
  <c r="AA268" i="39" s="1"/>
  <c r="AD561" i="39"/>
  <c r="AD559" i="39" s="1"/>
  <c r="AD611" i="39"/>
  <c r="AD887" i="39"/>
  <c r="AB273" i="39"/>
  <c r="AB271" i="39" s="1"/>
  <c r="AA316" i="39"/>
  <c r="AA329" i="39"/>
  <c r="AA118" i="39"/>
  <c r="AD412" i="39"/>
  <c r="AA732" i="39"/>
  <c r="AA744" i="39" s="1"/>
  <c r="AA751" i="39" s="1"/>
  <c r="AA754" i="39" s="1"/>
  <c r="AA756" i="39" s="1"/>
  <c r="AA757" i="39" s="1"/>
  <c r="AB968" i="39"/>
  <c r="AB981" i="39"/>
  <c r="AA444" i="39"/>
  <c r="AA456" i="39" s="1"/>
  <c r="AA463" i="39" s="1"/>
  <c r="AA466" i="39" s="1"/>
  <c r="AA468" i="39" s="1"/>
  <c r="AA469" i="39" s="1"/>
  <c r="AC287" i="39"/>
  <c r="AC249" i="39"/>
  <c r="AC422" i="39"/>
  <c r="AC460" i="39"/>
  <c r="AD942" i="39"/>
  <c r="AD904" i="39"/>
  <c r="AD873" i="39" a="1"/>
  <c r="AD873" i="39" s="1"/>
  <c r="AE27" i="39"/>
  <c r="AF25" i="39"/>
  <c r="AA770" i="39"/>
  <c r="AC133" i="39"/>
  <c r="AC95" i="39"/>
  <c r="AC410" i="39"/>
  <c r="AF684" i="39"/>
  <c r="AC747" i="39"/>
  <c r="AC785" i="39"/>
  <c r="AC215" i="39"/>
  <c r="AC286" i="39"/>
  <c r="AC248" i="39"/>
  <c r="AG520" i="39"/>
  <c r="AA818" i="39"/>
  <c r="AA805" i="39"/>
  <c r="AC113" i="39"/>
  <c r="AC109" i="39"/>
  <c r="AC112" i="39"/>
  <c r="AC135" i="39"/>
  <c r="AC116" i="39"/>
  <c r="AC126" i="39"/>
  <c r="AC114" i="39"/>
  <c r="AC111" i="39"/>
  <c r="AC115" i="39"/>
  <c r="AC235" i="39"/>
  <c r="AC233" i="39" s="1"/>
  <c r="AB569" i="39"/>
  <c r="AB581" i="39" s="1"/>
  <c r="AB588" i="39" s="1"/>
  <c r="AB591" i="39" s="1"/>
  <c r="AB593" i="39" s="1"/>
  <c r="AB594" i="39" s="1"/>
  <c r="AC421" i="39"/>
  <c r="AC459" i="39"/>
  <c r="AD28" i="39"/>
  <c r="AD64" i="39" a="1"/>
  <c r="AD64" i="39" s="1"/>
  <c r="AD63" i="39" a="1"/>
  <c r="AD63" i="39" s="1"/>
  <c r="AD71" i="39"/>
  <c r="AD57" i="39" a="1"/>
  <c r="AD57" i="39" s="1"/>
  <c r="AD62" i="39" a="1"/>
  <c r="AD62" i="39" s="1"/>
  <c r="AD50" i="39" a="1"/>
  <c r="AD50" i="39" s="1"/>
  <c r="AD97" i="39"/>
  <c r="AD151" i="39"/>
  <c r="AD74" i="39"/>
  <c r="AD78" i="39"/>
  <c r="AD76" i="39"/>
  <c r="AD73" i="39"/>
  <c r="AD88" i="39"/>
  <c r="AD75" i="39"/>
  <c r="AD77" i="39"/>
  <c r="AD33" i="39"/>
  <c r="AD53" i="39" s="1" a="1"/>
  <c r="AD53" i="39" s="1"/>
  <c r="AD34" i="39"/>
  <c r="AD54" i="39" s="1" a="1"/>
  <c r="AD54" i="39" s="1"/>
  <c r="AC82" i="39"/>
  <c r="AC120" i="39"/>
  <c r="AC51" i="39"/>
  <c r="AC49" i="39" s="1"/>
  <c r="AD738" i="39"/>
  <c r="AC761" i="39"/>
  <c r="AC787" i="39"/>
  <c r="AC765" i="39"/>
  <c r="AC764" i="39"/>
  <c r="AC767" i="39"/>
  <c r="AC768" i="39"/>
  <c r="AC766" i="39"/>
  <c r="AC763" i="39"/>
  <c r="AC778" i="39"/>
  <c r="AC741" i="39"/>
  <c r="AC779" i="39"/>
  <c r="AC710" i="39" a="1"/>
  <c r="AC710" i="39" s="1"/>
  <c r="AB933" i="39"/>
  <c r="AB945" i="39" s="1"/>
  <c r="AB952" i="39" s="1"/>
  <c r="AB955" i="39" s="1"/>
  <c r="AB957" i="39" s="1"/>
  <c r="AB958" i="39" s="1"/>
  <c r="AD866" i="39"/>
  <c r="AD897" i="39"/>
  <c r="AD935" i="39"/>
  <c r="AC776" i="39"/>
  <c r="AC738" i="39"/>
  <c r="AD237" i="39"/>
  <c r="AD226" i="39" a="1"/>
  <c r="AD226" i="39" s="1"/>
  <c r="AD234" i="39"/>
  <c r="AD225" i="39" a="1"/>
  <c r="AD225" i="39" s="1"/>
  <c r="AD227" i="39" a="1"/>
  <c r="AD227" i="39" s="1"/>
  <c r="AD191" i="39"/>
  <c r="AD287" i="39" s="1"/>
  <c r="AD213" i="39" a="1"/>
  <c r="AD213" i="39" s="1"/>
  <c r="AD251" i="39"/>
  <c r="AD220" i="39" a="1"/>
  <c r="AD220" i="39" s="1"/>
  <c r="AD260" i="39"/>
  <c r="AD314" i="39"/>
  <c r="AD239" i="39"/>
  <c r="AD238" i="39"/>
  <c r="AD236" i="39"/>
  <c r="AD241" i="39"/>
  <c r="AD240" i="39"/>
  <c r="AD196" i="39"/>
  <c r="AD216" i="39" s="1" a="1"/>
  <c r="AD216" i="39" s="1"/>
  <c r="AC775" i="39"/>
  <c r="AC737" i="39"/>
  <c r="AC704" i="39"/>
  <c r="Z316" i="39"/>
  <c r="Z329" i="39"/>
  <c r="AE574" i="39"/>
  <c r="AE541" i="39"/>
  <c r="Z167" i="39"/>
  <c r="Z168" i="39" s="1"/>
  <c r="Z170" i="39" s="1"/>
  <c r="Z171" i="39" s="1"/>
  <c r="Z154" i="39"/>
  <c r="Z156" i="39"/>
  <c r="Z157" i="39" s="1"/>
  <c r="AC420" i="39"/>
  <c r="AC458" i="39"/>
  <c r="AB253" i="39"/>
  <c r="AB250" i="39" s="1"/>
  <c r="AB291" i="39"/>
  <c r="AF195" i="39"/>
  <c r="AD924" i="39"/>
  <c r="AD928" i="39"/>
  <c r="AD930" i="39"/>
  <c r="AD950" i="39"/>
  <c r="AD931" i="39"/>
  <c r="AD926" i="39"/>
  <c r="AD927" i="39"/>
  <c r="AD929" i="39"/>
  <c r="AD941" i="39"/>
  <c r="AB218" i="39"/>
  <c r="AG194" i="39"/>
  <c r="AC96" i="39"/>
  <c r="AC134" i="39"/>
  <c r="Z819" i="39"/>
  <c r="Z820" i="39" s="1"/>
  <c r="Z822" i="39" s="1"/>
  <c r="Z823" i="39" s="1"/>
  <c r="AB436" i="39"/>
  <c r="AB760" i="39"/>
  <c r="AF188" i="39"/>
  <c r="AE190" i="39"/>
  <c r="AE197" i="39" s="1"/>
  <c r="AE217" i="39" s="1" a="1"/>
  <c r="AE217" i="39" s="1"/>
  <c r="AJ31" i="39"/>
  <c r="AC784" i="39"/>
  <c r="AC746" i="39"/>
  <c r="AD249" i="39"/>
  <c r="AC439" i="39"/>
  <c r="AC435" i="39"/>
  <c r="AC438" i="39"/>
  <c r="AC461" i="39"/>
  <c r="AC442" i="39"/>
  <c r="AC452" i="39"/>
  <c r="AC441" i="39"/>
  <c r="AC440" i="39"/>
  <c r="AC437" i="39"/>
  <c r="AD910" i="39"/>
  <c r="AD948" i="39"/>
  <c r="AH683" i="39"/>
  <c r="Z806" i="39"/>
  <c r="Z808" i="39"/>
  <c r="Z809" i="39" s="1"/>
  <c r="AC214" i="39"/>
  <c r="AC212" i="39" s="1"/>
  <c r="AC245" i="39"/>
  <c r="AC283" i="39"/>
  <c r="AB83" i="39"/>
  <c r="AB81" i="39" s="1"/>
  <c r="AB121" i="39"/>
  <c r="AB119" i="39" s="1"/>
  <c r="AC86" i="39"/>
  <c r="AC124" i="39"/>
  <c r="AD623" i="39"/>
  <c r="AD585" i="39"/>
  <c r="AC943" i="39"/>
  <c r="AC940" i="39" s="1"/>
  <c r="AC905" i="39"/>
  <c r="AC902" i="39" s="1"/>
  <c r="AB773" i="39"/>
  <c r="AB771" i="39" s="1"/>
  <c r="AB735" i="39"/>
  <c r="AB733" i="39" s="1"/>
  <c r="AF677" i="39"/>
  <c r="AE679" i="39"/>
  <c r="AE686" i="39" s="1"/>
  <c r="AE706" i="39" s="1" a="1"/>
  <c r="AE706" i="39" s="1"/>
  <c r="AB84" i="39"/>
  <c r="AC52" i="39"/>
  <c r="AC85" i="39"/>
  <c r="AC123" i="39"/>
  <c r="AC127" i="39"/>
  <c r="AC89" i="39"/>
  <c r="AC58" i="39" a="1"/>
  <c r="AC58" i="39" s="1"/>
  <c r="AC55" i="39" s="1"/>
  <c r="AD603" i="39"/>
  <c r="AD624" i="39"/>
  <c r="AD598" i="39"/>
  <c r="AD601" i="39"/>
  <c r="AD602" i="39"/>
  <c r="AD600" i="39"/>
  <c r="AD615" i="39"/>
  <c r="AD604" i="39"/>
  <c r="AD605" i="39"/>
  <c r="AC898" i="39"/>
  <c r="AC896" i="39" s="1"/>
  <c r="AC936" i="39"/>
  <c r="AC934" i="39" s="1"/>
  <c r="AB780" i="39"/>
  <c r="AB777" i="39" s="1"/>
  <c r="AB742" i="39"/>
  <c r="AB739" i="39" s="1"/>
  <c r="AB701" i="39"/>
  <c r="AB700" i="39" s="1"/>
  <c r="AB712" i="39" s="1"/>
  <c r="AB719" i="39" s="1"/>
  <c r="AD716" i="39" a="1"/>
  <c r="AD716" i="39" s="1"/>
  <c r="AD715" i="39" a="1"/>
  <c r="AD715" i="39" s="1"/>
  <c r="AD723" i="39"/>
  <c r="AD714" i="39" a="1"/>
  <c r="AD714" i="39" s="1"/>
  <c r="AD709" i="39" a="1"/>
  <c r="AD709" i="39" s="1"/>
  <c r="AD680" i="39"/>
  <c r="AD702" i="39" a="1"/>
  <c r="AD702" i="39" s="1"/>
  <c r="AD803" i="39"/>
  <c r="AD749" i="39"/>
  <c r="AD725" i="39"/>
  <c r="AD730" i="39"/>
  <c r="AD728" i="39"/>
  <c r="AD740" i="39"/>
  <c r="AD729" i="39"/>
  <c r="AD726" i="39"/>
  <c r="AD727" i="39"/>
  <c r="AD685" i="39"/>
  <c r="AD705" i="39" s="1" a="1"/>
  <c r="AD705" i="39" s="1"/>
  <c r="AB122" i="39"/>
  <c r="AC772" i="39"/>
  <c r="AC703" i="39"/>
  <c r="AC701" i="39" s="1"/>
  <c r="AC734" i="39"/>
  <c r="AA782" i="39"/>
  <c r="AA789" i="39" s="1"/>
  <c r="AA792" i="39" s="1"/>
  <c r="AA794" i="39" s="1"/>
  <c r="AA795" i="39" s="1"/>
  <c r="AB90" i="39"/>
  <c r="AB87" i="39" s="1"/>
  <c r="AB128" i="39"/>
  <c r="AB125" i="39" s="1"/>
  <c r="AF358" i="39"/>
  <c r="AD578" i="39"/>
  <c r="AD616" i="39"/>
  <c r="AD547" i="39" a="1"/>
  <c r="AD547" i="39" s="1"/>
  <c r="AD544" i="39" s="1"/>
  <c r="AC864" i="39"/>
  <c r="AC863" i="39" s="1"/>
  <c r="AC875" i="39" s="1"/>
  <c r="AC882" i="39" s="1"/>
  <c r="AC259" i="39"/>
  <c r="AC297" i="39"/>
  <c r="AA153" i="39"/>
  <c r="AA166" i="39"/>
  <c r="AF357" i="39"/>
  <c r="AD911" i="39"/>
  <c r="AD949" i="39"/>
  <c r="AE848" i="39"/>
  <c r="AE868" i="39" s="1" a="1"/>
  <c r="AE868" i="39" s="1"/>
  <c r="AF846" i="39"/>
  <c r="AD571" i="39"/>
  <c r="AD609" i="39"/>
  <c r="AD540" i="39"/>
  <c r="AD538" i="39" s="1"/>
  <c r="AC258" i="39"/>
  <c r="AC296" i="39"/>
  <c r="Z493" i="39"/>
  <c r="Z494" i="39" s="1"/>
  <c r="Z496" i="39" s="1"/>
  <c r="Z497" i="39" s="1"/>
  <c r="AD909" i="39"/>
  <c r="AD947" i="39"/>
  <c r="AE849" i="39"/>
  <c r="AE869" i="39" s="1" a="1"/>
  <c r="AE869" i="39" s="1"/>
  <c r="AF847" i="39"/>
  <c r="AD900" i="39"/>
  <c r="AD867" i="39"/>
  <c r="AD938" i="39"/>
  <c r="AG840" i="39"/>
  <c r="AF842" i="39"/>
  <c r="AH32" i="39"/>
  <c r="AD621" i="39"/>
  <c r="AD583" i="39"/>
  <c r="AB434" i="39"/>
  <c r="AE560" i="39"/>
  <c r="AE552" i="39" a="1"/>
  <c r="AE552" i="39" s="1"/>
  <c r="AE517" i="39"/>
  <c r="AE553" i="39" a="1"/>
  <c r="AE553" i="39" s="1"/>
  <c r="AE546" i="39" a="1"/>
  <c r="AE546" i="39" s="1"/>
  <c r="AE551" i="39" a="1"/>
  <c r="AE551" i="39" s="1"/>
  <c r="AE539" i="39" a="1"/>
  <c r="AE539" i="39" s="1"/>
  <c r="AE640" i="39"/>
  <c r="AE586" i="39"/>
  <c r="AE563" i="39"/>
  <c r="AE562" i="39"/>
  <c r="AE565" i="39"/>
  <c r="AE577" i="39"/>
  <c r="AE566" i="39"/>
  <c r="AE567" i="39"/>
  <c r="AE564" i="39"/>
  <c r="AA656" i="39"/>
  <c r="AA657" i="39" s="1"/>
  <c r="AA659" i="39" s="1"/>
  <c r="AA660" i="39" s="1"/>
  <c r="Z482" i="39"/>
  <c r="Z483" i="39" s="1"/>
  <c r="Z480" i="39"/>
  <c r="AB288" i="39"/>
  <c r="AC94" i="39"/>
  <c r="AC132" i="39"/>
  <c r="AC377" i="39"/>
  <c r="AC375" i="39" s="1"/>
  <c r="AC446" i="39"/>
  <c r="AC408" i="39"/>
  <c r="AC453" i="39"/>
  <c r="AC415" i="39"/>
  <c r="AC384" i="39" a="1"/>
  <c r="AC384" i="39" s="1"/>
  <c r="AC381" i="39" s="1"/>
  <c r="AD885" i="39"/>
  <c r="AE886" i="39"/>
  <c r="AE890" i="39"/>
  <c r="AE872" i="39" a="1"/>
  <c r="AE872" i="39" s="1"/>
  <c r="AE877" i="39" a="1"/>
  <c r="AE877" i="39" s="1"/>
  <c r="AE893" i="39"/>
  <c r="AE879" i="39" a="1"/>
  <c r="AE879" i="39" s="1"/>
  <c r="AE878" i="39" a="1"/>
  <c r="AE878" i="39" s="1"/>
  <c r="AE843" i="39"/>
  <c r="AE865" i="39" a="1"/>
  <c r="AE865" i="39" s="1"/>
  <c r="AE912" i="39"/>
  <c r="AE966" i="39"/>
  <c r="AE888" i="39"/>
  <c r="AE892" i="39"/>
  <c r="AE889" i="39"/>
  <c r="AE891" i="39"/>
  <c r="AE903" i="39"/>
  <c r="AB642" i="39"/>
  <c r="AB655" i="39"/>
  <c r="AA492" i="39"/>
  <c r="AA479" i="39"/>
  <c r="AB607" i="39"/>
  <c r="AB619" i="39" s="1"/>
  <c r="AB626" i="39" s="1"/>
  <c r="AB629" i="39" s="1"/>
  <c r="AB631" i="39" s="1"/>
  <c r="AB632" i="39" s="1"/>
  <c r="AD622" i="39"/>
  <c r="AD584" i="39"/>
  <c r="AF516" i="39"/>
  <c r="AF522" i="39" s="1"/>
  <c r="AF542" i="39" s="1" a="1"/>
  <c r="AF542" i="39" s="1"/>
  <c r="AG514" i="39"/>
  <c r="AC275" i="39"/>
  <c r="AC276" i="39"/>
  <c r="AC272" i="39"/>
  <c r="AC298" i="39"/>
  <c r="AC277" i="39"/>
  <c r="AC278" i="39"/>
  <c r="AC289" i="39"/>
  <c r="AC274" i="39"/>
  <c r="AC279" i="39"/>
  <c r="AA643" i="39"/>
  <c r="AA645" i="39"/>
  <c r="AA646" i="39" s="1"/>
  <c r="AB246" i="39"/>
  <c r="AB244" i="39" s="1"/>
  <c r="AB284" i="39"/>
  <c r="AB282" i="39" s="1"/>
  <c r="AC617" i="39"/>
  <c r="AC614" i="39" s="1"/>
  <c r="AC579" i="39"/>
  <c r="AC576" i="39" s="1"/>
  <c r="AB416" i="39"/>
  <c r="AB413" i="39" s="1"/>
  <c r="AB454" i="39"/>
  <c r="AB451" i="39" s="1"/>
  <c r="AC610" i="39"/>
  <c r="AC608" i="39" s="1"/>
  <c r="AC572" i="39"/>
  <c r="AC570" i="39" s="1"/>
  <c r="AG521" i="39"/>
  <c r="AC290" i="39"/>
  <c r="AC252" i="39"/>
  <c r="AC221" i="39" a="1"/>
  <c r="AC221" i="39" s="1"/>
  <c r="AC748" i="39"/>
  <c r="AC786" i="39"/>
  <c r="AB212" i="39"/>
  <c r="AC537" i="39"/>
  <c r="AC549" i="39" s="1"/>
  <c r="AC556" i="39" s="1"/>
  <c r="AA130" i="39"/>
  <c r="AA137" i="39" s="1"/>
  <c r="AA140" i="39" s="1"/>
  <c r="AA142" i="39" s="1"/>
  <c r="AA143" i="39" s="1"/>
  <c r="AA80" i="39"/>
  <c r="AA92" i="39" s="1"/>
  <c r="AA99" i="39" s="1"/>
  <c r="AA102" i="39" s="1"/>
  <c r="AA104" i="39" s="1"/>
  <c r="AA105" i="39" s="1"/>
  <c r="AD939" i="39"/>
  <c r="AD901" i="39"/>
  <c r="AB55" i="39"/>
  <c r="AB48" i="39" s="1"/>
  <c r="AB60" i="39" s="1"/>
  <c r="AB67" i="39" s="1"/>
  <c r="AD402" i="39"/>
  <c r="AD389" i="39" a="1"/>
  <c r="AD389" i="39" s="1"/>
  <c r="AD390" i="39" a="1"/>
  <c r="AD390" i="39" s="1"/>
  <c r="AD388" i="39" a="1"/>
  <c r="AD388" i="39" s="1"/>
  <c r="AD397" i="39"/>
  <c r="AD354" i="39"/>
  <c r="AD376" i="39" a="1"/>
  <c r="AD376" i="39" s="1"/>
  <c r="AD414" i="39"/>
  <c r="AD383" i="39" a="1"/>
  <c r="AD383" i="39" s="1"/>
  <c r="AD423" i="39"/>
  <c r="AD477" i="39"/>
  <c r="AD399" i="39"/>
  <c r="AD401" i="39"/>
  <c r="AD403" i="39"/>
  <c r="AD400" i="39"/>
  <c r="AD404" i="39"/>
  <c r="AC398" i="39"/>
  <c r="AC396" i="39" s="1"/>
  <c r="AE353" i="39"/>
  <c r="AE360" i="39" s="1"/>
  <c r="AE380" i="39" s="1" a="1"/>
  <c r="AE380" i="39" s="1"/>
  <c r="AF351" i="39"/>
  <c r="AC450" i="39"/>
  <c r="AC448" i="39" s="1"/>
  <c r="AB381" i="39"/>
  <c r="AB374" i="39" s="1"/>
  <c r="AB386" i="39" s="1"/>
  <c r="AB393" i="39" s="1"/>
  <c r="AE575" i="39"/>
  <c r="AC257" i="39"/>
  <c r="AC295" i="39"/>
  <c r="AB409" i="39"/>
  <c r="AB407" i="39" s="1"/>
  <c r="AB447" i="39"/>
  <c r="AB445" i="39" s="1"/>
  <c r="AD449" i="39" l="1"/>
  <c r="AC762" i="39"/>
  <c r="AC84" i="39"/>
  <c r="AC247" i="39"/>
  <c r="AC122" i="39"/>
  <c r="AF523" i="39"/>
  <c r="AF543" i="39" s="1" a="1"/>
  <c r="AF543" i="39" s="1"/>
  <c r="AF575" i="39" s="1"/>
  <c r="AD925" i="39"/>
  <c r="AB281" i="39"/>
  <c r="AB293" i="39" s="1"/>
  <c r="AB300" i="39" s="1"/>
  <c r="AB303" i="39" s="1"/>
  <c r="AB305" i="39" s="1"/>
  <c r="AB306" i="39" s="1"/>
  <c r="AC569" i="39"/>
  <c r="AC581" i="39" s="1"/>
  <c r="AC588" i="39" s="1"/>
  <c r="AC591" i="39" s="1"/>
  <c r="AC593" i="39" s="1"/>
  <c r="AC594" i="39" s="1"/>
  <c r="AC774" i="39"/>
  <c r="AC273" i="39"/>
  <c r="AC436" i="39"/>
  <c r="AC434" i="39" s="1"/>
  <c r="AD923" i="39"/>
  <c r="AC736" i="39"/>
  <c r="AD72" i="39"/>
  <c r="AD70" i="39" s="1"/>
  <c r="AB444" i="39"/>
  <c r="AB456" i="39" s="1"/>
  <c r="AB463" i="39" s="1"/>
  <c r="AB466" i="39" s="1"/>
  <c r="AB468" i="39" s="1"/>
  <c r="AB469" i="39" s="1"/>
  <c r="AC607" i="39"/>
  <c r="AC619" i="39" s="1"/>
  <c r="AC626" i="39" s="1"/>
  <c r="AC629" i="39" s="1"/>
  <c r="AC631" i="39" s="1"/>
  <c r="AC632" i="39" s="1"/>
  <c r="AC933" i="39"/>
  <c r="AC945" i="39" s="1"/>
  <c r="AC952" i="39" s="1"/>
  <c r="AC955" i="39" s="1"/>
  <c r="AC957" i="39" s="1"/>
  <c r="AC958" i="39" s="1"/>
  <c r="AC895" i="39"/>
  <c r="AC907" i="39" s="1"/>
  <c r="AC914" i="39" s="1"/>
  <c r="AC917" i="39" s="1"/>
  <c r="AC919" i="39" s="1"/>
  <c r="AC920" i="39" s="1"/>
  <c r="AB118" i="39"/>
  <c r="AB130" i="39" s="1"/>
  <c r="AB137" i="39" s="1"/>
  <c r="AB140" i="39" s="1"/>
  <c r="AB142" i="39" s="1"/>
  <c r="AB143" i="39" s="1"/>
  <c r="AC374" i="39"/>
  <c r="AC386" i="39" s="1"/>
  <c r="AC393" i="39" s="1"/>
  <c r="AC492" i="39" s="1"/>
  <c r="AD411" i="39"/>
  <c r="AD410" i="39" s="1"/>
  <c r="AB479" i="39"/>
  <c r="AB492" i="39"/>
  <c r="AB166" i="39"/>
  <c r="AB153" i="39"/>
  <c r="AE412" i="39"/>
  <c r="AB406" i="39"/>
  <c r="AB418" i="39" s="1"/>
  <c r="AB425" i="39" s="1"/>
  <c r="AB428" i="39" s="1"/>
  <c r="AB430" i="39" s="1"/>
  <c r="AB431" i="39" s="1"/>
  <c r="AD297" i="39"/>
  <c r="AD259" i="39"/>
  <c r="AD133" i="39"/>
  <c r="AD95" i="39"/>
  <c r="AB982" i="39"/>
  <c r="AB983" i="39" s="1"/>
  <c r="AB985" i="39" s="1"/>
  <c r="AB986" i="39" s="1"/>
  <c r="AD124" i="39"/>
  <c r="AD86" i="39"/>
  <c r="AD134" i="39"/>
  <c r="AD96" i="39"/>
  <c r="AB971" i="39"/>
  <c r="AB972" i="39" s="1"/>
  <c r="AB969" i="39"/>
  <c r="AD786" i="39"/>
  <c r="AD748" i="39"/>
  <c r="AB645" i="39"/>
  <c r="AB646" i="39" s="1"/>
  <c r="AB643" i="39"/>
  <c r="AE624" i="39"/>
  <c r="AE603" i="39"/>
  <c r="AE598" i="39"/>
  <c r="AE604" i="39"/>
  <c r="AE602" i="39"/>
  <c r="AE600" i="39"/>
  <c r="AE605" i="39"/>
  <c r="AE601" i="39"/>
  <c r="AE615" i="39"/>
  <c r="AD257" i="39"/>
  <c r="AD295" i="39"/>
  <c r="AC642" i="39"/>
  <c r="AC655" i="39"/>
  <c r="AD258" i="39"/>
  <c r="AD296" i="39"/>
  <c r="AD85" i="39"/>
  <c r="AD52" i="39"/>
  <c r="AD123" i="39"/>
  <c r="AD112" i="39"/>
  <c r="AD135" i="39"/>
  <c r="AD113" i="39"/>
  <c r="AD109" i="39"/>
  <c r="AD115" i="39"/>
  <c r="AD114" i="39"/>
  <c r="AD111" i="39"/>
  <c r="AD116" i="39"/>
  <c r="AD126" i="39"/>
  <c r="AA808" i="39"/>
  <c r="AA809" i="39" s="1"/>
  <c r="AA806" i="39"/>
  <c r="AB656" i="39"/>
  <c r="AB657" i="39" s="1"/>
  <c r="AB659" i="39" s="1"/>
  <c r="AB660" i="39" s="1"/>
  <c r="AE901" i="39"/>
  <c r="AE939" i="39"/>
  <c r="AD248" i="39"/>
  <c r="AD247" i="39" s="1"/>
  <c r="AD215" i="39"/>
  <c r="AD286" i="39"/>
  <c r="AD285" i="39" s="1"/>
  <c r="AE613" i="39"/>
  <c r="AG516" i="39"/>
  <c r="AH514" i="39"/>
  <c r="AE887" i="39"/>
  <c r="AE885" i="39" s="1"/>
  <c r="AE359" i="39"/>
  <c r="AE379" i="39" s="1" a="1"/>
  <c r="AE379" i="39" s="1"/>
  <c r="AD724" i="39"/>
  <c r="AD722" i="39" s="1"/>
  <c r="AB770" i="39"/>
  <c r="AA819" i="39"/>
  <c r="AA820" i="39" s="1"/>
  <c r="AA822" i="39" s="1"/>
  <c r="AA823" i="39" s="1"/>
  <c r="AA493" i="39"/>
  <c r="AA494" i="39" s="1"/>
  <c r="AA496" i="39" s="1"/>
  <c r="AA497" i="39" s="1"/>
  <c r="AE622" i="39"/>
  <c r="AE584" i="39"/>
  <c r="AF849" i="39"/>
  <c r="AF869" i="39" s="1" a="1"/>
  <c r="AF869" i="39" s="1"/>
  <c r="AG847" i="39"/>
  <c r="AI683" i="39"/>
  <c r="AH194" i="39"/>
  <c r="AC48" i="39"/>
  <c r="AC60" i="39" s="1"/>
  <c r="AC67" i="39" s="1"/>
  <c r="AC454" i="39"/>
  <c r="AC451" i="39" s="1"/>
  <c r="AC416" i="39"/>
  <c r="AC413" i="39" s="1"/>
  <c r="AG358" i="39"/>
  <c r="AD446" i="39"/>
  <c r="AD408" i="39"/>
  <c r="AD377" i="39"/>
  <c r="AB211" i="39"/>
  <c r="AB223" i="39" s="1"/>
  <c r="AB230" i="39" s="1"/>
  <c r="AF560" i="39"/>
  <c r="AF566" i="39"/>
  <c r="AF553" i="39" a="1"/>
  <c r="AF553" i="39" s="1"/>
  <c r="AF551" i="39" a="1"/>
  <c r="AF551" i="39" s="1"/>
  <c r="AF517" i="39"/>
  <c r="AF552" i="39" a="1"/>
  <c r="AF552" i="39" s="1"/>
  <c r="AF546" i="39" a="1"/>
  <c r="AF546" i="39" s="1"/>
  <c r="AF539" i="39" a="1"/>
  <c r="AF539" i="39" s="1"/>
  <c r="AF640" i="39"/>
  <c r="AF586" i="39"/>
  <c r="AF564" i="39"/>
  <c r="AF567" i="39"/>
  <c r="AF563" i="39"/>
  <c r="AF577" i="39"/>
  <c r="AF565" i="39"/>
  <c r="AF562" i="39"/>
  <c r="AI32" i="39"/>
  <c r="AE942" i="39"/>
  <c r="AE904" i="39"/>
  <c r="AE873" i="39" a="1"/>
  <c r="AE873" i="39" s="1"/>
  <c r="AE870" i="39" s="1"/>
  <c r="AE738" i="39"/>
  <c r="AC271" i="39"/>
  <c r="AD453" i="39"/>
  <c r="AD415" i="39"/>
  <c r="AD384" i="39" a="1"/>
  <c r="AD384" i="39" s="1"/>
  <c r="AG357" i="39"/>
  <c r="AD440" i="39"/>
  <c r="AD461" i="39"/>
  <c r="AD435" i="39"/>
  <c r="AD452" i="39"/>
  <c r="AD437" i="39"/>
  <c r="AD439" i="39"/>
  <c r="AD438" i="39"/>
  <c r="AD441" i="39"/>
  <c r="AD442" i="39"/>
  <c r="AA167" i="39"/>
  <c r="AA168" i="39" s="1"/>
  <c r="AA170" i="39" s="1"/>
  <c r="AA171" i="39" s="1"/>
  <c r="AD599" i="39"/>
  <c r="AD597" i="39" s="1"/>
  <c r="AE234" i="39"/>
  <c r="AE227" i="39" a="1"/>
  <c r="AE227" i="39" s="1"/>
  <c r="AE240" i="39"/>
  <c r="AE226" i="39" a="1"/>
  <c r="AE226" i="39" s="1"/>
  <c r="AE238" i="39"/>
  <c r="AE220" i="39" a="1"/>
  <c r="AE220" i="39" s="1"/>
  <c r="AE191" i="39"/>
  <c r="AE213" i="39" a="1"/>
  <c r="AE213" i="39" s="1"/>
  <c r="AE225" i="39" a="1"/>
  <c r="AE225" i="39" s="1"/>
  <c r="AE260" i="39"/>
  <c r="AE314" i="39"/>
  <c r="AE241" i="39"/>
  <c r="AE251" i="39"/>
  <c r="AE239" i="39"/>
  <c r="AE236" i="39"/>
  <c r="AE237" i="39"/>
  <c r="AE196" i="39"/>
  <c r="AE216" i="39" s="1" a="1"/>
  <c r="AE216" i="39" s="1"/>
  <c r="AD235" i="39"/>
  <c r="AD233" i="39" s="1"/>
  <c r="AF27" i="39"/>
  <c r="AG25" i="39"/>
  <c r="AD450" i="39"/>
  <c r="AD448" i="39" s="1"/>
  <c r="AD127" i="39"/>
  <c r="AD89" i="39"/>
  <c r="AD58" i="39" a="1"/>
  <c r="AD58" i="39" s="1"/>
  <c r="AG684" i="39"/>
  <c r="AD398" i="39"/>
  <c r="AD396" i="39" s="1"/>
  <c r="AE935" i="39"/>
  <c r="AE897" i="39"/>
  <c r="AE866" i="39"/>
  <c r="AE864" i="39" s="1"/>
  <c r="AE561" i="39"/>
  <c r="AE559" i="39" s="1"/>
  <c r="AF886" i="39"/>
  <c r="AF878" i="39" a="1"/>
  <c r="AF878" i="39" s="1"/>
  <c r="AF892" i="39"/>
  <c r="AF843" i="39"/>
  <c r="AF872" i="39" a="1"/>
  <c r="AF872" i="39" s="1"/>
  <c r="AF891" i="39"/>
  <c r="AF879" i="39" a="1"/>
  <c r="AF879" i="39" s="1"/>
  <c r="AF877" i="39" a="1"/>
  <c r="AF877" i="39" s="1"/>
  <c r="AF865" i="39" a="1"/>
  <c r="AF865" i="39" s="1"/>
  <c r="AF912" i="39"/>
  <c r="AF966" i="39"/>
  <c r="AF893" i="39"/>
  <c r="AF890" i="39"/>
  <c r="AF903" i="39"/>
  <c r="AF889" i="39"/>
  <c r="AF888" i="39"/>
  <c r="AA156" i="39"/>
  <c r="AA157" i="39" s="1"/>
  <c r="AA154" i="39"/>
  <c r="AB80" i="39"/>
  <c r="AB92" i="39" s="1"/>
  <c r="AB99" i="39" s="1"/>
  <c r="AB102" i="39" s="1"/>
  <c r="AB104" i="39" s="1"/>
  <c r="AB105" i="39" s="1"/>
  <c r="AD703" i="39"/>
  <c r="AD701" i="39" s="1"/>
  <c r="AD734" i="39"/>
  <c r="AD772" i="39"/>
  <c r="AE715" i="39" a="1"/>
  <c r="AE715" i="39" s="1"/>
  <c r="AE716" i="39" a="1"/>
  <c r="AE716" i="39" s="1"/>
  <c r="AE702" i="39" a="1"/>
  <c r="AE702" i="39" s="1"/>
  <c r="AE723" i="39"/>
  <c r="AE714" i="39" a="1"/>
  <c r="AE714" i="39" s="1"/>
  <c r="AE709" i="39" a="1"/>
  <c r="AE709" i="39" s="1"/>
  <c r="AE729" i="39"/>
  <c r="AE680" i="39"/>
  <c r="AE803" i="39"/>
  <c r="AE749" i="39"/>
  <c r="AE725" i="39"/>
  <c r="AE740" i="39"/>
  <c r="AE730" i="39"/>
  <c r="AE727" i="39"/>
  <c r="AE728" i="39"/>
  <c r="AE726" i="39"/>
  <c r="AE685" i="39"/>
  <c r="AE705" i="39" s="1" a="1"/>
  <c r="AE705" i="39" s="1"/>
  <c r="AB732" i="39"/>
  <c r="AB744" i="39" s="1"/>
  <c r="AB751" i="39" s="1"/>
  <c r="AB754" i="39" s="1"/>
  <c r="AB756" i="39" s="1"/>
  <c r="AB757" i="39" s="1"/>
  <c r="AG188" i="39"/>
  <c r="AF190" i="39"/>
  <c r="AF197" i="39" s="1"/>
  <c r="AF217" i="39" s="1" a="1"/>
  <c r="AF217" i="39" s="1"/>
  <c r="AH520" i="39"/>
  <c r="AE71" i="39"/>
  <c r="AE63" i="39" a="1"/>
  <c r="AE63" i="39" s="1"/>
  <c r="AE57" i="39" a="1"/>
  <c r="AE57" i="39" s="1"/>
  <c r="AE88" i="39"/>
  <c r="AE50" i="39" a="1"/>
  <c r="AE50" i="39" s="1"/>
  <c r="AE28" i="39"/>
  <c r="AE64" i="39" a="1"/>
  <c r="AE64" i="39" s="1"/>
  <c r="AE62" i="39" a="1"/>
  <c r="AE62" i="39" s="1"/>
  <c r="AE97" i="39"/>
  <c r="AE151" i="39"/>
  <c r="AE78" i="39"/>
  <c r="AE74" i="39"/>
  <c r="AE75" i="39"/>
  <c r="AE76" i="39"/>
  <c r="AE73" i="39"/>
  <c r="AE77" i="39"/>
  <c r="AE33" i="39"/>
  <c r="AE53" i="39" s="1" a="1"/>
  <c r="AE53" i="39" s="1"/>
  <c r="AE34" i="39"/>
  <c r="AE54" i="39" s="1" a="1"/>
  <c r="AE54" i="39" s="1"/>
  <c r="AD420" i="39"/>
  <c r="AD458" i="39"/>
  <c r="AE924" i="39"/>
  <c r="AE931" i="39"/>
  <c r="AE930" i="39"/>
  <c r="AE950" i="39"/>
  <c r="AE929" i="39"/>
  <c r="AE927" i="39"/>
  <c r="AE926" i="39"/>
  <c r="AE941" i="39"/>
  <c r="AE928" i="39"/>
  <c r="AC447" i="39"/>
  <c r="AC445" i="39" s="1"/>
  <c r="AC409" i="39"/>
  <c r="AC407" i="39" s="1"/>
  <c r="AG842" i="39"/>
  <c r="AH840" i="39"/>
  <c r="AD761" i="39"/>
  <c r="AD787" i="39"/>
  <c r="AD763" i="39"/>
  <c r="AD768" i="39"/>
  <c r="AD767" i="39"/>
  <c r="AD765" i="39"/>
  <c r="AD778" i="39"/>
  <c r="AD766" i="39"/>
  <c r="AD764" i="39"/>
  <c r="AF679" i="39"/>
  <c r="AG677" i="39"/>
  <c r="AB782" i="39"/>
  <c r="AB789" i="39" s="1"/>
  <c r="AB792" i="39" s="1"/>
  <c r="AB794" i="39" s="1"/>
  <c r="AB795" i="39" s="1"/>
  <c r="AD936" i="39"/>
  <c r="AD934" i="39" s="1"/>
  <c r="AD898" i="39"/>
  <c r="AD896" i="39" s="1"/>
  <c r="AF574" i="39"/>
  <c r="AD943" i="39"/>
  <c r="AD940" i="39" s="1"/>
  <c r="AD905" i="39"/>
  <c r="AD902" i="39" s="1"/>
  <c r="AH521" i="39"/>
  <c r="AF353" i="39"/>
  <c r="AG351" i="39"/>
  <c r="AC253" i="39"/>
  <c r="AC250" i="39" s="1"/>
  <c r="AC291" i="39"/>
  <c r="AC288" i="39" s="1"/>
  <c r="AE910" i="39"/>
  <c r="AE948" i="39"/>
  <c r="AD610" i="39"/>
  <c r="AD608" i="39" s="1"/>
  <c r="AD572" i="39"/>
  <c r="AD570" i="39" s="1"/>
  <c r="AD741" i="39"/>
  <c r="AD779" i="39"/>
  <c r="AD710" i="39" a="1"/>
  <c r="AD710" i="39" s="1"/>
  <c r="AD864" i="39"/>
  <c r="AC760" i="39"/>
  <c r="AD870" i="39"/>
  <c r="AE616" i="39"/>
  <c r="AE578" i="39"/>
  <c r="AE547" i="39" a="1"/>
  <c r="AE547" i="39" s="1"/>
  <c r="AF848" i="39"/>
  <c r="AF868" i="39" s="1" a="1"/>
  <c r="AF868" i="39" s="1"/>
  <c r="AG846" i="39"/>
  <c r="AD421" i="39"/>
  <c r="AD459" i="39"/>
  <c r="AC218" i="39"/>
  <c r="AC211" i="39" s="1"/>
  <c r="AC223" i="39" s="1"/>
  <c r="AC230" i="39" s="1"/>
  <c r="AE911" i="39"/>
  <c r="AE949" i="39"/>
  <c r="AD937" i="39"/>
  <c r="AC735" i="39"/>
  <c r="AC733" i="39" s="1"/>
  <c r="AC773" i="39"/>
  <c r="AC771" i="39" s="1"/>
  <c r="AD784" i="39"/>
  <c r="AD746" i="39"/>
  <c r="AD776" i="39"/>
  <c r="AC285" i="39"/>
  <c r="AA330" i="39"/>
  <c r="AA331" i="39" s="1"/>
  <c r="AA333" i="39" s="1"/>
  <c r="AD460" i="39"/>
  <c r="AD422" i="39"/>
  <c r="AE397" i="39"/>
  <c r="AE389" i="39" a="1"/>
  <c r="AE389" i="39" s="1"/>
  <c r="AE354" i="39"/>
  <c r="AE450" i="39" s="1"/>
  <c r="AE390" i="39" a="1"/>
  <c r="AE390" i="39" s="1"/>
  <c r="AE388" i="39" a="1"/>
  <c r="AE388" i="39" s="1"/>
  <c r="AE376" i="39" a="1"/>
  <c r="AE376" i="39" s="1"/>
  <c r="AE383" i="39" a="1"/>
  <c r="AE383" i="39" s="1"/>
  <c r="AE477" i="39"/>
  <c r="AE423" i="39"/>
  <c r="AE414" i="39"/>
  <c r="AE403" i="39"/>
  <c r="AE400" i="39"/>
  <c r="AE399" i="39"/>
  <c r="AE404" i="39"/>
  <c r="AE402" i="39"/>
  <c r="AE401" i="39"/>
  <c r="AA480" i="39"/>
  <c r="AA482" i="39"/>
  <c r="AA483" i="39" s="1"/>
  <c r="AB243" i="39"/>
  <c r="AB255" i="39" s="1"/>
  <c r="AB262" i="39" s="1"/>
  <c r="AB265" i="39" s="1"/>
  <c r="AB267" i="39" s="1"/>
  <c r="AB268" i="39" s="1"/>
  <c r="AE571" i="39"/>
  <c r="AE540" i="39"/>
  <c r="AE538" i="39" s="1"/>
  <c r="AE609" i="39"/>
  <c r="AD537" i="39"/>
  <c r="AD549" i="39" s="1"/>
  <c r="AD556" i="39" s="1"/>
  <c r="AC246" i="39"/>
  <c r="AC244" i="39" s="1"/>
  <c r="AC284" i="39"/>
  <c r="AC282" i="39" s="1"/>
  <c r="AE612" i="39"/>
  <c r="AD290" i="39"/>
  <c r="AD252" i="39"/>
  <c r="AD221" i="39" a="1"/>
  <c r="AD221" i="39" s="1"/>
  <c r="AD218" i="39" s="1"/>
  <c r="AC110" i="39"/>
  <c r="AC108" i="39" s="1"/>
  <c r="AA319" i="39"/>
  <c r="AA320" i="39" s="1"/>
  <c r="AA317" i="39"/>
  <c r="AE909" i="39"/>
  <c r="AE947" i="39"/>
  <c r="AE583" i="39"/>
  <c r="AE621" i="39"/>
  <c r="AD899" i="39"/>
  <c r="AC968" i="39"/>
  <c r="AC981" i="39"/>
  <c r="AD785" i="39"/>
  <c r="AD747" i="39"/>
  <c r="AC128" i="39"/>
  <c r="AC125" i="39" s="1"/>
  <c r="AC90" i="39"/>
  <c r="AC87" i="39" s="1"/>
  <c r="AG195" i="39"/>
  <c r="AE573" i="39"/>
  <c r="AE249" i="39"/>
  <c r="Z330" i="39"/>
  <c r="Z331" i="39" s="1"/>
  <c r="Z333" i="39" s="1"/>
  <c r="Z334" i="39" s="1"/>
  <c r="AD283" i="39"/>
  <c r="AD245" i="39"/>
  <c r="AD214" i="39"/>
  <c r="AC780" i="39"/>
  <c r="AC777" i="39" s="1"/>
  <c r="AC742" i="39"/>
  <c r="AC739" i="39" s="1"/>
  <c r="AC83" i="39"/>
  <c r="AC81" i="39" s="1"/>
  <c r="AC121" i="39"/>
  <c r="AC119" i="39" s="1"/>
  <c r="AD120" i="39"/>
  <c r="AD51" i="39"/>
  <c r="AD49" i="39" s="1"/>
  <c r="AD82" i="39"/>
  <c r="AD704" i="39"/>
  <c r="AD737" i="39"/>
  <c r="AD736" i="39" s="1"/>
  <c r="AD775" i="39"/>
  <c r="AE623" i="39"/>
  <c r="AE585" i="39"/>
  <c r="AE900" i="39"/>
  <c r="AE867" i="39"/>
  <c r="AE938" i="39"/>
  <c r="AD579" i="39"/>
  <c r="AD576" i="39" s="1"/>
  <c r="AD617" i="39"/>
  <c r="AD614" i="39" s="1"/>
  <c r="AB818" i="39"/>
  <c r="AB805" i="39"/>
  <c r="Z317" i="39"/>
  <c r="Z319" i="39"/>
  <c r="Z320" i="39" s="1"/>
  <c r="AD278" i="39"/>
  <c r="AD279" i="39"/>
  <c r="AD276" i="39"/>
  <c r="AD272" i="39"/>
  <c r="AD275" i="39"/>
  <c r="AD298" i="39"/>
  <c r="AD274" i="39"/>
  <c r="AD277" i="39"/>
  <c r="AD289" i="39"/>
  <c r="AC707" i="39"/>
  <c r="AC700" i="39" s="1"/>
  <c r="AC712" i="39" s="1"/>
  <c r="AC719" i="39" s="1"/>
  <c r="AD94" i="39"/>
  <c r="AD132" i="39"/>
  <c r="AE899" i="39" l="1"/>
  <c r="AE937" i="39"/>
  <c r="AE611" i="39"/>
  <c r="AF541" i="39"/>
  <c r="AC406" i="39"/>
  <c r="AC418" i="39" s="1"/>
  <c r="AC425" i="39" s="1"/>
  <c r="AC428" i="39" s="1"/>
  <c r="AC430" i="39" s="1"/>
  <c r="AC431" i="39" s="1"/>
  <c r="AD110" i="39"/>
  <c r="AF573" i="39"/>
  <c r="AD774" i="39"/>
  <c r="AE398" i="39"/>
  <c r="AE396" i="39" s="1"/>
  <c r="AF887" i="39"/>
  <c r="AF885" i="39" s="1"/>
  <c r="AD762" i="39"/>
  <c r="AD760" i="39" s="1"/>
  <c r="AD122" i="39"/>
  <c r="AE724" i="39"/>
  <c r="AE722" i="39" s="1"/>
  <c r="AC281" i="39"/>
  <c r="AC293" i="39" s="1"/>
  <c r="AC300" i="39" s="1"/>
  <c r="AC303" i="39" s="1"/>
  <c r="AC305" i="39" s="1"/>
  <c r="AC306" i="39" s="1"/>
  <c r="AC118" i="39"/>
  <c r="AC130" i="39" s="1"/>
  <c r="AC137" i="39" s="1"/>
  <c r="AC140" i="39" s="1"/>
  <c r="AC142" i="39" s="1"/>
  <c r="AC143" i="39" s="1"/>
  <c r="AC243" i="39"/>
  <c r="AC255" i="39" s="1"/>
  <c r="AC262" i="39" s="1"/>
  <c r="AC265" i="39" s="1"/>
  <c r="AC267" i="39" s="1"/>
  <c r="AC268" i="39" s="1"/>
  <c r="AC80" i="39"/>
  <c r="AC92" i="39" s="1"/>
  <c r="AC99" i="39" s="1"/>
  <c r="AC102" i="39" s="1"/>
  <c r="AC104" i="39" s="1"/>
  <c r="AC105" i="39" s="1"/>
  <c r="AD863" i="39"/>
  <c r="AD875" i="39" s="1"/>
  <c r="AD882" i="39" s="1"/>
  <c r="AD968" i="39" s="1"/>
  <c r="AD895" i="39"/>
  <c r="AD907" i="39" s="1"/>
  <c r="AD914" i="39" s="1"/>
  <c r="AD917" i="39" s="1"/>
  <c r="AD919" i="39" s="1"/>
  <c r="AD920" i="39" s="1"/>
  <c r="AE235" i="39"/>
  <c r="AD569" i="39"/>
  <c r="AD581" i="39" s="1"/>
  <c r="AD588" i="39" s="1"/>
  <c r="AD591" i="39" s="1"/>
  <c r="AD593" i="39" s="1"/>
  <c r="AD594" i="39" s="1"/>
  <c r="AF561" i="39"/>
  <c r="AF559" i="39" s="1"/>
  <c r="AC479" i="39"/>
  <c r="AC482" i="39" s="1"/>
  <c r="AC483" i="39" s="1"/>
  <c r="AC770" i="39"/>
  <c r="AC782" i="39" s="1"/>
  <c r="AC789" i="39" s="1"/>
  <c r="AC792" i="39" s="1"/>
  <c r="AC794" i="39" s="1"/>
  <c r="AC795" i="39" s="1"/>
  <c r="AD933" i="39"/>
  <c r="AD945" i="39" s="1"/>
  <c r="AD952" i="39" s="1"/>
  <c r="AD955" i="39" s="1"/>
  <c r="AD957" i="39" s="1"/>
  <c r="AD958" i="39" s="1"/>
  <c r="AA334" i="39"/>
  <c r="AC316" i="39"/>
  <c r="AC329" i="39"/>
  <c r="AE214" i="39"/>
  <c r="AE283" i="39"/>
  <c r="AE245" i="39"/>
  <c r="AE579" i="39"/>
  <c r="AE576" i="39" s="1"/>
  <c r="AE617" i="39"/>
  <c r="AE614" i="39" s="1"/>
  <c r="AI520" i="39"/>
  <c r="AE761" i="39"/>
  <c r="AE787" i="39"/>
  <c r="AE778" i="39"/>
  <c r="AE767" i="39"/>
  <c r="AE763" i="39"/>
  <c r="AE766" i="39"/>
  <c r="AE768" i="39"/>
  <c r="AE764" i="39"/>
  <c r="AE765" i="39"/>
  <c r="AC444" i="39"/>
  <c r="AC456" i="39" s="1"/>
  <c r="AC463" i="39" s="1"/>
  <c r="AC466" i="39" s="1"/>
  <c r="AC468" i="39" s="1"/>
  <c r="AC469" i="39" s="1"/>
  <c r="AH25" i="39"/>
  <c r="AG27" i="39"/>
  <c r="AF901" i="39"/>
  <c r="AF939" i="39"/>
  <c r="AC645" i="39"/>
  <c r="AC646" i="39" s="1"/>
  <c r="AC643" i="39"/>
  <c r="AE295" i="39"/>
  <c r="AE257" i="39"/>
  <c r="AG564" i="39"/>
  <c r="AG551" i="39" a="1"/>
  <c r="AG551" i="39" s="1"/>
  <c r="AG560" i="39"/>
  <c r="AG517" i="39"/>
  <c r="AG546" i="39" a="1"/>
  <c r="AG546" i="39" s="1"/>
  <c r="AG552" i="39" a="1"/>
  <c r="AG552" i="39" s="1"/>
  <c r="AG539" i="39" a="1"/>
  <c r="AG539" i="39" s="1"/>
  <c r="AG553" i="39" a="1"/>
  <c r="AG553" i="39" s="1"/>
  <c r="AG640" i="39"/>
  <c r="AG586" i="39"/>
  <c r="AG577" i="39"/>
  <c r="AG565" i="39"/>
  <c r="AG567" i="39"/>
  <c r="AG562" i="39"/>
  <c r="AG563" i="39"/>
  <c r="AG566" i="39"/>
  <c r="AG848" i="39"/>
  <c r="AG868" i="39" s="1" a="1"/>
  <c r="AG868" i="39" s="1"/>
  <c r="AH846" i="39"/>
  <c r="AC805" i="39"/>
  <c r="AC818" i="39"/>
  <c r="AH842" i="39"/>
  <c r="AI840" i="39"/>
  <c r="AE85" i="39"/>
  <c r="AE123" i="39"/>
  <c r="AE52" i="39"/>
  <c r="AE278" i="39"/>
  <c r="AE272" i="39"/>
  <c r="AE298" i="39"/>
  <c r="AE274" i="39"/>
  <c r="AE277" i="39"/>
  <c r="AE276" i="39"/>
  <c r="AE275" i="39"/>
  <c r="AE289" i="39"/>
  <c r="AE279" i="39"/>
  <c r="AD436" i="39"/>
  <c r="AD434" i="39" s="1"/>
  <c r="AB316" i="39"/>
  <c r="AB329" i="39"/>
  <c r="AG849" i="39"/>
  <c r="AG869" i="39" s="1" a="1"/>
  <c r="AG869" i="39" s="1"/>
  <c r="AH847" i="39"/>
  <c r="AC656" i="39"/>
  <c r="AC657" i="39" s="1"/>
  <c r="AC659" i="39" s="1"/>
  <c r="AC660" i="39" s="1"/>
  <c r="AE252" i="39"/>
  <c r="AE290" i="39"/>
  <c r="AE221" i="39" a="1"/>
  <c r="AE221" i="39" s="1"/>
  <c r="AD409" i="39"/>
  <c r="AD407" i="39" s="1"/>
  <c r="AD447" i="39"/>
  <c r="AD445" i="39" s="1"/>
  <c r="AE287" i="39"/>
  <c r="AE544" i="39"/>
  <c r="AE537" i="39" s="1"/>
  <c r="AE549" i="39" s="1"/>
  <c r="AE556" i="39" s="1"/>
  <c r="AE72" i="39"/>
  <c r="AE70" i="39" s="1"/>
  <c r="AG522" i="39"/>
  <c r="AG542" i="39" s="1" a="1"/>
  <c r="AG542" i="39" s="1"/>
  <c r="AE936" i="39"/>
  <c r="AE934" i="39" s="1"/>
  <c r="AE898" i="39"/>
  <c r="AE896" i="39" s="1"/>
  <c r="AF64" i="39" a="1"/>
  <c r="AF64" i="39" s="1"/>
  <c r="AF62" i="39" a="1"/>
  <c r="AF62" i="39" s="1"/>
  <c r="AF71" i="39"/>
  <c r="AF63" i="39" a="1"/>
  <c r="AF63" i="39" s="1"/>
  <c r="AF57" i="39" a="1"/>
  <c r="AF57" i="39" s="1"/>
  <c r="AF28" i="39"/>
  <c r="AF50" i="39" a="1"/>
  <c r="AF50" i="39" s="1"/>
  <c r="AF151" i="39"/>
  <c r="AF97" i="39"/>
  <c r="AF73" i="39"/>
  <c r="AF88" i="39"/>
  <c r="AF76" i="39"/>
  <c r="AF75" i="39"/>
  <c r="AF77" i="39"/>
  <c r="AF78" i="39"/>
  <c r="AF74" i="39"/>
  <c r="AF33" i="39"/>
  <c r="AF53" i="39" s="1" a="1"/>
  <c r="AF53" i="39" s="1"/>
  <c r="AF34" i="39"/>
  <c r="AF54" i="39" s="1" a="1"/>
  <c r="AF54" i="39" s="1"/>
  <c r="AD375" i="39"/>
  <c r="AE86" i="39"/>
  <c r="AE124" i="39"/>
  <c r="AE741" i="39"/>
  <c r="AE779" i="39"/>
  <c r="AE710" i="39" a="1"/>
  <c r="AE710" i="39" s="1"/>
  <c r="AE707" i="39" s="1"/>
  <c r="AE863" i="39"/>
  <c r="AE875" i="39" s="1"/>
  <c r="AE882" i="39" s="1"/>
  <c r="AE296" i="39"/>
  <c r="AE258" i="39"/>
  <c r="AE776" i="39"/>
  <c r="AC493" i="39"/>
  <c r="AC494" i="39" s="1"/>
  <c r="AC496" i="39" s="1"/>
  <c r="AF910" i="39"/>
  <c r="AF948" i="39"/>
  <c r="AF900" i="39"/>
  <c r="AF867" i="39"/>
  <c r="AF938" i="39"/>
  <c r="AG879" i="39" a="1"/>
  <c r="AG879" i="39" s="1"/>
  <c r="AG878" i="39" a="1"/>
  <c r="AG878" i="39" s="1"/>
  <c r="AG843" i="39"/>
  <c r="AG886" i="39"/>
  <c r="AG890" i="39"/>
  <c r="AG966" i="39"/>
  <c r="AG872" i="39" a="1"/>
  <c r="AG872" i="39" s="1"/>
  <c r="AG877" i="39" a="1"/>
  <c r="AG877" i="39" s="1"/>
  <c r="AG865" i="39" a="1"/>
  <c r="AG865" i="39" s="1"/>
  <c r="AG912" i="39"/>
  <c r="AG891" i="39"/>
  <c r="AG903" i="39"/>
  <c r="AG889" i="39"/>
  <c r="AG893" i="39"/>
  <c r="AG892" i="39"/>
  <c r="AG888" i="39"/>
  <c r="AD655" i="39"/>
  <c r="AD642" i="39"/>
  <c r="AG679" i="39"/>
  <c r="AG686" i="39" s="1"/>
  <c r="AG706" i="39" s="1" a="1"/>
  <c r="AG706" i="39" s="1"/>
  <c r="AH677" i="39"/>
  <c r="AD83" i="39"/>
  <c r="AD81" i="39" s="1"/>
  <c r="AD121" i="39"/>
  <c r="AD119" i="39" s="1"/>
  <c r="AE415" i="39"/>
  <c r="AE453" i="39"/>
  <c r="AE384" i="39" a="1"/>
  <c r="AE384" i="39" s="1"/>
  <c r="AF723" i="39"/>
  <c r="AF730" i="39"/>
  <c r="AF714" i="39" a="1"/>
  <c r="AF714" i="39" s="1"/>
  <c r="AF709" i="39" a="1"/>
  <c r="AF709" i="39" s="1"/>
  <c r="AF715" i="39" a="1"/>
  <c r="AF715" i="39" s="1"/>
  <c r="AF729" i="39"/>
  <c r="AF680" i="39"/>
  <c r="AF716" i="39" a="1"/>
  <c r="AF716" i="39" s="1"/>
  <c r="AF702" i="39" a="1"/>
  <c r="AF702" i="39" s="1"/>
  <c r="AF803" i="39"/>
  <c r="AF749" i="39"/>
  <c r="AF725" i="39"/>
  <c r="AF740" i="39"/>
  <c r="AF727" i="39"/>
  <c r="AF728" i="39"/>
  <c r="AF726" i="39"/>
  <c r="AF685" i="39"/>
  <c r="AF705" i="39" s="1" a="1"/>
  <c r="AF705" i="39" s="1"/>
  <c r="AF234" i="39"/>
  <c r="AF220" i="39" a="1"/>
  <c r="AF220" i="39" s="1"/>
  <c r="AF225" i="39" a="1"/>
  <c r="AF225" i="39" s="1"/>
  <c r="AF227" i="39" a="1"/>
  <c r="AF227" i="39" s="1"/>
  <c r="AF191" i="39"/>
  <c r="AF287" i="39" s="1"/>
  <c r="AF226" i="39" a="1"/>
  <c r="AF226" i="39" s="1"/>
  <c r="AF213" i="39" a="1"/>
  <c r="AF213" i="39" s="1"/>
  <c r="AF260" i="39"/>
  <c r="AF314" i="39"/>
  <c r="AF240" i="39"/>
  <c r="AF238" i="39"/>
  <c r="AF236" i="39"/>
  <c r="AF239" i="39"/>
  <c r="AF237" i="39"/>
  <c r="AF241" i="39"/>
  <c r="AF251" i="39"/>
  <c r="AF196" i="39"/>
  <c r="AF216" i="39" s="1" a="1"/>
  <c r="AF216" i="39" s="1"/>
  <c r="AE784" i="39"/>
  <c r="AE746" i="39"/>
  <c r="AD108" i="39"/>
  <c r="AE133" i="39"/>
  <c r="AE95" i="39"/>
  <c r="AJ683" i="39"/>
  <c r="AH195" i="39"/>
  <c r="AE610" i="39"/>
  <c r="AE608" i="39" s="1"/>
  <c r="AE572" i="39"/>
  <c r="AE570" i="39" s="1"/>
  <c r="AE446" i="39"/>
  <c r="AE408" i="39"/>
  <c r="AE377" i="39"/>
  <c r="AE375" i="39" s="1"/>
  <c r="AE925" i="39"/>
  <c r="AE923" i="39" s="1"/>
  <c r="AG190" i="39"/>
  <c r="AG197" i="39" s="1"/>
  <c r="AG217" i="39" s="1" a="1"/>
  <c r="AG217" i="39" s="1"/>
  <c r="AH188" i="39"/>
  <c r="AE259" i="39"/>
  <c r="AE297" i="39"/>
  <c r="AE458" i="39"/>
  <c r="AE420" i="39"/>
  <c r="AD607" i="39"/>
  <c r="AD619" i="39" s="1"/>
  <c r="AD626" i="39" s="1"/>
  <c r="AD629" i="39" s="1"/>
  <c r="AD631" i="39" s="1"/>
  <c r="AD632" i="39" s="1"/>
  <c r="AH351" i="39"/>
  <c r="AG353" i="39"/>
  <c r="AG359" i="39" s="1"/>
  <c r="AG379" i="39" s="1" a="1"/>
  <c r="AG379" i="39" s="1"/>
  <c r="AE703" i="39"/>
  <c r="AE734" i="39"/>
  <c r="AE772" i="39"/>
  <c r="AE286" i="39"/>
  <c r="AE215" i="39"/>
  <c r="AE248" i="39"/>
  <c r="AE247" i="39" s="1"/>
  <c r="AE233" i="39"/>
  <c r="AH357" i="39"/>
  <c r="AE905" i="39"/>
  <c r="AE902" i="39" s="1"/>
  <c r="AE943" i="39"/>
  <c r="AE940" i="39" s="1"/>
  <c r="AH358" i="39"/>
  <c r="AC732" i="39"/>
  <c r="AC744" i="39" s="1"/>
  <c r="AC751" i="39" s="1"/>
  <c r="AC754" i="39" s="1"/>
  <c r="AC756" i="39" s="1"/>
  <c r="AC757" i="39" s="1"/>
  <c r="AE460" i="39"/>
  <c r="AE422" i="39"/>
  <c r="AF390" i="39" a="1"/>
  <c r="AF390" i="39" s="1"/>
  <c r="AF397" i="39"/>
  <c r="AF388" i="39" a="1"/>
  <c r="AF388" i="39" s="1"/>
  <c r="AF383" i="39" a="1"/>
  <c r="AF383" i="39" s="1"/>
  <c r="AF389" i="39" a="1"/>
  <c r="AF389" i="39" s="1"/>
  <c r="AF404" i="39"/>
  <c r="AF401" i="39"/>
  <c r="AF354" i="39"/>
  <c r="AF423" i="39"/>
  <c r="AF376" i="39" a="1"/>
  <c r="AF376" i="39" s="1"/>
  <c r="AF477" i="39"/>
  <c r="AF399" i="39"/>
  <c r="AF400" i="39"/>
  <c r="AF414" i="39"/>
  <c r="AF403" i="39"/>
  <c r="AF402" i="39"/>
  <c r="AE748" i="39"/>
  <c r="AE786" i="39"/>
  <c r="AF866" i="39"/>
  <c r="AF935" i="39"/>
  <c r="AF897" i="39"/>
  <c r="AF359" i="39"/>
  <c r="AF379" i="39" s="1" a="1"/>
  <c r="AF379" i="39" s="1"/>
  <c r="AF360" i="39"/>
  <c r="AF380" i="39" s="1" a="1"/>
  <c r="AF380" i="39" s="1"/>
  <c r="AF249" i="39"/>
  <c r="AB819" i="39"/>
  <c r="AB820" i="39" s="1"/>
  <c r="AB822" i="39" s="1"/>
  <c r="AB823" i="39" s="1"/>
  <c r="AI521" i="39"/>
  <c r="AF947" i="39"/>
  <c r="AF909" i="39"/>
  <c r="AD416" i="39"/>
  <c r="AD413" i="39" s="1"/>
  <c r="AD454" i="39"/>
  <c r="AD451" i="39" s="1"/>
  <c r="AF540" i="39"/>
  <c r="AF571" i="39"/>
  <c r="AF609" i="39"/>
  <c r="AE599" i="39"/>
  <c r="AE597" i="39" s="1"/>
  <c r="AB156" i="39"/>
  <c r="AB157" i="39" s="1"/>
  <c r="AB154" i="39"/>
  <c r="AE704" i="39"/>
  <c r="AE775" i="39"/>
  <c r="AE737" i="39"/>
  <c r="AE736" i="39" s="1"/>
  <c r="AE94" i="39"/>
  <c r="AE132" i="39"/>
  <c r="AF949" i="39"/>
  <c r="AF911" i="39"/>
  <c r="AD381" i="39"/>
  <c r="AF578" i="39"/>
  <c r="AF616" i="39"/>
  <c r="AF547" i="39" a="1"/>
  <c r="AF547" i="39" s="1"/>
  <c r="AB167" i="39"/>
  <c r="AB168" i="39" s="1"/>
  <c r="AB170" i="39" s="1"/>
  <c r="AB171" i="39" s="1"/>
  <c r="AD253" i="39"/>
  <c r="AD250" i="39" s="1"/>
  <c r="AD291" i="39"/>
  <c r="AD288" i="39" s="1"/>
  <c r="AE134" i="39"/>
  <c r="AE96" i="39"/>
  <c r="AH684" i="39"/>
  <c r="AJ32" i="39"/>
  <c r="AF622" i="39"/>
  <c r="AF584" i="39"/>
  <c r="AD84" i="39"/>
  <c r="AB808" i="39"/>
  <c r="AB809" i="39" s="1"/>
  <c r="AB806" i="39"/>
  <c r="AE461" i="39"/>
  <c r="AE435" i="39"/>
  <c r="AE442" i="39"/>
  <c r="AE440" i="39"/>
  <c r="AE437" i="39"/>
  <c r="AE438" i="39"/>
  <c r="AE441" i="39"/>
  <c r="AE452" i="39"/>
  <c r="AE439" i="39"/>
  <c r="AD742" i="39"/>
  <c r="AD739" i="39" s="1"/>
  <c r="AD780" i="39"/>
  <c r="AD777" i="39" s="1"/>
  <c r="AF904" i="39"/>
  <c r="AF942" i="39"/>
  <c r="AF873" i="39" a="1"/>
  <c r="AF873" i="39" s="1"/>
  <c r="AF686" i="39"/>
  <c r="AF706" i="39" s="1" a="1"/>
  <c r="AF706" i="39" s="1"/>
  <c r="AF624" i="39"/>
  <c r="AF598" i="39"/>
  <c r="AF603" i="39"/>
  <c r="AF604" i="39"/>
  <c r="AF602" i="39"/>
  <c r="AF605" i="39"/>
  <c r="AF615" i="39"/>
  <c r="AF600" i="39"/>
  <c r="AF601" i="39"/>
  <c r="AC166" i="39"/>
  <c r="AC153" i="39"/>
  <c r="AE411" i="39"/>
  <c r="AE410" i="39" s="1"/>
  <c r="AE449" i="39"/>
  <c r="AE448" i="39" s="1"/>
  <c r="AE378" i="39"/>
  <c r="AF613" i="39"/>
  <c r="AB493" i="39"/>
  <c r="AB494" i="39" s="1"/>
  <c r="AB496" i="39" s="1"/>
  <c r="AB497" i="39" s="1"/>
  <c r="AE421" i="39"/>
  <c r="AE459" i="39"/>
  <c r="AE120" i="39"/>
  <c r="AE82" i="39"/>
  <c r="AE51" i="39"/>
  <c r="AE49" i="39" s="1"/>
  <c r="AD735" i="39"/>
  <c r="AD733" i="39" s="1"/>
  <c r="AD773" i="39"/>
  <c r="AD771" i="39" s="1"/>
  <c r="AF924" i="39"/>
  <c r="AF950" i="39"/>
  <c r="AF929" i="39"/>
  <c r="AF927" i="39"/>
  <c r="AF928" i="39"/>
  <c r="AF931" i="39"/>
  <c r="AF941" i="39"/>
  <c r="AF930" i="39"/>
  <c r="AF926" i="39"/>
  <c r="AF583" i="39"/>
  <c r="AF621" i="39"/>
  <c r="AB482" i="39"/>
  <c r="AB483" i="39" s="1"/>
  <c r="AB480" i="39"/>
  <c r="AE89" i="39"/>
  <c r="AE127" i="39"/>
  <c r="AE58" i="39" a="1"/>
  <c r="AE58" i="39" s="1"/>
  <c r="AE55" i="39" s="1"/>
  <c r="AE785" i="39"/>
  <c r="AE747" i="39"/>
  <c r="AG523" i="39"/>
  <c r="AG543" i="39" s="1" a="1"/>
  <c r="AG543" i="39" s="1"/>
  <c r="AD284" i="39"/>
  <c r="AD282" i="39" s="1"/>
  <c r="AD246" i="39"/>
  <c r="AD244" i="39" s="1"/>
  <c r="AC982" i="39"/>
  <c r="AC983" i="39" s="1"/>
  <c r="AC985" i="39" s="1"/>
  <c r="AC986" i="39" s="1"/>
  <c r="AE135" i="39"/>
  <c r="AE109" i="39"/>
  <c r="AE126" i="39"/>
  <c r="AE112" i="39"/>
  <c r="AE116" i="39"/>
  <c r="AE111" i="39"/>
  <c r="AE114" i="39"/>
  <c r="AE115" i="39"/>
  <c r="AE113" i="39"/>
  <c r="AC971" i="39"/>
  <c r="AC972" i="39" s="1"/>
  <c r="AC969" i="39"/>
  <c r="AD707" i="39"/>
  <c r="AD700" i="39" s="1"/>
  <c r="AD712" i="39" s="1"/>
  <c r="AD719" i="39" s="1"/>
  <c r="AD128" i="39"/>
  <c r="AD125" i="39" s="1"/>
  <c r="AD90" i="39"/>
  <c r="AD87" i="39" s="1"/>
  <c r="AD273" i="39"/>
  <c r="AD271" i="39" s="1"/>
  <c r="AD212" i="39"/>
  <c r="AD211" i="39" s="1"/>
  <c r="AD223" i="39" s="1"/>
  <c r="AD230" i="39" s="1"/>
  <c r="AF612" i="39"/>
  <c r="AD55" i="39"/>
  <c r="AD48" i="39" s="1"/>
  <c r="AD60" i="39" s="1"/>
  <c r="AD67" i="39" s="1"/>
  <c r="AF623" i="39"/>
  <c r="AF585" i="39"/>
  <c r="AI194" i="39"/>
  <c r="AH516" i="39"/>
  <c r="AH523" i="39" s="1"/>
  <c r="AH543" i="39" s="1" a="1"/>
  <c r="AH543" i="39" s="1"/>
  <c r="AI514" i="39"/>
  <c r="AF937" i="39" l="1"/>
  <c r="AD981" i="39"/>
  <c r="AF899" i="39"/>
  <c r="AE110" i="39"/>
  <c r="AE84" i="39"/>
  <c r="AE607" i="39"/>
  <c r="AD281" i="39"/>
  <c r="AD293" i="39" s="1"/>
  <c r="AD300" i="39" s="1"/>
  <c r="AD303" i="39" s="1"/>
  <c r="AD305" i="39" s="1"/>
  <c r="AD306" i="39" s="1"/>
  <c r="AC480" i="39"/>
  <c r="AE569" i="39"/>
  <c r="AE581" i="39" s="1"/>
  <c r="AE588" i="39" s="1"/>
  <c r="AE591" i="39" s="1"/>
  <c r="AE593" i="39" s="1"/>
  <c r="AE594" i="39" s="1"/>
  <c r="AG360" i="39"/>
  <c r="AG380" i="39" s="1" a="1"/>
  <c r="AG380" i="39" s="1"/>
  <c r="AG412" i="39" s="1"/>
  <c r="AD770" i="39"/>
  <c r="AD782" i="39" s="1"/>
  <c r="AD789" i="39" s="1"/>
  <c r="AD792" i="39" s="1"/>
  <c r="AD794" i="39" s="1"/>
  <c r="AD795" i="39" s="1"/>
  <c r="AF72" i="39"/>
  <c r="AD444" i="39"/>
  <c r="AD456" i="39" s="1"/>
  <c r="AD463" i="39" s="1"/>
  <c r="AD466" i="39" s="1"/>
  <c r="AD468" i="39" s="1"/>
  <c r="AD469" i="39" s="1"/>
  <c r="AF599" i="39"/>
  <c r="AF597" i="39" s="1"/>
  <c r="AE774" i="39"/>
  <c r="AD406" i="39"/>
  <c r="AD418" i="39" s="1"/>
  <c r="AD425" i="39" s="1"/>
  <c r="AD428" i="39" s="1"/>
  <c r="AD430" i="39" s="1"/>
  <c r="AD431" i="39" s="1"/>
  <c r="AE48" i="39"/>
  <c r="AE60" i="39" s="1"/>
  <c r="AE67" i="39" s="1"/>
  <c r="AE166" i="39" s="1"/>
  <c r="AE167" i="39" s="1"/>
  <c r="AE168" i="39" s="1"/>
  <c r="AE170" i="39" s="1"/>
  <c r="AF925" i="39"/>
  <c r="AF923" i="39" s="1"/>
  <c r="AG887" i="39"/>
  <c r="AC497" i="39"/>
  <c r="AD166" i="39"/>
  <c r="AD153" i="39"/>
  <c r="AD243" i="39"/>
  <c r="AD255" i="39" s="1"/>
  <c r="AD262" i="39" s="1"/>
  <c r="AD265" i="39" s="1"/>
  <c r="AD267" i="39" s="1"/>
  <c r="AD268" i="39" s="1"/>
  <c r="AD805" i="39"/>
  <c r="AD818" i="39"/>
  <c r="AH575" i="39"/>
  <c r="AD118" i="39"/>
  <c r="AD130" i="39" s="1"/>
  <c r="AD137" i="39" s="1"/>
  <c r="AD140" i="39" s="1"/>
  <c r="AD142" i="39" s="1"/>
  <c r="AD143" i="39" s="1"/>
  <c r="AG622" i="39"/>
  <c r="AG584" i="39"/>
  <c r="AE416" i="39"/>
  <c r="AE413" i="39" s="1"/>
  <c r="AE454" i="39"/>
  <c r="AE451" i="39" s="1"/>
  <c r="AF51" i="39"/>
  <c r="AF49" i="39" s="1"/>
  <c r="AF82" i="39"/>
  <c r="AF120" i="39"/>
  <c r="AC819" i="39"/>
  <c r="AC820" i="39" s="1"/>
  <c r="AC822" i="39" s="1"/>
  <c r="AC823" i="39" s="1"/>
  <c r="AG578" i="39"/>
  <c r="AG616" i="39"/>
  <c r="AG547" i="39" a="1"/>
  <c r="AG547" i="39" s="1"/>
  <c r="AE284" i="39"/>
  <c r="AE282" i="39" s="1"/>
  <c r="AE246" i="39"/>
  <c r="AE244" i="39" s="1"/>
  <c r="AF784" i="39"/>
  <c r="AF746" i="39"/>
  <c r="AD80" i="39"/>
  <c r="AD92" i="39" s="1"/>
  <c r="AD99" i="39" s="1"/>
  <c r="AD102" i="39" s="1"/>
  <c r="AD104" i="39" s="1"/>
  <c r="AD105" i="39" s="1"/>
  <c r="AI357" i="39"/>
  <c r="AJ840" i="39"/>
  <c r="AJ842" i="39" s="1"/>
  <c r="AI842" i="39"/>
  <c r="AG575" i="39"/>
  <c r="AG613" i="39"/>
  <c r="AF415" i="39"/>
  <c r="AF453" i="39"/>
  <c r="AF384" i="39" a="1"/>
  <c r="AF384" i="39" s="1"/>
  <c r="AF381" i="39" s="1"/>
  <c r="AE381" i="39"/>
  <c r="AF109" i="39"/>
  <c r="AF135" i="39"/>
  <c r="AF111" i="39"/>
  <c r="AF115" i="39"/>
  <c r="AF114" i="39"/>
  <c r="AF116" i="39"/>
  <c r="AF113" i="39"/>
  <c r="AF112" i="39"/>
  <c r="AF126" i="39"/>
  <c r="AE291" i="39"/>
  <c r="AE288" i="39" s="1"/>
  <c r="AE253" i="39"/>
  <c r="AE250" i="39" s="1"/>
  <c r="AC806" i="39"/>
  <c r="AC808" i="39"/>
  <c r="AC809" i="39" s="1"/>
  <c r="AG602" i="39"/>
  <c r="AG605" i="39"/>
  <c r="AG624" i="39"/>
  <c r="AG598" i="39"/>
  <c r="AG604" i="39"/>
  <c r="AG603" i="39"/>
  <c r="AG600" i="39"/>
  <c r="AG601" i="39"/>
  <c r="AG615" i="39"/>
  <c r="AE212" i="39"/>
  <c r="AF704" i="39"/>
  <c r="AF775" i="39"/>
  <c r="AF737" i="39"/>
  <c r="AH878" i="39" a="1"/>
  <c r="AH878" i="39" s="1"/>
  <c r="AH886" i="39"/>
  <c r="AH872" i="39" a="1"/>
  <c r="AH872" i="39" s="1"/>
  <c r="AH843" i="39"/>
  <c r="AH877" i="39" a="1"/>
  <c r="AH877" i="39" s="1"/>
  <c r="AH903" i="39"/>
  <c r="AH879" i="39" a="1"/>
  <c r="AH879" i="39" s="1"/>
  <c r="AH865" i="39" a="1"/>
  <c r="AH865" i="39" s="1"/>
  <c r="AH966" i="39"/>
  <c r="AH912" i="39"/>
  <c r="AH890" i="39"/>
  <c r="AH891" i="39"/>
  <c r="AH888" i="39"/>
  <c r="AH892" i="39"/>
  <c r="AH889" i="39"/>
  <c r="AH893" i="39"/>
  <c r="AF776" i="39"/>
  <c r="AF738" i="39"/>
  <c r="AF458" i="39"/>
  <c r="AF420" i="39"/>
  <c r="AE933" i="39"/>
  <c r="AF235" i="39"/>
  <c r="AF233" i="39" s="1"/>
  <c r="AD374" i="39"/>
  <c r="AD386" i="39" s="1"/>
  <c r="AD393" i="39" s="1"/>
  <c r="AF89" i="39"/>
  <c r="AF127" i="39"/>
  <c r="AF58" i="39" a="1"/>
  <c r="AF58" i="39" s="1"/>
  <c r="AE218" i="39"/>
  <c r="AH848" i="39"/>
  <c r="AH868" i="39" s="1" a="1"/>
  <c r="AH868" i="39" s="1"/>
  <c r="AI846" i="39"/>
  <c r="AE762" i="39"/>
  <c r="AE760" i="39" s="1"/>
  <c r="AC330" i="39"/>
  <c r="AC331" i="39" s="1"/>
  <c r="AC333" i="39" s="1"/>
  <c r="AG949" i="39"/>
  <c r="AG911" i="39"/>
  <c r="AF898" i="39"/>
  <c r="AF896" i="39" s="1"/>
  <c r="AF936" i="39"/>
  <c r="AF934" i="39" s="1"/>
  <c r="AF95" i="39"/>
  <c r="AF133" i="39"/>
  <c r="AG938" i="39"/>
  <c r="AG867" i="39"/>
  <c r="AG900" i="39"/>
  <c r="AG583" i="39"/>
  <c r="AG621" i="39"/>
  <c r="AC319" i="39"/>
  <c r="AC320" i="39" s="1"/>
  <c r="AC317" i="39"/>
  <c r="AF248" i="39"/>
  <c r="AF247" i="39" s="1"/>
  <c r="AF215" i="39"/>
  <c r="AF286" i="39"/>
  <c r="AF285" i="39" s="1"/>
  <c r="AF905" i="39"/>
  <c r="AF902" i="39" s="1"/>
  <c r="AF943" i="39"/>
  <c r="AF940" i="39" s="1"/>
  <c r="AJ521" i="39"/>
  <c r="AE285" i="39"/>
  <c r="AE128" i="39"/>
  <c r="AE125" i="39" s="1"/>
  <c r="AE90" i="39"/>
  <c r="AE87" i="39" s="1"/>
  <c r="AF870" i="39"/>
  <c r="AF422" i="39"/>
  <c r="AF460" i="39"/>
  <c r="AF724" i="39"/>
  <c r="AF722" i="39" s="1"/>
  <c r="AF70" i="39"/>
  <c r="AE273" i="39"/>
  <c r="AE271" i="39" s="1"/>
  <c r="AG609" i="39"/>
  <c r="AG571" i="39"/>
  <c r="AG540" i="39"/>
  <c r="AE436" i="39"/>
  <c r="AE434" i="39" s="1"/>
  <c r="AG935" i="39"/>
  <c r="AG866" i="39"/>
  <c r="AG897" i="39"/>
  <c r="AF124" i="39"/>
  <c r="AF86" i="39"/>
  <c r="AF94" i="39"/>
  <c r="AF132" i="39"/>
  <c r="AG623" i="39"/>
  <c r="AG585" i="39"/>
  <c r="AI684" i="39"/>
  <c r="AJ514" i="39"/>
  <c r="AJ516" i="39" s="1"/>
  <c r="AI516" i="39"/>
  <c r="AI522" i="39" s="1"/>
  <c r="AI542" i="39" s="1" a="1"/>
  <c r="AI542" i="39" s="1"/>
  <c r="AG947" i="39"/>
  <c r="AG909" i="39"/>
  <c r="AF123" i="39"/>
  <c r="AF85" i="39"/>
  <c r="AF52" i="39"/>
  <c r="AF134" i="39"/>
  <c r="AF96" i="39"/>
  <c r="AF610" i="39"/>
  <c r="AF608" i="39" s="1"/>
  <c r="AF572" i="39"/>
  <c r="AF570" i="39" s="1"/>
  <c r="AF459" i="39"/>
  <c r="AF421" i="39"/>
  <c r="AJ194" i="39"/>
  <c r="AI188" i="39"/>
  <c r="AH190" i="39"/>
  <c r="AH197" i="39" s="1"/>
  <c r="AH217" i="39" s="1" a="1"/>
  <c r="AH217" i="39" s="1"/>
  <c r="AD732" i="39"/>
  <c r="AD744" i="39" s="1"/>
  <c r="AD751" i="39" s="1"/>
  <c r="AD754" i="39" s="1"/>
  <c r="AD756" i="39" s="1"/>
  <c r="AD757" i="39" s="1"/>
  <c r="AE735" i="39"/>
  <c r="AE733" i="39" s="1"/>
  <c r="AE773" i="39"/>
  <c r="AE771" i="39" s="1"/>
  <c r="AG226" i="39" a="1"/>
  <c r="AG226" i="39" s="1"/>
  <c r="AG237" i="39"/>
  <c r="AG191" i="39"/>
  <c r="AG287" i="39" s="1"/>
  <c r="AG234" i="39"/>
  <c r="AG220" i="39" a="1"/>
  <c r="AG220" i="39" s="1"/>
  <c r="AG225" i="39" a="1"/>
  <c r="AG225" i="39" s="1"/>
  <c r="AG227" i="39" a="1"/>
  <c r="AG227" i="39" s="1"/>
  <c r="AG213" i="39" a="1"/>
  <c r="AG213" i="39" s="1"/>
  <c r="AG260" i="39"/>
  <c r="AG314" i="39"/>
  <c r="AG236" i="39"/>
  <c r="AG238" i="39"/>
  <c r="AG239" i="39"/>
  <c r="AG241" i="39"/>
  <c r="AG251" i="39"/>
  <c r="AG240" i="39"/>
  <c r="AG196" i="39"/>
  <c r="AG216" i="39" s="1" a="1"/>
  <c r="AG216" i="39" s="1"/>
  <c r="AF703" i="39"/>
  <c r="AF701" i="39" s="1"/>
  <c r="AF734" i="39"/>
  <c r="AF772" i="39"/>
  <c r="AI677" i="39"/>
  <c r="AH679" i="39"/>
  <c r="AH686" i="39" s="1"/>
  <c r="AH706" i="39" s="1" a="1"/>
  <c r="AH706" i="39" s="1"/>
  <c r="AG942" i="39"/>
  <c r="AG904" i="39"/>
  <c r="AG873" i="39" a="1"/>
  <c r="AG873" i="39" s="1"/>
  <c r="AG870" i="39" s="1"/>
  <c r="AG561" i="39"/>
  <c r="AG559" i="39" s="1"/>
  <c r="AJ520" i="39"/>
  <c r="AG411" i="39"/>
  <c r="AI195" i="39"/>
  <c r="AH560" i="39"/>
  <c r="AH564" i="39"/>
  <c r="AH551" i="39" a="1"/>
  <c r="AH551" i="39" s="1"/>
  <c r="AH552" i="39" a="1"/>
  <c r="AH552" i="39" s="1"/>
  <c r="AH517" i="39"/>
  <c r="AH613" i="39" s="1"/>
  <c r="AH546" i="39" a="1"/>
  <c r="AH546" i="39" s="1"/>
  <c r="AH553" i="39" a="1"/>
  <c r="AH553" i="39" s="1"/>
  <c r="AH586" i="39"/>
  <c r="AH539" i="39" a="1"/>
  <c r="AH539" i="39" s="1"/>
  <c r="AH640" i="39"/>
  <c r="AH567" i="39"/>
  <c r="AH563" i="39"/>
  <c r="AH566" i="39"/>
  <c r="AH562" i="39"/>
  <c r="AH565" i="39"/>
  <c r="AH577" i="39"/>
  <c r="AE619" i="39"/>
  <c r="AE626" i="39" s="1"/>
  <c r="AE629" i="39" s="1"/>
  <c r="AE631" i="39" s="1"/>
  <c r="AE632" i="39" s="1"/>
  <c r="AE642" i="39"/>
  <c r="AE655" i="39"/>
  <c r="AD971" i="39"/>
  <c r="AD972" i="39" s="1"/>
  <c r="AD969" i="39"/>
  <c r="AD982" i="39"/>
  <c r="AD983" i="39" s="1"/>
  <c r="AD985" i="39" s="1"/>
  <c r="AD986" i="39" s="1"/>
  <c r="AC154" i="39"/>
  <c r="AC156" i="39"/>
  <c r="AC157" i="39" s="1"/>
  <c r="AF412" i="39"/>
  <c r="AF450" i="39"/>
  <c r="AE701" i="39"/>
  <c r="AE700" i="39" s="1"/>
  <c r="AE712" i="39" s="1"/>
  <c r="AE719" i="39" s="1"/>
  <c r="AF786" i="39"/>
  <c r="AF748" i="39"/>
  <c r="AG728" i="39"/>
  <c r="AG680" i="39"/>
  <c r="AG776" i="39" s="1"/>
  <c r="AG716" i="39" a="1"/>
  <c r="AG716" i="39" s="1"/>
  <c r="AG715" i="39" a="1"/>
  <c r="AG715" i="39" s="1"/>
  <c r="AG723" i="39"/>
  <c r="AG702" i="39" a="1"/>
  <c r="AG702" i="39" s="1"/>
  <c r="AG714" i="39" a="1"/>
  <c r="AG714" i="39" s="1"/>
  <c r="AG709" i="39" a="1"/>
  <c r="AG709" i="39" s="1"/>
  <c r="AG727" i="39"/>
  <c r="AG749" i="39"/>
  <c r="AG803" i="39"/>
  <c r="AG730" i="39"/>
  <c r="AG726" i="39"/>
  <c r="AG725" i="39"/>
  <c r="AG740" i="39"/>
  <c r="AG729" i="39"/>
  <c r="AG685" i="39"/>
  <c r="AG705" i="39" s="1" a="1"/>
  <c r="AG705" i="39" s="1"/>
  <c r="AH522" i="39"/>
  <c r="AH542" i="39" s="1" a="1"/>
  <c r="AH542" i="39" s="1"/>
  <c r="AF617" i="39"/>
  <c r="AF614" i="39" s="1"/>
  <c r="AF579" i="39"/>
  <c r="AF576" i="39" s="1"/>
  <c r="AF461" i="39"/>
  <c r="AF435" i="39"/>
  <c r="AF439" i="39"/>
  <c r="AF441" i="39"/>
  <c r="AF438" i="39"/>
  <c r="AF437" i="39"/>
  <c r="AF442" i="39"/>
  <c r="AF440" i="39"/>
  <c r="AF452" i="39"/>
  <c r="AG249" i="39"/>
  <c r="AF245" i="39"/>
  <c r="AF214" i="39"/>
  <c r="AF212" i="39" s="1"/>
  <c r="AF283" i="39"/>
  <c r="AC167" i="39"/>
  <c r="AC168" i="39" s="1"/>
  <c r="AC170" i="39" s="1"/>
  <c r="AC171" i="39" s="1"/>
  <c r="AE945" i="39"/>
  <c r="AE952" i="39" s="1"/>
  <c r="AE955" i="39" s="1"/>
  <c r="AE957" i="39" s="1"/>
  <c r="AE958" i="39" s="1"/>
  <c r="AF258" i="39"/>
  <c r="AF296" i="39"/>
  <c r="AF611" i="39"/>
  <c r="AE108" i="39"/>
  <c r="AE83" i="39"/>
  <c r="AE81" i="39" s="1"/>
  <c r="AE121" i="39"/>
  <c r="AE119" i="39" s="1"/>
  <c r="AF398" i="39"/>
  <c r="AF396" i="39" s="1"/>
  <c r="AG397" i="39"/>
  <c r="AG400" i="39"/>
  <c r="AG383" i="39" a="1"/>
  <c r="AG383" i="39" s="1"/>
  <c r="AG423" i="39"/>
  <c r="AG354" i="39"/>
  <c r="AG449" i="39" s="1"/>
  <c r="AG388" i="39" a="1"/>
  <c r="AG388" i="39" s="1"/>
  <c r="AG390" i="39" a="1"/>
  <c r="AG390" i="39" s="1"/>
  <c r="AG389" i="39" a="1"/>
  <c r="AG389" i="39" s="1"/>
  <c r="AG477" i="39"/>
  <c r="AG376" i="39" a="1"/>
  <c r="AG376" i="39" s="1"/>
  <c r="AG404" i="39"/>
  <c r="AG402" i="39"/>
  <c r="AG414" i="39"/>
  <c r="AG401" i="39"/>
  <c r="AG399" i="39"/>
  <c r="AG403" i="39"/>
  <c r="AE409" i="39"/>
  <c r="AE407" i="39" s="1"/>
  <c r="AE447" i="39"/>
  <c r="AE445" i="39" s="1"/>
  <c r="AF272" i="39"/>
  <c r="AF298" i="39"/>
  <c r="AF289" i="39"/>
  <c r="AF276" i="39"/>
  <c r="AF274" i="39"/>
  <c r="AF279" i="39"/>
  <c r="AF277" i="39"/>
  <c r="AF278" i="39"/>
  <c r="AF275" i="39"/>
  <c r="AF787" i="39"/>
  <c r="AF761" i="39"/>
  <c r="AF766" i="39"/>
  <c r="AF778" i="39"/>
  <c r="AF765" i="39"/>
  <c r="AF768" i="39"/>
  <c r="AF767" i="39"/>
  <c r="AF763" i="39"/>
  <c r="AF764" i="39"/>
  <c r="AE981" i="39"/>
  <c r="AE968" i="39"/>
  <c r="AH849" i="39"/>
  <c r="AH869" i="39" s="1" a="1"/>
  <c r="AH869" i="39" s="1"/>
  <c r="AI847" i="39"/>
  <c r="AG738" i="39"/>
  <c r="AD316" i="39"/>
  <c r="AD329" i="39"/>
  <c r="AF544" i="39"/>
  <c r="AI358" i="39"/>
  <c r="AH353" i="39"/>
  <c r="AH359" i="39" s="1"/>
  <c r="AH379" i="39" s="1" a="1"/>
  <c r="AH379" i="39" s="1"/>
  <c r="AI351" i="39"/>
  <c r="AE895" i="39"/>
  <c r="AE907" i="39" s="1"/>
  <c r="AE914" i="39" s="1"/>
  <c r="AE917" i="39" s="1"/>
  <c r="AE919" i="39" s="1"/>
  <c r="AE920" i="39" s="1"/>
  <c r="AF297" i="39"/>
  <c r="AF259" i="39"/>
  <c r="AG885" i="39"/>
  <c r="AG541" i="39"/>
  <c r="AG574" i="39"/>
  <c r="AG612" i="39"/>
  <c r="AG901" i="39"/>
  <c r="AG939" i="39"/>
  <c r="AF449" i="39"/>
  <c r="AF411" i="39"/>
  <c r="AF378" i="39"/>
  <c r="AF295" i="39"/>
  <c r="AF257" i="39"/>
  <c r="AF747" i="39"/>
  <c r="AF785" i="39"/>
  <c r="AD643" i="39"/>
  <c r="AD645" i="39"/>
  <c r="AD646" i="39" s="1"/>
  <c r="AG950" i="39"/>
  <c r="AG924" i="39"/>
  <c r="AG941" i="39"/>
  <c r="AG930" i="39"/>
  <c r="AG931" i="39"/>
  <c r="AG929" i="39"/>
  <c r="AG928" i="39"/>
  <c r="AG927" i="39"/>
  <c r="AG926" i="39"/>
  <c r="AG925" i="39" s="1"/>
  <c r="AE780" i="39"/>
  <c r="AE777" i="39" s="1"/>
  <c r="AE742" i="39"/>
  <c r="AE739" i="39" s="1"/>
  <c r="AB330" i="39"/>
  <c r="AB331" i="39" s="1"/>
  <c r="AB333" i="39" s="1"/>
  <c r="AB334" i="39" s="1"/>
  <c r="AG71" i="39"/>
  <c r="AG57" i="39" a="1"/>
  <c r="AG57" i="39" s="1"/>
  <c r="AG64" i="39" a="1"/>
  <c r="AG64" i="39" s="1"/>
  <c r="AG28" i="39"/>
  <c r="AG63" i="39" a="1"/>
  <c r="AG63" i="39" s="1"/>
  <c r="AG62" i="39" a="1"/>
  <c r="AG62" i="39" s="1"/>
  <c r="AG50" i="39" a="1"/>
  <c r="AG50" i="39" s="1"/>
  <c r="AG97" i="39"/>
  <c r="AG151" i="39"/>
  <c r="AG74" i="39"/>
  <c r="AG78" i="39"/>
  <c r="AG73" i="39"/>
  <c r="AG76" i="39"/>
  <c r="AG75" i="39"/>
  <c r="AG88" i="39"/>
  <c r="AG77" i="39"/>
  <c r="AG33" i="39"/>
  <c r="AG53" i="39" s="1" a="1"/>
  <c r="AG53" i="39" s="1"/>
  <c r="AG34" i="39"/>
  <c r="AG54" i="39" s="1" a="1"/>
  <c r="AG54" i="39" s="1"/>
  <c r="AF446" i="39"/>
  <c r="AF377" i="39"/>
  <c r="AF375" i="39" s="1"/>
  <c r="AF408" i="39"/>
  <c r="AF538" i="39"/>
  <c r="AF864" i="39"/>
  <c r="AE374" i="39"/>
  <c r="AE386" i="39" s="1"/>
  <c r="AE393" i="39" s="1"/>
  <c r="AF290" i="39"/>
  <c r="AF252" i="39"/>
  <c r="AF221" i="39" a="1"/>
  <c r="AF221" i="39" s="1"/>
  <c r="AF741" i="39"/>
  <c r="AF779" i="39"/>
  <c r="AF710" i="39" a="1"/>
  <c r="AF710" i="39" s="1"/>
  <c r="AF707" i="39" s="1"/>
  <c r="AD656" i="39"/>
  <c r="AD657" i="39" s="1"/>
  <c r="AD659" i="39" s="1"/>
  <c r="AD660" i="39" s="1"/>
  <c r="AG910" i="39"/>
  <c r="AG948" i="39"/>
  <c r="AB319" i="39"/>
  <c r="AB320" i="39" s="1"/>
  <c r="AB317" i="39"/>
  <c r="AE122" i="39"/>
  <c r="AI25" i="39"/>
  <c r="AH27" i="39"/>
  <c r="AF863" i="39" l="1"/>
  <c r="AF875" i="39" s="1"/>
  <c r="AF882" i="39" s="1"/>
  <c r="AF410" i="39"/>
  <c r="AG573" i="39"/>
  <c r="AG611" i="39"/>
  <c r="AF436" i="39"/>
  <c r="AF434" i="39" s="1"/>
  <c r="AF774" i="39"/>
  <c r="AH360" i="39"/>
  <c r="AH380" i="39" s="1" a="1"/>
  <c r="AH380" i="39" s="1"/>
  <c r="AH378" i="39" s="1"/>
  <c r="AG450" i="39"/>
  <c r="AG448" i="39" s="1"/>
  <c r="AF933" i="39"/>
  <c r="AF945" i="39" s="1"/>
  <c r="AF952" i="39" s="1"/>
  <c r="AF955" i="39" s="1"/>
  <c r="AF957" i="39" s="1"/>
  <c r="AF958" i="39" s="1"/>
  <c r="AE153" i="39"/>
  <c r="AE156" i="39" s="1"/>
  <c r="AE157" i="39" s="1"/>
  <c r="AE118" i="39"/>
  <c r="AE130" i="39" s="1"/>
  <c r="AE137" i="39" s="1"/>
  <c r="AE140" i="39" s="1"/>
  <c r="AE142" i="39" s="1"/>
  <c r="AE143" i="39" s="1"/>
  <c r="AF736" i="39"/>
  <c r="AF448" i="39"/>
  <c r="AG899" i="39"/>
  <c r="AG599" i="39"/>
  <c r="AG597" i="39" s="1"/>
  <c r="AE444" i="39"/>
  <c r="AE456" i="39" s="1"/>
  <c r="AE463" i="39" s="1"/>
  <c r="AE466" i="39" s="1"/>
  <c r="AE468" i="39" s="1"/>
  <c r="AE469" i="39" s="1"/>
  <c r="AH561" i="39"/>
  <c r="AH559" i="39" s="1"/>
  <c r="AG378" i="39"/>
  <c r="AF84" i="39"/>
  <c r="AE406" i="39"/>
  <c r="AE418" i="39" s="1"/>
  <c r="AE425" i="39" s="1"/>
  <c r="AE428" i="39" s="1"/>
  <c r="AE430" i="39" s="1"/>
  <c r="AE431" i="39" s="1"/>
  <c r="AG724" i="39"/>
  <c r="AH738" i="39"/>
  <c r="AF569" i="39"/>
  <c r="AF581" i="39" s="1"/>
  <c r="AF588" i="39" s="1"/>
  <c r="AF591" i="39" s="1"/>
  <c r="AF593" i="39" s="1"/>
  <c r="AF594" i="39" s="1"/>
  <c r="AH411" i="39"/>
  <c r="AH249" i="39"/>
  <c r="AF742" i="39"/>
  <c r="AF739" i="39" s="1"/>
  <c r="AF780" i="39"/>
  <c r="AF777" i="39" s="1"/>
  <c r="AE80" i="39"/>
  <c r="AE92" i="39" s="1"/>
  <c r="AE99" i="39" s="1"/>
  <c r="AE102" i="39" s="1"/>
  <c r="AE104" i="39" s="1"/>
  <c r="AE105" i="39" s="1"/>
  <c r="AG89" i="39"/>
  <c r="AG127" i="39"/>
  <c r="AG58" i="39" a="1"/>
  <c r="AG58" i="39" s="1"/>
  <c r="AD330" i="39"/>
  <c r="AD331" i="39" s="1"/>
  <c r="AD333" i="39" s="1"/>
  <c r="AD334" i="39" s="1"/>
  <c r="AF90" i="39"/>
  <c r="AF87" i="39" s="1"/>
  <c r="AF128" i="39"/>
  <c r="AF125" i="39" s="1"/>
  <c r="AG408" i="39"/>
  <c r="AG377" i="39"/>
  <c r="AG446" i="39"/>
  <c r="AJ195" i="39"/>
  <c r="AF773" i="39"/>
  <c r="AF771" i="39" s="1"/>
  <c r="AF735" i="39"/>
  <c r="AF733" i="39" s="1"/>
  <c r="AG275" i="39"/>
  <c r="AG272" i="39"/>
  <c r="AG278" i="39"/>
  <c r="AG298" i="39"/>
  <c r="AG276" i="39"/>
  <c r="AG274" i="39"/>
  <c r="AG279" i="39"/>
  <c r="AG289" i="39"/>
  <c r="AG277" i="39"/>
  <c r="AI566" i="39"/>
  <c r="AI560" i="39"/>
  <c r="AI551" i="39" a="1"/>
  <c r="AI551" i="39" s="1"/>
  <c r="AI539" i="39" a="1"/>
  <c r="AI539" i="39" s="1"/>
  <c r="AI553" i="39" a="1"/>
  <c r="AI553" i="39" s="1"/>
  <c r="AI586" i="39"/>
  <c r="AI517" i="39"/>
  <c r="AI552" i="39" a="1"/>
  <c r="AI552" i="39" s="1"/>
  <c r="AI546" i="39" a="1"/>
  <c r="AI546" i="39" s="1"/>
  <c r="AI640" i="39"/>
  <c r="AI567" i="39"/>
  <c r="AI565" i="39"/>
  <c r="AI564" i="39"/>
  <c r="AI562" i="39"/>
  <c r="AI563" i="39"/>
  <c r="AI577" i="39"/>
  <c r="AG572" i="39"/>
  <c r="AG570" i="39" s="1"/>
  <c r="AG610" i="39"/>
  <c r="AF55" i="39"/>
  <c r="AF48" i="39" s="1"/>
  <c r="AF60" i="39" s="1"/>
  <c r="AF67" i="39" s="1"/>
  <c r="AI886" i="39"/>
  <c r="AI872" i="39" a="1"/>
  <c r="AI872" i="39" s="1"/>
  <c r="AI878" i="39" a="1"/>
  <c r="AI878" i="39" s="1"/>
  <c r="AI843" i="39"/>
  <c r="AI877" i="39" a="1"/>
  <c r="AI877" i="39" s="1"/>
  <c r="AI912" i="39"/>
  <c r="AI865" i="39" a="1"/>
  <c r="AI865" i="39" s="1"/>
  <c r="AI879" i="39" a="1"/>
  <c r="AI879" i="39" s="1"/>
  <c r="AI966" i="39"/>
  <c r="AI888" i="39"/>
  <c r="AI893" i="39"/>
  <c r="AI891" i="39"/>
  <c r="AI889" i="39"/>
  <c r="AI903" i="39"/>
  <c r="AI890" i="39"/>
  <c r="AI892" i="39"/>
  <c r="AG96" i="39"/>
  <c r="AG134" i="39"/>
  <c r="AI679" i="39"/>
  <c r="AI686" i="39" s="1"/>
  <c r="AI706" i="39" s="1" a="1"/>
  <c r="AI706" i="39" s="1"/>
  <c r="AJ677" i="39"/>
  <c r="AJ679" i="39" s="1"/>
  <c r="AG290" i="39"/>
  <c r="AG252" i="39"/>
  <c r="AG221" i="39" a="1"/>
  <c r="AG221" i="39" s="1"/>
  <c r="AG218" i="39" s="1"/>
  <c r="AD317" i="39"/>
  <c r="AD319" i="39"/>
  <c r="AD320" i="39" s="1"/>
  <c r="AF253" i="39"/>
  <c r="AF250" i="39" s="1"/>
  <c r="AF291" i="39"/>
  <c r="AF288" i="39" s="1"/>
  <c r="AF700" i="39"/>
  <c r="AF712" i="39" s="1"/>
  <c r="AF719" i="39" s="1"/>
  <c r="AJ560" i="39"/>
  <c r="AJ553" i="39" a="1"/>
  <c r="AJ553" i="39" s="1"/>
  <c r="AJ546" i="39" a="1"/>
  <c r="AJ546" i="39" s="1"/>
  <c r="AJ551" i="39" a="1"/>
  <c r="AJ551" i="39" s="1"/>
  <c r="AJ552" i="39" a="1"/>
  <c r="AJ552" i="39" s="1"/>
  <c r="AJ567" i="39"/>
  <c r="AJ586" i="39"/>
  <c r="AJ517" i="39"/>
  <c r="AJ539" i="39" a="1"/>
  <c r="AJ539" i="39" s="1"/>
  <c r="AJ640" i="39"/>
  <c r="AJ577" i="39"/>
  <c r="AJ562" i="39"/>
  <c r="AJ566" i="39"/>
  <c r="AJ564" i="39"/>
  <c r="AJ565" i="39"/>
  <c r="AJ563" i="39"/>
  <c r="AJ523" i="39"/>
  <c r="AJ543" i="39" s="1" a="1"/>
  <c r="AJ543" i="39" s="1"/>
  <c r="AH887" i="39"/>
  <c r="AH885" i="39" s="1"/>
  <c r="AJ877" i="39" a="1"/>
  <c r="AJ877" i="39" s="1"/>
  <c r="AJ886" i="39"/>
  <c r="AJ843" i="39"/>
  <c r="AJ892" i="39"/>
  <c r="AJ872" i="39" a="1"/>
  <c r="AJ872" i="39" s="1"/>
  <c r="AJ912" i="39"/>
  <c r="AJ865" i="39" a="1"/>
  <c r="AJ865" i="39" s="1"/>
  <c r="AJ966" i="39"/>
  <c r="AJ879" i="39" a="1"/>
  <c r="AJ879" i="39" s="1"/>
  <c r="AJ878" i="39" a="1"/>
  <c r="AJ878" i="39" s="1"/>
  <c r="AJ888" i="39"/>
  <c r="AJ903" i="39"/>
  <c r="AJ893" i="39"/>
  <c r="AJ889" i="39"/>
  <c r="AJ891" i="39"/>
  <c r="AJ890" i="39"/>
  <c r="AH948" i="39"/>
  <c r="AH910" i="39"/>
  <c r="AG421" i="39"/>
  <c r="AG459" i="39"/>
  <c r="AG286" i="39"/>
  <c r="AG285" i="39" s="1"/>
  <c r="AG248" i="39"/>
  <c r="AG247" i="39" s="1"/>
  <c r="AG215" i="39"/>
  <c r="AG296" i="39"/>
  <c r="AG258" i="39"/>
  <c r="AG538" i="39"/>
  <c r="AI523" i="39"/>
  <c r="AI543" i="39" s="1" a="1"/>
  <c r="AI543" i="39" s="1"/>
  <c r="AI541" i="39" s="1"/>
  <c r="AE211" i="39"/>
  <c r="AE223" i="39" s="1"/>
  <c r="AE230" i="39" s="1"/>
  <c r="AJ357" i="39"/>
  <c r="AG257" i="39"/>
  <c r="AG295" i="39"/>
  <c r="AE770" i="39"/>
  <c r="AE782" i="39" s="1"/>
  <c r="AE789" i="39" s="1"/>
  <c r="AE792" i="39" s="1"/>
  <c r="AE794" i="39" s="1"/>
  <c r="AE795" i="39" s="1"/>
  <c r="AG936" i="39"/>
  <c r="AG934" i="39" s="1"/>
  <c r="AG898" i="39"/>
  <c r="AG896" i="39" s="1"/>
  <c r="AG52" i="39"/>
  <c r="AG85" i="39"/>
  <c r="AG123" i="39"/>
  <c r="AE805" i="39"/>
  <c r="AE818" i="39"/>
  <c r="AG937" i="39"/>
  <c r="AH64" i="39" a="1"/>
  <c r="AH64" i="39" s="1"/>
  <c r="AH62" i="39" a="1"/>
  <c r="AH62" i="39" s="1"/>
  <c r="AH28" i="39"/>
  <c r="AH63" i="39" a="1"/>
  <c r="AH63" i="39" s="1"/>
  <c r="AH71" i="39"/>
  <c r="AH50" i="39" a="1"/>
  <c r="AH50" i="39" s="1"/>
  <c r="AH57" i="39" a="1"/>
  <c r="AH57" i="39" s="1"/>
  <c r="AH75" i="39"/>
  <c r="AH97" i="39"/>
  <c r="AH151" i="39"/>
  <c r="AH74" i="39"/>
  <c r="AH73" i="39"/>
  <c r="AH76" i="39"/>
  <c r="AH78" i="39"/>
  <c r="AH77" i="39"/>
  <c r="AH88" i="39"/>
  <c r="AH33" i="39"/>
  <c r="AH53" i="39" s="1" a="1"/>
  <c r="AH53" i="39" s="1"/>
  <c r="AH34" i="39"/>
  <c r="AH54" i="39" s="1" a="1"/>
  <c r="AH54" i="39" s="1"/>
  <c r="AI27" i="39"/>
  <c r="AJ25" i="39"/>
  <c r="AJ27" i="39" s="1"/>
  <c r="AF218" i="39"/>
  <c r="AF211" i="39" s="1"/>
  <c r="AF223" i="39" s="1"/>
  <c r="AF230" i="39" s="1"/>
  <c r="AJ847" i="39"/>
  <c r="AJ849" i="39" s="1"/>
  <c r="AJ869" i="39" s="1" a="1"/>
  <c r="AJ869" i="39" s="1"/>
  <c r="AI849" i="39"/>
  <c r="AI869" i="39" s="1" a="1"/>
  <c r="AI869" i="39" s="1"/>
  <c r="AG422" i="39"/>
  <c r="AG460" i="39"/>
  <c r="AG410" i="39"/>
  <c r="AJ684" i="39"/>
  <c r="AG608" i="39"/>
  <c r="AD492" i="39"/>
  <c r="AD479" i="39"/>
  <c r="AG124" i="39"/>
  <c r="AG86" i="39"/>
  <c r="AG458" i="39"/>
  <c r="AG420" i="39"/>
  <c r="AG779" i="39"/>
  <c r="AG741" i="39"/>
  <c r="AG710" i="39" a="1"/>
  <c r="AG710" i="39" s="1"/>
  <c r="AE243" i="39"/>
  <c r="AE255" i="39" s="1"/>
  <c r="AE262" i="39" s="1"/>
  <c r="AE265" i="39" s="1"/>
  <c r="AE267" i="39" s="1"/>
  <c r="AE268" i="39" s="1"/>
  <c r="AF121" i="39"/>
  <c r="AF119" i="39" s="1"/>
  <c r="AF83" i="39"/>
  <c r="AF81" i="39" s="1"/>
  <c r="AH938" i="39"/>
  <c r="AH900" i="39"/>
  <c r="AH867" i="39"/>
  <c r="AE281" i="39"/>
  <c r="AE293" i="39" s="1"/>
  <c r="AE300" i="39" s="1"/>
  <c r="AE303" i="39" s="1"/>
  <c r="AE305" i="39" s="1"/>
  <c r="AE306" i="39" s="1"/>
  <c r="AH939" i="39"/>
  <c r="AH901" i="39"/>
  <c r="AF273" i="39"/>
  <c r="AF271" i="39" s="1"/>
  <c r="AG72" i="39"/>
  <c r="AG70" i="39" s="1"/>
  <c r="AE969" i="39"/>
  <c r="AE971" i="39"/>
  <c r="AE972" i="39" s="1"/>
  <c r="AE492" i="39"/>
  <c r="AE479" i="39"/>
  <c r="AJ351" i="39"/>
  <c r="AJ353" i="39" s="1"/>
  <c r="AI353" i="39"/>
  <c r="AE982" i="39"/>
  <c r="AE983" i="39" s="1"/>
  <c r="AE985" i="39" s="1"/>
  <c r="AE986" i="39" s="1"/>
  <c r="AG438" i="39"/>
  <c r="AG435" i="39"/>
  <c r="AG452" i="39"/>
  <c r="AG461" i="39"/>
  <c r="AG437" i="39"/>
  <c r="AG439" i="39"/>
  <c r="AG441" i="39"/>
  <c r="AG440" i="39"/>
  <c r="AG442" i="39"/>
  <c r="AF895" i="39"/>
  <c r="AF907" i="39" s="1"/>
  <c r="AF914" i="39" s="1"/>
  <c r="AF917" i="39" s="1"/>
  <c r="AF919" i="39" s="1"/>
  <c r="AF920" i="39" s="1"/>
  <c r="AG746" i="39"/>
  <c r="AG784" i="39"/>
  <c r="AJ522" i="39"/>
  <c r="AJ542" i="39" s="1" a="1"/>
  <c r="AJ542" i="39" s="1"/>
  <c r="AD819" i="39"/>
  <c r="AD820" i="39" s="1"/>
  <c r="AD822" i="39" s="1"/>
  <c r="AD823" i="39" s="1"/>
  <c r="AF981" i="39"/>
  <c r="AF968" i="39"/>
  <c r="AH397" i="39"/>
  <c r="AH400" i="39"/>
  <c r="AH389" i="39" a="1"/>
  <c r="AH389" i="39" s="1"/>
  <c r="AH404" i="39"/>
  <c r="AH388" i="39" a="1"/>
  <c r="AH388" i="39" s="1"/>
  <c r="AH383" i="39" a="1"/>
  <c r="AH383" i="39" s="1"/>
  <c r="AH354" i="39"/>
  <c r="AH390" i="39" a="1"/>
  <c r="AH390" i="39" s="1"/>
  <c r="AH423" i="39"/>
  <c r="AH477" i="39"/>
  <c r="AH376" i="39" a="1"/>
  <c r="AH376" i="39" s="1"/>
  <c r="AH414" i="39"/>
  <c r="AH402" i="39"/>
  <c r="AH401" i="39"/>
  <c r="AH399" i="39"/>
  <c r="AH403" i="39"/>
  <c r="AH540" i="39"/>
  <c r="AH538" i="39" s="1"/>
  <c r="AH609" i="39"/>
  <c r="AH571" i="39"/>
  <c r="AI574" i="39"/>
  <c r="AI612" i="39"/>
  <c r="AH866" i="39"/>
  <c r="AH864" i="39" s="1"/>
  <c r="AH897" i="39"/>
  <c r="AH935" i="39"/>
  <c r="AF110" i="39"/>
  <c r="AF108" i="39" s="1"/>
  <c r="AD808" i="39"/>
  <c r="AD809" i="39" s="1"/>
  <c r="AD806" i="39"/>
  <c r="AG703" i="39"/>
  <c r="AG701" i="39" s="1"/>
  <c r="AG734" i="39"/>
  <c r="AG772" i="39"/>
  <c r="AF537" i="39"/>
  <c r="AF549" i="39" s="1"/>
  <c r="AF556" i="39" s="1"/>
  <c r="AJ358" i="39"/>
  <c r="AF762" i="39"/>
  <c r="AF760" i="39" s="1"/>
  <c r="AG453" i="39"/>
  <c r="AG415" i="39"/>
  <c r="AG384" i="39" a="1"/>
  <c r="AG384" i="39" s="1"/>
  <c r="AG722" i="39"/>
  <c r="AH911" i="39"/>
  <c r="AH949" i="39"/>
  <c r="AF246" i="39"/>
  <c r="AF244" i="39" s="1"/>
  <c r="AF284" i="39"/>
  <c r="AF282" i="39" s="1"/>
  <c r="AH574" i="39"/>
  <c r="AH573" i="39" s="1"/>
  <c r="AH612" i="39"/>
  <c r="AH611" i="39" s="1"/>
  <c r="AH541" i="39"/>
  <c r="AG785" i="39"/>
  <c r="AG747" i="39"/>
  <c r="AH585" i="39"/>
  <c r="AH623" i="39"/>
  <c r="AG235" i="39"/>
  <c r="AG233" i="39" s="1"/>
  <c r="AG786" i="39"/>
  <c r="AG748" i="39"/>
  <c r="AH616" i="39"/>
  <c r="AH578" i="39"/>
  <c r="AH547" i="39" a="1"/>
  <c r="AH547" i="39" s="1"/>
  <c r="AH544" i="39" s="1"/>
  <c r="AG905" i="39"/>
  <c r="AG902" i="39" s="1"/>
  <c r="AG943" i="39"/>
  <c r="AG940" i="39" s="1"/>
  <c r="AH227" i="39" a="1"/>
  <c r="AH227" i="39" s="1"/>
  <c r="AH191" i="39"/>
  <c r="AH287" i="39" s="1"/>
  <c r="AH234" i="39"/>
  <c r="AH225" i="39" a="1"/>
  <c r="AH225" i="39" s="1"/>
  <c r="AH260" i="39"/>
  <c r="AH220" i="39" a="1"/>
  <c r="AH220" i="39" s="1"/>
  <c r="AH226" i="39" a="1"/>
  <c r="AH226" i="39" s="1"/>
  <c r="AH213" i="39" a="1"/>
  <c r="AH213" i="39" s="1"/>
  <c r="AH314" i="39"/>
  <c r="AH236" i="39"/>
  <c r="AH238" i="39"/>
  <c r="AH239" i="39"/>
  <c r="AH241" i="39"/>
  <c r="AH240" i="39"/>
  <c r="AH251" i="39"/>
  <c r="AH237" i="39"/>
  <c r="AH196" i="39"/>
  <c r="AH216" i="39" s="1" a="1"/>
  <c r="AH216" i="39" s="1"/>
  <c r="AC334" i="39"/>
  <c r="AH909" i="39"/>
  <c r="AH947" i="39"/>
  <c r="AG51" i="39"/>
  <c r="AG49" i="39" s="1"/>
  <c r="AG120" i="39"/>
  <c r="AG82" i="39"/>
  <c r="AF374" i="39"/>
  <c r="AF386" i="39" s="1"/>
  <c r="AF393" i="39" s="1"/>
  <c r="AG94" i="39"/>
  <c r="AG132" i="39"/>
  <c r="AG787" i="39"/>
  <c r="AG761" i="39"/>
  <c r="AG767" i="39"/>
  <c r="AG763" i="39"/>
  <c r="AG764" i="39"/>
  <c r="AG768" i="39"/>
  <c r="AG765" i="39"/>
  <c r="AG766" i="39"/>
  <c r="AG778" i="39"/>
  <c r="AH624" i="39"/>
  <c r="AH598" i="39"/>
  <c r="AH602" i="39"/>
  <c r="AH601" i="39"/>
  <c r="AH603" i="39"/>
  <c r="AH604" i="39"/>
  <c r="AH600" i="39"/>
  <c r="AH615" i="39"/>
  <c r="AH605" i="39"/>
  <c r="AI190" i="39"/>
  <c r="AI197" i="39" s="1"/>
  <c r="AI217" i="39" s="1" a="1"/>
  <c r="AI217" i="39" s="1"/>
  <c r="AJ188" i="39"/>
  <c r="AJ190" i="39" s="1"/>
  <c r="AH924" i="39"/>
  <c r="AH950" i="39"/>
  <c r="AH928" i="39"/>
  <c r="AH926" i="39"/>
  <c r="AH931" i="39"/>
  <c r="AH941" i="39"/>
  <c r="AH927" i="39"/>
  <c r="AH930" i="39"/>
  <c r="AH929" i="39"/>
  <c r="AF454" i="39"/>
  <c r="AF451" i="39" s="1"/>
  <c r="AF416" i="39"/>
  <c r="AF413" i="39" s="1"/>
  <c r="AG617" i="39"/>
  <c r="AG614" i="39" s="1"/>
  <c r="AG579" i="39"/>
  <c r="AG576" i="39" s="1"/>
  <c r="AG133" i="39"/>
  <c r="AG95" i="39"/>
  <c r="AG923" i="39"/>
  <c r="AF607" i="39"/>
  <c r="AF619" i="39" s="1"/>
  <c r="AF626" i="39" s="1"/>
  <c r="AF629" i="39" s="1"/>
  <c r="AF631" i="39" s="1"/>
  <c r="AF632" i="39" s="1"/>
  <c r="AG398" i="39"/>
  <c r="AG396" i="39" s="1"/>
  <c r="AH622" i="39"/>
  <c r="AH584" i="39"/>
  <c r="AG214" i="39"/>
  <c r="AG212" i="39" s="1"/>
  <c r="AG283" i="39"/>
  <c r="AG245" i="39"/>
  <c r="AE732" i="39"/>
  <c r="AE744" i="39" s="1"/>
  <c r="AE751" i="39" s="1"/>
  <c r="AE754" i="39" s="1"/>
  <c r="AE756" i="39" s="1"/>
  <c r="AE757" i="39" s="1"/>
  <c r="AF122" i="39"/>
  <c r="AH904" i="39"/>
  <c r="AH942" i="39"/>
  <c r="AH873" i="39" a="1"/>
  <c r="AH873" i="39" s="1"/>
  <c r="AH870" i="39" s="1"/>
  <c r="AG544" i="39"/>
  <c r="AD154" i="39"/>
  <c r="AD156" i="39"/>
  <c r="AD157" i="39" s="1"/>
  <c r="AG737" i="39"/>
  <c r="AG736" i="39" s="1"/>
  <c r="AG775" i="39"/>
  <c r="AG774" i="39" s="1"/>
  <c r="AG704" i="39"/>
  <c r="AE656" i="39"/>
  <c r="AE657" i="39" s="1"/>
  <c r="AE659" i="39" s="1"/>
  <c r="AE660" i="39" s="1"/>
  <c r="AF409" i="39"/>
  <c r="AF407" i="39" s="1"/>
  <c r="AF447" i="39"/>
  <c r="AF445" i="39" s="1"/>
  <c r="AG115" i="39"/>
  <c r="AG135" i="39"/>
  <c r="AG112" i="39"/>
  <c r="AG109" i="39"/>
  <c r="AG111" i="39"/>
  <c r="AG126" i="39"/>
  <c r="AG114" i="39"/>
  <c r="AG113" i="39"/>
  <c r="AG116" i="39"/>
  <c r="AE643" i="39"/>
  <c r="AE645" i="39"/>
  <c r="AE646" i="39" s="1"/>
  <c r="AH621" i="39"/>
  <c r="AH583" i="39"/>
  <c r="AH723" i="39"/>
  <c r="AH709" i="39" a="1"/>
  <c r="AH709" i="39" s="1"/>
  <c r="AH715" i="39" a="1"/>
  <c r="AH715" i="39" s="1"/>
  <c r="AH716" i="39" a="1"/>
  <c r="AH716" i="39" s="1"/>
  <c r="AH680" i="39"/>
  <c r="AH714" i="39" a="1"/>
  <c r="AH714" i="39" s="1"/>
  <c r="AH702" i="39" a="1"/>
  <c r="AH702" i="39" s="1"/>
  <c r="AH749" i="39"/>
  <c r="AH803" i="39"/>
  <c r="AH728" i="39"/>
  <c r="AH740" i="39"/>
  <c r="AH730" i="39"/>
  <c r="AH726" i="39"/>
  <c r="AH727" i="39"/>
  <c r="AH725" i="39"/>
  <c r="AH729" i="39"/>
  <c r="AH685" i="39"/>
  <c r="AH705" i="39" s="1" a="1"/>
  <c r="AH705" i="39" s="1"/>
  <c r="AG297" i="39"/>
  <c r="AG259" i="39"/>
  <c r="AG864" i="39"/>
  <c r="AG863" i="39" s="1"/>
  <c r="AG875" i="39" s="1"/>
  <c r="AG882" i="39" s="1"/>
  <c r="AJ846" i="39"/>
  <c r="AJ848" i="39" s="1"/>
  <c r="AJ868" i="39" s="1" a="1"/>
  <c r="AJ868" i="39" s="1"/>
  <c r="AI848" i="39"/>
  <c r="AI868" i="39" s="1" a="1"/>
  <c r="AI868" i="39" s="1"/>
  <c r="AD167" i="39"/>
  <c r="AD168" i="39" s="1"/>
  <c r="AD170" i="39" s="1"/>
  <c r="AF732" i="39" l="1"/>
  <c r="AF744" i="39" s="1"/>
  <c r="AF751" i="39" s="1"/>
  <c r="AF754" i="39" s="1"/>
  <c r="AF756" i="39" s="1"/>
  <c r="AF757" i="39" s="1"/>
  <c r="AE154" i="39"/>
  <c r="AH235" i="39"/>
  <c r="AF80" i="39"/>
  <c r="AF92" i="39" s="1"/>
  <c r="AF99" i="39" s="1"/>
  <c r="AF102" i="39" s="1"/>
  <c r="AF104" i="39" s="1"/>
  <c r="AF105" i="39" s="1"/>
  <c r="AF281" i="39"/>
  <c r="AF293" i="39" s="1"/>
  <c r="AF300" i="39" s="1"/>
  <c r="AF303" i="39" s="1"/>
  <c r="AF305" i="39" s="1"/>
  <c r="AF306" i="39" s="1"/>
  <c r="AH724" i="39"/>
  <c r="AH863" i="39"/>
  <c r="AH875" i="39" s="1"/>
  <c r="AH882" i="39" s="1"/>
  <c r="AH968" i="39" s="1"/>
  <c r="AH969" i="39" s="1"/>
  <c r="AH899" i="39"/>
  <c r="AG84" i="39"/>
  <c r="AH412" i="39"/>
  <c r="AH410" i="39" s="1"/>
  <c r="AG569" i="39"/>
  <c r="AG581" i="39" s="1"/>
  <c r="AG588" i="39" s="1"/>
  <c r="AG591" i="39" s="1"/>
  <c r="AG593" i="39" s="1"/>
  <c r="AG594" i="39" s="1"/>
  <c r="AJ887" i="39"/>
  <c r="AJ885" i="39" s="1"/>
  <c r="AH937" i="39"/>
  <c r="AJ686" i="39"/>
  <c r="AJ706" i="39" s="1" a="1"/>
  <c r="AJ706" i="39" s="1"/>
  <c r="AJ738" i="39" s="1"/>
  <c r="AF118" i="39"/>
  <c r="AF130" i="39" s="1"/>
  <c r="AF137" i="39" s="1"/>
  <c r="AF140" i="39" s="1"/>
  <c r="AF142" i="39" s="1"/>
  <c r="AF143" i="39" s="1"/>
  <c r="AF444" i="39"/>
  <c r="AF456" i="39" s="1"/>
  <c r="AF463" i="39" s="1"/>
  <c r="AF466" i="39" s="1"/>
  <c r="AF468" i="39" s="1"/>
  <c r="AF469" i="39" s="1"/>
  <c r="AG933" i="39"/>
  <c r="AG945" i="39" s="1"/>
  <c r="AG952" i="39" s="1"/>
  <c r="AG955" i="39" s="1"/>
  <c r="AG957" i="39" s="1"/>
  <c r="AG958" i="39" s="1"/>
  <c r="AI249" i="39"/>
  <c r="AF406" i="39"/>
  <c r="AF418" i="39" s="1"/>
  <c r="AF425" i="39" s="1"/>
  <c r="AF428" i="39" s="1"/>
  <c r="AF430" i="39" s="1"/>
  <c r="AF431" i="39" s="1"/>
  <c r="AF316" i="39"/>
  <c r="AF329" i="39"/>
  <c r="AD171" i="39"/>
  <c r="AE171" i="39"/>
  <c r="AI911" i="39"/>
  <c r="AI949" i="39"/>
  <c r="AF770" i="39"/>
  <c r="AF782" i="39" s="1"/>
  <c r="AF789" i="39" s="1"/>
  <c r="AF792" i="39" s="1"/>
  <c r="AF794" i="39" s="1"/>
  <c r="AF795" i="39" s="1"/>
  <c r="AF243" i="39"/>
  <c r="AF255" i="39" s="1"/>
  <c r="AF262" i="39" s="1"/>
  <c r="AF265" i="39" s="1"/>
  <c r="AF267" i="39" s="1"/>
  <c r="AF268" i="39" s="1"/>
  <c r="AH435" i="39"/>
  <c r="AH461" i="39"/>
  <c r="AH442" i="39"/>
  <c r="AH437" i="39"/>
  <c r="AH452" i="39"/>
  <c r="AH439" i="39"/>
  <c r="AH440" i="39"/>
  <c r="AH438" i="39"/>
  <c r="AH441" i="39"/>
  <c r="AI397" i="39"/>
  <c r="AI383" i="39" a="1"/>
  <c r="AI383" i="39" s="1"/>
  <c r="AI390" i="39" a="1"/>
  <c r="AI390" i="39" s="1"/>
  <c r="AI389" i="39" a="1"/>
  <c r="AI389" i="39" s="1"/>
  <c r="AI404" i="39"/>
  <c r="AI477" i="39"/>
  <c r="AI376" i="39" a="1"/>
  <c r="AI376" i="39" s="1"/>
  <c r="AI354" i="39"/>
  <c r="AI423" i="39"/>
  <c r="AI388" i="39" a="1"/>
  <c r="AI388" i="39" s="1"/>
  <c r="AI400" i="39"/>
  <c r="AI402" i="39"/>
  <c r="AI401" i="39"/>
  <c r="AI414" i="39"/>
  <c r="AI403" i="39"/>
  <c r="AI399" i="39"/>
  <c r="AI575" i="39"/>
  <c r="AI573" i="39" s="1"/>
  <c r="AI613" i="39"/>
  <c r="AI611" i="39" s="1"/>
  <c r="AJ715" i="39" a="1"/>
  <c r="AJ715" i="39" s="1"/>
  <c r="AJ723" i="39"/>
  <c r="AJ716" i="39" a="1"/>
  <c r="AJ716" i="39" s="1"/>
  <c r="AJ728" i="39"/>
  <c r="AJ709" i="39" a="1"/>
  <c r="AJ709" i="39" s="1"/>
  <c r="AJ702" i="39" a="1"/>
  <c r="AJ702" i="39" s="1"/>
  <c r="AJ749" i="39"/>
  <c r="AJ680" i="39"/>
  <c r="AJ714" i="39" a="1"/>
  <c r="AJ714" i="39" s="1"/>
  <c r="AJ727" i="39"/>
  <c r="AJ803" i="39"/>
  <c r="AJ730" i="39"/>
  <c r="AJ725" i="39"/>
  <c r="AJ729" i="39"/>
  <c r="AJ726" i="39"/>
  <c r="AJ740" i="39"/>
  <c r="AJ685" i="39"/>
  <c r="AJ705" i="39" s="1" a="1"/>
  <c r="AJ705" i="39" s="1"/>
  <c r="AI897" i="39"/>
  <c r="AI935" i="39"/>
  <c r="AI866" i="39"/>
  <c r="AH579" i="39"/>
  <c r="AH576" i="39" s="1"/>
  <c r="AH617" i="39"/>
  <c r="AH614" i="39" s="1"/>
  <c r="AF642" i="39"/>
  <c r="AF655" i="39"/>
  <c r="AH453" i="39"/>
  <c r="AH415" i="39"/>
  <c r="AH384" i="39" a="1"/>
  <c r="AH384" i="39" s="1"/>
  <c r="AH381" i="39" s="1"/>
  <c r="AJ389" i="39" a="1"/>
  <c r="AJ389" i="39" s="1"/>
  <c r="AJ397" i="39"/>
  <c r="AJ383" i="39" a="1"/>
  <c r="AJ383" i="39" s="1"/>
  <c r="AJ390" i="39" a="1"/>
  <c r="AJ390" i="39" s="1"/>
  <c r="AJ402" i="39"/>
  <c r="AJ354" i="39"/>
  <c r="AJ388" i="39" a="1"/>
  <c r="AJ388" i="39" s="1"/>
  <c r="AJ376" i="39" a="1"/>
  <c r="AJ376" i="39" s="1"/>
  <c r="AJ423" i="39"/>
  <c r="AJ477" i="39"/>
  <c r="AJ401" i="39"/>
  <c r="AJ399" i="39"/>
  <c r="AJ403" i="39"/>
  <c r="AJ400" i="39"/>
  <c r="AJ404" i="39"/>
  <c r="AJ414" i="39"/>
  <c r="AI738" i="39"/>
  <c r="AH72" i="39"/>
  <c r="AH70" i="39" s="1"/>
  <c r="AG537" i="39"/>
  <c r="AG549" i="39" s="1"/>
  <c r="AG556" i="39" s="1"/>
  <c r="AI723" i="39"/>
  <c r="AI680" i="39"/>
  <c r="AI776" i="39" s="1"/>
  <c r="AI702" i="39" a="1"/>
  <c r="AI702" i="39" s="1"/>
  <c r="AI709" i="39" a="1"/>
  <c r="AI709" i="39" s="1"/>
  <c r="AI714" i="39" a="1"/>
  <c r="AI714" i="39" s="1"/>
  <c r="AI715" i="39" a="1"/>
  <c r="AI715" i="39" s="1"/>
  <c r="AI726" i="39"/>
  <c r="AI716" i="39" a="1"/>
  <c r="AI716" i="39" s="1"/>
  <c r="AI749" i="39"/>
  <c r="AI803" i="39"/>
  <c r="AI729" i="39"/>
  <c r="AI728" i="39"/>
  <c r="AI725" i="39"/>
  <c r="AI740" i="39"/>
  <c r="AI730" i="39"/>
  <c r="AI727" i="39"/>
  <c r="AI685" i="39"/>
  <c r="AI705" i="39" s="1" a="1"/>
  <c r="AI705" i="39" s="1"/>
  <c r="AH737" i="39"/>
  <c r="AH736" i="39" s="1"/>
  <c r="AH704" i="39"/>
  <c r="AH775" i="39"/>
  <c r="AF492" i="39"/>
  <c r="AF479" i="39"/>
  <c r="AF805" i="39"/>
  <c r="AF818" i="39"/>
  <c r="AG742" i="39"/>
  <c r="AG739" i="39" s="1"/>
  <c r="AG780" i="39"/>
  <c r="AG777" i="39" s="1"/>
  <c r="AE819" i="39"/>
  <c r="AE820" i="39" s="1"/>
  <c r="AE822" i="39" s="1"/>
  <c r="AE823" i="39" s="1"/>
  <c r="AI909" i="39"/>
  <c r="AI947" i="39"/>
  <c r="AI616" i="39"/>
  <c r="AI578" i="39"/>
  <c r="AI547" i="39" a="1"/>
  <c r="AI547" i="39" s="1"/>
  <c r="AI544" i="39" s="1"/>
  <c r="AG90" i="39"/>
  <c r="AG87" i="39" s="1"/>
  <c r="AG128" i="39"/>
  <c r="AG125" i="39" s="1"/>
  <c r="AH722" i="39"/>
  <c r="AG607" i="39"/>
  <c r="AG619" i="39" s="1"/>
  <c r="AG626" i="39" s="1"/>
  <c r="AG629" i="39" s="1"/>
  <c r="AG631" i="39" s="1"/>
  <c r="AG632" i="39" s="1"/>
  <c r="AE316" i="39"/>
  <c r="AE329" i="39"/>
  <c r="AG211" i="39"/>
  <c r="AG223" i="39" s="1"/>
  <c r="AG230" i="39" s="1"/>
  <c r="AG284" i="39"/>
  <c r="AG282" i="39" s="1"/>
  <c r="AG246" i="39"/>
  <c r="AG244" i="39" s="1"/>
  <c r="AH537" i="39"/>
  <c r="AH549" i="39" s="1"/>
  <c r="AH556" i="39" s="1"/>
  <c r="AJ910" i="39"/>
  <c r="AJ948" i="39"/>
  <c r="AE493" i="39"/>
  <c r="AE494" i="39" s="1"/>
  <c r="AE496" i="39" s="1"/>
  <c r="AG707" i="39"/>
  <c r="AG700" i="39" s="1"/>
  <c r="AG712" i="39" s="1"/>
  <c r="AG719" i="39" s="1"/>
  <c r="AE806" i="39"/>
  <c r="AE808" i="39"/>
  <c r="AE809" i="39" s="1"/>
  <c r="AJ911" i="39"/>
  <c r="AJ949" i="39"/>
  <c r="AJ561" i="39"/>
  <c r="AJ559" i="39" s="1"/>
  <c r="AI924" i="39"/>
  <c r="AI950" i="39"/>
  <c r="AI929" i="39"/>
  <c r="AI927" i="39"/>
  <c r="AI941" i="39"/>
  <c r="AI931" i="39"/>
  <c r="AI930" i="39"/>
  <c r="AI928" i="39"/>
  <c r="AI926" i="39"/>
  <c r="AI584" i="39"/>
  <c r="AI622" i="39"/>
  <c r="AG55" i="39"/>
  <c r="AG48" i="39" s="1"/>
  <c r="AG60" i="39" s="1"/>
  <c r="AG67" i="39" s="1"/>
  <c r="AG981" i="39"/>
  <c r="AG968" i="39"/>
  <c r="AH765" i="39"/>
  <c r="AH761" i="39"/>
  <c r="AH768" i="39"/>
  <c r="AH787" i="39"/>
  <c r="AH778" i="39"/>
  <c r="AH763" i="39"/>
  <c r="AH767" i="39"/>
  <c r="AH766" i="39"/>
  <c r="AH764" i="39"/>
  <c r="AH458" i="39"/>
  <c r="AH420" i="39"/>
  <c r="AE482" i="39"/>
  <c r="AE483" i="39" s="1"/>
  <c r="AE480" i="39"/>
  <c r="AH925" i="39"/>
  <c r="AH923" i="39" s="1"/>
  <c r="AG121" i="39"/>
  <c r="AG119" i="39" s="1"/>
  <c r="AG83" i="39"/>
  <c r="AG81" i="39" s="1"/>
  <c r="AH245" i="39"/>
  <c r="AH214" i="39"/>
  <c r="AH212" i="39" s="1"/>
  <c r="AH283" i="39"/>
  <c r="AH421" i="39"/>
  <c r="AH459" i="39"/>
  <c r="AG122" i="39"/>
  <c r="AI948" i="39"/>
  <c r="AI910" i="39"/>
  <c r="AI598" i="39"/>
  <c r="AI624" i="39"/>
  <c r="AI603" i="39"/>
  <c r="AI604" i="39"/>
  <c r="AI605" i="39"/>
  <c r="AI602" i="39"/>
  <c r="AI600" i="39"/>
  <c r="AI601" i="39"/>
  <c r="AI615" i="39"/>
  <c r="AH460" i="39"/>
  <c r="AH422" i="39"/>
  <c r="AH258" i="39"/>
  <c r="AH296" i="39"/>
  <c r="AG773" i="39"/>
  <c r="AG771" i="39" s="1"/>
  <c r="AG735" i="39"/>
  <c r="AG733" i="39" s="1"/>
  <c r="AH610" i="39"/>
  <c r="AH608" i="39" s="1"/>
  <c r="AH572" i="39"/>
  <c r="AH570" i="39" s="1"/>
  <c r="AJ897" i="39"/>
  <c r="AJ935" i="39"/>
  <c r="AJ866" i="39"/>
  <c r="AJ864" i="39" s="1"/>
  <c r="AI904" i="39"/>
  <c r="AI942" i="39"/>
  <c r="AI873" i="39" a="1"/>
  <c r="AI873" i="39" s="1"/>
  <c r="AI939" i="39"/>
  <c r="AI901" i="39"/>
  <c r="AH89" i="39"/>
  <c r="AH127" i="39"/>
  <c r="AH58" i="39" a="1"/>
  <c r="AH58" i="39" s="1"/>
  <c r="AH55" i="39" s="1"/>
  <c r="AJ571" i="39"/>
  <c r="AJ540" i="39"/>
  <c r="AJ538" i="39" s="1"/>
  <c r="AJ609" i="39"/>
  <c r="AI585" i="39"/>
  <c r="AI623" i="39"/>
  <c r="AH449" i="39"/>
  <c r="AG416" i="39"/>
  <c r="AG413" i="39" s="1"/>
  <c r="AG454" i="39"/>
  <c r="AG451" i="39" s="1"/>
  <c r="AF971" i="39"/>
  <c r="AF972" i="39" s="1"/>
  <c r="AF969" i="39"/>
  <c r="AH51" i="39"/>
  <c r="AH49" i="39" s="1"/>
  <c r="AH82" i="39"/>
  <c r="AH120" i="39"/>
  <c r="AJ904" i="39"/>
  <c r="AJ942" i="39"/>
  <c r="AJ873" i="39" a="1"/>
  <c r="AJ873" i="39" s="1"/>
  <c r="AJ870" i="39" s="1"/>
  <c r="AJ598" i="39"/>
  <c r="AJ624" i="39"/>
  <c r="AJ603" i="39"/>
  <c r="AJ605" i="39"/>
  <c r="AJ601" i="39"/>
  <c r="AJ604" i="39"/>
  <c r="AJ615" i="39"/>
  <c r="AJ600" i="39"/>
  <c r="AJ602" i="39"/>
  <c r="AI540" i="39"/>
  <c r="AI538" i="39" s="1"/>
  <c r="AI571" i="39"/>
  <c r="AI609" i="39"/>
  <c r="AJ197" i="39"/>
  <c r="AJ217" i="39" s="1" a="1"/>
  <c r="AJ217" i="39" s="1"/>
  <c r="AJ901" i="39"/>
  <c r="AJ939" i="39"/>
  <c r="AJ234" i="39"/>
  <c r="AJ220" i="39" a="1"/>
  <c r="AJ220" i="39" s="1"/>
  <c r="AJ237" i="39"/>
  <c r="AJ238" i="39"/>
  <c r="AJ260" i="39"/>
  <c r="AJ226" i="39" a="1"/>
  <c r="AJ226" i="39" s="1"/>
  <c r="AJ191" i="39"/>
  <c r="AJ227" i="39" a="1"/>
  <c r="AJ227" i="39" s="1"/>
  <c r="AJ213" i="39" a="1"/>
  <c r="AJ213" i="39" s="1"/>
  <c r="AJ225" i="39" a="1"/>
  <c r="AJ225" i="39" s="1"/>
  <c r="AJ314" i="39"/>
  <c r="AJ239" i="39"/>
  <c r="AJ240" i="39"/>
  <c r="AJ251" i="39"/>
  <c r="AJ241" i="39"/>
  <c r="AJ236" i="39"/>
  <c r="AG762" i="39"/>
  <c r="AG760" i="39" s="1"/>
  <c r="AH295" i="39"/>
  <c r="AH257" i="39"/>
  <c r="AG381" i="39"/>
  <c r="AH398" i="39"/>
  <c r="AH396" i="39" s="1"/>
  <c r="AF982" i="39"/>
  <c r="AF983" i="39" s="1"/>
  <c r="AF985" i="39" s="1"/>
  <c r="AF986" i="39" s="1"/>
  <c r="AG436" i="39"/>
  <c r="AG434" i="39" s="1"/>
  <c r="AI583" i="39"/>
  <c r="AI621" i="39"/>
  <c r="AI900" i="39"/>
  <c r="AI867" i="39"/>
  <c r="AI938" i="39"/>
  <c r="AH703" i="39"/>
  <c r="AH701" i="39" s="1"/>
  <c r="AH734" i="39"/>
  <c r="AH772" i="39"/>
  <c r="AG110" i="39"/>
  <c r="AG108" i="39" s="1"/>
  <c r="AH943" i="39"/>
  <c r="AH940" i="39" s="1"/>
  <c r="AH905" i="39"/>
  <c r="AH902" i="39" s="1"/>
  <c r="AI226" i="39" a="1"/>
  <c r="AI226" i="39" s="1"/>
  <c r="AI234" i="39"/>
  <c r="AI191" i="39"/>
  <c r="AI287" i="39" s="1"/>
  <c r="AI225" i="39" a="1"/>
  <c r="AI225" i="39" s="1"/>
  <c r="AI220" i="39" a="1"/>
  <c r="AI220" i="39" s="1"/>
  <c r="AI260" i="39"/>
  <c r="AI213" i="39" a="1"/>
  <c r="AI213" i="39" s="1"/>
  <c r="AI314" i="39"/>
  <c r="AI227" i="39" a="1"/>
  <c r="AI227" i="39" s="1"/>
  <c r="AI240" i="39"/>
  <c r="AI236" i="39"/>
  <c r="AI241" i="39"/>
  <c r="AI251" i="39"/>
  <c r="AI237" i="39"/>
  <c r="AI239" i="39"/>
  <c r="AI238" i="39"/>
  <c r="AI196" i="39"/>
  <c r="AI216" i="39" s="1" a="1"/>
  <c r="AI216" i="39" s="1"/>
  <c r="AH233" i="39"/>
  <c r="AJ71" i="39"/>
  <c r="AJ50" i="39" a="1"/>
  <c r="AJ50" i="39" s="1"/>
  <c r="AJ62" i="39" a="1"/>
  <c r="AJ62" i="39" s="1"/>
  <c r="AJ57" i="39" a="1"/>
  <c r="AJ57" i="39" s="1"/>
  <c r="AJ64" i="39" a="1"/>
  <c r="AJ64" i="39" s="1"/>
  <c r="AJ63" i="39" a="1"/>
  <c r="AJ63" i="39" s="1"/>
  <c r="AJ28" i="39"/>
  <c r="AJ151" i="39"/>
  <c r="AJ97" i="39"/>
  <c r="AJ75" i="39"/>
  <c r="AJ77" i="39"/>
  <c r="AJ88" i="39"/>
  <c r="AJ73" i="39"/>
  <c r="AJ76" i="39"/>
  <c r="AJ74" i="39"/>
  <c r="AJ78" i="39"/>
  <c r="AJ33" i="39"/>
  <c r="AJ53" i="39" s="1" a="1"/>
  <c r="AJ53" i="39" s="1"/>
  <c r="AJ34" i="39"/>
  <c r="AJ54" i="39" s="1" a="1"/>
  <c r="AJ54" i="39" s="1"/>
  <c r="AH95" i="39"/>
  <c r="AH133" i="39"/>
  <c r="AJ950" i="39"/>
  <c r="AJ930" i="39"/>
  <c r="AJ928" i="39"/>
  <c r="AJ924" i="39"/>
  <c r="AJ931" i="39"/>
  <c r="AJ926" i="39"/>
  <c r="AJ927" i="39"/>
  <c r="AJ941" i="39"/>
  <c r="AJ929" i="39"/>
  <c r="AG447" i="39"/>
  <c r="AG445" i="39" s="1"/>
  <c r="AG409" i="39"/>
  <c r="AG407" i="39" s="1"/>
  <c r="AJ938" i="39"/>
  <c r="AJ867" i="39"/>
  <c r="AJ900" i="39"/>
  <c r="AH746" i="39"/>
  <c r="AH784" i="39"/>
  <c r="AH298" i="39"/>
  <c r="AH272" i="39"/>
  <c r="AH278" i="39"/>
  <c r="AH279" i="39"/>
  <c r="AH274" i="39"/>
  <c r="AH289" i="39"/>
  <c r="AH277" i="39"/>
  <c r="AH275" i="39"/>
  <c r="AH276" i="39"/>
  <c r="AI71" i="39"/>
  <c r="AI64" i="39" a="1"/>
  <c r="AI64" i="39" s="1"/>
  <c r="AI97" i="39"/>
  <c r="AI62" i="39" a="1"/>
  <c r="AI62" i="39" s="1"/>
  <c r="AI57" i="39" a="1"/>
  <c r="AI57" i="39" s="1"/>
  <c r="AI63" i="39" a="1"/>
  <c r="AI63" i="39" s="1"/>
  <c r="AI50" i="39" a="1"/>
  <c r="AI50" i="39" s="1"/>
  <c r="AI28" i="39"/>
  <c r="AI78" i="39"/>
  <c r="AI151" i="39"/>
  <c r="AI73" i="39"/>
  <c r="AI74" i="39"/>
  <c r="AI88" i="39"/>
  <c r="AI77" i="39"/>
  <c r="AI75" i="39"/>
  <c r="AI76" i="39"/>
  <c r="AI33" i="39"/>
  <c r="AI53" i="39" s="1" a="1"/>
  <c r="AI53" i="39" s="1"/>
  <c r="AI34" i="39"/>
  <c r="AI54" i="39" s="1" a="1"/>
  <c r="AI54" i="39" s="1"/>
  <c r="AH113" i="39"/>
  <c r="AH109" i="39"/>
  <c r="AH135" i="39"/>
  <c r="AH115" i="39"/>
  <c r="AH114" i="39"/>
  <c r="AH111" i="39"/>
  <c r="AH126" i="39"/>
  <c r="AH116" i="39"/>
  <c r="AH112" i="39"/>
  <c r="AJ584" i="39"/>
  <c r="AJ622" i="39"/>
  <c r="AG375" i="39"/>
  <c r="AH124" i="39"/>
  <c r="AH86" i="39"/>
  <c r="AH94" i="39"/>
  <c r="AH132" i="39"/>
  <c r="AJ947" i="39"/>
  <c r="AJ909" i="39"/>
  <c r="AJ621" i="39"/>
  <c r="AJ583" i="39"/>
  <c r="AH297" i="39"/>
  <c r="AH259" i="39"/>
  <c r="AH981" i="39"/>
  <c r="AH85" i="39"/>
  <c r="AH123" i="39"/>
  <c r="AH52" i="39"/>
  <c r="AH134" i="39"/>
  <c r="AH96" i="39"/>
  <c r="AF166" i="39"/>
  <c r="AF153" i="39"/>
  <c r="AJ578" i="39"/>
  <c r="AJ616" i="39"/>
  <c r="AJ547" i="39" a="1"/>
  <c r="AJ547" i="39" s="1"/>
  <c r="AJ544" i="39" s="1"/>
  <c r="AH450" i="39"/>
  <c r="AH286" i="39"/>
  <c r="AH285" i="39" s="1"/>
  <c r="AH215" i="39"/>
  <c r="AH248" i="39"/>
  <c r="AH247" i="39" s="1"/>
  <c r="AH377" i="39"/>
  <c r="AH375" i="39" s="1"/>
  <c r="AH408" i="39"/>
  <c r="AH446" i="39"/>
  <c r="AJ613" i="39"/>
  <c r="AJ575" i="39"/>
  <c r="AJ623" i="39"/>
  <c r="AJ585" i="39"/>
  <c r="AG291" i="39"/>
  <c r="AG288" i="39" s="1"/>
  <c r="AG253" i="39"/>
  <c r="AG250" i="39" s="1"/>
  <c r="AI887" i="39"/>
  <c r="AI885" i="39" s="1"/>
  <c r="AI561" i="39"/>
  <c r="AI559" i="39" s="1"/>
  <c r="AH776" i="39"/>
  <c r="AH252" i="39"/>
  <c r="AH290" i="39"/>
  <c r="AH221" i="39" a="1"/>
  <c r="AH221" i="39" s="1"/>
  <c r="AH218" i="39" s="1"/>
  <c r="AH786" i="39"/>
  <c r="AH748" i="39"/>
  <c r="AG895" i="39"/>
  <c r="AG907" i="39" s="1"/>
  <c r="AG914" i="39" s="1"/>
  <c r="AG917" i="39" s="1"/>
  <c r="AG919" i="39" s="1"/>
  <c r="AG920" i="39" s="1"/>
  <c r="AH599" i="39"/>
  <c r="AH597" i="39" s="1"/>
  <c r="AH936" i="39"/>
  <c r="AH934" i="39" s="1"/>
  <c r="AH898" i="39"/>
  <c r="AH896" i="39" s="1"/>
  <c r="AH747" i="39"/>
  <c r="AH785" i="39"/>
  <c r="AJ360" i="39"/>
  <c r="AJ380" i="39" s="1" a="1"/>
  <c r="AJ380" i="39" s="1"/>
  <c r="AD482" i="39"/>
  <c r="AD483" i="39" s="1"/>
  <c r="AD480" i="39"/>
  <c r="AJ359" i="39"/>
  <c r="AJ379" i="39" s="1" a="1"/>
  <c r="AJ379" i="39" s="1"/>
  <c r="AH741" i="39"/>
  <c r="AH779" i="39"/>
  <c r="AH710" i="39" a="1"/>
  <c r="AH710" i="39" s="1"/>
  <c r="AI360" i="39"/>
  <c r="AI380" i="39" s="1" a="1"/>
  <c r="AI380" i="39" s="1"/>
  <c r="AJ574" i="39"/>
  <c r="AJ612" i="39"/>
  <c r="AJ541" i="39"/>
  <c r="AD493" i="39"/>
  <c r="AD494" i="39" s="1"/>
  <c r="AD496" i="39" s="1"/>
  <c r="AD497" i="39" s="1"/>
  <c r="AJ196" i="39"/>
  <c r="AJ216" i="39" s="1" a="1"/>
  <c r="AJ216" i="39" s="1"/>
  <c r="AI359" i="39"/>
  <c r="AI379" i="39" s="1" a="1"/>
  <c r="AI379" i="39" s="1"/>
  <c r="AG273" i="39"/>
  <c r="AG271" i="39" s="1"/>
  <c r="AJ937" i="39" l="1"/>
  <c r="AG770" i="39"/>
  <c r="AH895" i="39"/>
  <c r="AH907" i="39" s="1"/>
  <c r="AH914" i="39" s="1"/>
  <c r="AH917" i="39" s="1"/>
  <c r="AH919" i="39" s="1"/>
  <c r="AH920" i="39" s="1"/>
  <c r="AJ899" i="39"/>
  <c r="AH971" i="39"/>
  <c r="AH972" i="39" s="1"/>
  <c r="AH607" i="39"/>
  <c r="AH619" i="39" s="1"/>
  <c r="AH626" i="39" s="1"/>
  <c r="AH629" i="39" s="1"/>
  <c r="AH631" i="39" s="1"/>
  <c r="AH632" i="39" s="1"/>
  <c r="AG406" i="39"/>
  <c r="AG418" i="39" s="1"/>
  <c r="AG425" i="39" s="1"/>
  <c r="AG428" i="39" s="1"/>
  <c r="AG430" i="39" s="1"/>
  <c r="AG431" i="39" s="1"/>
  <c r="AI925" i="39"/>
  <c r="AG732" i="39"/>
  <c r="AG744" i="39" s="1"/>
  <c r="AG751" i="39" s="1"/>
  <c r="AG754" i="39" s="1"/>
  <c r="AG756" i="39" s="1"/>
  <c r="AG757" i="39" s="1"/>
  <c r="AJ611" i="39"/>
  <c r="AI235" i="39"/>
  <c r="AI233" i="39" s="1"/>
  <c r="AJ776" i="39"/>
  <c r="AI398" i="39"/>
  <c r="AI396" i="39" s="1"/>
  <c r="AI724" i="39"/>
  <c r="AI722" i="39" s="1"/>
  <c r="AI537" i="39"/>
  <c r="AI549" i="39" s="1"/>
  <c r="AI556" i="39" s="1"/>
  <c r="AI655" i="39" s="1"/>
  <c r="AI923" i="39"/>
  <c r="AJ724" i="39"/>
  <c r="AJ722" i="39" s="1"/>
  <c r="AH211" i="39"/>
  <c r="AH223" i="39" s="1"/>
  <c r="AH230" i="39" s="1"/>
  <c r="AH329" i="39" s="1"/>
  <c r="AG243" i="39"/>
  <c r="AG255" i="39" s="1"/>
  <c r="AG262" i="39" s="1"/>
  <c r="AG265" i="39" s="1"/>
  <c r="AG267" i="39" s="1"/>
  <c r="AG268" i="39" s="1"/>
  <c r="AG374" i="39"/>
  <c r="AG386" i="39" s="1"/>
  <c r="AG393" i="39" s="1"/>
  <c r="AG281" i="39"/>
  <c r="AG293" i="39" s="1"/>
  <c r="AG300" i="39" s="1"/>
  <c r="AG303" i="39" s="1"/>
  <c r="AG305" i="39" s="1"/>
  <c r="AG306" i="39" s="1"/>
  <c r="AG80" i="39"/>
  <c r="AG92" i="39" s="1"/>
  <c r="AG99" i="39" s="1"/>
  <c r="AG102" i="39" s="1"/>
  <c r="AG104" i="39" s="1"/>
  <c r="AG105" i="39" s="1"/>
  <c r="AH122" i="39"/>
  <c r="AJ573" i="39"/>
  <c r="AH374" i="39"/>
  <c r="AH386" i="39" s="1"/>
  <c r="AH393" i="39" s="1"/>
  <c r="AH492" i="39" s="1"/>
  <c r="AE497" i="39"/>
  <c r="AG118" i="39"/>
  <c r="AG130" i="39" s="1"/>
  <c r="AG137" i="39" s="1"/>
  <c r="AG140" i="39" s="1"/>
  <c r="AG142" i="39" s="1"/>
  <c r="AG143" i="39" s="1"/>
  <c r="AI899" i="39"/>
  <c r="AH762" i="39"/>
  <c r="AH760" i="39" s="1"/>
  <c r="AH48" i="39"/>
  <c r="AH60" i="39" s="1"/>
  <c r="AH67" i="39" s="1"/>
  <c r="AI411" i="39"/>
  <c r="AI378" i="39"/>
  <c r="AI449" i="39"/>
  <c r="AI286" i="39"/>
  <c r="AI285" i="39" s="1"/>
  <c r="AI248" i="39"/>
  <c r="AI247" i="39" s="1"/>
  <c r="AI215" i="39"/>
  <c r="AI258" i="39"/>
  <c r="AI296" i="39"/>
  <c r="AJ214" i="39"/>
  <c r="AJ212" i="39" s="1"/>
  <c r="AJ245" i="39"/>
  <c r="AJ283" i="39"/>
  <c r="AF806" i="39"/>
  <c r="AF808" i="39"/>
  <c r="AF809" i="39" s="1"/>
  <c r="AJ257" i="39"/>
  <c r="AJ295" i="39"/>
  <c r="AJ863" i="39"/>
  <c r="AJ875" i="39" s="1"/>
  <c r="AJ882" i="39" s="1"/>
  <c r="AF819" i="39"/>
  <c r="AF820" i="39" s="1"/>
  <c r="AF822" i="39" s="1"/>
  <c r="AF823" i="39" s="1"/>
  <c r="AF156" i="39"/>
  <c r="AF157" i="39" s="1"/>
  <c r="AF154" i="39"/>
  <c r="AJ259" i="39"/>
  <c r="AJ297" i="39"/>
  <c r="AH128" i="39"/>
  <c r="AH90" i="39"/>
  <c r="AH87" i="39" s="1"/>
  <c r="AG971" i="39"/>
  <c r="AG972" i="39" s="1"/>
  <c r="AG969" i="39"/>
  <c r="AF482" i="39"/>
  <c r="AF483" i="39" s="1"/>
  <c r="AF480" i="39"/>
  <c r="AI85" i="39"/>
  <c r="AI52" i="39"/>
  <c r="AI123" i="39"/>
  <c r="AI51" i="39"/>
  <c r="AI49" i="39" s="1"/>
  <c r="AI82" i="39"/>
  <c r="AI120" i="39"/>
  <c r="AI450" i="39"/>
  <c r="AI412" i="39"/>
  <c r="AF167" i="39"/>
  <c r="AF168" i="39" s="1"/>
  <c r="AF170" i="39" s="1"/>
  <c r="AF171" i="39" s="1"/>
  <c r="AI89" i="39"/>
  <c r="AI127" i="39"/>
  <c r="AI58" i="39" a="1"/>
  <c r="AI58" i="39" s="1"/>
  <c r="AI55" i="39" s="1"/>
  <c r="AG782" i="39"/>
  <c r="AG789" i="39" s="1"/>
  <c r="AG792" i="39" s="1"/>
  <c r="AG794" i="39" s="1"/>
  <c r="AG795" i="39" s="1"/>
  <c r="AJ272" i="39"/>
  <c r="AJ275" i="39"/>
  <c r="AJ278" i="39"/>
  <c r="AJ277" i="39"/>
  <c r="AJ298" i="39"/>
  <c r="AJ279" i="39"/>
  <c r="AJ276" i="39"/>
  <c r="AJ289" i="39"/>
  <c r="AJ274" i="39"/>
  <c r="AI610" i="39"/>
  <c r="AI608" i="39" s="1"/>
  <c r="AI572" i="39"/>
  <c r="AI570" i="39" s="1"/>
  <c r="AG982" i="39"/>
  <c r="AG983" i="39" s="1"/>
  <c r="AG985" i="39" s="1"/>
  <c r="AG986" i="39" s="1"/>
  <c r="AF493" i="39"/>
  <c r="AF494" i="39" s="1"/>
  <c r="AF496" i="39" s="1"/>
  <c r="AF497" i="39" s="1"/>
  <c r="AI748" i="39"/>
  <c r="AI786" i="39"/>
  <c r="AJ398" i="39"/>
  <c r="AJ396" i="39" s="1"/>
  <c r="AJ248" i="39"/>
  <c r="AJ286" i="39"/>
  <c r="AJ215" i="39"/>
  <c r="AH110" i="39"/>
  <c r="AH108" i="39" s="1"/>
  <c r="AI113" i="39"/>
  <c r="AI109" i="39"/>
  <c r="AI135" i="39"/>
  <c r="AI126" i="39"/>
  <c r="AI112" i="39"/>
  <c r="AI111" i="39"/>
  <c r="AI116" i="39"/>
  <c r="AI115" i="39"/>
  <c r="AI114" i="39"/>
  <c r="AJ537" i="39"/>
  <c r="AJ549" i="39" s="1"/>
  <c r="AJ556" i="39" s="1"/>
  <c r="AI133" i="39"/>
  <c r="AI95" i="39"/>
  <c r="AJ72" i="39"/>
  <c r="AJ70" i="39" s="1"/>
  <c r="AI94" i="39"/>
  <c r="AI132" i="39"/>
  <c r="AH642" i="39"/>
  <c r="AH655" i="39"/>
  <c r="AF656" i="39"/>
  <c r="AF657" i="39" s="1"/>
  <c r="AF659" i="39" s="1"/>
  <c r="AF660" i="39" s="1"/>
  <c r="AJ784" i="39"/>
  <c r="AJ746" i="39"/>
  <c r="AI453" i="39"/>
  <c r="AI415" i="39"/>
  <c r="AI384" i="39" a="1"/>
  <c r="AI384" i="39" s="1"/>
  <c r="AI381" i="39" s="1"/>
  <c r="AH780" i="39"/>
  <c r="AH777" i="39" s="1"/>
  <c r="AH742" i="39"/>
  <c r="AH739" i="39" s="1"/>
  <c r="AJ258" i="39"/>
  <c r="AJ296" i="39"/>
  <c r="AH83" i="39"/>
  <c r="AH81" i="39" s="1"/>
  <c r="AH121" i="39"/>
  <c r="AH119" i="39" s="1"/>
  <c r="AH707" i="39"/>
  <c r="AH700" i="39" s="1"/>
  <c r="AH712" i="39" s="1"/>
  <c r="AH719" i="39" s="1"/>
  <c r="AJ925" i="39"/>
  <c r="AJ923" i="39" s="1"/>
  <c r="AJ599" i="39"/>
  <c r="AJ597" i="39" s="1"/>
  <c r="AG818" i="39"/>
  <c r="AG805" i="39"/>
  <c r="AH774" i="39"/>
  <c r="AI785" i="39"/>
  <c r="AI747" i="39"/>
  <c r="AF645" i="39"/>
  <c r="AF646" i="39" s="1"/>
  <c r="AF643" i="39"/>
  <c r="AJ787" i="39"/>
  <c r="AJ766" i="39"/>
  <c r="AJ761" i="39"/>
  <c r="AJ765" i="39"/>
  <c r="AJ778" i="39"/>
  <c r="AJ768" i="39"/>
  <c r="AJ763" i="39"/>
  <c r="AJ767" i="39"/>
  <c r="AJ764" i="39"/>
  <c r="AI86" i="39"/>
  <c r="AI124" i="39"/>
  <c r="AI96" i="39"/>
  <c r="AI134" i="39"/>
  <c r="AI617" i="39"/>
  <c r="AI614" i="39" s="1"/>
  <c r="AI579" i="39"/>
  <c r="AI576" i="39" s="1"/>
  <c r="AI784" i="39"/>
  <c r="AI746" i="39"/>
  <c r="AF330" i="39"/>
  <c r="AF331" i="39" s="1"/>
  <c r="AF333" i="39" s="1"/>
  <c r="AI905" i="39"/>
  <c r="AI902" i="39" s="1"/>
  <c r="AI943" i="39"/>
  <c r="AI940" i="39" s="1"/>
  <c r="AG166" i="39"/>
  <c r="AG153" i="39"/>
  <c r="AI779" i="39"/>
  <c r="AI741" i="39"/>
  <c r="AI710" i="39" a="1"/>
  <c r="AI710" i="39" s="1"/>
  <c r="AJ446" i="39"/>
  <c r="AJ408" i="39"/>
  <c r="AJ377" i="39"/>
  <c r="AJ734" i="39"/>
  <c r="AJ703" i="39"/>
  <c r="AJ772" i="39"/>
  <c r="AH436" i="39"/>
  <c r="AH434" i="39" s="1"/>
  <c r="AF319" i="39"/>
  <c r="AF320" i="39" s="1"/>
  <c r="AF317" i="39"/>
  <c r="AJ252" i="39"/>
  <c r="AJ290" i="39"/>
  <c r="AJ221" i="39" a="1"/>
  <c r="AJ221" i="39" s="1"/>
  <c r="AI870" i="39"/>
  <c r="AJ458" i="39"/>
  <c r="AJ420" i="39"/>
  <c r="AI936" i="39"/>
  <c r="AI934" i="39" s="1"/>
  <c r="AI898" i="39"/>
  <c r="AI896" i="39" s="1"/>
  <c r="AJ779" i="39"/>
  <c r="AJ741" i="39"/>
  <c r="AJ710" i="39" a="1"/>
  <c r="AJ710" i="39" s="1"/>
  <c r="AI458" i="39"/>
  <c r="AI420" i="39"/>
  <c r="AJ378" i="39"/>
  <c r="AJ411" i="39"/>
  <c r="AJ449" i="39"/>
  <c r="AI734" i="39"/>
  <c r="AI772" i="39"/>
  <c r="AI703" i="39"/>
  <c r="AI701" i="39" s="1"/>
  <c r="AG492" i="39"/>
  <c r="AG479" i="39"/>
  <c r="AJ133" i="39"/>
  <c r="AJ95" i="39"/>
  <c r="AI297" i="39"/>
  <c r="AI259" i="39"/>
  <c r="AI937" i="39"/>
  <c r="AH448" i="39"/>
  <c r="AI761" i="39"/>
  <c r="AI787" i="39"/>
  <c r="AI778" i="39"/>
  <c r="AI764" i="39"/>
  <c r="AI766" i="39"/>
  <c r="AI763" i="39"/>
  <c r="AI768" i="39"/>
  <c r="AI765" i="39"/>
  <c r="AI767" i="39"/>
  <c r="AJ461" i="39"/>
  <c r="AJ435" i="39"/>
  <c r="AJ442" i="39"/>
  <c r="AJ439" i="39"/>
  <c r="AJ441" i="39"/>
  <c r="AJ440" i="39"/>
  <c r="AJ437" i="39"/>
  <c r="AJ452" i="39"/>
  <c r="AJ438" i="39"/>
  <c r="AH291" i="39"/>
  <c r="AH288" i="39" s="1"/>
  <c r="AH253" i="39"/>
  <c r="AH250" i="39" s="1"/>
  <c r="AH84" i="39"/>
  <c r="AJ135" i="39"/>
  <c r="AJ109" i="39"/>
  <c r="AJ113" i="39"/>
  <c r="AJ114" i="39"/>
  <c r="AJ111" i="39"/>
  <c r="AJ126" i="39"/>
  <c r="AJ112" i="39"/>
  <c r="AJ116" i="39"/>
  <c r="AJ115" i="39"/>
  <c r="AH982" i="39"/>
  <c r="AH983" i="39" s="1"/>
  <c r="AH985" i="39" s="1"/>
  <c r="AJ134" i="39"/>
  <c r="AJ96" i="39"/>
  <c r="AJ235" i="39"/>
  <c r="AJ233" i="39" s="1"/>
  <c r="AI775" i="39"/>
  <c r="AI774" i="39" s="1"/>
  <c r="AI704" i="39"/>
  <c r="AI737" i="39"/>
  <c r="AI736" i="39" s="1"/>
  <c r="AJ748" i="39"/>
  <c r="AJ786" i="39"/>
  <c r="AI435" i="39"/>
  <c r="AI439" i="39"/>
  <c r="AI461" i="39"/>
  <c r="AI442" i="39"/>
  <c r="AI441" i="39"/>
  <c r="AI440" i="39"/>
  <c r="AI452" i="39"/>
  <c r="AI438" i="39"/>
  <c r="AI437" i="39"/>
  <c r="AJ89" i="39"/>
  <c r="AJ127" i="39"/>
  <c r="AJ58" i="39" a="1"/>
  <c r="AJ58" i="39" s="1"/>
  <c r="AI283" i="39"/>
  <c r="AI214" i="39"/>
  <c r="AI212" i="39" s="1"/>
  <c r="AI245" i="39"/>
  <c r="AG316" i="39"/>
  <c r="AG329" i="39"/>
  <c r="AG655" i="39"/>
  <c r="AG642" i="39"/>
  <c r="AJ460" i="39"/>
  <c r="AJ422" i="39"/>
  <c r="AI864" i="39"/>
  <c r="AI408" i="39"/>
  <c r="AI377" i="39"/>
  <c r="AI375" i="39" s="1"/>
  <c r="AI446" i="39"/>
  <c r="AJ94" i="39"/>
  <c r="AJ132" i="39"/>
  <c r="AG444" i="39"/>
  <c r="AG456" i="39" s="1"/>
  <c r="AG463" i="39" s="1"/>
  <c r="AG466" i="39" s="1"/>
  <c r="AG468" i="39" s="1"/>
  <c r="AG469" i="39" s="1"/>
  <c r="AH569" i="39"/>
  <c r="AH581" i="39" s="1"/>
  <c r="AH588" i="39" s="1"/>
  <c r="AH591" i="39" s="1"/>
  <c r="AH593" i="39" s="1"/>
  <c r="AH594" i="39" s="1"/>
  <c r="AE330" i="39"/>
  <c r="AE331" i="39" s="1"/>
  <c r="AE333" i="39" s="1"/>
  <c r="AE334" i="39" s="1"/>
  <c r="AJ415" i="39"/>
  <c r="AJ453" i="39"/>
  <c r="AJ384" i="39" a="1"/>
  <c r="AJ384" i="39" s="1"/>
  <c r="AJ381" i="39" s="1"/>
  <c r="AJ704" i="39"/>
  <c r="AJ737" i="39"/>
  <c r="AJ736" i="39" s="1"/>
  <c r="AJ775" i="39"/>
  <c r="AJ785" i="39"/>
  <c r="AJ747" i="39"/>
  <c r="AJ86" i="39"/>
  <c r="AJ124" i="39"/>
  <c r="AJ120" i="39"/>
  <c r="AJ51" i="39"/>
  <c r="AJ49" i="39" s="1"/>
  <c r="AJ82" i="39"/>
  <c r="AI290" i="39"/>
  <c r="AI252" i="39"/>
  <c r="AI221" i="39" a="1"/>
  <c r="AI221" i="39" s="1"/>
  <c r="AJ943" i="39"/>
  <c r="AJ940" i="39" s="1"/>
  <c r="AJ905" i="39"/>
  <c r="AJ902" i="39" s="1"/>
  <c r="AJ898" i="39"/>
  <c r="AJ896" i="39" s="1"/>
  <c r="AJ936" i="39"/>
  <c r="AJ934" i="39" s="1"/>
  <c r="AI599" i="39"/>
  <c r="AI597" i="39" s="1"/>
  <c r="AE319" i="39"/>
  <c r="AE320" i="39" s="1"/>
  <c r="AE317" i="39"/>
  <c r="AH409" i="39"/>
  <c r="AH407" i="39" s="1"/>
  <c r="AH447" i="39"/>
  <c r="AH445" i="39" s="1"/>
  <c r="AH735" i="39"/>
  <c r="AH733" i="39" s="1"/>
  <c r="AH773" i="39"/>
  <c r="AH771" i="39" s="1"/>
  <c r="AI72" i="39"/>
  <c r="AI70" i="39" s="1"/>
  <c r="AH273" i="39"/>
  <c r="AH271" i="39" s="1"/>
  <c r="AJ52" i="39"/>
  <c r="AJ85" i="39"/>
  <c r="AJ123" i="39"/>
  <c r="AI257" i="39"/>
  <c r="AI295" i="39"/>
  <c r="AJ572" i="39"/>
  <c r="AJ570" i="39" s="1"/>
  <c r="AJ610" i="39"/>
  <c r="AJ608" i="39" s="1"/>
  <c r="AJ459" i="39"/>
  <c r="AJ421" i="39"/>
  <c r="AI459" i="39"/>
  <c r="AI421" i="39"/>
  <c r="AJ450" i="39"/>
  <c r="AJ412" i="39"/>
  <c r="AJ579" i="39"/>
  <c r="AJ576" i="39" s="1"/>
  <c r="AJ617" i="39"/>
  <c r="AJ614" i="39" s="1"/>
  <c r="AH125" i="39"/>
  <c r="AH933" i="39"/>
  <c r="AH945" i="39" s="1"/>
  <c r="AH952" i="39" s="1"/>
  <c r="AH955" i="39" s="1"/>
  <c r="AH957" i="39" s="1"/>
  <c r="AH958" i="39" s="1"/>
  <c r="AI272" i="39"/>
  <c r="AI298" i="39"/>
  <c r="AI275" i="39"/>
  <c r="AI279" i="39"/>
  <c r="AI274" i="39"/>
  <c r="AI289" i="39"/>
  <c r="AI278" i="39"/>
  <c r="AI277" i="39"/>
  <c r="AI276" i="39"/>
  <c r="AJ249" i="39"/>
  <c r="AJ287" i="39"/>
  <c r="AH284" i="39"/>
  <c r="AH282" i="39" s="1"/>
  <c r="AH246" i="39"/>
  <c r="AH244" i="39" s="1"/>
  <c r="AH416" i="39"/>
  <c r="AH413" i="39" s="1"/>
  <c r="AH454" i="39"/>
  <c r="AH451" i="39" s="1"/>
  <c r="AI460" i="39"/>
  <c r="AI422" i="39"/>
  <c r="AI642" i="39" l="1"/>
  <c r="AH732" i="39"/>
  <c r="AH744" i="39" s="1"/>
  <c r="AH751" i="39" s="1"/>
  <c r="AH754" i="39" s="1"/>
  <c r="AH756" i="39" s="1"/>
  <c r="AH757" i="39" s="1"/>
  <c r="AJ774" i="39"/>
  <c r="AH316" i="39"/>
  <c r="AH770" i="39"/>
  <c r="AH782" i="39" s="1"/>
  <c r="AH789" i="39" s="1"/>
  <c r="AH792" i="39" s="1"/>
  <c r="AH794" i="39" s="1"/>
  <c r="AH795" i="39" s="1"/>
  <c r="AJ436" i="39"/>
  <c r="AJ122" i="39"/>
  <c r="AH444" i="39"/>
  <c r="AH406" i="39"/>
  <c r="AH418" i="39" s="1"/>
  <c r="AH425" i="39" s="1"/>
  <c r="AH428" i="39" s="1"/>
  <c r="AH430" i="39" s="1"/>
  <c r="AH431" i="39" s="1"/>
  <c r="AI273" i="39"/>
  <c r="AI271" i="39" s="1"/>
  <c r="AI569" i="39"/>
  <c r="AI581" i="39" s="1"/>
  <c r="AI588" i="39" s="1"/>
  <c r="AI591" i="39" s="1"/>
  <c r="AI593" i="39" s="1"/>
  <c r="AI594" i="39" s="1"/>
  <c r="AH281" i="39"/>
  <c r="AH293" i="39" s="1"/>
  <c r="AH300" i="39" s="1"/>
  <c r="AH303" i="39" s="1"/>
  <c r="AH305" i="39" s="1"/>
  <c r="AH306" i="39" s="1"/>
  <c r="AI448" i="39"/>
  <c r="AH118" i="39"/>
  <c r="AH130" i="39" s="1"/>
  <c r="AH137" i="39" s="1"/>
  <c r="AH140" i="39" s="1"/>
  <c r="AH142" i="39" s="1"/>
  <c r="AH143" i="39" s="1"/>
  <c r="AH80" i="39"/>
  <c r="AH92" i="39" s="1"/>
  <c r="AH99" i="39" s="1"/>
  <c r="AH102" i="39" s="1"/>
  <c r="AH104" i="39" s="1"/>
  <c r="AH105" i="39" s="1"/>
  <c r="AI122" i="39"/>
  <c r="AI374" i="39"/>
  <c r="AI386" i="39" s="1"/>
  <c r="AI393" i="39" s="1"/>
  <c r="AI492" i="39" s="1"/>
  <c r="AJ285" i="39"/>
  <c r="AH479" i="39"/>
  <c r="AH480" i="39" s="1"/>
  <c r="AI863" i="39"/>
  <c r="AI875" i="39" s="1"/>
  <c r="AI882" i="39" s="1"/>
  <c r="AI981" i="39" s="1"/>
  <c r="AJ569" i="39"/>
  <c r="AJ581" i="39" s="1"/>
  <c r="AJ588" i="39" s="1"/>
  <c r="AJ591" i="39" s="1"/>
  <c r="AJ593" i="39" s="1"/>
  <c r="AJ594" i="39" s="1"/>
  <c r="AI895" i="39"/>
  <c r="AI907" i="39" s="1"/>
  <c r="AI914" i="39" s="1"/>
  <c r="AI917" i="39" s="1"/>
  <c r="AI919" i="39" s="1"/>
  <c r="AI920" i="39" s="1"/>
  <c r="AI933" i="39"/>
  <c r="AI945" i="39" s="1"/>
  <c r="AI952" i="39" s="1"/>
  <c r="AI955" i="39" s="1"/>
  <c r="AI957" i="39" s="1"/>
  <c r="AI958" i="39" s="1"/>
  <c r="AH805" i="39"/>
  <c r="AH818" i="39"/>
  <c r="AH986" i="39"/>
  <c r="AH243" i="39"/>
  <c r="AH255" i="39" s="1"/>
  <c r="AH262" i="39" s="1"/>
  <c r="AH265" i="39" s="1"/>
  <c r="AH267" i="39" s="1"/>
  <c r="AH268" i="39" s="1"/>
  <c r="AG317" i="39"/>
  <c r="AG319" i="39"/>
  <c r="AG320" i="39" s="1"/>
  <c r="AJ410" i="39"/>
  <c r="AG156" i="39"/>
  <c r="AG157" i="39" s="1"/>
  <c r="AG154" i="39"/>
  <c r="AG167" i="39"/>
  <c r="AG168" i="39" s="1"/>
  <c r="AG170" i="39" s="1"/>
  <c r="AG171" i="39" s="1"/>
  <c r="AG806" i="39"/>
  <c r="AG808" i="39"/>
  <c r="AG809" i="39" s="1"/>
  <c r="AG819" i="39"/>
  <c r="AG820" i="39" s="1"/>
  <c r="AG822" i="39" s="1"/>
  <c r="AG823" i="39" s="1"/>
  <c r="AJ655" i="39"/>
  <c r="AJ642" i="39"/>
  <c r="AJ247" i="39"/>
  <c r="AJ762" i="39"/>
  <c r="AI607" i="39"/>
  <c r="AI619" i="39" s="1"/>
  <c r="AI626" i="39" s="1"/>
  <c r="AI629" i="39" s="1"/>
  <c r="AI631" i="39" s="1"/>
  <c r="AI632" i="39" s="1"/>
  <c r="AI48" i="39"/>
  <c r="AI60" i="39" s="1"/>
  <c r="AI67" i="39" s="1"/>
  <c r="AJ742" i="39"/>
  <c r="AJ739" i="39" s="1"/>
  <c r="AJ780" i="39"/>
  <c r="AJ777" i="39" s="1"/>
  <c r="AI83" i="39"/>
  <c r="AI81" i="39" s="1"/>
  <c r="AI121" i="39"/>
  <c r="AI119" i="39" s="1"/>
  <c r="AH493" i="39"/>
  <c r="AH494" i="39" s="1"/>
  <c r="AH496" i="39" s="1"/>
  <c r="AJ707" i="39"/>
  <c r="AJ735" i="39"/>
  <c r="AJ733" i="39" s="1"/>
  <c r="AJ773" i="39"/>
  <c r="AJ771" i="39" s="1"/>
  <c r="AF334" i="39"/>
  <c r="AJ90" i="39"/>
  <c r="AJ87" i="39" s="1"/>
  <c r="AJ128" i="39"/>
  <c r="AJ125" i="39" s="1"/>
  <c r="AJ110" i="39"/>
  <c r="AJ108" i="39" s="1"/>
  <c r="AJ434" i="39"/>
  <c r="AI291" i="39"/>
  <c r="AI288" i="39" s="1"/>
  <c r="AI253" i="39"/>
  <c r="AI250" i="39" s="1"/>
  <c r="AJ55" i="39"/>
  <c r="AJ48" i="39" s="1"/>
  <c r="AJ60" i="39" s="1"/>
  <c r="AJ67" i="39" s="1"/>
  <c r="AJ701" i="39"/>
  <c r="AJ760" i="39"/>
  <c r="AI84" i="39"/>
  <c r="AH317" i="39"/>
  <c r="AH319" i="39"/>
  <c r="AH320" i="39" s="1"/>
  <c r="AJ895" i="39"/>
  <c r="AJ907" i="39" s="1"/>
  <c r="AJ914" i="39" s="1"/>
  <c r="AJ917" i="39" s="1"/>
  <c r="AJ919" i="39" s="1"/>
  <c r="AJ920" i="39" s="1"/>
  <c r="AI447" i="39"/>
  <c r="AI445" i="39" s="1"/>
  <c r="AI409" i="39"/>
  <c r="AI407" i="39" s="1"/>
  <c r="AJ84" i="39"/>
  <c r="AI218" i="39"/>
  <c r="AI211" i="39" s="1"/>
  <c r="AI223" i="39" s="1"/>
  <c r="AI230" i="39" s="1"/>
  <c r="AG480" i="39"/>
  <c r="AG482" i="39"/>
  <c r="AG483" i="39" s="1"/>
  <c r="AJ447" i="39"/>
  <c r="AJ445" i="39" s="1"/>
  <c r="AJ409" i="39"/>
  <c r="AJ407" i="39" s="1"/>
  <c r="AJ284" i="39"/>
  <c r="AJ282" i="39" s="1"/>
  <c r="AJ246" i="39"/>
  <c r="AJ244" i="39" s="1"/>
  <c r="AH330" i="39"/>
  <c r="AH331" i="39" s="1"/>
  <c r="AH333" i="39" s="1"/>
  <c r="AJ454" i="39"/>
  <c r="AJ451" i="39" s="1"/>
  <c r="AJ416" i="39"/>
  <c r="AJ413" i="39" s="1"/>
  <c r="AG493" i="39"/>
  <c r="AG494" i="39" s="1"/>
  <c r="AG496" i="39" s="1"/>
  <c r="AG497" i="39" s="1"/>
  <c r="AH656" i="39"/>
  <c r="AH657" i="39" s="1"/>
  <c r="AH659" i="39" s="1"/>
  <c r="AI110" i="39"/>
  <c r="AI108" i="39" s="1"/>
  <c r="AH166" i="39"/>
  <c r="AH153" i="39"/>
  <c r="AI128" i="39"/>
  <c r="AI125" i="39" s="1"/>
  <c r="AI90" i="39"/>
  <c r="AI87" i="39" s="1"/>
  <c r="AI645" i="39"/>
  <c r="AI646" i="39" s="1"/>
  <c r="AI643" i="39"/>
  <c r="AH645" i="39"/>
  <c r="AH646" i="39" s="1"/>
  <c r="AH643" i="39"/>
  <c r="AI436" i="39"/>
  <c r="AI434" i="39" s="1"/>
  <c r="AI762" i="39"/>
  <c r="AI760" i="39" s="1"/>
  <c r="AI735" i="39"/>
  <c r="AI733" i="39" s="1"/>
  <c r="AI773" i="39"/>
  <c r="AI771" i="39" s="1"/>
  <c r="AJ375" i="39"/>
  <c r="AJ374" i="39" s="1"/>
  <c r="AJ386" i="39" s="1"/>
  <c r="AJ393" i="39" s="1"/>
  <c r="AI656" i="39"/>
  <c r="AI657" i="39" s="1"/>
  <c r="AI659" i="39" s="1"/>
  <c r="AI780" i="39"/>
  <c r="AI777" i="39" s="1"/>
  <c r="AI742" i="39"/>
  <c r="AI739" i="39" s="1"/>
  <c r="AJ968" i="39"/>
  <c r="AJ981" i="39"/>
  <c r="AJ291" i="39"/>
  <c r="AJ288" i="39" s="1"/>
  <c r="AJ253" i="39"/>
  <c r="AJ250" i="39" s="1"/>
  <c r="AI707" i="39"/>
  <c r="AI700" i="39" s="1"/>
  <c r="AI712" i="39" s="1"/>
  <c r="AI719" i="39" s="1"/>
  <c r="AJ273" i="39"/>
  <c r="AJ271" i="39" s="1"/>
  <c r="AI284" i="39"/>
  <c r="AI282" i="39" s="1"/>
  <c r="AI246" i="39"/>
  <c r="AI244" i="39" s="1"/>
  <c r="AJ83" i="39"/>
  <c r="AJ81" i="39" s="1"/>
  <c r="AJ121" i="39"/>
  <c r="AJ119" i="39" s="1"/>
  <c r="AJ607" i="39"/>
  <c r="AJ619" i="39" s="1"/>
  <c r="AJ626" i="39" s="1"/>
  <c r="AJ629" i="39" s="1"/>
  <c r="AJ631" i="39" s="1"/>
  <c r="AJ632" i="39" s="1"/>
  <c r="AH456" i="39"/>
  <c r="AH463" i="39" s="1"/>
  <c r="AH466" i="39" s="1"/>
  <c r="AH468" i="39" s="1"/>
  <c r="AH469" i="39" s="1"/>
  <c r="AG643" i="39"/>
  <c r="AG645" i="39"/>
  <c r="AG646" i="39" s="1"/>
  <c r="AG656" i="39"/>
  <c r="AG657" i="39" s="1"/>
  <c r="AG659" i="39" s="1"/>
  <c r="AG660" i="39" s="1"/>
  <c r="AJ218" i="39"/>
  <c r="AJ211" i="39" s="1"/>
  <c r="AJ223" i="39" s="1"/>
  <c r="AJ230" i="39" s="1"/>
  <c r="AG330" i="39"/>
  <c r="AG331" i="39" s="1"/>
  <c r="AG333" i="39" s="1"/>
  <c r="AG334" i="39" s="1"/>
  <c r="AJ448" i="39"/>
  <c r="AJ933" i="39"/>
  <c r="AJ945" i="39" s="1"/>
  <c r="AJ952" i="39" s="1"/>
  <c r="AJ955" i="39" s="1"/>
  <c r="AJ957" i="39" s="1"/>
  <c r="AJ958" i="39" s="1"/>
  <c r="AI416" i="39"/>
  <c r="AI413" i="39" s="1"/>
  <c r="AI454" i="39"/>
  <c r="AI451" i="39" s="1"/>
  <c r="AI410" i="39"/>
  <c r="AJ732" i="39" l="1"/>
  <c r="AJ744" i="39" s="1"/>
  <c r="AJ751" i="39" s="1"/>
  <c r="AJ754" i="39" s="1"/>
  <c r="AJ756" i="39" s="1"/>
  <c r="AJ757" i="39" s="1"/>
  <c r="AI118" i="39"/>
  <c r="AI732" i="39"/>
  <c r="AI744" i="39" s="1"/>
  <c r="AI751" i="39" s="1"/>
  <c r="AI754" i="39" s="1"/>
  <c r="AI756" i="39" s="1"/>
  <c r="AI757" i="39" s="1"/>
  <c r="AH482" i="39"/>
  <c r="AH483" i="39" s="1"/>
  <c r="AJ243" i="39"/>
  <c r="AJ255" i="39" s="1"/>
  <c r="AJ262" i="39" s="1"/>
  <c r="AJ265" i="39" s="1"/>
  <c r="AJ267" i="39" s="1"/>
  <c r="AJ268" i="39" s="1"/>
  <c r="AI479" i="39"/>
  <c r="AI480" i="39" s="1"/>
  <c r="AI968" i="39"/>
  <c r="AI969" i="39" s="1"/>
  <c r="AJ281" i="39"/>
  <c r="AJ293" i="39" s="1"/>
  <c r="AJ300" i="39" s="1"/>
  <c r="AJ303" i="39" s="1"/>
  <c r="AJ305" i="39" s="1"/>
  <c r="AJ306" i="39" s="1"/>
  <c r="AJ406" i="39"/>
  <c r="AJ418" i="39" s="1"/>
  <c r="AJ425" i="39" s="1"/>
  <c r="AJ428" i="39" s="1"/>
  <c r="AJ430" i="39" s="1"/>
  <c r="AJ431" i="39" s="1"/>
  <c r="AJ700" i="39"/>
  <c r="AJ712" i="39" s="1"/>
  <c r="AJ719" i="39" s="1"/>
  <c r="AJ818" i="39" s="1"/>
  <c r="AI406" i="39"/>
  <c r="AI418" i="39" s="1"/>
  <c r="AI425" i="39" s="1"/>
  <c r="AI428" i="39" s="1"/>
  <c r="AI430" i="39" s="1"/>
  <c r="AI431" i="39" s="1"/>
  <c r="AH660" i="39"/>
  <c r="AJ770" i="39"/>
  <c r="AJ782" i="39" s="1"/>
  <c r="AJ789" i="39" s="1"/>
  <c r="AJ792" i="39" s="1"/>
  <c r="AJ794" i="39" s="1"/>
  <c r="AJ795" i="39" s="1"/>
  <c r="AI818" i="39"/>
  <c r="AI805" i="39"/>
  <c r="AJ166" i="39"/>
  <c r="AJ153" i="39"/>
  <c r="AJ80" i="39"/>
  <c r="AJ92" i="39" s="1"/>
  <c r="AJ99" i="39" s="1"/>
  <c r="AJ102" i="39" s="1"/>
  <c r="AJ104" i="39" s="1"/>
  <c r="AJ105" i="39" s="1"/>
  <c r="AI329" i="39"/>
  <c r="AI316" i="39"/>
  <c r="AI444" i="39"/>
  <c r="AI456" i="39" s="1"/>
  <c r="AI463" i="39" s="1"/>
  <c r="AI466" i="39" s="1"/>
  <c r="AI468" i="39" s="1"/>
  <c r="AI469" i="39" s="1"/>
  <c r="AI660" i="39"/>
  <c r="AH497" i="39"/>
  <c r="AJ456" i="39"/>
  <c r="AJ463" i="39" s="1"/>
  <c r="AJ466" i="39" s="1"/>
  <c r="AJ468" i="39" s="1"/>
  <c r="AJ469" i="39" s="1"/>
  <c r="AI80" i="39"/>
  <c r="AI92" i="39" s="1"/>
  <c r="AI99" i="39" s="1"/>
  <c r="AI102" i="39" s="1"/>
  <c r="AI104" i="39" s="1"/>
  <c r="AI105" i="39" s="1"/>
  <c r="AI130" i="39"/>
  <c r="AI137" i="39" s="1"/>
  <c r="AI140" i="39" s="1"/>
  <c r="AI142" i="39" s="1"/>
  <c r="AI143" i="39" s="1"/>
  <c r="AJ645" i="39"/>
  <c r="AJ646" i="39" s="1"/>
  <c r="AJ643" i="39"/>
  <c r="AJ118" i="39"/>
  <c r="AJ130" i="39" s="1"/>
  <c r="AJ137" i="39" s="1"/>
  <c r="AJ140" i="39" s="1"/>
  <c r="AJ142" i="39" s="1"/>
  <c r="AJ143" i="39" s="1"/>
  <c r="AH334" i="39"/>
  <c r="AJ316" i="39"/>
  <c r="AJ329" i="39"/>
  <c r="AI243" i="39"/>
  <c r="AI255" i="39" s="1"/>
  <c r="AI262" i="39" s="1"/>
  <c r="AI265" i="39" s="1"/>
  <c r="AI267" i="39" s="1"/>
  <c r="AI268" i="39" s="1"/>
  <c r="AI493" i="39"/>
  <c r="AI494" i="39" s="1"/>
  <c r="AI496" i="39" s="1"/>
  <c r="AI497" i="39" s="1"/>
  <c r="AJ444" i="39"/>
  <c r="AI166" i="39"/>
  <c r="AI153" i="39"/>
  <c r="AI770" i="39"/>
  <c r="AI782" i="39" s="1"/>
  <c r="AI789" i="39" s="1"/>
  <c r="AI792" i="39" s="1"/>
  <c r="AI794" i="39" s="1"/>
  <c r="AI795" i="39" s="1"/>
  <c r="AH819" i="39"/>
  <c r="AH820" i="39" s="1"/>
  <c r="AH822" i="39" s="1"/>
  <c r="AH823" i="39" s="1"/>
  <c r="AJ982" i="39"/>
  <c r="AJ983" i="39" s="1"/>
  <c r="AJ971" i="39"/>
  <c r="AJ972" i="39" s="1"/>
  <c r="AJ969" i="39"/>
  <c r="AH154" i="39"/>
  <c r="AH156" i="39"/>
  <c r="AH157" i="39" s="1"/>
  <c r="AH167" i="39"/>
  <c r="AH168" i="39" s="1"/>
  <c r="AH170" i="39" s="1"/>
  <c r="AH171" i="39" s="1"/>
  <c r="AI281" i="39"/>
  <c r="AI293" i="39" s="1"/>
  <c r="AI300" i="39" s="1"/>
  <c r="AI303" i="39" s="1"/>
  <c r="AI305" i="39" s="1"/>
  <c r="AI306" i="39" s="1"/>
  <c r="AH806" i="39"/>
  <c r="AH808" i="39"/>
  <c r="AH809" i="39" s="1"/>
  <c r="AJ656" i="39"/>
  <c r="AJ657" i="39" s="1"/>
  <c r="AI982" i="39"/>
  <c r="AI983" i="39" s="1"/>
  <c r="AI985" i="39" s="1"/>
  <c r="AI986" i="39" s="1"/>
  <c r="AJ492" i="39"/>
  <c r="AJ479" i="39"/>
  <c r="AI971" i="39" l="1"/>
  <c r="AI972" i="39" s="1"/>
  <c r="AI482" i="39"/>
  <c r="AI483" i="39" s="1"/>
  <c r="AJ805" i="39"/>
  <c r="AJ806" i="39" s="1"/>
  <c r="AJ985" i="39"/>
  <c r="K990" i="39"/>
  <c r="W37" i="38" s="1"/>
  <c r="O14" i="31" s="1"/>
  <c r="AJ659" i="39"/>
  <c r="K664" i="39"/>
  <c r="Q37" i="38" s="1"/>
  <c r="K14" i="31" s="1"/>
  <c r="AI156" i="39"/>
  <c r="AI157" i="39" s="1"/>
  <c r="AI154" i="39"/>
  <c r="AI167" i="39"/>
  <c r="AI168" i="39" s="1"/>
  <c r="AI170" i="39" s="1"/>
  <c r="AI171" i="39" s="1"/>
  <c r="AJ493" i="39"/>
  <c r="AJ494" i="39" s="1"/>
  <c r="AI330" i="39"/>
  <c r="AI331" i="39" s="1"/>
  <c r="AI333" i="39" s="1"/>
  <c r="AI334" i="39" s="1"/>
  <c r="AJ480" i="39"/>
  <c r="AJ482" i="39"/>
  <c r="AJ483" i="39" s="1"/>
  <c r="AJ167" i="39"/>
  <c r="AJ168" i="39" s="1"/>
  <c r="AJ808" i="39"/>
  <c r="AJ809" i="39" s="1"/>
  <c r="AI319" i="39"/>
  <c r="AI320" i="39" s="1"/>
  <c r="AI317" i="39"/>
  <c r="AJ154" i="39"/>
  <c r="AJ156" i="39"/>
  <c r="AJ157" i="39" s="1"/>
  <c r="AI808" i="39"/>
  <c r="AI809" i="39" s="1"/>
  <c r="AI806" i="39"/>
  <c r="AJ330" i="39"/>
  <c r="AJ331" i="39" s="1"/>
  <c r="AJ319" i="39"/>
  <c r="AJ320" i="39" s="1"/>
  <c r="AJ317" i="39"/>
  <c r="AJ819" i="39"/>
  <c r="AJ820" i="39" s="1"/>
  <c r="AI819" i="39"/>
  <c r="AI820" i="39" s="1"/>
  <c r="AI822" i="39" s="1"/>
  <c r="AI823" i="39" s="1"/>
  <c r="AJ170" i="39" l="1"/>
  <c r="K175" i="39"/>
  <c r="H37" i="38" s="1"/>
  <c r="E14" i="31" s="1"/>
  <c r="AJ822" i="39"/>
  <c r="K827" i="39"/>
  <c r="T37" i="38" s="1"/>
  <c r="M14" i="31" s="1"/>
  <c r="AJ496" i="39"/>
  <c r="K501" i="39"/>
  <c r="N37" i="38" s="1"/>
  <c r="I14" i="31" s="1"/>
  <c r="AJ333" i="39"/>
  <c r="K338" i="39"/>
  <c r="K37" i="38" s="1"/>
  <c r="G14" i="31" s="1"/>
  <c r="AJ660" i="39"/>
  <c r="K663" i="39"/>
  <c r="K665" i="39" s="1" a="1"/>
  <c r="K665" i="39" s="1"/>
  <c r="AJ986" i="39"/>
  <c r="K989" i="39"/>
  <c r="K991" i="39" s="1" a="1"/>
  <c r="K991" i="39" s="1"/>
  <c r="Q35" i="38" l="1"/>
  <c r="Q36" i="38" s="1"/>
  <c r="K13" i="31" s="1"/>
  <c r="I21" i="54" s="1"/>
  <c r="H666" i="39"/>
  <c r="W35" i="38"/>
  <c r="W36" i="38" s="1"/>
  <c r="O13" i="31" s="1"/>
  <c r="H992" i="39"/>
  <c r="AJ334" i="39"/>
  <c r="W16" i="34" s="1" a="1"/>
  <c r="W16" i="34" s="1"/>
  <c r="V16" i="34" s="1"/>
  <c r="K337" i="39"/>
  <c r="K339" i="39" s="1" a="1"/>
  <c r="K339" i="39" s="1"/>
  <c r="K500" i="39"/>
  <c r="AJ497" i="39"/>
  <c r="AE16" i="34" s="1" a="1"/>
  <c r="AE16" i="34" s="1"/>
  <c r="AD16" i="34" s="1"/>
  <c r="K826" i="39"/>
  <c r="AJ823" i="39"/>
  <c r="K174" i="39"/>
  <c r="AJ171" i="39"/>
  <c r="K828" i="39" l="1" a="1"/>
  <c r="K828" i="39" s="1"/>
  <c r="K502" i="39" a="1"/>
  <c r="K502" i="39" s="1"/>
  <c r="W15" i="34" a="1"/>
  <c r="W15" i="34" s="1"/>
  <c r="W17" i="34" a="1"/>
  <c r="W17" i="34" s="1"/>
  <c r="V17" i="34" s="1"/>
  <c r="W10" i="34" a="1"/>
  <c r="W10" i="34" s="1"/>
  <c r="K176" i="39" a="1"/>
  <c r="K176" i="39" s="1"/>
  <c r="K19" i="11" s="1" a="1"/>
  <c r="K19" i="11" s="1"/>
  <c r="K20" i="11" s="1"/>
  <c r="K21" i="11" s="1"/>
  <c r="K28" i="11" s="1"/>
  <c r="K32" i="11" s="1"/>
  <c r="AE15" i="34" a="1"/>
  <c r="AE15" i="34" s="1"/>
  <c r="AA16" i="34" a="1"/>
  <c r="AA16" i="34" s="1"/>
  <c r="Z16" i="34" s="1"/>
  <c r="AA10" i="34" a="1"/>
  <c r="AA10" i="34" s="1"/>
  <c r="W72" i="38" a="1"/>
  <c r="W72" i="38" s="1"/>
  <c r="T57" i="38" a="1"/>
  <c r="T57" i="38" s="1"/>
  <c r="Q81" i="38" a="1"/>
  <c r="Q81" i="38" s="1"/>
  <c r="T100" i="38" a="1"/>
  <c r="T100" i="38" s="1"/>
  <c r="H47" i="38" a="1"/>
  <c r="H47" i="38" s="1"/>
  <c r="W101" i="38" a="1"/>
  <c r="W101" i="38" s="1"/>
  <c r="K34" i="31" a="1"/>
  <c r="K34" i="31" s="1"/>
  <c r="L34" i="31" s="1"/>
  <c r="K85" i="38" a="1"/>
  <c r="K85" i="38" s="1"/>
  <c r="H86" i="38" a="1"/>
  <c r="H86" i="38" s="1"/>
  <c r="Q77" i="38" a="1"/>
  <c r="Q77" i="38" s="1"/>
  <c r="K43" i="31" a="1"/>
  <c r="K43" i="31" s="1"/>
  <c r="L43" i="31" s="1"/>
  <c r="W118" i="38" a="1"/>
  <c r="W118" i="38" s="1"/>
  <c r="M42" i="31" a="1"/>
  <c r="M42" i="31" s="1"/>
  <c r="N42" i="31" s="1"/>
  <c r="K74" i="38" a="1"/>
  <c r="K74" i="38" s="1"/>
  <c r="K31" i="31" a="1"/>
  <c r="K31" i="31" s="1"/>
  <c r="L31" i="31" s="1"/>
  <c r="Q73" i="38" a="1"/>
  <c r="Q73" i="38" s="1"/>
  <c r="N51" i="38" a="1"/>
  <c r="N51" i="38" s="1"/>
  <c r="I24" i="31" a="1"/>
  <c r="I24" i="31" s="1"/>
  <c r="J24" i="31" s="1"/>
  <c r="E24" i="31" a="1"/>
  <c r="E24" i="31" s="1"/>
  <c r="F24" i="31" s="1"/>
  <c r="O58" i="31" a="1"/>
  <c r="O58" i="31" s="1"/>
  <c r="Q62" i="38" a="1"/>
  <c r="Q62" i="38" s="1"/>
  <c r="G27" i="31" a="1"/>
  <c r="G27" i="31" s="1"/>
  <c r="H27" i="31" s="1"/>
  <c r="T120" i="38" a="1"/>
  <c r="T120" i="38" s="1"/>
  <c r="E35" i="31" a="1"/>
  <c r="E35" i="31" s="1"/>
  <c r="F35" i="31" s="1"/>
  <c r="G25" i="31" a="1"/>
  <c r="G25" i="31" s="1"/>
  <c r="H25" i="31" s="1"/>
  <c r="K56" i="31" a="1"/>
  <c r="K56" i="31" s="1"/>
  <c r="M60" i="31" a="1"/>
  <c r="M60" i="31" s="1"/>
  <c r="K33" i="31" a="1"/>
  <c r="K33" i="31" s="1"/>
  <c r="L33" i="31" s="1"/>
  <c r="M33" i="31" a="1"/>
  <c r="M33" i="31" s="1"/>
  <c r="N33" i="31" s="1"/>
  <c r="K30" i="31" a="1"/>
  <c r="K30" i="31" s="1"/>
  <c r="L30" i="31" s="1"/>
  <c r="K93" i="38" a="1"/>
  <c r="K93" i="38" s="1"/>
  <c r="K36" i="31" a="1"/>
  <c r="K36" i="31" s="1"/>
  <c r="L36" i="31" s="1"/>
  <c r="DI19" i="11" a="1"/>
  <c r="DI19" i="11" s="1"/>
  <c r="DI20" i="11" s="1"/>
  <c r="DI21" i="11" s="1"/>
  <c r="DI28" i="11" s="1"/>
  <c r="DI32" i="11" s="1"/>
  <c r="AE17" i="34" a="1"/>
  <c r="AE17" i="34" s="1"/>
  <c r="AD17" i="34" s="1"/>
  <c r="T35" i="38"/>
  <c r="T36" i="38" s="1"/>
  <c r="M13" i="31" s="1"/>
  <c r="H829" i="39"/>
  <c r="AI16" i="34" a="1"/>
  <c r="AI16" i="34" s="1"/>
  <c r="M54" i="31" a="1"/>
  <c r="M54" i="31" s="1"/>
  <c r="Q111" i="38" a="1"/>
  <c r="Q111" i="38" s="1"/>
  <c r="O50" i="31" a="1"/>
  <c r="O50" i="31" s="1"/>
  <c r="T107" i="38" a="1"/>
  <c r="T107" i="38" s="1"/>
  <c r="Q110" i="38" a="1"/>
  <c r="Q110" i="38" s="1"/>
  <c r="W67" i="38" a="1"/>
  <c r="W67" i="38" s="1"/>
  <c r="Q57" i="38" a="1"/>
  <c r="Q57" i="38" s="1"/>
  <c r="K100" i="38" a="1"/>
  <c r="K100" i="38" s="1"/>
  <c r="K86" i="38" a="1"/>
  <c r="K86" i="38" s="1"/>
  <c r="G57" i="31" a="1"/>
  <c r="G57" i="31" s="1"/>
  <c r="K44" i="38" a="1"/>
  <c r="K44" i="38" s="1"/>
  <c r="T61" i="38" a="1"/>
  <c r="T61" i="38" s="1"/>
  <c r="H120" i="38" a="1"/>
  <c r="H120" i="38" s="1"/>
  <c r="N60" i="38" a="1"/>
  <c r="N60" i="38" s="1"/>
  <c r="W78" i="38" a="1"/>
  <c r="W78" i="38" s="1"/>
  <c r="I33" i="31" a="1"/>
  <c r="I33" i="31" s="1"/>
  <c r="J33" i="31" s="1"/>
  <c r="M37" i="31" a="1"/>
  <c r="M37" i="31" s="1"/>
  <c r="N37" i="31" s="1"/>
  <c r="T80" i="38" a="1"/>
  <c r="T80" i="38" s="1"/>
  <c r="M28" i="31" a="1"/>
  <c r="M28" i="31" s="1"/>
  <c r="N28" i="31" s="1"/>
  <c r="W73" i="38" a="1"/>
  <c r="W73" i="38" s="1"/>
  <c r="Q116" i="38" a="1"/>
  <c r="Q116" i="38" s="1"/>
  <c r="E28" i="31" a="1"/>
  <c r="E28" i="31" s="1"/>
  <c r="F28" i="31" s="1"/>
  <c r="N94" i="38" a="1"/>
  <c r="N94" i="38" s="1"/>
  <c r="W59" i="38" a="1"/>
  <c r="W59" i="38" s="1"/>
  <c r="K19" i="31" a="1"/>
  <c r="K19" i="31" s="1"/>
  <c r="W119" i="38" a="1"/>
  <c r="W119" i="38" s="1"/>
  <c r="O39" i="31" a="1"/>
  <c r="O39" i="31" s="1"/>
  <c r="P39" i="31" s="1"/>
  <c r="G39" i="31" a="1"/>
  <c r="G39" i="31" s="1"/>
  <c r="H39" i="31" s="1"/>
  <c r="O41" i="31" a="1"/>
  <c r="O41" i="31" s="1"/>
  <c r="P41" i="31" s="1"/>
  <c r="O56" i="31" a="1"/>
  <c r="O56" i="31" s="1"/>
  <c r="I59" i="31" a="1"/>
  <c r="I59" i="31" s="1"/>
  <c r="G21" i="31" a="1"/>
  <c r="G21" i="31" s="1"/>
  <c r="H21" i="31" s="1"/>
  <c r="E58" i="31" a="1"/>
  <c r="E58" i="31" s="1"/>
  <c r="M34" i="31" a="1"/>
  <c r="M34" i="31" s="1"/>
  <c r="N34" i="31" s="1"/>
  <c r="I53" i="31" a="1"/>
  <c r="I53" i="31" s="1"/>
  <c r="AC19" i="11" a="1"/>
  <c r="AC19" i="11" s="1"/>
  <c r="AC20" i="11" s="1"/>
  <c r="AC21" i="11" s="1"/>
  <c r="AC28" i="11" s="1"/>
  <c r="AC32" i="11" s="1"/>
  <c r="I35" i="31" a="1"/>
  <c r="I35" i="31" s="1"/>
  <c r="J35" i="31" s="1"/>
  <c r="O25" i="31" a="1"/>
  <c r="O25" i="31" s="1"/>
  <c r="P25" i="31" s="1"/>
  <c r="W85" i="38" a="1"/>
  <c r="W85" i="38" s="1"/>
  <c r="T96" i="38" a="1"/>
  <c r="T96" i="38" s="1"/>
  <c r="Q88" i="38" a="1"/>
  <c r="Q88" i="38" s="1"/>
  <c r="Q117" i="38" a="1"/>
  <c r="Q117" i="38" s="1"/>
  <c r="W123" i="38" a="1"/>
  <c r="W123" i="38" s="1"/>
  <c r="N49" i="38" a="1"/>
  <c r="N49" i="38" s="1"/>
  <c r="K113" i="38" a="1"/>
  <c r="K113" i="38" s="1"/>
  <c r="N74" i="38" a="1"/>
  <c r="N74" i="38" s="1"/>
  <c r="H46" i="38" a="1"/>
  <c r="H46" i="38" s="1"/>
  <c r="W48" i="38" a="1"/>
  <c r="W48" i="38" s="1"/>
  <c r="Q113" i="38" a="1"/>
  <c r="Q113" i="38" s="1"/>
  <c r="T109" i="38" a="1"/>
  <c r="T109" i="38" s="1"/>
  <c r="Q108" i="38" a="1"/>
  <c r="Q108" i="38" s="1"/>
  <c r="O60" i="31" a="1"/>
  <c r="O60" i="31" s="1"/>
  <c r="K104" i="38" a="1"/>
  <c r="K104" i="38" s="1"/>
  <c r="W121" i="38" a="1"/>
  <c r="W121" i="38" s="1"/>
  <c r="Q104" i="38" a="1"/>
  <c r="Q104" i="38" s="1"/>
  <c r="K83" i="38" a="1"/>
  <c r="K83" i="38" s="1"/>
  <c r="H74" i="38" a="1"/>
  <c r="H74" i="38" s="1"/>
  <c r="M35" i="31" a="1"/>
  <c r="M35" i="31" s="1"/>
  <c r="N35" i="31" s="1"/>
  <c r="M25" i="31" a="1"/>
  <c r="M25" i="31" s="1"/>
  <c r="N25" i="31" s="1"/>
  <c r="W75" i="38" a="1"/>
  <c r="W75" i="38" s="1"/>
  <c r="T78" i="38" a="1"/>
  <c r="T78" i="38" s="1"/>
  <c r="K59" i="31" a="1"/>
  <c r="K59" i="31" s="1"/>
  <c r="H122" i="38" a="1"/>
  <c r="H122" i="38" s="1"/>
  <c r="K81" i="38" a="1"/>
  <c r="K81" i="38" s="1"/>
  <c r="Q51" i="38" a="1"/>
  <c r="Q51" i="38" s="1"/>
  <c r="Q19" i="11" a="1"/>
  <c r="Q19" i="11" s="1"/>
  <c r="Q20" i="11" s="1"/>
  <c r="Q21" i="11" s="1"/>
  <c r="Q28" i="11" s="1"/>
  <c r="Q32" i="11" s="1"/>
  <c r="K106" i="38" a="1"/>
  <c r="K106" i="38" s="1"/>
  <c r="O53" i="31" a="1"/>
  <c r="O53" i="31" s="1"/>
  <c r="I58" i="31" a="1"/>
  <c r="I58" i="31" s="1"/>
  <c r="K38" i="31" a="1"/>
  <c r="K38" i="31" s="1"/>
  <c r="L38" i="31" s="1"/>
  <c r="O29" i="31" a="1"/>
  <c r="O29" i="31" s="1"/>
  <c r="P29" i="31" s="1"/>
  <c r="G35" i="31" a="1"/>
  <c r="G35" i="31" s="1"/>
  <c r="H35" i="31" s="1"/>
  <c r="K42" i="31" a="1"/>
  <c r="K42" i="31" s="1"/>
  <c r="L42" i="31" s="1"/>
  <c r="W96" i="38" a="1"/>
  <c r="W96" i="38" s="1"/>
  <c r="T74" i="38" a="1"/>
  <c r="T74" i="38" s="1"/>
  <c r="N85" i="38" a="1"/>
  <c r="N85" i="38" s="1"/>
  <c r="E37" i="31" a="1"/>
  <c r="E37" i="31" s="1"/>
  <c r="F37" i="31" s="1"/>
  <c r="T47" i="38" a="1"/>
  <c r="T47" i="38" s="1"/>
  <c r="M22" i="31" a="1"/>
  <c r="M22" i="31" s="1"/>
  <c r="N22" i="31" s="1"/>
  <c r="K110" i="38" a="1"/>
  <c r="K110" i="38" s="1"/>
  <c r="N89" i="38" a="1"/>
  <c r="N89" i="38" s="1"/>
  <c r="M39" i="31" a="1"/>
  <c r="M39" i="31" s="1"/>
  <c r="N39" i="31" s="1"/>
  <c r="E29" i="31" a="1"/>
  <c r="E29" i="31" s="1"/>
  <c r="F29" i="31" s="1"/>
  <c r="H503" i="39"/>
  <c r="N35" i="38"/>
  <c r="N36" i="38" s="1"/>
  <c r="I13" i="31" s="1"/>
  <c r="F20" i="53" s="1"/>
  <c r="Q115" i="38" a="1"/>
  <c r="Q115" i="38" s="1"/>
  <c r="O55" i="31" a="1"/>
  <c r="O55" i="31" s="1"/>
  <c r="W114" i="38" a="1"/>
  <c r="W114" i="38" s="1"/>
  <c r="K45" i="38" a="1"/>
  <c r="K45" i="38" s="1"/>
  <c r="N120" i="38" a="1"/>
  <c r="N120" i="38" s="1"/>
  <c r="M57" i="31" a="1"/>
  <c r="M57" i="31" s="1"/>
  <c r="H110" i="38" a="1"/>
  <c r="H110" i="38" s="1"/>
  <c r="N104" i="38" a="1"/>
  <c r="N104" i="38" s="1"/>
  <c r="N52" i="38" a="1"/>
  <c r="N52" i="38" s="1"/>
  <c r="Q118" i="38" a="1"/>
  <c r="Q118" i="38" s="1"/>
  <c r="K101" i="38" a="1"/>
  <c r="K101" i="38" s="1"/>
  <c r="H83" i="38" a="1"/>
  <c r="H83" i="38" s="1"/>
  <c r="E30" i="31" a="1"/>
  <c r="E30" i="31" s="1"/>
  <c r="F30" i="31" s="1"/>
  <c r="I39" i="31" a="1"/>
  <c r="I39" i="31" s="1"/>
  <c r="J39" i="31" s="1"/>
  <c r="O57" i="31" a="1"/>
  <c r="O57" i="31" s="1"/>
  <c r="H92" i="38" a="1"/>
  <c r="H92" i="38" s="1"/>
  <c r="N117" i="38" a="1"/>
  <c r="N117" i="38" s="1"/>
  <c r="Q89" i="38" a="1"/>
  <c r="Q89" i="38" s="1"/>
  <c r="G30" i="31" a="1"/>
  <c r="G30" i="31" s="1"/>
  <c r="H30" i="31" s="1"/>
  <c r="Q80" i="38" a="1"/>
  <c r="Q80" i="38" s="1"/>
  <c r="H103" i="38" a="1"/>
  <c r="H103" i="38" s="1"/>
  <c r="CK19" i="11" a="1"/>
  <c r="CK19" i="11" s="1"/>
  <c r="CK20" i="11" s="1"/>
  <c r="CK21" i="11" s="1"/>
  <c r="CK28" i="11" s="1"/>
  <c r="CK32" i="11" s="1"/>
  <c r="I29" i="31" a="1"/>
  <c r="I29" i="31" s="1"/>
  <c r="J29" i="31" s="1"/>
  <c r="M26" i="31" a="1"/>
  <c r="M26" i="31" s="1"/>
  <c r="N26" i="31" s="1"/>
  <c r="K66" i="38" a="1"/>
  <c r="K66" i="38" s="1"/>
  <c r="G38" i="31" a="1"/>
  <c r="G38" i="31" s="1"/>
  <c r="H38" i="31" s="1"/>
  <c r="H60" i="38" a="1"/>
  <c r="H60" i="38" s="1"/>
  <c r="W44" i="38" a="1"/>
  <c r="W44" i="38" s="1"/>
  <c r="E23" i="31" a="1"/>
  <c r="E23" i="31" s="1"/>
  <c r="F23" i="31" s="1"/>
  <c r="AI19" i="11" a="1"/>
  <c r="AI19" i="11" s="1"/>
  <c r="AI20" i="11" s="1"/>
  <c r="AI21" i="11" s="1"/>
  <c r="AI28" i="11" s="1"/>
  <c r="AI32" i="11" s="1"/>
  <c r="O23" i="31" a="1"/>
  <c r="O23" i="31" s="1"/>
  <c r="P23" i="31" s="1"/>
  <c r="T86" i="38" a="1"/>
  <c r="T86" i="38" s="1"/>
  <c r="K21" i="31" a="1"/>
  <c r="K21" i="31" s="1"/>
  <c r="L21" i="31" s="1"/>
  <c r="K95" i="38" a="1"/>
  <c r="K95" i="38" s="1"/>
  <c r="T58" i="38" a="1"/>
  <c r="T58" i="38" s="1"/>
  <c r="I30" i="31" a="1"/>
  <c r="I30" i="31" s="1"/>
  <c r="J30" i="31" s="1"/>
  <c r="CE19" i="11" a="1"/>
  <c r="CE19" i="11" s="1"/>
  <c r="CE20" i="11" s="1"/>
  <c r="CE21" i="11" s="1"/>
  <c r="CE28" i="11" s="1"/>
  <c r="CE32" i="11" s="1"/>
  <c r="H45" i="38" a="1"/>
  <c r="H45" i="38" s="1"/>
  <c r="AI17" i="34" a="1"/>
  <c r="AI17" i="34" s="1"/>
  <c r="AH17" i="34" s="1"/>
  <c r="K67" i="38" a="1"/>
  <c r="K67" i="38" s="1"/>
  <c r="N65" i="38" a="1"/>
  <c r="N65" i="38" s="1"/>
  <c r="H116" i="38" a="1"/>
  <c r="H116" i="38" s="1"/>
  <c r="K121" i="38" a="1"/>
  <c r="K121" i="38" s="1"/>
  <c r="K58" i="38" a="1"/>
  <c r="K58" i="38" s="1"/>
  <c r="H108" i="38" a="1"/>
  <c r="H108" i="38" s="1"/>
  <c r="K108" i="38" a="1"/>
  <c r="K108" i="38" s="1"/>
  <c r="K48" i="38" a="1"/>
  <c r="K48" i="38" s="1"/>
  <c r="Q112" i="38" a="1"/>
  <c r="Q112" i="38" s="1"/>
  <c r="T101" i="38" a="1"/>
  <c r="T101" i="38" s="1"/>
  <c r="W113" i="38" a="1"/>
  <c r="W113" i="38" s="1"/>
  <c r="N88" i="38" a="1"/>
  <c r="N88" i="38" s="1"/>
  <c r="N86" i="38" a="1"/>
  <c r="N86" i="38" s="1"/>
  <c r="K119" i="38" a="1"/>
  <c r="K119" i="38" s="1"/>
  <c r="H66" i="38" a="1"/>
  <c r="H66" i="38" s="1"/>
  <c r="M29" i="31" a="1"/>
  <c r="M29" i="31" s="1"/>
  <c r="N29" i="31" s="1"/>
  <c r="K105" i="38" a="1"/>
  <c r="K105" i="38" s="1"/>
  <c r="G24" i="31" a="1"/>
  <c r="G24" i="31" s="1"/>
  <c r="H24" i="31" s="1"/>
  <c r="M24" i="31" a="1"/>
  <c r="M24" i="31" s="1"/>
  <c r="N24" i="31" s="1"/>
  <c r="Q86" i="38" a="1"/>
  <c r="Q86" i="38" s="1"/>
  <c r="R86" i="38" s="1"/>
  <c r="K61" i="38" a="1"/>
  <c r="K61" i="38" s="1"/>
  <c r="W77" i="38" a="1"/>
  <c r="W77" i="38" s="1"/>
  <c r="W80" i="38" a="1"/>
  <c r="W80" i="38" s="1"/>
  <c r="K120" i="38" a="1"/>
  <c r="K120" i="38" s="1"/>
  <c r="T117" i="38" a="1"/>
  <c r="T117" i="38" s="1"/>
  <c r="Q76" i="38" a="1"/>
  <c r="Q76" i="38" s="1"/>
  <c r="K73" i="38" a="1"/>
  <c r="K73" i="38" s="1"/>
  <c r="L73" i="38" s="1"/>
  <c r="O26" i="31" a="1"/>
  <c r="O26" i="31" s="1"/>
  <c r="P26" i="31" s="1"/>
  <c r="I19" i="31" a="1"/>
  <c r="I19" i="31" s="1"/>
  <c r="G50" i="31" a="1"/>
  <c r="G50" i="31" s="1"/>
  <c r="I31" i="31" a="1"/>
  <c r="I31" i="31" s="1"/>
  <c r="J31" i="31" s="1"/>
  <c r="EG19" i="11" a="1"/>
  <c r="EG19" i="11" s="1"/>
  <c r="EG20" i="11" s="1"/>
  <c r="EG21" i="11" s="1"/>
  <c r="EG28" i="11" s="1"/>
  <c r="EG32" i="11" s="1"/>
  <c r="N84" i="38" a="1"/>
  <c r="N84" i="38" s="1"/>
  <c r="M36" i="31" a="1"/>
  <c r="M36" i="31" s="1"/>
  <c r="N36" i="31" s="1"/>
  <c r="N59" i="38" a="1"/>
  <c r="N59" i="38" s="1"/>
  <c r="M43" i="31" a="1"/>
  <c r="M43" i="31" s="1"/>
  <c r="N43" i="31" s="1"/>
  <c r="DC19" i="11" a="1"/>
  <c r="DC19" i="11" s="1"/>
  <c r="DC20" i="11" s="1"/>
  <c r="DC21" i="11" s="1"/>
  <c r="DC28" i="11" s="1"/>
  <c r="DC32" i="11" s="1"/>
  <c r="M27" i="31" a="1"/>
  <c r="M27" i="31" s="1"/>
  <c r="N27" i="31" s="1"/>
  <c r="Q44" i="38" a="1"/>
  <c r="Q44" i="38" s="1"/>
  <c r="Q74" i="38" a="1"/>
  <c r="Q74" i="38" s="1"/>
  <c r="G37" i="31" a="1"/>
  <c r="G37" i="31" s="1"/>
  <c r="H37" i="31" s="1"/>
  <c r="Q78" i="38" a="1"/>
  <c r="Q78" i="38" s="1"/>
  <c r="T44" i="38" a="1"/>
  <c r="T44" i="38" s="1"/>
  <c r="H72" i="38" a="1"/>
  <c r="H72" i="38" s="1"/>
  <c r="W64" i="38" a="1"/>
  <c r="W64" i="38" s="1"/>
  <c r="K50" i="38" a="1"/>
  <c r="K50" i="38" s="1"/>
  <c r="W61" i="38" a="1"/>
  <c r="W61" i="38" s="1"/>
  <c r="W109" i="38" a="1"/>
  <c r="W109" i="38" s="1"/>
  <c r="N101" i="38" a="1"/>
  <c r="N101" i="38" s="1"/>
  <c r="I54" i="31" a="1"/>
  <c r="I54" i="31" s="1"/>
  <c r="W56" i="38" a="1"/>
  <c r="W56" i="38" s="1"/>
  <c r="H102" i="38" a="1"/>
  <c r="H102" i="38" s="1"/>
  <c r="K55" i="38" a="1"/>
  <c r="K55" i="38" s="1"/>
  <c r="W120" i="38" a="1"/>
  <c r="W120" i="38" s="1"/>
  <c r="M31" i="31" a="1"/>
  <c r="M31" i="31" s="1"/>
  <c r="N31" i="31" s="1"/>
  <c r="K46" i="38" a="1"/>
  <c r="K46" i="38" s="1"/>
  <c r="G58" i="31" a="1"/>
  <c r="G58" i="31" s="1"/>
  <c r="K96" i="38" a="1"/>
  <c r="K96" i="38" s="1"/>
  <c r="T50" i="38" a="1"/>
  <c r="T50" i="38" s="1"/>
  <c r="K82" i="38" a="1"/>
  <c r="K82" i="38" s="1"/>
  <c r="Q49" i="38" a="1"/>
  <c r="Q49" i="38" s="1"/>
  <c r="Q92" i="38" a="1"/>
  <c r="Q92" i="38" s="1"/>
  <c r="O19" i="31" a="1"/>
  <c r="O19" i="31" s="1"/>
  <c r="O24" i="31" a="1"/>
  <c r="O24" i="31" s="1"/>
  <c r="P24" i="31" s="1"/>
  <c r="CW19" i="11" a="1"/>
  <c r="CW19" i="11" s="1"/>
  <c r="CW20" i="11" s="1"/>
  <c r="CW21" i="11" s="1"/>
  <c r="CW28" i="11" s="1"/>
  <c r="CW32" i="11" s="1"/>
  <c r="DU19" i="11" a="1"/>
  <c r="DU19" i="11" s="1"/>
  <c r="DU20" i="11" s="1"/>
  <c r="DU21" i="11" s="1"/>
  <c r="DU28" i="11" s="1"/>
  <c r="DU32" i="11" s="1"/>
  <c r="K56" i="38" a="1"/>
  <c r="K56" i="38" s="1"/>
  <c r="K58" i="31" a="1"/>
  <c r="K58" i="31" s="1"/>
  <c r="BA19" i="11" a="1"/>
  <c r="BA19" i="11" s="1"/>
  <c r="BA20" i="11" s="1"/>
  <c r="BA21" i="11" s="1"/>
  <c r="BA28" i="11" s="1"/>
  <c r="BA32" i="11" s="1"/>
  <c r="K115" i="38" a="1"/>
  <c r="K115" i="38" s="1"/>
  <c r="K51" i="31" a="1"/>
  <c r="K51" i="31" s="1"/>
  <c r="W92" i="38" a="1"/>
  <c r="W92" i="38" s="1"/>
  <c r="X92" i="38" s="1"/>
  <c r="T73" i="38" a="1"/>
  <c r="T73" i="38" s="1"/>
  <c r="U73" i="38" s="1"/>
  <c r="BS19" i="11" a="1"/>
  <c r="BS19" i="11" s="1"/>
  <c r="BS20" i="11" s="1"/>
  <c r="BS21" i="11" s="1"/>
  <c r="BS28" i="11" s="1"/>
  <c r="BS32" i="11" s="1"/>
  <c r="O36" i="31" a="1"/>
  <c r="O36" i="31" s="1"/>
  <c r="P36" i="31" s="1"/>
  <c r="N83" i="38" a="1"/>
  <c r="N83" i="38" s="1"/>
  <c r="EA19" i="11" a="1"/>
  <c r="EA19" i="11" s="1"/>
  <c r="EA20" i="11" s="1"/>
  <c r="EA21" i="11" s="1"/>
  <c r="EA28" i="11" s="1"/>
  <c r="EA32" i="11" s="1"/>
  <c r="W88" i="38" a="1"/>
  <c r="W88" i="38" s="1"/>
  <c r="W90" i="38" a="1"/>
  <c r="W90" i="38" s="1"/>
  <c r="E21" i="31" a="1"/>
  <c r="E21" i="31" s="1"/>
  <c r="F21" i="31" s="1"/>
  <c r="N121" i="38" a="1"/>
  <c r="N121" i="38" s="1"/>
  <c r="G26" i="31" a="1"/>
  <c r="G26" i="31" s="1"/>
  <c r="H26" i="31" s="1"/>
  <c r="AU19" i="11" a="1"/>
  <c r="AU19" i="11" s="1"/>
  <c r="AU20" i="11" s="1"/>
  <c r="AU21" i="11" s="1"/>
  <c r="AU28" i="11" s="1"/>
  <c r="AU32" i="11" s="1"/>
  <c r="AI10" i="34" a="1"/>
  <c r="AI10" i="34" s="1"/>
  <c r="W54" i="38" a="1"/>
  <c r="W54" i="38" s="1"/>
  <c r="Q123" i="38" a="1"/>
  <c r="Q123" i="38" s="1"/>
  <c r="K49" i="38" a="1"/>
  <c r="K49" i="38" s="1"/>
  <c r="Q100" i="38" a="1"/>
  <c r="Q100" i="38" s="1"/>
  <c r="N112" i="38" a="1"/>
  <c r="N112" i="38" s="1"/>
  <c r="H65" i="38" a="1"/>
  <c r="H65" i="38" s="1"/>
  <c r="N47" i="38" a="1"/>
  <c r="N47" i="38" s="1"/>
  <c r="K64" i="38" a="1"/>
  <c r="K64" i="38" s="1"/>
  <c r="G51" i="31" a="1"/>
  <c r="G51" i="31" s="1"/>
  <c r="T103" i="38" a="1"/>
  <c r="T103" i="38" s="1"/>
  <c r="N50" i="38" a="1"/>
  <c r="N50" i="38" s="1"/>
  <c r="N102" i="38" a="1"/>
  <c r="N102" i="38" s="1"/>
  <c r="W89" i="38" a="1"/>
  <c r="W89" i="38" s="1"/>
  <c r="N56" i="38" a="1"/>
  <c r="N56" i="38" s="1"/>
  <c r="H79" i="38" a="1"/>
  <c r="H79" i="38" s="1"/>
  <c r="O35" i="31" a="1"/>
  <c r="O35" i="31" s="1"/>
  <c r="P35" i="31" s="1"/>
  <c r="I20" i="31" a="1"/>
  <c r="I20" i="31" s="1"/>
  <c r="J20" i="31" s="1"/>
  <c r="N106" i="38" a="1"/>
  <c r="N106" i="38" s="1"/>
  <c r="K114" i="38" a="1"/>
  <c r="K114" i="38" s="1"/>
  <c r="G33" i="31" a="1"/>
  <c r="G33" i="31" s="1"/>
  <c r="H33" i="31" s="1"/>
  <c r="M19" i="31" a="1"/>
  <c r="M19" i="31" s="1"/>
  <c r="T63" i="38" a="1"/>
  <c r="T63" i="38" s="1"/>
  <c r="K88" i="38" a="1"/>
  <c r="K88" i="38" s="1"/>
  <c r="M40" i="31" a="1"/>
  <c r="M40" i="31" s="1"/>
  <c r="N40" i="31" s="1"/>
  <c r="E41" i="31" a="1"/>
  <c r="E41" i="31" s="1"/>
  <c r="F41" i="31" s="1"/>
  <c r="T92" i="38" a="1"/>
  <c r="T92" i="38" s="1"/>
  <c r="E26" i="31" a="1"/>
  <c r="E26" i="31" s="1"/>
  <c r="F26" i="31" s="1"/>
  <c r="W65" i="38" a="1"/>
  <c r="W65" i="38" s="1"/>
  <c r="I38" i="31" a="1"/>
  <c r="I38" i="31" s="1"/>
  <c r="J38" i="31" s="1"/>
  <c r="I25" i="31" a="1"/>
  <c r="I25" i="31" s="1"/>
  <c r="J25" i="31" s="1"/>
  <c r="BG19" i="11" a="1"/>
  <c r="BG19" i="11" s="1"/>
  <c r="BG20" i="11" s="1"/>
  <c r="BG21" i="11" s="1"/>
  <c r="BG28" i="11" s="1"/>
  <c r="BG32" i="11" s="1"/>
  <c r="I37" i="31" a="1"/>
  <c r="I37" i="31" s="1"/>
  <c r="J37" i="31" s="1"/>
  <c r="H87" i="38" a="1"/>
  <c r="H87" i="38" s="1"/>
  <c r="Q75" i="38" a="1"/>
  <c r="Q75" i="38" s="1"/>
  <c r="G40" i="31" a="1"/>
  <c r="G40" i="31" s="1"/>
  <c r="H40" i="31" s="1"/>
  <c r="K28" i="31" a="1"/>
  <c r="K28" i="31" s="1"/>
  <c r="L28" i="31" s="1"/>
  <c r="Q61" i="38" a="1"/>
  <c r="Q61" i="38" s="1"/>
  <c r="T110" i="38" a="1"/>
  <c r="T110" i="38" s="1"/>
  <c r="O34" i="31" a="1"/>
  <c r="O34" i="31" s="1"/>
  <c r="P34" i="31" s="1"/>
  <c r="I50" i="31" a="1"/>
  <c r="I50" i="31" s="1"/>
  <c r="H117" i="38" a="1"/>
  <c r="H117" i="38" s="1"/>
  <c r="K29" i="31" a="1"/>
  <c r="K29" i="31" s="1"/>
  <c r="L29" i="31" s="1"/>
  <c r="T105" i="38" a="1"/>
  <c r="T105" i="38" s="1"/>
  <c r="Q122" i="38" a="1"/>
  <c r="Q122" i="38" s="1"/>
  <c r="K59" i="38" a="1"/>
  <c r="K59" i="38" s="1"/>
  <c r="K109" i="38" a="1"/>
  <c r="K109" i="38" s="1"/>
  <c r="K60" i="38" a="1"/>
  <c r="K60" i="38" s="1"/>
  <c r="K60" i="31" a="1"/>
  <c r="K60" i="31" s="1"/>
  <c r="N81" i="38" a="1"/>
  <c r="N81" i="38" s="1"/>
  <c r="N64" i="38" a="1"/>
  <c r="N64" i="38" s="1"/>
  <c r="W106" i="38" a="1"/>
  <c r="W106" i="38" s="1"/>
  <c r="Q55" i="38" a="1"/>
  <c r="Q55" i="38" s="1"/>
  <c r="H90" i="38" a="1"/>
  <c r="H90" i="38" s="1"/>
  <c r="K94" i="38" a="1"/>
  <c r="K94" i="38" s="1"/>
  <c r="K27" i="31" a="1"/>
  <c r="K27" i="31" s="1"/>
  <c r="L27" i="31" s="1"/>
  <c r="W84" i="38" a="1"/>
  <c r="W84" i="38" s="1"/>
  <c r="G29" i="31" a="1"/>
  <c r="G29" i="31" s="1"/>
  <c r="H29" i="31" s="1"/>
  <c r="T84" i="38" a="1"/>
  <c r="T84" i="38" s="1"/>
  <c r="I40" i="31" a="1"/>
  <c r="I40" i="31" s="1"/>
  <c r="J40" i="31" s="1"/>
  <c r="W74" i="38" a="1"/>
  <c r="W74" i="38" s="1"/>
  <c r="X74" i="38" s="1"/>
  <c r="T118" i="38" a="1"/>
  <c r="T118" i="38" s="1"/>
  <c r="K41" i="31" a="1"/>
  <c r="K41" i="31" s="1"/>
  <c r="L41" i="31" s="1"/>
  <c r="N76" i="38" a="1"/>
  <c r="N76" i="38" s="1"/>
  <c r="H91" i="38" a="1"/>
  <c r="H91" i="38" s="1"/>
  <c r="N82" i="38" a="1"/>
  <c r="N82" i="38" s="1"/>
  <c r="K22" i="31" a="1"/>
  <c r="K22" i="31" s="1"/>
  <c r="L22" i="31" s="1"/>
  <c r="K65" i="38" a="1"/>
  <c r="K65" i="38" s="1"/>
  <c r="T85" i="38" a="1"/>
  <c r="T85" i="38" s="1"/>
  <c r="Q85" i="38" a="1"/>
  <c r="Q85" i="38" s="1"/>
  <c r="R85" i="38" s="1"/>
  <c r="T48" i="38" a="1"/>
  <c r="T48" i="38" s="1"/>
  <c r="H75" i="38" a="1"/>
  <c r="H75" i="38" s="1"/>
  <c r="M30" i="31" a="1"/>
  <c r="M30" i="31" s="1"/>
  <c r="N30" i="31" s="1"/>
  <c r="G41" i="31" a="1"/>
  <c r="G41" i="31" s="1"/>
  <c r="H41" i="31" s="1"/>
  <c r="Q87" i="38" a="1"/>
  <c r="Q87" i="38" s="1"/>
  <c r="M20" i="31" a="1"/>
  <c r="M20" i="31" s="1"/>
  <c r="N20" i="31" s="1"/>
  <c r="W94" i="38" a="1"/>
  <c r="W94" i="38" s="1"/>
  <c r="X94" i="38" s="1"/>
  <c r="T94" i="38" a="1"/>
  <c r="T94" i="38" s="1"/>
  <c r="Q50" i="38" a="1"/>
  <c r="Q50" i="38" s="1"/>
  <c r="W93" i="38" a="1"/>
  <c r="W93" i="38" s="1"/>
  <c r="T93" i="38" a="1"/>
  <c r="T93" i="38" s="1"/>
  <c r="U93" i="38" s="1"/>
  <c r="N57" i="38" a="1"/>
  <c r="N57" i="38" s="1"/>
  <c r="T106" i="38" a="1"/>
  <c r="T106" i="38" s="1"/>
  <c r="W116" i="38" a="1"/>
  <c r="W116" i="38" s="1"/>
  <c r="H58" i="38" a="1"/>
  <c r="H58" i="38" s="1"/>
  <c r="W66" i="38" a="1"/>
  <c r="W66" i="38" s="1"/>
  <c r="H101" i="38" a="1"/>
  <c r="H101" i="38" s="1"/>
  <c r="K50" i="31" a="1"/>
  <c r="K50" i="31" s="1"/>
  <c r="N109" i="38" a="1"/>
  <c r="N109" i="38" s="1"/>
  <c r="T83" i="38" a="1"/>
  <c r="T83" i="38" s="1"/>
  <c r="M56" i="31" a="1"/>
  <c r="M56" i="31" s="1"/>
  <c r="Q53" i="38" a="1"/>
  <c r="Q53" i="38" s="1"/>
  <c r="N61" i="38" a="1"/>
  <c r="N61" i="38" s="1"/>
  <c r="Q91" i="38" a="1"/>
  <c r="Q91" i="38" s="1"/>
  <c r="R91" i="38" s="1"/>
  <c r="G32" i="31" a="1"/>
  <c r="G32" i="31" s="1"/>
  <c r="H32" i="31" s="1"/>
  <c r="K91" i="38" a="1"/>
  <c r="K91" i="38" s="1"/>
  <c r="T99" i="38" a="1"/>
  <c r="T99" i="38" s="1"/>
  <c r="N110" i="38" a="1"/>
  <c r="N110" i="38" s="1"/>
  <c r="I23" i="31" a="1"/>
  <c r="I23" i="31" s="1"/>
  <c r="J23" i="31" s="1"/>
  <c r="E53" i="31" a="1"/>
  <c r="E53" i="31" s="1"/>
  <c r="N54" i="38" a="1"/>
  <c r="N54" i="38" s="1"/>
  <c r="Q52" i="38" a="1"/>
  <c r="Q52" i="38" s="1"/>
  <c r="G31" i="31" a="1"/>
  <c r="G31" i="31" s="1"/>
  <c r="H31" i="31" s="1"/>
  <c r="E20" i="31" a="1"/>
  <c r="E20" i="31" s="1"/>
  <c r="F20" i="31" s="1"/>
  <c r="E42" i="31" a="1"/>
  <c r="E42" i="31" s="1"/>
  <c r="F42" i="31" s="1"/>
  <c r="N92" i="38" a="1"/>
  <c r="N92" i="38" s="1"/>
  <c r="Q96" i="38" a="1"/>
  <c r="Q96" i="38" s="1"/>
  <c r="N78" i="38" a="1"/>
  <c r="N78" i="38" s="1"/>
  <c r="H99" i="38" a="1"/>
  <c r="H99" i="38" s="1"/>
  <c r="M23" i="31" a="1"/>
  <c r="M23" i="31" s="1"/>
  <c r="N23" i="31" s="1"/>
  <c r="K24" i="31" a="1"/>
  <c r="K24" i="31" s="1"/>
  <c r="L24" i="31" s="1"/>
  <c r="W62" i="38" a="1"/>
  <c r="W62" i="38" s="1"/>
  <c r="N75" i="38" a="1"/>
  <c r="N75" i="38" s="1"/>
  <c r="K92" i="38" a="1"/>
  <c r="K92" i="38" s="1"/>
  <c r="L92" i="38" s="1"/>
  <c r="T89" i="38" a="1"/>
  <c r="T89" i="38" s="1"/>
  <c r="Q46" i="38" a="1"/>
  <c r="Q46" i="38" s="1"/>
  <c r="T114" i="38" a="1"/>
  <c r="T114" i="38" s="1"/>
  <c r="H84" i="38" a="1"/>
  <c r="H84" i="38" s="1"/>
  <c r="G28" i="31" a="1"/>
  <c r="G28" i="31" s="1"/>
  <c r="H28" i="31" s="1"/>
  <c r="H48" i="38" a="1"/>
  <c r="H48" i="38" s="1"/>
  <c r="K35" i="38"/>
  <c r="K36" i="38" s="1"/>
  <c r="G13" i="31" s="1"/>
  <c r="E20" i="53" s="1"/>
  <c r="H340" i="39"/>
  <c r="AE10" i="34" a="1"/>
  <c r="AE10" i="34" s="1"/>
  <c r="K57" i="38" a="1"/>
  <c r="K57" i="38" s="1"/>
  <c r="Q43" i="38" a="1"/>
  <c r="Q43" i="38" s="1"/>
  <c r="M50" i="31" a="1"/>
  <c r="M50" i="31" s="1"/>
  <c r="K123" i="38" a="1"/>
  <c r="K123" i="38" s="1"/>
  <c r="N119" i="38" a="1"/>
  <c r="N119" i="38" s="1"/>
  <c r="H52" i="38" a="1"/>
  <c r="H52" i="38" s="1"/>
  <c r="N55" i="38" a="1"/>
  <c r="N55" i="38" s="1"/>
  <c r="K112" i="38" a="1"/>
  <c r="K112" i="38" s="1"/>
  <c r="K116" i="38" a="1"/>
  <c r="K116" i="38" s="1"/>
  <c r="T54" i="38" a="1"/>
  <c r="T54" i="38" s="1"/>
  <c r="W112" i="38" a="1"/>
  <c r="W112" i="38" s="1"/>
  <c r="W91" i="38" a="1"/>
  <c r="W91" i="38" s="1"/>
  <c r="X91" i="38" s="1"/>
  <c r="E59" i="31" a="1"/>
  <c r="E59" i="31" s="1"/>
  <c r="M59" i="31" a="1"/>
  <c r="M59" i="31" s="1"/>
  <c r="Q59" i="38" a="1"/>
  <c r="Q59" i="38" s="1"/>
  <c r="W57" i="38" a="1"/>
  <c r="W57" i="38" s="1"/>
  <c r="BM19" i="11" a="1"/>
  <c r="BM19" i="11" s="1"/>
  <c r="BM20" i="11" s="1"/>
  <c r="BM21" i="11" s="1"/>
  <c r="BM28" i="11" s="1"/>
  <c r="BM32" i="11" s="1"/>
  <c r="T82" i="38" a="1"/>
  <c r="T82" i="38" s="1"/>
  <c r="U82" i="38" s="1"/>
  <c r="K53" i="31" a="1"/>
  <c r="K53" i="31" s="1"/>
  <c r="H96" i="38" a="1"/>
  <c r="H96" i="38" s="1"/>
  <c r="E51" i="31" a="1"/>
  <c r="E51" i="31" s="1"/>
  <c r="Q82" i="38" a="1"/>
  <c r="Q82" i="38" s="1"/>
  <c r="N77" i="38" a="1"/>
  <c r="N77" i="38" s="1"/>
  <c r="I56" i="31" a="1"/>
  <c r="I56" i="31" s="1"/>
  <c r="CQ19" i="11" a="1"/>
  <c r="CQ19" i="11" s="1"/>
  <c r="CQ20" i="11" s="1"/>
  <c r="CQ21" i="11" s="1"/>
  <c r="CQ28" i="11" s="1"/>
  <c r="CQ32" i="11" s="1"/>
  <c r="N95" i="38" a="1"/>
  <c r="N95" i="38" s="1"/>
  <c r="W49" i="38" a="1"/>
  <c r="W49" i="38" s="1"/>
  <c r="K79" i="38" a="1"/>
  <c r="K79" i="38" s="1"/>
  <c r="L79" i="38" s="1"/>
  <c r="W47" i="38" a="1"/>
  <c r="W47" i="38" s="1"/>
  <c r="H82" i="38" a="1"/>
  <c r="H82" i="38" s="1"/>
  <c r="K23" i="31" a="1"/>
  <c r="K23" i="31" s="1"/>
  <c r="L23" i="31" s="1"/>
  <c r="W46" i="38" a="1"/>
  <c r="W46" i="38" s="1"/>
  <c r="T76" i="38" a="1"/>
  <c r="T76" i="38" s="1"/>
  <c r="U76" i="38" s="1"/>
  <c r="N103" i="38" a="1"/>
  <c r="N103" i="38" s="1"/>
  <c r="M32" i="31" a="1"/>
  <c r="M32" i="31" s="1"/>
  <c r="N32" i="31" s="1"/>
  <c r="I21" i="31" a="1"/>
  <c r="I21" i="31" s="1"/>
  <c r="J21" i="31" s="1"/>
  <c r="I60" i="31" a="1"/>
  <c r="I60" i="31" s="1"/>
  <c r="E22" i="31" a="1"/>
  <c r="E22" i="31" s="1"/>
  <c r="F22" i="31" s="1"/>
  <c r="N93" i="38" a="1"/>
  <c r="N93" i="38" s="1"/>
  <c r="O93" i="38" s="1"/>
  <c r="O32" i="31" a="1"/>
  <c r="O32" i="31" s="1"/>
  <c r="P32" i="31" s="1"/>
  <c r="Q90" i="38" a="1"/>
  <c r="Q90" i="38" s="1"/>
  <c r="R90" i="38" s="1"/>
  <c r="T119" i="38" a="1"/>
  <c r="T119" i="38" s="1"/>
  <c r="K99" i="38" a="1"/>
  <c r="K99" i="38" s="1"/>
  <c r="K21" i="54"/>
  <c r="I20" i="53"/>
  <c r="AA15" i="34" a="1"/>
  <c r="AA15" i="34" s="1"/>
  <c r="AA17" i="34" a="1"/>
  <c r="AA17" i="34" s="1"/>
  <c r="Z17" i="34" s="1"/>
  <c r="W115" i="38" a="1"/>
  <c r="W115" i="38" s="1"/>
  <c r="K54" i="38" a="1"/>
  <c r="K54" i="38" s="1"/>
  <c r="M51" i="31" a="1"/>
  <c r="M51" i="31" s="1"/>
  <c r="K51" i="38" a="1"/>
  <c r="K51" i="38" s="1"/>
  <c r="T102" i="38" a="1"/>
  <c r="T102" i="38" s="1"/>
  <c r="H106" i="38" a="1"/>
  <c r="H106" i="38" s="1"/>
  <c r="H50" i="38" a="1"/>
  <c r="H50" i="38" s="1"/>
  <c r="Q68" i="38" a="1"/>
  <c r="Q68" i="38" s="1"/>
  <c r="H113" i="38" a="1"/>
  <c r="H113" i="38" s="1"/>
  <c r="T60" i="38" a="1"/>
  <c r="T60" i="38" s="1"/>
  <c r="Q56" i="38" a="1"/>
  <c r="Q56" i="38" s="1"/>
  <c r="H112" i="38" a="1"/>
  <c r="H112" i="38" s="1"/>
  <c r="K54" i="31" a="1"/>
  <c r="K54" i="31" s="1"/>
  <c r="T55" i="38" a="1"/>
  <c r="T55" i="38" s="1"/>
  <c r="H81" i="38" a="1"/>
  <c r="H81" i="38" s="1"/>
  <c r="K72" i="38" a="1"/>
  <c r="K72" i="38" s="1"/>
  <c r="N63" i="38" a="1"/>
  <c r="N63" i="38" s="1"/>
  <c r="W86" i="38" a="1"/>
  <c r="W86" i="38" s="1"/>
  <c r="I26" i="31" a="1"/>
  <c r="I26" i="31" s="1"/>
  <c r="J26" i="31" s="1"/>
  <c r="G22" i="31" a="1"/>
  <c r="G22" i="31" s="1"/>
  <c r="H22" i="31" s="1"/>
  <c r="K39" i="31" a="1"/>
  <c r="K39" i="31" s="1"/>
  <c r="L39" i="31" s="1"/>
  <c r="N43" i="38" a="1"/>
  <c r="N43" i="38" s="1"/>
  <c r="T95" i="38" a="1"/>
  <c r="T95" i="38" s="1"/>
  <c r="T81" i="38" a="1"/>
  <c r="T81" i="38" s="1"/>
  <c r="K57" i="31" a="1"/>
  <c r="K57" i="31" s="1"/>
  <c r="Q65" i="38" a="1"/>
  <c r="Q65" i="38" s="1"/>
  <c r="O42" i="31" a="1"/>
  <c r="O42" i="31" s="1"/>
  <c r="P42" i="31" s="1"/>
  <c r="I57" i="31" a="1"/>
  <c r="I57" i="31" s="1"/>
  <c r="E31" i="31" a="1"/>
  <c r="E31" i="31" s="1"/>
  <c r="F31" i="31" s="1"/>
  <c r="K52" i="38" a="1"/>
  <c r="K52" i="38" s="1"/>
  <c r="N46" i="38" a="1"/>
  <c r="N46" i="38" s="1"/>
  <c r="O31" i="31" a="1"/>
  <c r="O31" i="31" s="1"/>
  <c r="P31" i="31" s="1"/>
  <c r="Q119" i="38" a="1"/>
  <c r="Q119" i="38" s="1"/>
  <c r="M38" i="31" a="1"/>
  <c r="M38" i="31" s="1"/>
  <c r="N38" i="31" s="1"/>
  <c r="W43" i="38" a="1"/>
  <c r="W43" i="38" s="1"/>
  <c r="O54" i="31" a="1"/>
  <c r="O54" i="31" s="1"/>
  <c r="E43" i="31" a="1"/>
  <c r="E43" i="31" s="1"/>
  <c r="F43" i="31" s="1"/>
  <c r="O20" i="31" a="1"/>
  <c r="O20" i="31" s="1"/>
  <c r="P20" i="31" s="1"/>
  <c r="K37" i="31" a="1"/>
  <c r="K37" i="31" s="1"/>
  <c r="L37" i="31" s="1"/>
  <c r="T75" i="38" a="1"/>
  <c r="T75" i="38" s="1"/>
  <c r="O37" i="31" a="1"/>
  <c r="O37" i="31" s="1"/>
  <c r="P37" i="31" s="1"/>
  <c r="N91" i="38" a="1"/>
  <c r="N91" i="38" s="1"/>
  <c r="K25" i="31" a="1"/>
  <c r="K25" i="31" s="1"/>
  <c r="L25" i="31" s="1"/>
  <c r="Q58" i="38" a="1"/>
  <c r="Q58" i="38" s="1"/>
  <c r="W52" i="38" a="1"/>
  <c r="W52" i="38" s="1"/>
  <c r="N72" i="38" a="1"/>
  <c r="N72" i="38" s="1"/>
  <c r="W82" i="38" a="1"/>
  <c r="W82" i="38" s="1"/>
  <c r="N45" i="38" a="1"/>
  <c r="N45" i="38" s="1"/>
  <c r="G53" i="31" a="1"/>
  <c r="G53" i="31" s="1"/>
  <c r="W117" i="38" a="1"/>
  <c r="W117" i="38" s="1"/>
  <c r="H111" i="38" a="1"/>
  <c r="H111" i="38" s="1"/>
  <c r="N111" i="38" a="1"/>
  <c r="N111" i="38" s="1"/>
  <c r="Q83" i="38" a="1"/>
  <c r="Q83" i="38" s="1"/>
  <c r="R83" i="38" s="1"/>
  <c r="Q45" i="38" a="1"/>
  <c r="Q45" i="38" s="1"/>
  <c r="W50" i="38" a="1"/>
  <c r="W50" i="38" s="1"/>
  <c r="W110" i="38" a="1"/>
  <c r="W110" i="38" s="1"/>
  <c r="H121" i="38" a="1"/>
  <c r="H121" i="38" s="1"/>
  <c r="I51" i="31" a="1"/>
  <c r="I51" i="31" s="1"/>
  <c r="G23" i="31" a="1"/>
  <c r="G23" i="31" s="1"/>
  <c r="H23" i="31" s="1"/>
  <c r="Q94" i="38" a="1"/>
  <c r="Q94" i="38" s="1"/>
  <c r="H123" i="38" a="1"/>
  <c r="H123" i="38" s="1"/>
  <c r="H76" i="38" a="1"/>
  <c r="H76" i="38" s="1"/>
  <c r="I76" i="38" s="1"/>
  <c r="E36" i="31" a="1"/>
  <c r="E36" i="31" s="1"/>
  <c r="F36" i="31" s="1"/>
  <c r="H95" i="38" a="1"/>
  <c r="H95" i="38" s="1"/>
  <c r="I95" i="38" s="1"/>
  <c r="K26" i="31" a="1"/>
  <c r="K26" i="31" s="1"/>
  <c r="L26" i="31" s="1"/>
  <c r="O21" i="31" a="1"/>
  <c r="O21" i="31" s="1"/>
  <c r="P21" i="31" s="1"/>
  <c r="O30" i="31" a="1"/>
  <c r="O30" i="31" s="1"/>
  <c r="P30" i="31" s="1"/>
  <c r="I34" i="31" a="1"/>
  <c r="I34" i="31" s="1"/>
  <c r="J34" i="31" s="1"/>
  <c r="W63" i="38" a="1"/>
  <c r="W63" i="38" s="1"/>
  <c r="O22" i="31" a="1"/>
  <c r="O22" i="31" s="1"/>
  <c r="P22" i="31" s="1"/>
  <c r="W103" i="38" a="1"/>
  <c r="W103" i="38" s="1"/>
  <c r="I41" i="31" a="1"/>
  <c r="I41" i="31" s="1"/>
  <c r="J41" i="31" s="1"/>
  <c r="W60" i="38" a="1"/>
  <c r="W60" i="38" s="1"/>
  <c r="N107" i="38" a="1"/>
  <c r="N107" i="38" s="1"/>
  <c r="W81" i="38" a="1"/>
  <c r="W81" i="38" s="1"/>
  <c r="Q103" i="38" a="1"/>
  <c r="Q103" i="38" s="1"/>
  <c r="H55" i="38" a="1"/>
  <c r="H55" i="38" s="1"/>
  <c r="Q67" i="38" a="1"/>
  <c r="Q67" i="38" s="1"/>
  <c r="M53" i="31" a="1"/>
  <c r="M53" i="31" s="1"/>
  <c r="ES19" i="11" a="1"/>
  <c r="ES19" i="11" s="1"/>
  <c r="ES20" i="11" s="1"/>
  <c r="ES21" i="11" s="1"/>
  <c r="ES28" i="11" s="1"/>
  <c r="ES32" i="11" s="1"/>
  <c r="W99" i="38" a="1"/>
  <c r="W99" i="38" s="1"/>
  <c r="G36" i="31" a="1"/>
  <c r="G36" i="31" s="1"/>
  <c r="H36" i="31" s="1"/>
  <c r="T90" i="38" a="1"/>
  <c r="T90" i="38" s="1"/>
  <c r="U90" i="38" s="1"/>
  <c r="O33" i="31" a="1"/>
  <c r="O33" i="31" s="1"/>
  <c r="P33" i="31" s="1"/>
  <c r="H89" i="38" l="1" a="1"/>
  <c r="H89" i="38" s="1"/>
  <c r="K118" i="38" a="1"/>
  <c r="K118" i="38" s="1"/>
  <c r="L91" i="38" s="1"/>
  <c r="W104" i="38" a="1"/>
  <c r="W104" i="38" s="1"/>
  <c r="X77" i="38" s="1"/>
  <c r="Q66" i="38" a="1"/>
  <c r="Q66" i="38" s="1"/>
  <c r="K102" i="38" a="1"/>
  <c r="K102" i="38" s="1"/>
  <c r="T108" i="38" a="1"/>
  <c r="T108" i="38" s="1"/>
  <c r="U81" i="38" s="1"/>
  <c r="W19" i="11" a="1"/>
  <c r="W19" i="11" s="1"/>
  <c r="W20" i="11" s="1"/>
  <c r="W21" i="11" s="1"/>
  <c r="W28" i="11" s="1"/>
  <c r="W32" i="11" s="1"/>
  <c r="T121" i="38" a="1"/>
  <c r="T121" i="38" s="1"/>
  <c r="U94" i="38" s="1"/>
  <c r="W58" i="38" a="1"/>
  <c r="W58" i="38" s="1"/>
  <c r="X86" i="38"/>
  <c r="R89" i="38"/>
  <c r="O77" i="38"/>
  <c r="X82" i="38"/>
  <c r="I81" i="38"/>
  <c r="I75" i="38"/>
  <c r="L94" i="38"/>
  <c r="R96" i="38"/>
  <c r="U83" i="38"/>
  <c r="O75" i="38"/>
  <c r="H68" i="38" a="1"/>
  <c r="H68" i="38" s="1"/>
  <c r="G60" i="31" a="1"/>
  <c r="G60" i="31" s="1"/>
  <c r="E25" i="31" a="1"/>
  <c r="E25" i="31" s="1"/>
  <c r="F25" i="31" s="1"/>
  <c r="W53" i="38" a="1"/>
  <c r="W53" i="38" s="1"/>
  <c r="T56" i="38" a="1"/>
  <c r="T56" i="38" s="1"/>
  <c r="O27" i="31" a="1"/>
  <c r="O27" i="31" s="1"/>
  <c r="P27" i="31" s="1"/>
  <c r="T43" i="38" a="1"/>
  <c r="T43" i="38" s="1"/>
  <c r="H78" i="38" a="1"/>
  <c r="H78" i="38" s="1"/>
  <c r="T88" i="38" a="1"/>
  <c r="T88" i="38" s="1"/>
  <c r="G43" i="31" a="1"/>
  <c r="G43" i="31" s="1"/>
  <c r="H43" i="31" s="1"/>
  <c r="N123" i="38" a="1"/>
  <c r="N123" i="38" s="1"/>
  <c r="H88" i="38" a="1"/>
  <c r="H88" i="38" s="1"/>
  <c r="H114" i="38" a="1"/>
  <c r="H114" i="38" s="1"/>
  <c r="I87" i="38" s="1"/>
  <c r="H62" i="38" a="1"/>
  <c r="H62" i="38" s="1"/>
  <c r="G42" i="31" a="1"/>
  <c r="G42" i="31" s="1"/>
  <c r="H42" i="31" s="1"/>
  <c r="I43" i="31" a="1"/>
  <c r="I43" i="31" s="1"/>
  <c r="J43" i="31" s="1"/>
  <c r="K32" i="31" a="1"/>
  <c r="K32" i="31" s="1"/>
  <c r="L32" i="31" s="1"/>
  <c r="N87" i="38" a="1"/>
  <c r="N87" i="38" s="1"/>
  <c r="H93" i="38" a="1"/>
  <c r="H93" i="38" s="1"/>
  <c r="H85" i="38" a="1"/>
  <c r="H85" i="38" s="1"/>
  <c r="I85" i="38" s="1"/>
  <c r="E50" i="31" a="1"/>
  <c r="E50" i="31" s="1"/>
  <c r="M58" i="31" a="1"/>
  <c r="M58" i="31" s="1"/>
  <c r="K77" i="38" a="1"/>
  <c r="K77" i="38" s="1"/>
  <c r="H49" i="38" a="1"/>
  <c r="H49" i="38" s="1"/>
  <c r="N115" i="38" a="1"/>
  <c r="N115" i="38" s="1"/>
  <c r="O88" i="38" s="1"/>
  <c r="O43" i="31" a="1"/>
  <c r="O43" i="31" s="1"/>
  <c r="P43" i="31" s="1"/>
  <c r="K80" i="38" a="1"/>
  <c r="K80" i="38" s="1"/>
  <c r="K84" i="38" a="1"/>
  <c r="K84" i="38" s="1"/>
  <c r="K111" i="38" a="1"/>
  <c r="K111" i="38" s="1"/>
  <c r="T115" i="38" a="1"/>
  <c r="T115" i="38" s="1"/>
  <c r="E57" i="31" a="1"/>
  <c r="E57" i="31" s="1"/>
  <c r="E38" i="31" a="1"/>
  <c r="E38" i="31" s="1"/>
  <c r="F38" i="31" s="1"/>
  <c r="W105" i="38" a="1"/>
  <c r="W105" i="38" s="1"/>
  <c r="X78" i="38" s="1"/>
  <c r="EM19" i="11" a="1"/>
  <c r="EM19" i="11" s="1"/>
  <c r="EM20" i="11" s="1"/>
  <c r="EM21" i="11" s="1"/>
  <c r="EM28" i="11" s="1"/>
  <c r="EM32" i="11" s="1"/>
  <c r="K76" i="38" a="1"/>
  <c r="K76" i="38" s="1"/>
  <c r="H56" i="38" a="1"/>
  <c r="H56" i="38" s="1"/>
  <c r="N53" i="38" a="1"/>
  <c r="N53" i="38" s="1"/>
  <c r="T65" i="38" a="1"/>
  <c r="T65" i="38" s="1"/>
  <c r="Q121" i="38" a="1"/>
  <c r="Q121" i="38" s="1"/>
  <c r="R94" i="38" s="1"/>
  <c r="N48" i="38" a="1"/>
  <c r="N48" i="38" s="1"/>
  <c r="N100" i="38" a="1"/>
  <c r="N100" i="38" s="1"/>
  <c r="U75" i="38"/>
  <c r="X93" i="38"/>
  <c r="X96" i="38"/>
  <c r="H51" i="38" a="1"/>
  <c r="H51" i="38" s="1"/>
  <c r="N58" i="38" a="1"/>
  <c r="N58" i="38" s="1"/>
  <c r="T51" i="38" a="1"/>
  <c r="T51" i="38" s="1"/>
  <c r="U80" i="38"/>
  <c r="N96" i="38" a="1"/>
  <c r="N96" i="38" s="1"/>
  <c r="O96" i="38" s="1"/>
  <c r="W55" i="38" a="1"/>
  <c r="W55" i="38" s="1"/>
  <c r="K47" i="38" a="1"/>
  <c r="K47" i="38" s="1"/>
  <c r="O28" i="31" a="1"/>
  <c r="O28" i="31" s="1"/>
  <c r="P28" i="31" s="1"/>
  <c r="M75" i="31"/>
  <c r="E81" i="31"/>
  <c r="K49" i="31"/>
  <c r="K72" i="31"/>
  <c r="L88" i="38"/>
  <c r="O77" i="31"/>
  <c r="X85" i="38"/>
  <c r="O94" i="38"/>
  <c r="W122" i="38" a="1"/>
  <c r="W122" i="38" s="1"/>
  <c r="BY19" i="11" a="1"/>
  <c r="BY19" i="11" s="1"/>
  <c r="BY20" i="11" s="1"/>
  <c r="BY21" i="11" s="1"/>
  <c r="BY28" i="11" s="1"/>
  <c r="BY32" i="11" s="1"/>
  <c r="K35" i="31" a="1"/>
  <c r="K35" i="31" s="1"/>
  <c r="L35" i="31" s="1"/>
  <c r="T66" i="38" a="1"/>
  <c r="T66" i="38" s="1"/>
  <c r="Q79" i="38" a="1"/>
  <c r="Q79" i="38" s="1"/>
  <c r="K68" i="38" a="1"/>
  <c r="K68" i="38" s="1"/>
  <c r="W79" i="38" a="1"/>
  <c r="W79" i="38" s="1"/>
  <c r="X79" i="38" s="1"/>
  <c r="K40" i="31" a="1"/>
  <c r="K40" i="31" s="1"/>
  <c r="L40" i="31" s="1"/>
  <c r="K76" i="31"/>
  <c r="L96" i="38"/>
  <c r="R76" i="38"/>
  <c r="M82" i="31"/>
  <c r="O40" i="31" a="1"/>
  <c r="O40" i="31" s="1"/>
  <c r="P40" i="31" s="1"/>
  <c r="N67" i="38" a="1"/>
  <c r="N67" i="38" s="1"/>
  <c r="T91" i="38" a="1"/>
  <c r="T91" i="38" s="1"/>
  <c r="U91" i="38" s="1"/>
  <c r="K87" i="38" a="1"/>
  <c r="K87" i="38" s="1"/>
  <c r="L87" i="38" s="1"/>
  <c r="T53" i="38" a="1"/>
  <c r="T53" i="38" s="1"/>
  <c r="I32" i="31" a="1"/>
  <c r="I32" i="31" s="1"/>
  <c r="J32" i="31" s="1"/>
  <c r="O59" i="31" a="1"/>
  <c r="O59" i="31" s="1"/>
  <c r="O52" i="31" s="1"/>
  <c r="I79" i="31"/>
  <c r="I84" i="38"/>
  <c r="I90" i="38"/>
  <c r="N19" i="31"/>
  <c r="G80" i="31"/>
  <c r="I80" i="31"/>
  <c r="K78" i="31"/>
  <c r="R77" i="38"/>
  <c r="K103" i="38" a="1"/>
  <c r="K103" i="38" s="1"/>
  <c r="T77" i="38" a="1"/>
  <c r="T77" i="38" s="1"/>
  <c r="Q93" i="38" a="1"/>
  <c r="Q93" i="38" s="1"/>
  <c r="E32" i="31" a="1"/>
  <c r="E32" i="31" s="1"/>
  <c r="F32" i="31" s="1"/>
  <c r="E27" i="31" a="1"/>
  <c r="E27" i="31" s="1"/>
  <c r="F27" i="31" s="1"/>
  <c r="T112" i="38" a="1"/>
  <c r="T112" i="38" s="1"/>
  <c r="U85" i="38" s="1"/>
  <c r="Q72" i="38" a="1"/>
  <c r="Q72" i="38" s="1"/>
  <c r="AO19" i="11" a="1"/>
  <c r="AO19" i="11" s="1"/>
  <c r="AO20" i="11" s="1"/>
  <c r="AO21" i="11" s="1"/>
  <c r="AO28" i="11" s="1"/>
  <c r="AO32" i="11" s="1"/>
  <c r="O79" i="31"/>
  <c r="O75" i="31"/>
  <c r="O82" i="31"/>
  <c r="I86" i="38"/>
  <c r="R81" i="38"/>
  <c r="T62" i="38" a="1"/>
  <c r="T62" i="38" s="1"/>
  <c r="Q84" i="38" a="1"/>
  <c r="Q84" i="38" s="1"/>
  <c r="R84" i="38" s="1"/>
  <c r="Q60" i="38" a="1"/>
  <c r="Q60" i="38" s="1"/>
  <c r="DO19" i="11" a="1"/>
  <c r="DO19" i="11" s="1"/>
  <c r="DO20" i="11" s="1"/>
  <c r="DO21" i="11" s="1"/>
  <c r="DO28" i="11" s="1"/>
  <c r="DO32" i="11" s="1"/>
  <c r="M21" i="31" a="1"/>
  <c r="M21" i="31" s="1"/>
  <c r="N21" i="31" s="1"/>
  <c r="K62" i="38" a="1"/>
  <c r="K62" i="38" s="1"/>
  <c r="T46" i="38" a="1"/>
  <c r="T46" i="38" s="1"/>
  <c r="I73" i="31"/>
  <c r="E75" i="31"/>
  <c r="K73" i="31"/>
  <c r="I75" i="31"/>
  <c r="O49" i="31"/>
  <c r="O72" i="31"/>
  <c r="L85" i="38"/>
  <c r="H35" i="38"/>
  <c r="H36" i="38" s="1"/>
  <c r="E13" i="31" s="1"/>
  <c r="H177" i="39"/>
  <c r="E56" i="31" a="1"/>
  <c r="E56" i="31" s="1"/>
  <c r="I55" i="31" a="1"/>
  <c r="I55" i="31" s="1"/>
  <c r="I52" i="31" s="1"/>
  <c r="I61" i="31" s="1"/>
  <c r="Q47" i="38" a="1"/>
  <c r="Q47" i="38" s="1"/>
  <c r="N114" i="38" a="1"/>
  <c r="N114" i="38" s="1"/>
  <c r="O87" i="38" s="1"/>
  <c r="H61" i="38" a="1"/>
  <c r="H61" i="38" s="1"/>
  <c r="N44" i="38" a="1"/>
  <c r="N44" i="38" s="1"/>
  <c r="Q95" i="38" a="1"/>
  <c r="Q95" i="38" s="1"/>
  <c r="R95" i="38" s="1"/>
  <c r="Q107" i="38" a="1"/>
  <c r="Q107" i="38" s="1"/>
  <c r="R80" i="38" s="1"/>
  <c r="E55" i="31" a="1"/>
  <c r="E55" i="31" s="1"/>
  <c r="Q105" i="38" a="1"/>
  <c r="Q105" i="38" s="1"/>
  <c r="R78" i="38" s="1"/>
  <c r="H107" i="38" a="1"/>
  <c r="H107" i="38" s="1"/>
  <c r="W107" i="38" a="1"/>
  <c r="W107" i="38" s="1"/>
  <c r="X80" i="38" s="1"/>
  <c r="H104" i="38" a="1"/>
  <c r="H104" i="38" s="1"/>
  <c r="T123" i="38" a="1"/>
  <c r="T123" i="38" s="1"/>
  <c r="Q114" i="38" a="1"/>
  <c r="Q114" i="38" s="1"/>
  <c r="R87" i="38" s="1"/>
  <c r="T113" i="38" a="1"/>
  <c r="T113" i="38" s="1"/>
  <c r="U86" i="38" s="1"/>
  <c r="N113" i="38" a="1"/>
  <c r="N113" i="38" s="1"/>
  <c r="O86" i="38" s="1"/>
  <c r="H54" i="38" a="1"/>
  <c r="H54" i="38" s="1"/>
  <c r="N66" i="38" a="1"/>
  <c r="N66" i="38" s="1"/>
  <c r="T104" i="38" a="1"/>
  <c r="T104" i="38" s="1"/>
  <c r="H53" i="38" a="1"/>
  <c r="H53" i="38" s="1"/>
  <c r="N122" i="38" a="1"/>
  <c r="N122" i="38" s="1"/>
  <c r="O95" i="38" s="1"/>
  <c r="K55" i="31" a="1"/>
  <c r="K55" i="31" s="1"/>
  <c r="K52" i="31" s="1"/>
  <c r="K61" i="31" s="1"/>
  <c r="M55" i="31" a="1"/>
  <c r="M55" i="31" s="1"/>
  <c r="T64" i="38" a="1"/>
  <c r="T64" i="38" s="1"/>
  <c r="N116" i="38" a="1"/>
  <c r="N116" i="38" s="1"/>
  <c r="O89" i="38" s="1"/>
  <c r="Q63" i="38" a="1"/>
  <c r="Q63" i="38" s="1"/>
  <c r="K122" i="38" a="1"/>
  <c r="K122" i="38" s="1"/>
  <c r="L95" i="38" s="1"/>
  <c r="Q101" i="38" a="1"/>
  <c r="Q101" i="38" s="1"/>
  <c r="R74" i="38" s="1"/>
  <c r="W45" i="38" a="1"/>
  <c r="W45" i="38" s="1"/>
  <c r="G55" i="31" a="1"/>
  <c r="G55" i="31" s="1"/>
  <c r="W51" i="38" a="1"/>
  <c r="W51" i="38" s="1"/>
  <c r="T67" i="38" a="1"/>
  <c r="T67" i="38" s="1"/>
  <c r="H57" i="38" a="1"/>
  <c r="H57" i="38" s="1"/>
  <c r="N118" i="38" a="1"/>
  <c r="N118" i="38" s="1"/>
  <c r="O91" i="38" s="1"/>
  <c r="W87" i="38" a="1"/>
  <c r="W87" i="38" s="1"/>
  <c r="X87" i="38" s="1"/>
  <c r="N68" i="38" a="1"/>
  <c r="N68" i="38" s="1"/>
  <c r="E34" i="31" a="1"/>
  <c r="E34" i="31" s="1"/>
  <c r="F34" i="31" s="1"/>
  <c r="E19" i="31" a="1"/>
  <c r="E19" i="31" s="1"/>
  <c r="K53" i="38" a="1"/>
  <c r="K53" i="38" s="1"/>
  <c r="H109" i="38" a="1"/>
  <c r="H109" i="38" s="1"/>
  <c r="I82" i="38" s="1"/>
  <c r="M41" i="31" a="1"/>
  <c r="M41" i="31" s="1"/>
  <c r="N41" i="31" s="1"/>
  <c r="K79" i="31"/>
  <c r="I78" i="31"/>
  <c r="I89" i="38"/>
  <c r="X72" i="38"/>
  <c r="Q109" i="38" a="1"/>
  <c r="Q109" i="38" s="1"/>
  <c r="R82" i="38" s="1"/>
  <c r="T59" i="38" a="1"/>
  <c r="T59" i="38" s="1"/>
  <c r="K78" i="38" a="1"/>
  <c r="K78" i="38" s="1"/>
  <c r="L78" i="38" s="1"/>
  <c r="E19" i="11" a="1"/>
  <c r="E19" i="11" s="1"/>
  <c r="E20" i="11" s="1"/>
  <c r="E21" i="11" s="1"/>
  <c r="E28" i="11" s="1"/>
  <c r="E32" i="11" s="1"/>
  <c r="T49" i="38" a="1"/>
  <c r="T49" i="38" s="1"/>
  <c r="Q99" i="38" a="1"/>
  <c r="Q99" i="38" s="1"/>
  <c r="K117" i="38" a="1"/>
  <c r="K117" i="38" s="1"/>
  <c r="O82" i="38"/>
  <c r="I83" i="38"/>
  <c r="E80" i="31"/>
  <c r="M76" i="31"/>
  <c r="Z10" i="34"/>
  <c r="Z13" i="34" s="1"/>
  <c r="AA13" i="34"/>
  <c r="H115" i="38" a="1"/>
  <c r="H115" i="38" s="1"/>
  <c r="G56" i="31" a="1"/>
  <c r="G56" i="31" s="1"/>
  <c r="G54" i="31" a="1"/>
  <c r="G54" i="31" s="1"/>
  <c r="K75" i="38" a="1"/>
  <c r="K75" i="38" s="1"/>
  <c r="L75" i="38" s="1"/>
  <c r="T122" i="38" a="1"/>
  <c r="T122" i="38" s="1"/>
  <c r="U95" i="38" s="1"/>
  <c r="E60" i="31" a="1"/>
  <c r="E60" i="31" s="1"/>
  <c r="H119" i="38" a="1"/>
  <c r="H119" i="38" s="1"/>
  <c r="I92" i="38" s="1"/>
  <c r="K82" i="31"/>
  <c r="AI13" i="34"/>
  <c r="AH10" i="34"/>
  <c r="AH13" i="34" s="1"/>
  <c r="K80" i="31"/>
  <c r="L81" i="38"/>
  <c r="AH16" i="34"/>
  <c r="AH14" i="34" s="1"/>
  <c r="AI14" i="34"/>
  <c r="O38" i="31" a="1"/>
  <c r="O38" i="31" s="1"/>
  <c r="P38" i="31" s="1"/>
  <c r="Q120" i="38" a="1"/>
  <c r="Q120" i="38" s="1"/>
  <c r="W76" i="38" a="1"/>
  <c r="W76" i="38" s="1"/>
  <c r="X76" i="38" s="1"/>
  <c r="O51" i="31" a="1"/>
  <c r="O51" i="31" s="1"/>
  <c r="W111" i="38" a="1"/>
  <c r="W111" i="38" s="1"/>
  <c r="X84" i="38" s="1"/>
  <c r="N90" i="38" a="1"/>
  <c r="N90" i="38" s="1"/>
  <c r="O90" i="38" s="1"/>
  <c r="Q48" i="38" a="1"/>
  <c r="Q48" i="38" s="1"/>
  <c r="I82" i="31"/>
  <c r="E73" i="31"/>
  <c r="O76" i="38"/>
  <c r="I79" i="38"/>
  <c r="I81" i="31"/>
  <c r="O80" i="31"/>
  <c r="L77" i="38"/>
  <c r="G19" i="31" a="1"/>
  <c r="G19" i="31" s="1"/>
  <c r="K107" i="38" a="1"/>
  <c r="K107" i="38" s="1"/>
  <c r="L80" i="38" s="1"/>
  <c r="H43" i="38" a="1"/>
  <c r="H43" i="38" s="1"/>
  <c r="H73" i="38" a="1"/>
  <c r="H73" i="38" s="1"/>
  <c r="T116" i="38" a="1"/>
  <c r="T116" i="38" s="1"/>
  <c r="U89" i="38" s="1"/>
  <c r="N80" i="38" a="1"/>
  <c r="N80" i="38" s="1"/>
  <c r="O80" i="38" s="1"/>
  <c r="H59" i="38" a="1"/>
  <c r="H59" i="38" s="1"/>
  <c r="I96" i="38"/>
  <c r="I76" i="31"/>
  <c r="K81" i="31"/>
  <c r="O74" i="38"/>
  <c r="O78" i="31"/>
  <c r="H20" i="53"/>
  <c r="L21" i="54"/>
  <c r="I93" i="38"/>
  <c r="E40" i="31" a="1"/>
  <c r="E40" i="31" s="1"/>
  <c r="F40" i="31" s="1"/>
  <c r="Q102" i="38" a="1"/>
  <c r="Q102" i="38" s="1"/>
  <c r="R75" i="38" s="1"/>
  <c r="K43" i="38" a="1"/>
  <c r="K43" i="38" s="1"/>
  <c r="K89" i="38" a="1"/>
  <c r="K89" i="38" s="1"/>
  <c r="L89" i="38" s="1"/>
  <c r="T87" i="38" a="1"/>
  <c r="T87" i="38" s="1"/>
  <c r="U87" i="38" s="1"/>
  <c r="W13" i="34"/>
  <c r="V10" i="34"/>
  <c r="V13" i="34" s="1"/>
  <c r="N105" i="38" a="1"/>
  <c r="N105" i="38" s="1"/>
  <c r="O78" i="38" s="1"/>
  <c r="W68" i="38" a="1"/>
  <c r="W68" i="38" s="1"/>
  <c r="O76" i="31"/>
  <c r="K75" i="31"/>
  <c r="M49" i="31"/>
  <c r="M72" i="31"/>
  <c r="X89" i="38"/>
  <c r="O84" i="38"/>
  <c r="U78" i="38"/>
  <c r="B23" i="40"/>
  <c r="B25" i="40" s="1"/>
  <c r="AE14" i="34"/>
  <c r="AD15" i="34"/>
  <c r="E49" i="31"/>
  <c r="E72" i="31"/>
  <c r="H94" i="38" a="1"/>
  <c r="H94" i="38" s="1"/>
  <c r="I94" i="38" s="1"/>
  <c r="H77" i="38" a="1"/>
  <c r="H77" i="38" s="1"/>
  <c r="I77" i="38" s="1"/>
  <c r="N108" i="38" a="1"/>
  <c r="N108" i="38" s="1"/>
  <c r="O81" i="38" s="1"/>
  <c r="I36" i="31" a="1"/>
  <c r="I36" i="31" s="1"/>
  <c r="J36" i="31" s="1"/>
  <c r="G34" i="31" a="1"/>
  <c r="G34" i="31" s="1"/>
  <c r="H34" i="31" s="1"/>
  <c r="N73" i="38" a="1"/>
  <c r="N73" i="38" s="1"/>
  <c r="W102" i="38" a="1"/>
  <c r="W102" i="38" s="1"/>
  <c r="X75" i="38" s="1"/>
  <c r="M73" i="31"/>
  <c r="O85" i="38"/>
  <c r="W100" i="38" a="1"/>
  <c r="W100" i="38" s="1"/>
  <c r="Q54" i="38" a="1"/>
  <c r="Q54" i="38" s="1"/>
  <c r="T79" i="38" a="1"/>
  <c r="T79" i="38" s="1"/>
  <c r="U79" i="38" s="1"/>
  <c r="T45" i="38" a="1"/>
  <c r="T45" i="38" s="1"/>
  <c r="H67" i="38" a="1"/>
  <c r="H67" i="38" s="1"/>
  <c r="H80" i="38" a="1"/>
  <c r="H80" i="38" s="1"/>
  <c r="H118" i="38" a="1"/>
  <c r="H118" i="38" s="1"/>
  <c r="I91" i="38" s="1"/>
  <c r="X90" i="38"/>
  <c r="P19" i="31"/>
  <c r="M79" i="31"/>
  <c r="U74" i="38"/>
  <c r="R73" i="38"/>
  <c r="G82" i="31"/>
  <c r="H105" i="38" a="1"/>
  <c r="H105" i="38" s="1"/>
  <c r="I78" i="38" s="1"/>
  <c r="T52" i="38" a="1"/>
  <c r="T52" i="38" s="1"/>
  <c r="I22" i="31" a="1"/>
  <c r="I22" i="31" s="1"/>
  <c r="J22" i="31" s="1"/>
  <c r="N62" i="38" a="1"/>
  <c r="N62" i="38" s="1"/>
  <c r="W95" i="38" a="1"/>
  <c r="W95" i="38" s="1"/>
  <c r="E39" i="31" a="1"/>
  <c r="E39" i="31" s="1"/>
  <c r="F39" i="31" s="1"/>
  <c r="W108" i="38" a="1"/>
  <c r="W108" i="38" s="1"/>
  <c r="X81" i="38" s="1"/>
  <c r="G75" i="31"/>
  <c r="AE13" i="34"/>
  <c r="AD10" i="34"/>
  <c r="AD13" i="34" s="1"/>
  <c r="M78" i="31"/>
  <c r="U92" i="38"/>
  <c r="X88" i="38"/>
  <c r="R92" i="38"/>
  <c r="G49" i="31"/>
  <c r="G72" i="31"/>
  <c r="G79" i="31"/>
  <c r="L93" i="38"/>
  <c r="M80" i="31"/>
  <c r="E79" i="31"/>
  <c r="K90" i="38" a="1"/>
  <c r="K90" i="38" s="1"/>
  <c r="H100" i="38" a="1"/>
  <c r="H100" i="38" s="1"/>
  <c r="K63" i="38" a="1"/>
  <c r="K63" i="38" s="1"/>
  <c r="T68" i="38" a="1"/>
  <c r="T68" i="38" s="1"/>
  <c r="E33" i="31" a="1"/>
  <c r="E33" i="31" s="1"/>
  <c r="F33" i="31" s="1"/>
  <c r="I28" i="31" a="1"/>
  <c r="I28" i="31" s="1"/>
  <c r="J28" i="31" s="1"/>
  <c r="E54" i="31" a="1"/>
  <c r="E54" i="31" s="1"/>
  <c r="L72" i="38"/>
  <c r="O92" i="38"/>
  <c r="G73" i="31"/>
  <c r="J19" i="31"/>
  <c r="I74" i="38"/>
  <c r="R88" i="38"/>
  <c r="L19" i="31"/>
  <c r="L86" i="38"/>
  <c r="L74" i="38"/>
  <c r="Q64" i="38" a="1"/>
  <c r="Q64" i="38" s="1"/>
  <c r="H44" i="38" a="1"/>
  <c r="H44" i="38" s="1"/>
  <c r="T72" i="38" a="1"/>
  <c r="T72" i="38" s="1"/>
  <c r="W83" i="38" a="1"/>
  <c r="W83" i="38" s="1"/>
  <c r="X83" i="38" s="1"/>
  <c r="H63" i="38" a="1"/>
  <c r="H63" i="38" s="1"/>
  <c r="N79" i="38" a="1"/>
  <c r="N79" i="38" s="1"/>
  <c r="O79" i="38" s="1"/>
  <c r="K20" i="31" a="1"/>
  <c r="K20" i="31" s="1"/>
  <c r="L20" i="31" s="1"/>
  <c r="V15" i="34"/>
  <c r="W14" i="34"/>
  <c r="AA14" i="34"/>
  <c r="Z15" i="34"/>
  <c r="M81" i="31"/>
  <c r="I49" i="31"/>
  <c r="I72" i="31"/>
  <c r="O83" i="38"/>
  <c r="L82" i="38"/>
  <c r="I72" i="38"/>
  <c r="L83" i="38"/>
  <c r="U96" i="38"/>
  <c r="G20" i="31" a="1"/>
  <c r="G20" i="31" s="1"/>
  <c r="H20" i="31" s="1"/>
  <c r="I42" i="31" a="1"/>
  <c r="I42" i="31" s="1"/>
  <c r="J42" i="31" s="1"/>
  <c r="Q106" i="38" a="1"/>
  <c r="Q106" i="38" s="1"/>
  <c r="T111" i="38" a="1"/>
  <c r="T111" i="38" s="1"/>
  <c r="U84" i="38" s="1"/>
  <c r="G59" i="31" a="1"/>
  <c r="G59" i="31" s="1"/>
  <c r="I27" i="31" a="1"/>
  <c r="I27" i="31" s="1"/>
  <c r="J27" i="31" s="1"/>
  <c r="H64" i="38" a="1"/>
  <c r="H64" i="38" s="1"/>
  <c r="N99" i="38" a="1"/>
  <c r="N99" i="38" s="1"/>
  <c r="L76" i="38" l="1"/>
  <c r="I88" i="38"/>
  <c r="I80" i="38"/>
  <c r="O73" i="38"/>
  <c r="U88" i="38"/>
  <c r="K71" i="38"/>
  <c r="X95" i="38"/>
  <c r="L84" i="38"/>
  <c r="W42" i="38"/>
  <c r="K98" i="38"/>
  <c r="H71" i="38"/>
  <c r="T42" i="38"/>
  <c r="O15" i="31" s="1"/>
  <c r="I19" i="53" s="1"/>
  <c r="Q42" i="38"/>
  <c r="M15" i="31" s="1"/>
  <c r="N98" i="38"/>
  <c r="N42" i="38"/>
  <c r="I15" i="31" s="1"/>
  <c r="F19" i="53" s="1"/>
  <c r="W98" i="38"/>
  <c r="K62" i="31"/>
  <c r="K63" i="31"/>
  <c r="K8" i="31" s="1"/>
  <c r="I16" i="54" s="1"/>
  <c r="I15" i="54" s="1"/>
  <c r="K6" i="31"/>
  <c r="I14" i="54" s="1"/>
  <c r="I13" i="54" s="1"/>
  <c r="I93" i="31"/>
  <c r="I71" i="31"/>
  <c r="Q71" i="38"/>
  <c r="R72" i="38"/>
  <c r="M17" i="31"/>
  <c r="M103" i="31"/>
  <c r="G71" i="31"/>
  <c r="G93" i="31"/>
  <c r="AA18" i="34"/>
  <c r="Z18" i="34" s="1"/>
  <c r="K94" i="31"/>
  <c r="N17" i="31"/>
  <c r="O98" i="31"/>
  <c r="G81" i="31"/>
  <c r="I6" i="31"/>
  <c r="F13" i="53" s="1"/>
  <c r="F12" i="53" s="1"/>
  <c r="I63" i="31"/>
  <c r="I62" i="31"/>
  <c r="E76" i="31"/>
  <c r="K42" i="38"/>
  <c r="G15" i="31" s="1"/>
  <c r="E19" i="53" s="1"/>
  <c r="E94" i="31"/>
  <c r="AI18" i="34"/>
  <c r="AH18" i="34" s="1"/>
  <c r="AH19" i="34" s="1"/>
  <c r="M93" i="31"/>
  <c r="M71" i="31"/>
  <c r="W71" i="38"/>
  <c r="I77" i="31"/>
  <c r="I74" i="31" s="1"/>
  <c r="I83" i="31" s="1"/>
  <c r="E52" i="31"/>
  <c r="X73" i="38"/>
  <c r="M102" i="31"/>
  <c r="L17" i="31"/>
  <c r="I73" i="38"/>
  <c r="I103" i="31"/>
  <c r="K103" i="31"/>
  <c r="M97" i="31"/>
  <c r="E78" i="31"/>
  <c r="E96" i="31"/>
  <c r="R93" i="38"/>
  <c r="H42" i="38"/>
  <c r="E15" i="31" s="1"/>
  <c r="E101" i="31"/>
  <c r="O103" i="31"/>
  <c r="U77" i="38"/>
  <c r="I100" i="31"/>
  <c r="K97" i="31"/>
  <c r="T98" i="38"/>
  <c r="G77" i="31"/>
  <c r="K20" i="53"/>
  <c r="H21" i="54"/>
  <c r="O96" i="31"/>
  <c r="K71" i="31"/>
  <c r="K93" i="31"/>
  <c r="Z14" i="34"/>
  <c r="H19" i="31"/>
  <c r="H17" i="31" s="1"/>
  <c r="G17" i="31"/>
  <c r="I99" i="31"/>
  <c r="I94" i="31"/>
  <c r="O81" i="31"/>
  <c r="L90" i="38"/>
  <c r="G103" i="31"/>
  <c r="K96" i="31"/>
  <c r="O73" i="31"/>
  <c r="K99" i="31"/>
  <c r="O99" i="31"/>
  <c r="O61" i="31"/>
  <c r="O100" i="31"/>
  <c r="R79" i="38"/>
  <c r="E102" i="31"/>
  <c r="K17" i="31"/>
  <c r="V14" i="34"/>
  <c r="J17" i="31"/>
  <c r="E100" i="31"/>
  <c r="M99" i="31"/>
  <c r="E71" i="31"/>
  <c r="E93" i="31"/>
  <c r="O97" i="31"/>
  <c r="E82" i="31"/>
  <c r="K100" i="31"/>
  <c r="I101" i="31"/>
  <c r="O71" i="31"/>
  <c r="O93" i="31"/>
  <c r="N71" i="38"/>
  <c r="G94" i="31"/>
  <c r="AE18" i="34"/>
  <c r="AD18" i="34" s="1"/>
  <c r="M100" i="31"/>
  <c r="AD14" i="34"/>
  <c r="K102" i="31"/>
  <c r="O101" i="31"/>
  <c r="Q98" i="38"/>
  <c r="E77" i="31"/>
  <c r="O72" i="38"/>
  <c r="I17" i="31"/>
  <c r="M101" i="31"/>
  <c r="H98" i="38"/>
  <c r="G52" i="31"/>
  <c r="O17" i="31"/>
  <c r="G76" i="31"/>
  <c r="M77" i="31"/>
  <c r="M74" i="31" s="1"/>
  <c r="I97" i="31"/>
  <c r="G96" i="31"/>
  <c r="P17" i="31"/>
  <c r="M94" i="31"/>
  <c r="I102" i="31"/>
  <c r="G78" i="31"/>
  <c r="E17" i="31"/>
  <c r="F19" i="31"/>
  <c r="F17" i="31" s="1"/>
  <c r="K77" i="31"/>
  <c r="M96" i="31"/>
  <c r="U72" i="38"/>
  <c r="T71" i="38"/>
  <c r="G100" i="31"/>
  <c r="W18" i="34"/>
  <c r="V18" i="34" s="1"/>
  <c r="K101" i="31"/>
  <c r="I96" i="31"/>
  <c r="G101" i="31"/>
  <c r="M52" i="31"/>
  <c r="L71" i="38" l="1"/>
  <c r="U71" i="38"/>
  <c r="V19" i="34"/>
  <c r="X13" i="34" s="1"/>
  <c r="Z19" i="34"/>
  <c r="Z20" i="34" s="1"/>
  <c r="X71" i="38"/>
  <c r="G74" i="31"/>
  <c r="G83" i="31" s="1"/>
  <c r="O71" i="38"/>
  <c r="K20" i="54"/>
  <c r="K15" i="31"/>
  <c r="I20" i="54" s="1"/>
  <c r="I71" i="38"/>
  <c r="K64" i="31"/>
  <c r="L53" i="31" s="1"/>
  <c r="R71" i="38"/>
  <c r="AJ19" i="34"/>
  <c r="AJ15" i="34"/>
  <c r="AH20" i="34"/>
  <c r="AJ17" i="34"/>
  <c r="AJ14" i="34"/>
  <c r="AJ13" i="34"/>
  <c r="I85" i="31"/>
  <c r="I7" i="31"/>
  <c r="I84" i="31"/>
  <c r="E103" i="31"/>
  <c r="M61" i="31"/>
  <c r="K98" i="31"/>
  <c r="AE19" i="34"/>
  <c r="AE20" i="34" s="1"/>
  <c r="O102" i="31"/>
  <c r="O95" i="31" s="1"/>
  <c r="O74" i="31"/>
  <c r="H20" i="54"/>
  <c r="K19" i="53"/>
  <c r="AI19" i="34"/>
  <c r="AI20" i="34" s="1"/>
  <c r="O6" i="31"/>
  <c r="O63" i="31"/>
  <c r="O62" i="31"/>
  <c r="Z4" i="31"/>
  <c r="I92" i="31"/>
  <c r="AA19" i="34"/>
  <c r="AA20" i="34" s="1"/>
  <c r="E61" i="31"/>
  <c r="E97" i="31"/>
  <c r="E92" i="31"/>
  <c r="M98" i="31"/>
  <c r="E98" i="31"/>
  <c r="G98" i="31"/>
  <c r="I98" i="31"/>
  <c r="G97" i="31"/>
  <c r="O92" i="31"/>
  <c r="E74" i="31"/>
  <c r="G92" i="31"/>
  <c r="K92" i="31"/>
  <c r="E99" i="31"/>
  <c r="I64" i="31"/>
  <c r="J63" i="31" s="1"/>
  <c r="L20" i="54"/>
  <c r="H19" i="53"/>
  <c r="G99" i="31"/>
  <c r="W19" i="34"/>
  <c r="W20" i="34" s="1"/>
  <c r="O94" i="31"/>
  <c r="M83" i="31"/>
  <c r="I8" i="31"/>
  <c r="F15" i="53" s="1"/>
  <c r="F14" i="53" s="1"/>
  <c r="G61" i="31"/>
  <c r="M92" i="31"/>
  <c r="G102" i="31"/>
  <c r="AD19" i="34"/>
  <c r="K74" i="31"/>
  <c r="AB15" i="34" l="1"/>
  <c r="AB14" i="34"/>
  <c r="AB17" i="34"/>
  <c r="AB19" i="34"/>
  <c r="AB13" i="34"/>
  <c r="X14" i="34"/>
  <c r="X17" i="34"/>
  <c r="X19" i="34"/>
  <c r="V20" i="34"/>
  <c r="X15" i="34"/>
  <c r="I86" i="31"/>
  <c r="J74" i="31" s="1"/>
  <c r="L57" i="31"/>
  <c r="L56" i="31"/>
  <c r="L55" i="31"/>
  <c r="L62" i="31"/>
  <c r="L49" i="31"/>
  <c r="L61" i="31"/>
  <c r="L58" i="31"/>
  <c r="L51" i="31"/>
  <c r="L63" i="31"/>
  <c r="L60" i="31"/>
  <c r="L54" i="31"/>
  <c r="L50" i="31"/>
  <c r="L59" i="31"/>
  <c r="L64" i="31"/>
  <c r="K4" i="31"/>
  <c r="J62" i="31"/>
  <c r="L52" i="31"/>
  <c r="E95" i="31"/>
  <c r="E104" i="31" s="1"/>
  <c r="E62" i="31"/>
  <c r="E6" i="31"/>
  <c r="E63" i="31"/>
  <c r="U4" i="31"/>
  <c r="I105" i="31"/>
  <c r="O64" i="31"/>
  <c r="E83" i="31"/>
  <c r="I106" i="31"/>
  <c r="I9" i="31"/>
  <c r="O8" i="31"/>
  <c r="G62" i="31"/>
  <c r="G6" i="31"/>
  <c r="E13" i="53" s="1"/>
  <c r="E12" i="53" s="1"/>
  <c r="V4" i="31"/>
  <c r="G63" i="31"/>
  <c r="I95" i="31"/>
  <c r="K14" i="54"/>
  <c r="K13" i="54" s="1"/>
  <c r="I13" i="53"/>
  <c r="I12" i="53" s="1"/>
  <c r="G84" i="31"/>
  <c r="G7" i="31"/>
  <c r="G85" i="31"/>
  <c r="O83" i="31"/>
  <c r="M6" i="31"/>
  <c r="M62" i="31"/>
  <c r="M63" i="31"/>
  <c r="M84" i="31"/>
  <c r="M85" i="31"/>
  <c r="M7" i="31"/>
  <c r="G95" i="31"/>
  <c r="K95" i="31"/>
  <c r="M95" i="31"/>
  <c r="J64" i="31"/>
  <c r="I4" i="31"/>
  <c r="F11" i="53" s="1"/>
  <c r="F10" i="53" s="1"/>
  <c r="J53" i="31"/>
  <c r="J54" i="31"/>
  <c r="J59" i="31"/>
  <c r="J58" i="31"/>
  <c r="J51" i="31"/>
  <c r="J56" i="31"/>
  <c r="J57" i="31"/>
  <c r="J60" i="31"/>
  <c r="J50" i="31"/>
  <c r="J61" i="31"/>
  <c r="J52" i="31"/>
  <c r="J55" i="31"/>
  <c r="J49" i="31"/>
  <c r="O104" i="31"/>
  <c r="K83" i="31"/>
  <c r="AF19" i="34"/>
  <c r="AD20" i="34"/>
  <c r="AF17" i="34"/>
  <c r="AF15" i="34"/>
  <c r="AF13" i="34"/>
  <c r="AF14" i="34"/>
  <c r="M64" i="31" l="1"/>
  <c r="N51" i="31" s="1"/>
  <c r="J83" i="31"/>
  <c r="J79" i="31"/>
  <c r="I5" i="31"/>
  <c r="J71" i="31"/>
  <c r="J82" i="31"/>
  <c r="J86" i="31"/>
  <c r="J84" i="31"/>
  <c r="J85" i="31"/>
  <c r="I10" i="31" s="1"/>
  <c r="F16" i="53" s="1"/>
  <c r="J72" i="31"/>
  <c r="J73" i="31"/>
  <c r="J77" i="31"/>
  <c r="J75" i="31"/>
  <c r="J80" i="31"/>
  <c r="J76" i="31"/>
  <c r="J81" i="31"/>
  <c r="J78" i="31"/>
  <c r="L65" i="31"/>
  <c r="E64" i="31"/>
  <c r="E4" i="31" s="1"/>
  <c r="M86" i="31"/>
  <c r="N77" i="31" s="1"/>
  <c r="P64" i="31"/>
  <c r="O4" i="31"/>
  <c r="P58" i="31"/>
  <c r="P54" i="31"/>
  <c r="P57" i="31"/>
  <c r="P50" i="31"/>
  <c r="P53" i="31"/>
  <c r="P56" i="31"/>
  <c r="P60" i="31"/>
  <c r="P55" i="31"/>
  <c r="P51" i="31"/>
  <c r="P49" i="31"/>
  <c r="P52" i="31"/>
  <c r="P59" i="31"/>
  <c r="P61" i="31"/>
  <c r="I104" i="31"/>
  <c r="L14" i="54"/>
  <c r="L13" i="54" s="1"/>
  <c r="H13" i="53"/>
  <c r="H12" i="53" s="1"/>
  <c r="G106" i="31"/>
  <c r="G9" i="31"/>
  <c r="P63" i="31"/>
  <c r="E84" i="31"/>
  <c r="E85" i="31"/>
  <c r="E7" i="31"/>
  <c r="P62" i="31"/>
  <c r="K104" i="31"/>
  <c r="G105" i="31"/>
  <c r="M8" i="31"/>
  <c r="G8" i="31"/>
  <c r="E15" i="53" s="1"/>
  <c r="E14" i="53" s="1"/>
  <c r="M104" i="31"/>
  <c r="E8" i="31"/>
  <c r="G104" i="31"/>
  <c r="K16" i="54"/>
  <c r="K15" i="54" s="1"/>
  <c r="I15" i="53"/>
  <c r="I14" i="53" s="1"/>
  <c r="K13" i="53"/>
  <c r="K12" i="53" s="1"/>
  <c r="H14" i="54"/>
  <c r="H13" i="54" s="1"/>
  <c r="K85" i="31"/>
  <c r="K9" i="31" s="1"/>
  <c r="K84" i="31"/>
  <c r="K7" i="31"/>
  <c r="G86" i="31"/>
  <c r="H85" i="31" s="1"/>
  <c r="G10" i="31" s="1"/>
  <c r="E16" i="53" s="1"/>
  <c r="M105" i="31"/>
  <c r="J65" i="31"/>
  <c r="O85" i="31"/>
  <c r="O7" i="31"/>
  <c r="O84" i="31"/>
  <c r="G64" i="31"/>
  <c r="H63" i="31" s="1"/>
  <c r="M106" i="31"/>
  <c r="M9" i="31"/>
  <c r="N78" i="31" l="1"/>
  <c r="N74" i="31"/>
  <c r="N80" i="31"/>
  <c r="N81" i="31"/>
  <c r="N75" i="31"/>
  <c r="N73" i="31"/>
  <c r="N84" i="31"/>
  <c r="N79" i="31"/>
  <c r="N76" i="31"/>
  <c r="M5" i="31"/>
  <c r="N53" i="31"/>
  <c r="N86" i="31"/>
  <c r="N72" i="31"/>
  <c r="N64" i="31"/>
  <c r="F55" i="31"/>
  <c r="N60" i="31"/>
  <c r="F49" i="31"/>
  <c r="N62" i="31"/>
  <c r="M4" i="31"/>
  <c r="N55" i="31"/>
  <c r="F54" i="31"/>
  <c r="N54" i="31"/>
  <c r="F57" i="31"/>
  <c r="N49" i="31"/>
  <c r="N50" i="31"/>
  <c r="N52" i="31"/>
  <c r="F62" i="31"/>
  <c r="N56" i="31"/>
  <c r="N59" i="31"/>
  <c r="F50" i="31"/>
  <c r="N61" i="31"/>
  <c r="F61" i="31"/>
  <c r="N58" i="31"/>
  <c r="N63" i="31"/>
  <c r="F52" i="31"/>
  <c r="N57" i="31"/>
  <c r="F60" i="31"/>
  <c r="F56" i="31"/>
  <c r="K86" i="31"/>
  <c r="L83" i="31" s="1"/>
  <c r="F51" i="31"/>
  <c r="F53" i="31"/>
  <c r="N82" i="31"/>
  <c r="J87" i="31"/>
  <c r="F58" i="31"/>
  <c r="N85" i="31"/>
  <c r="M10" i="31" s="1"/>
  <c r="H16" i="53" s="1"/>
  <c r="F63" i="31"/>
  <c r="F64" i="31"/>
  <c r="N71" i="31"/>
  <c r="N83" i="31"/>
  <c r="F59" i="31"/>
  <c r="O86" i="31"/>
  <c r="P83" i="31" s="1"/>
  <c r="O9" i="31"/>
  <c r="O106" i="31"/>
  <c r="I107" i="31"/>
  <c r="J104" i="31" s="1"/>
  <c r="E9" i="31"/>
  <c r="E106" i="31"/>
  <c r="E105" i="31"/>
  <c r="E86" i="31"/>
  <c r="K105" i="31"/>
  <c r="H15" i="53"/>
  <c r="H14" i="53" s="1"/>
  <c r="L16" i="54"/>
  <c r="L15" i="54" s="1"/>
  <c r="K15" i="53"/>
  <c r="K14" i="53" s="1"/>
  <c r="H16" i="54"/>
  <c r="H15" i="54" s="1"/>
  <c r="P65" i="31"/>
  <c r="G5" i="31"/>
  <c r="H86" i="31"/>
  <c r="H79" i="31"/>
  <c r="H72" i="31"/>
  <c r="H73" i="31"/>
  <c r="H75" i="31"/>
  <c r="H80" i="31"/>
  <c r="H82" i="31"/>
  <c r="H76" i="31"/>
  <c r="H81" i="31"/>
  <c r="H77" i="31"/>
  <c r="H71" i="31"/>
  <c r="H74" i="31"/>
  <c r="H78" i="31"/>
  <c r="H83" i="31"/>
  <c r="G4" i="31"/>
  <c r="E11" i="53" s="1"/>
  <c r="E10" i="53" s="1"/>
  <c r="H64" i="31"/>
  <c r="H53" i="31"/>
  <c r="H58" i="31"/>
  <c r="H57" i="31"/>
  <c r="H51" i="31"/>
  <c r="H60" i="31"/>
  <c r="H50" i="31"/>
  <c r="H59" i="31"/>
  <c r="H54" i="31"/>
  <c r="H55" i="31"/>
  <c r="H56" i="31"/>
  <c r="H49" i="31"/>
  <c r="H52" i="31"/>
  <c r="H61" i="31"/>
  <c r="K106" i="31"/>
  <c r="H62" i="31"/>
  <c r="H84" i="31"/>
  <c r="G107" i="31"/>
  <c r="H104" i="31" s="1"/>
  <c r="M107" i="31"/>
  <c r="N105" i="31" s="1"/>
  <c r="O105" i="31"/>
  <c r="F65" i="31" l="1"/>
  <c r="N87" i="31"/>
  <c r="N65" i="31"/>
  <c r="L71" i="31"/>
  <c r="L79" i="31"/>
  <c r="L72" i="31"/>
  <c r="L82" i="31"/>
  <c r="L84" i="31"/>
  <c r="K5" i="31"/>
  <c r="P85" i="31"/>
  <c r="O10" i="31" s="1"/>
  <c r="I16" i="53" s="1"/>
  <c r="L86" i="31"/>
  <c r="L74" i="31"/>
  <c r="L77" i="31"/>
  <c r="L73" i="31"/>
  <c r="L78" i="31"/>
  <c r="L80" i="31"/>
  <c r="L85" i="31"/>
  <c r="K10" i="31" s="1"/>
  <c r="I17" i="54" s="1"/>
  <c r="L76" i="31"/>
  <c r="L75" i="31"/>
  <c r="L81" i="31"/>
  <c r="L17" i="54"/>
  <c r="P80" i="31"/>
  <c r="P86" i="31"/>
  <c r="O5" i="31"/>
  <c r="P84" i="31"/>
  <c r="P74" i="31"/>
  <c r="P81" i="31"/>
  <c r="P73" i="31"/>
  <c r="P78" i="31"/>
  <c r="P72" i="31"/>
  <c r="P77" i="31"/>
  <c r="P82" i="31"/>
  <c r="P71" i="31"/>
  <c r="P79" i="31"/>
  <c r="P76" i="31"/>
  <c r="P75" i="31"/>
  <c r="K107" i="31"/>
  <c r="K109" i="31" s="1"/>
  <c r="E5" i="31"/>
  <c r="F86" i="31"/>
  <c r="F79" i="31"/>
  <c r="F75" i="31"/>
  <c r="F72" i="31"/>
  <c r="F81" i="31"/>
  <c r="F73" i="31"/>
  <c r="F80" i="31"/>
  <c r="F78" i="31"/>
  <c r="F71" i="31"/>
  <c r="F82" i="31"/>
  <c r="F76" i="31"/>
  <c r="F77" i="31"/>
  <c r="F74" i="31"/>
  <c r="F83" i="31"/>
  <c r="N106" i="31"/>
  <c r="E107" i="31"/>
  <c r="F105" i="31" s="1"/>
  <c r="G109" i="31"/>
  <c r="H107" i="31"/>
  <c r="H103" i="31"/>
  <c r="H96" i="31"/>
  <c r="H100" i="31"/>
  <c r="H94" i="31"/>
  <c r="H101" i="31"/>
  <c r="H93" i="31"/>
  <c r="H97" i="31"/>
  <c r="H99" i="31"/>
  <c r="H98" i="31"/>
  <c r="H92" i="31"/>
  <c r="H102" i="31"/>
  <c r="H95" i="31"/>
  <c r="F84" i="31"/>
  <c r="M109" i="31"/>
  <c r="N107" i="31"/>
  <c r="N103" i="31"/>
  <c r="N102" i="31"/>
  <c r="N94" i="31"/>
  <c r="N99" i="31"/>
  <c r="N93" i="31"/>
  <c r="N101" i="31"/>
  <c r="N96" i="31"/>
  <c r="N97" i="31"/>
  <c r="N100" i="31"/>
  <c r="N98" i="31"/>
  <c r="N92" i="31"/>
  <c r="N95" i="31"/>
  <c r="F85" i="31"/>
  <c r="E10" i="31" s="1"/>
  <c r="O107" i="31"/>
  <c r="P106" i="31" s="1"/>
  <c r="J107" i="31"/>
  <c r="I109" i="31"/>
  <c r="J100" i="31"/>
  <c r="J93" i="31"/>
  <c r="J102" i="31"/>
  <c r="J99" i="31"/>
  <c r="J94" i="31"/>
  <c r="J101" i="31"/>
  <c r="J103" i="31"/>
  <c r="J97" i="31"/>
  <c r="J96" i="31"/>
  <c r="J92" i="31"/>
  <c r="J98" i="31"/>
  <c r="J105" i="31"/>
  <c r="J106" i="31"/>
  <c r="J95" i="31"/>
  <c r="N104" i="31"/>
  <c r="H106" i="31"/>
  <c r="H105" i="31"/>
  <c r="H65" i="31"/>
  <c r="H87" i="31"/>
  <c r="L87" i="31" l="1"/>
  <c r="K17" i="54"/>
  <c r="P87" i="31"/>
  <c r="H108" i="31"/>
  <c r="E21" i="53" s="1"/>
  <c r="F87" i="31"/>
  <c r="F106" i="31"/>
  <c r="L104" i="31"/>
  <c r="J108" i="31"/>
  <c r="F21" i="53" s="1"/>
  <c r="L98" i="31"/>
  <c r="L95" i="31"/>
  <c r="L92" i="31"/>
  <c r="L100" i="31"/>
  <c r="L99" i="31"/>
  <c r="L105" i="31"/>
  <c r="L101" i="31"/>
  <c r="L94" i="31"/>
  <c r="L102" i="31"/>
  <c r="L97" i="31"/>
  <c r="L93" i="31"/>
  <c r="L96" i="31"/>
  <c r="L103" i="31"/>
  <c r="L106" i="31"/>
  <c r="L107" i="31"/>
  <c r="K16" i="53"/>
  <c r="H17" i="54"/>
  <c r="P107" i="31"/>
  <c r="O109" i="31"/>
  <c r="P103" i="31"/>
  <c r="P98" i="31"/>
  <c r="P93" i="31"/>
  <c r="P100" i="31"/>
  <c r="P99" i="31"/>
  <c r="P97" i="31"/>
  <c r="P96" i="31"/>
  <c r="P101" i="31"/>
  <c r="P102" i="31"/>
  <c r="P95" i="31"/>
  <c r="P92" i="31"/>
  <c r="P94" i="31"/>
  <c r="P104" i="31"/>
  <c r="N108" i="31"/>
  <c r="P105" i="31"/>
  <c r="F107" i="31"/>
  <c r="E109" i="31"/>
  <c r="F94" i="31"/>
  <c r="F101" i="31"/>
  <c r="F102" i="31"/>
  <c r="F100" i="31"/>
  <c r="F93" i="31"/>
  <c r="F96" i="31"/>
  <c r="F95" i="31"/>
  <c r="F103" i="31"/>
  <c r="F97" i="31"/>
  <c r="F98" i="31"/>
  <c r="F92" i="31"/>
  <c r="F99" i="31"/>
  <c r="F104" i="31"/>
  <c r="F108" i="31" l="1"/>
  <c r="H22" i="54" s="1"/>
  <c r="P108" i="31"/>
  <c r="K22" i="54" s="1"/>
  <c r="L108" i="31"/>
  <c r="I22" i="54" s="1"/>
  <c r="L22" i="54"/>
  <c r="H21" i="53"/>
  <c r="I21" i="53" l="1"/>
  <c r="K21"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27" authorId="0" shapeId="0" xr:uid="{24C70759-D08F-49B8-A342-0A7588DFD28E}">
      <text>
        <r>
          <rPr>
            <b/>
            <sz val="9"/>
            <color indexed="81"/>
            <rFont val="Tahoma"/>
            <family val="2"/>
          </rPr>
          <t>Danh, Hoàng Duy:</t>
        </r>
        <r>
          <rPr>
            <sz val="9"/>
            <color indexed="81"/>
            <rFont val="Tahoma"/>
            <family val="2"/>
          </rPr>
          <t xml:space="preserve">
(8s +/- 1s)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H7" authorId="0" shapeId="0" xr:uid="{82F9DF99-6A4B-438B-8CE8-F0AA467F5CF0}">
      <text>
        <r>
          <rPr>
            <b/>
            <sz val="9"/>
            <color indexed="81"/>
            <rFont val="Tahoma"/>
            <family val="2"/>
          </rPr>
          <t>Danh, Hoàng Duy:</t>
        </r>
        <r>
          <rPr>
            <sz val="9"/>
            <color indexed="81"/>
            <rFont val="Tahoma"/>
            <family val="2"/>
          </rPr>
          <t xml:space="preserve">
tăng đơn giá 4% do tỷ giá tăng từ 25.000 -&gt; 26.000.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K54" authorId="0" shapeId="0" xr:uid="{5487C33B-30F2-4D28-A42A-8F5545AE9511}">
      <text>
        <r>
          <rPr>
            <b/>
            <sz val="9"/>
            <color indexed="81"/>
            <rFont val="Tahoma"/>
            <family val="2"/>
          </rPr>
          <t>Danh, Hoàng Duy:</t>
        </r>
        <r>
          <rPr>
            <sz val="9"/>
            <color indexed="81"/>
            <rFont val="Tahoma"/>
            <family val="2"/>
          </rPr>
          <t xml:space="preserve">
ban đầu là dự kiến sử dụng trong 12 tháng</t>
        </r>
      </text>
    </comment>
    <comment ref="E60" authorId="0" shapeId="0" xr:uid="{3DA157F1-F14A-4429-B48B-3ADB8637C12F}">
      <text>
        <r>
          <rPr>
            <b/>
            <sz val="9"/>
            <color indexed="81"/>
            <rFont val="Tahoma"/>
            <family val="2"/>
          </rPr>
          <t>Danh, Hoàng Duy:</t>
        </r>
        <r>
          <rPr>
            <sz val="9"/>
            <color indexed="81"/>
            <rFont val="Tahoma"/>
            <family val="2"/>
          </rPr>
          <t xml:space="preserve">
Mã SKU: 700000169</t>
        </r>
      </text>
    </comment>
    <comment ref="E64" authorId="0" shapeId="0" xr:uid="{469ED99C-F903-4867-ABF6-DEA1426B8069}">
      <text>
        <r>
          <rPr>
            <b/>
            <sz val="9"/>
            <color indexed="81"/>
            <rFont val="Tahoma"/>
            <family val="2"/>
          </rPr>
          <t>Danh, Hoàng Duy:</t>
        </r>
        <r>
          <rPr>
            <sz val="9"/>
            <color indexed="81"/>
            <rFont val="Tahoma"/>
            <family val="2"/>
          </rPr>
          <t xml:space="preserve">
Mã SKU: 700000169</t>
        </r>
      </text>
    </comment>
    <comment ref="M64" authorId="0" shapeId="0" xr:uid="{F9577030-AB92-4D7D-8AE5-7FD44E298543}">
      <text>
        <r>
          <rPr>
            <b/>
            <sz val="9"/>
            <color indexed="81"/>
            <rFont val="Tahoma"/>
            <family val="2"/>
          </rPr>
          <t>Danh, Hoàng Duy:</t>
        </r>
        <r>
          <rPr>
            <sz val="9"/>
            <color indexed="81"/>
            <rFont val="Tahoma"/>
            <family val="2"/>
          </rPr>
          <t xml:space="preserve">
đơn giá tồn kho tháng 1/2025</t>
        </r>
      </text>
    </comment>
    <comment ref="M69" authorId="0" shapeId="0" xr:uid="{D1D1861A-F69D-44A5-BC7E-8A64DF46B761}">
      <text>
        <r>
          <rPr>
            <b/>
            <sz val="9"/>
            <color indexed="81"/>
            <rFont val="Tahoma"/>
          </rPr>
          <t>Danh, Hoàng Duy:</t>
        </r>
        <r>
          <rPr>
            <sz val="9"/>
            <color indexed="81"/>
            <rFont val="Tahoma"/>
          </rPr>
          <t xml:space="preserve">
đã nằm trong giá vốn của vảy sạch</t>
        </r>
      </text>
    </comment>
    <comment ref="N69" authorId="0" shapeId="0" xr:uid="{74F3DA88-4392-44C8-AC1A-97FC97A084F9}">
      <text>
        <r>
          <rPr>
            <b/>
            <sz val="9"/>
            <color indexed="81"/>
            <rFont val="Tahoma"/>
            <family val="2"/>
          </rPr>
          <t>Danh, Hoàng Duy:</t>
        </r>
        <r>
          <rPr>
            <sz val="9"/>
            <color indexed="81"/>
            <rFont val="Tahoma"/>
            <family val="2"/>
          </rPr>
          <t xml:space="preserve">
Chi phí bình quân 7 tháng đầu năm 2024</t>
        </r>
      </text>
    </comment>
    <comment ref="O69" authorId="0" shapeId="0" xr:uid="{5111D47B-2555-4CC3-9E54-30535313F05F}">
      <text>
        <r>
          <rPr>
            <b/>
            <sz val="9"/>
            <color indexed="81"/>
            <rFont val="Tahoma"/>
            <family val="2"/>
          </rPr>
          <t>Danh, Hoàng Duy:</t>
        </r>
        <r>
          <rPr>
            <sz val="9"/>
            <color indexed="81"/>
            <rFont val="Tahoma"/>
            <family val="2"/>
          </rPr>
          <t xml:space="preserve">
Chi phí bình quân 7 tháng đầu năm 2024</t>
        </r>
      </text>
    </comment>
    <comment ref="P69" authorId="0" shapeId="0" xr:uid="{40125D34-0F51-4CA1-B3DD-7B516B8E9FEF}">
      <text>
        <r>
          <rPr>
            <b/>
            <sz val="9"/>
            <color indexed="81"/>
            <rFont val="Tahoma"/>
            <family val="2"/>
          </rPr>
          <t>Danh, Hoàng Duy:</t>
        </r>
        <r>
          <rPr>
            <sz val="9"/>
            <color indexed="81"/>
            <rFont val="Tahoma"/>
            <family val="2"/>
          </rPr>
          <t xml:space="preserve">
Chi phí bình quân 7 tháng đầu năm 2024</t>
        </r>
      </text>
    </comment>
    <comment ref="Q69" authorId="0" shapeId="0" xr:uid="{55EBAAEE-DC93-48C1-AB21-5D8D51C00239}">
      <text>
        <r>
          <rPr>
            <b/>
            <sz val="9"/>
            <color indexed="81"/>
            <rFont val="Tahoma"/>
            <family val="2"/>
          </rPr>
          <t>Danh, Hoàng Duy:</t>
        </r>
        <r>
          <rPr>
            <sz val="9"/>
            <color indexed="81"/>
            <rFont val="Tahoma"/>
            <family val="2"/>
          </rPr>
          <t xml:space="preserve">
Chi phí bình quân 7 tháng đầu năm 2024</t>
        </r>
      </text>
    </comment>
    <comment ref="R69" authorId="0" shapeId="0" xr:uid="{6DB41AA0-B9F2-4102-AD44-66799EBCE3F7}">
      <text>
        <r>
          <rPr>
            <b/>
            <sz val="9"/>
            <color indexed="81"/>
            <rFont val="Tahoma"/>
            <family val="2"/>
          </rPr>
          <t>Danh, Hoàng Duy:</t>
        </r>
        <r>
          <rPr>
            <sz val="9"/>
            <color indexed="81"/>
            <rFont val="Tahoma"/>
            <family val="2"/>
          </rPr>
          <t xml:space="preserve">
Chi phí bình quân 7 tháng đầu năm 2024</t>
        </r>
      </text>
    </comment>
    <comment ref="M71" authorId="0" shapeId="0" xr:uid="{65FD164A-9821-4A79-B29A-ABEDDD7FD8BB}">
      <text>
        <r>
          <rPr>
            <b/>
            <sz val="9"/>
            <color indexed="81"/>
            <rFont val="Tahoma"/>
          </rPr>
          <t>Danh, Hoàng Duy:</t>
        </r>
        <r>
          <rPr>
            <sz val="9"/>
            <color indexed="81"/>
            <rFont val="Tahoma"/>
          </rPr>
          <t xml:space="preserve">
đã nằm trong giá vốn của vảy sạch</t>
        </r>
      </text>
    </comment>
    <comment ref="N71" authorId="0" shapeId="0" xr:uid="{F75137E6-F357-408B-B65A-D9F2EB0F4858}">
      <text>
        <r>
          <rPr>
            <b/>
            <sz val="9"/>
            <color indexed="81"/>
            <rFont val="Tahoma"/>
            <family val="2"/>
          </rPr>
          <t>Danh, Hoàng Duy:</t>
        </r>
        <r>
          <rPr>
            <sz val="9"/>
            <color indexed="81"/>
            <rFont val="Tahoma"/>
            <family val="2"/>
          </rPr>
          <t xml:space="preserve">
Chi phí bình quân 7 tháng đầu năm 2024</t>
        </r>
      </text>
    </comment>
    <comment ref="O71" authorId="0" shapeId="0" xr:uid="{C9108BB3-0FB7-45D4-B1EE-F05432763F20}">
      <text>
        <r>
          <rPr>
            <b/>
            <sz val="9"/>
            <color indexed="81"/>
            <rFont val="Tahoma"/>
            <family val="2"/>
          </rPr>
          <t>Danh, Hoàng Duy:</t>
        </r>
        <r>
          <rPr>
            <sz val="9"/>
            <color indexed="81"/>
            <rFont val="Tahoma"/>
            <family val="2"/>
          </rPr>
          <t xml:space="preserve">
Chi phí bình quân 7 tháng đầu năm 2024</t>
        </r>
      </text>
    </comment>
    <comment ref="P71" authorId="0" shapeId="0" xr:uid="{C2DF6049-73D2-437E-83D3-6613B4CB040E}">
      <text>
        <r>
          <rPr>
            <b/>
            <sz val="9"/>
            <color indexed="81"/>
            <rFont val="Tahoma"/>
            <family val="2"/>
          </rPr>
          <t>Danh, Hoàng Duy:</t>
        </r>
        <r>
          <rPr>
            <sz val="9"/>
            <color indexed="81"/>
            <rFont val="Tahoma"/>
            <family val="2"/>
          </rPr>
          <t xml:space="preserve">
Chi phí bình quân 7 tháng đầu năm 2024</t>
        </r>
      </text>
    </comment>
    <comment ref="Q71" authorId="0" shapeId="0" xr:uid="{F53F8F8D-4E74-433B-B36A-1C4EA2B6F443}">
      <text>
        <r>
          <rPr>
            <b/>
            <sz val="9"/>
            <color indexed="81"/>
            <rFont val="Tahoma"/>
            <family val="2"/>
          </rPr>
          <t>Danh, Hoàng Duy:</t>
        </r>
        <r>
          <rPr>
            <sz val="9"/>
            <color indexed="81"/>
            <rFont val="Tahoma"/>
            <family val="2"/>
          </rPr>
          <t xml:space="preserve">
Chi phí bình quân 7 tháng đầu năm 2024</t>
        </r>
      </text>
    </comment>
    <comment ref="R71" authorId="0" shapeId="0" xr:uid="{90998645-FC8D-4BF2-AAF8-5DFF987AFC91}">
      <text>
        <r>
          <rPr>
            <b/>
            <sz val="9"/>
            <color indexed="81"/>
            <rFont val="Tahoma"/>
            <family val="2"/>
          </rPr>
          <t>Danh, Hoàng Duy:</t>
        </r>
        <r>
          <rPr>
            <sz val="9"/>
            <color indexed="81"/>
            <rFont val="Tahoma"/>
            <family val="2"/>
          </rPr>
          <t xml:space="preserve">
Chi phí bình quân 7 tháng đầu năm 2024</t>
        </r>
      </text>
    </comment>
    <comment ref="M77" authorId="0" shapeId="0" xr:uid="{988C05C1-6A85-4408-B645-328E21E649FB}">
      <text>
        <r>
          <rPr>
            <b/>
            <sz val="9"/>
            <color indexed="81"/>
            <rFont val="Tahoma"/>
            <family val="2"/>
          </rPr>
          <t>Danh, Hoàng Duy:</t>
        </r>
        <r>
          <rPr>
            <sz val="9"/>
            <color indexed="81"/>
            <rFont val="Tahoma"/>
            <family val="2"/>
          </rPr>
          <t xml:space="preserve">
19/02: hỏi lại thì là 4 triệu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Q1" authorId="0" shapeId="0" xr:uid="{E4B4DF6C-0AB0-4692-B243-B2152C1D1094}">
      <text>
        <r>
          <rPr>
            <b/>
            <sz val="9"/>
            <color indexed="81"/>
            <rFont val="Tahoma"/>
            <charset val="1"/>
          </rPr>
          <t>Danh, Hoàng Duy:</t>
        </r>
        <r>
          <rPr>
            <sz val="9"/>
            <color indexed="81"/>
            <rFont val="Tahoma"/>
            <charset val="1"/>
          </rPr>
          <t xml:space="preserve">
chi phí lấy theo năm thứ 3 (còn giá bán thì đang năm bán đầu tiên - năm 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1" authorId="0" shapeId="0" xr:uid="{BFF10BB2-6A4A-46AD-8685-CBE0C81A142A}">
      <text>
        <r>
          <rPr>
            <b/>
            <sz val="9"/>
            <color indexed="81"/>
            <rFont val="Tahoma"/>
            <family val="2"/>
          </rPr>
          <t>Danh, Hoàng Duy:</t>
        </r>
        <r>
          <rPr>
            <sz val="9"/>
            <color indexed="81"/>
            <rFont val="Tahoma"/>
            <family val="2"/>
          </rPr>
          <t xml:space="preserve">
nên để VND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<sst xmlns="http://schemas.openxmlformats.org/spreadsheetml/2006/main" count="5062" uniqueCount="871">
  <si>
    <t>Công ty CP Nhựa tái chế Duy Tân</t>
  </si>
  <si>
    <t>Đơn vị: Kế toán quản trị</t>
  </si>
  <si>
    <t>STT</t>
  </si>
  <si>
    <t>GHI CHÚ CHO DỰ ÁN Dự Án FtoP (Flake to Preform) Suntory PepsiCo</t>
  </si>
  <si>
    <t>Nội dung</t>
  </si>
  <si>
    <t>Phôi 15 gr - 9 giây
Nhà máy Long An: từ 2026
144 cav
giá 3 cụm ~ 10 tr USD đã bao gồm khuôn (~ 2 triệu USD)  (không gồm: camera online check ~ 800.000 USD /camera, lock unloading preform ~ 500.000 USD, Thiết bị điện, khí nén khí, sấy, chiller  … ~ 10 % ~ 2 triệu USD. Chi phí lắp đặt, kỹ sư lắp đặt,... )
KHuôn Hotrunner</t>
  </si>
  <si>
    <t>khuôn bao nhiêu shoot</t>
  </si>
  <si>
    <t>NGR or Husky</t>
  </si>
  <si>
    <t>Hotrunner</t>
  </si>
  <si>
    <t>Xưởng: 27m x 22 m
thiết bị khác: 27m x 21 m</t>
  </si>
  <si>
    <t>360 tr phôi/ năm =&gt; 30 tr phôi/ tháng</t>
  </si>
  <si>
    <t>đóng gói ntn?</t>
  </si>
  <si>
    <t>1,2m x 1m x 1,1m</t>
  </si>
  <si>
    <t>mold life? -&gt; 10 năm</t>
  </si>
  <si>
    <t xml:space="preserve">47 ngày nghỉ, hiệu suất máy 80 % </t>
  </si>
  <si>
    <t>Không được bán phôi cho khách khác</t>
  </si>
  <si>
    <t>2025: pilot</t>
  </si>
  <si>
    <t>Chi phí bảo trì/lần? Bao nhiêu? Máy và khuôn</t>
  </si>
  <si>
    <t>% Lợi nhuận DTR tự đầu tư</t>
  </si>
  <si>
    <t>Hao hụt 5% (2,5% vảy, 2,5% phôi) từ vảy ra phôi</t>
  </si>
  <si>
    <t>Hệ LSP chứ ko phải hệ SSP</t>
  </si>
  <si>
    <t>Phòng sạch đặt máy cho food grad</t>
  </si>
  <si>
    <t>Thiết bị phòng lab ~ 1 tr USD -&gt; 500K USD</t>
  </si>
  <si>
    <t>máy -&gt; 15 năm</t>
  </si>
  <si>
    <t>bảo trì máy ~ 3,5% CP đầu tư máy</t>
  </si>
  <si>
    <t>TH SPVN ngưng hợp dống sẽ mua lại các máy móc thiết bị trưuosc</t>
  </si>
  <si>
    <t>3 hệ, máy nén, chiler -&gt; list lại</t>
  </si>
  <si>
    <t>NGR : LSP 1200</t>
  </si>
  <si>
    <t>Giá trị đầu tư</t>
  </si>
  <si>
    <t>HẠNG MỤC</t>
  </si>
  <si>
    <t>Máy móc thiết bị chính</t>
  </si>
  <si>
    <t>MÁY MÓC THIẾT BỊ</t>
  </si>
  <si>
    <t>Máy móc thiết bị phụ</t>
  </si>
  <si>
    <t>Camera online check</t>
  </si>
  <si>
    <t>Lock unloading preform</t>
  </si>
  <si>
    <t>Chi phí lắp đặt</t>
  </si>
  <si>
    <t>Thời gian khấu hao</t>
  </si>
  <si>
    <t>Ghi chú</t>
  </si>
  <si>
    <t>Số lượng</t>
  </si>
  <si>
    <t>Đơn giá</t>
  </si>
  <si>
    <r>
      <t>(cái,m</t>
    </r>
    <r>
      <rPr>
        <i/>
        <vertAlign val="superscript"/>
        <sz val="11"/>
        <color theme="1"/>
        <rFont val="Aptos Display"/>
        <family val="2"/>
        <scheme val="major"/>
      </rPr>
      <t>2</t>
    </r>
    <r>
      <rPr>
        <i/>
        <sz val="11"/>
        <color theme="1"/>
        <rFont val="Aptos Display"/>
        <family val="2"/>
        <scheme val="major"/>
      </rPr>
      <t>)</t>
    </r>
  </si>
  <si>
    <t>1.</t>
  </si>
  <si>
    <t>2.</t>
  </si>
  <si>
    <t>TỔNG CHI PHÍ ĐẦU TƯ</t>
  </si>
  <si>
    <t>DỰ ÁN FLAKES TO PREFORM SUNTORY - PEPSICO</t>
  </si>
  <si>
    <t>CHI PHÍ VẬN HÀNH</t>
  </si>
  <si>
    <t>Thuế suất TNDN:</t>
  </si>
  <si>
    <t>3.</t>
  </si>
  <si>
    <t>Lãi suất đi vay:</t>
  </si>
  <si>
    <t>Cơ cấu vay mong muốn:</t>
  </si>
  <si>
    <t>Cơ cấu VCSH:</t>
  </si>
  <si>
    <t>WACC:</t>
  </si>
  <si>
    <t>NHÂN SỰ</t>
  </si>
  <si>
    <t>NHÂN SỰ CẦN VẬN HÀNH MÁY</t>
  </si>
  <si>
    <t>NHÂN SỰ GIÁN TIẾP</t>
  </si>
  <si>
    <t>CHI PHÍ BẢO TRÌ</t>
  </si>
  <si>
    <t>1.1</t>
  </si>
  <si>
    <t>1.2</t>
  </si>
  <si>
    <t>Chi phí</t>
  </si>
  <si>
    <t>Số ngày hoạt động</t>
  </si>
  <si>
    <t>QC</t>
  </si>
  <si>
    <t>Kỹ thuật</t>
  </si>
  <si>
    <t>Đvt</t>
  </si>
  <si>
    <t>m2</t>
  </si>
  <si>
    <t>Người</t>
  </si>
  <si>
    <t>CÔNG CỤ DỤNG CỤ PHÒNG LAB</t>
  </si>
  <si>
    <t>TỔNG ĐẦU TƯ BAN ĐẦU</t>
  </si>
  <si>
    <t>Xưởng sản xuất</t>
  </si>
  <si>
    <t>Phòng QC</t>
  </si>
  <si>
    <t>TỶ LỆ HAO HỤT</t>
  </si>
  <si>
    <t>Tỷ lệ hao hụt</t>
  </si>
  <si>
    <t>%</t>
  </si>
  <si>
    <t>CHI PHÍ ĐIỆN</t>
  </si>
  <si>
    <t>Chi phí điện</t>
  </si>
  <si>
    <t>5.</t>
  </si>
  <si>
    <t>CHI PHÍ ĐÓNG BAO BÌ</t>
  </si>
  <si>
    <t>Chi phí bao bì</t>
  </si>
  <si>
    <t>có cần xe điện nâng không?</t>
  </si>
  <si>
    <t>Giá bán</t>
  </si>
  <si>
    <t>Chi phí sản xuất</t>
  </si>
  <si>
    <t>Group</t>
  </si>
  <si>
    <t>UOM</t>
  </si>
  <si>
    <t>No.of Staff/Equipment</t>
  </si>
  <si>
    <t>Unit Cost</t>
  </si>
  <si>
    <t>Monthly</t>
  </si>
  <si>
    <t>Yearly</t>
  </si>
  <si>
    <t>Remark</t>
  </si>
  <si>
    <t>MANPOWER</t>
  </si>
  <si>
    <t>NGR/Injection Machine Staff</t>
  </si>
  <si>
    <t>Headcount</t>
  </si>
  <si>
    <t>Inspection Machine</t>
  </si>
  <si>
    <t>Packing</t>
  </si>
  <si>
    <t>Material pumping</t>
  </si>
  <si>
    <t>Factory manager</t>
  </si>
  <si>
    <t>Line leader</t>
  </si>
  <si>
    <t>Maintenance</t>
  </si>
  <si>
    <t>Electrical</t>
  </si>
  <si>
    <t>Warehouse</t>
  </si>
  <si>
    <t>Direct Labor Monthly Salary</t>
  </si>
  <si>
    <t>VND/staff/month</t>
  </si>
  <si>
    <t>Number Direct Labors/Shift</t>
  </si>
  <si>
    <t>staff/shift</t>
  </si>
  <si>
    <t>Direct Labor Shifts per day</t>
  </si>
  <si>
    <t>shift/day</t>
  </si>
  <si>
    <t>Indirect Labor Monthly Salary</t>
  </si>
  <si>
    <t>Number of Indirect Labors</t>
  </si>
  <si>
    <t>staff</t>
  </si>
  <si>
    <t>Work Hour per Day</t>
  </si>
  <si>
    <t>hours/day</t>
  </si>
  <si>
    <t>Work Day per month</t>
  </si>
  <si>
    <t>day/month</t>
  </si>
  <si>
    <t>............</t>
  </si>
  <si>
    <t>UTILITY</t>
  </si>
  <si>
    <t>Production Efficiency</t>
  </si>
  <si>
    <t>Injection cavities number</t>
  </si>
  <si>
    <t>cavity</t>
  </si>
  <si>
    <t>Cycle time</t>
  </si>
  <si>
    <t>second</t>
  </si>
  <si>
    <t>Machine Utilization</t>
  </si>
  <si>
    <t>Output per hour</t>
  </si>
  <si>
    <t>pcs</t>
  </si>
  <si>
    <t>Output per month</t>
  </si>
  <si>
    <t>Output per year</t>
  </si>
  <si>
    <t>Maintaince Cost Rate</t>
  </si>
  <si>
    <t>Electricity Capacity</t>
  </si>
  <si>
    <t>KW</t>
  </si>
  <si>
    <t>Electricity Fee</t>
  </si>
  <si>
    <t>VND/KWH</t>
  </si>
  <si>
    <t>INVESTMENT</t>
  </si>
  <si>
    <t>VND</t>
  </si>
  <si>
    <t>NGR system</t>
  </si>
  <si>
    <t>Year</t>
  </si>
  <si>
    <t>Land</t>
  </si>
  <si>
    <t>Factory</t>
  </si>
  <si>
    <t>TRANSPORTATION</t>
  </si>
  <si>
    <t>Delivery cost</t>
  </si>
  <si>
    <t>Metal cage cost 
(Depreciation + plastic bag)</t>
  </si>
  <si>
    <t>VND/cage</t>
  </si>
  <si>
    <t>Packing Quantity of 15g preform</t>
  </si>
  <si>
    <t>pcs/cage</t>
  </si>
  <si>
    <t>OTHERS</t>
  </si>
  <si>
    <t>Additive cost (Premium)</t>
  </si>
  <si>
    <t>Additive dosage</t>
  </si>
  <si>
    <t>Defective rate</t>
  </si>
  <si>
    <t>Financial cost</t>
  </si>
  <si>
    <t>Detailed adjustment scheme for variable cost elements</t>
  </si>
  <si>
    <t>CONVERSION COST</t>
  </si>
  <si>
    <t>Depreciation injection machine</t>
  </si>
  <si>
    <t>VND/pc</t>
  </si>
  <si>
    <t>Maintance cost</t>
  </si>
  <si>
    <t>Electricity cost</t>
  </si>
  <si>
    <t>Direct labor cost</t>
  </si>
  <si>
    <t>Indirect labor cost</t>
  </si>
  <si>
    <t>Packaging cost</t>
  </si>
  <si>
    <t xml:space="preserve">Transportation cost </t>
  </si>
  <si>
    <t xml:space="preserve">Factory </t>
  </si>
  <si>
    <t xml:space="preserve">Administration Cost </t>
  </si>
  <si>
    <t>...............</t>
  </si>
  <si>
    <t>Percentage of margin</t>
  </si>
  <si>
    <t>Margin of conversion cost</t>
  </si>
  <si>
    <t>Total Conversion Cost</t>
  </si>
  <si>
    <t>PREFORM COST</t>
  </si>
  <si>
    <t>Material Cost per MT</t>
  </si>
  <si>
    <t>USD/ton</t>
  </si>
  <si>
    <t>Material Cost per preform</t>
  </si>
  <si>
    <t>Additive cost</t>
  </si>
  <si>
    <t>Chi phí vận chuyển</t>
  </si>
  <si>
    <t>Vảy sạch</t>
  </si>
  <si>
    <t>No.</t>
  </si>
  <si>
    <t>Chi phí
 Cost Items</t>
  </si>
  <si>
    <t>A</t>
  </si>
  <si>
    <t>LAB</t>
  </si>
  <si>
    <t>OTH</t>
  </si>
  <si>
    <t>DEP</t>
  </si>
  <si>
    <t>ELEC</t>
  </si>
  <si>
    <t>Chi phí bằng tiền khác</t>
  </si>
  <si>
    <t>B</t>
  </si>
  <si>
    <t>CHE</t>
  </si>
  <si>
    <t>H2O</t>
  </si>
  <si>
    <t>C</t>
  </si>
  <si>
    <t>Chi phí tạo phôi</t>
  </si>
  <si>
    <t>Chi phí quản lý</t>
  </si>
  <si>
    <t>QLC</t>
  </si>
  <si>
    <t>LN</t>
  </si>
  <si>
    <t>Lợi nhuận</t>
  </si>
  <si>
    <t>TAX</t>
  </si>
  <si>
    <t>Kwh/giờ</t>
  </si>
  <si>
    <t>Cavity</t>
  </si>
  <si>
    <t>Chu kỳ</t>
  </si>
  <si>
    <t>giây</t>
  </si>
  <si>
    <t>Khấu hao</t>
  </si>
  <si>
    <t>6.</t>
  </si>
  <si>
    <t>Chi phí đóng bao bì</t>
  </si>
  <si>
    <t>dedicated</t>
  </si>
  <si>
    <t>1 người/ca</t>
  </si>
  <si>
    <t>Số lượng phôi/chu kỳ:</t>
  </si>
  <si>
    <t>7.</t>
  </si>
  <si>
    <t>CHI PHÍ VẬN HÀNH XE ĐIỆN</t>
  </si>
  <si>
    <t>Chi phí thuê</t>
  </si>
  <si>
    <t>Chi phí điện vận hành</t>
  </si>
  <si>
    <t>kg/giờ</t>
  </si>
  <si>
    <t>Công suất</t>
  </si>
  <si>
    <t>Sản lượng sản xuất</t>
  </si>
  <si>
    <t>Hao hụt</t>
  </si>
  <si>
    <t>HyPET400 HPP5e rMtP P120/120</t>
  </si>
  <si>
    <t>Khuôn 15g PCO 1881 128 cavtiy</t>
  </si>
  <si>
    <t>Máy nén khí</t>
  </si>
  <si>
    <t>Cooling tower</t>
  </si>
  <si>
    <t>Pump system</t>
  </si>
  <si>
    <t>Chiller</t>
  </si>
  <si>
    <t>Hệ thống nước, khí nén</t>
  </si>
  <si>
    <t>Trạm điện</t>
  </si>
  <si>
    <t>Hệ thống điện</t>
  </si>
  <si>
    <t>Overhead crane</t>
  </si>
  <si>
    <t>1.2.10</t>
  </si>
  <si>
    <t>1.1.01</t>
  </si>
  <si>
    <t>1.1.02</t>
  </si>
  <si>
    <t>1.1.03</t>
  </si>
  <si>
    <t>1.1.04</t>
  </si>
  <si>
    <t>1.1.05</t>
  </si>
  <si>
    <t>1.2.06</t>
  </si>
  <si>
    <t>1.2.07</t>
  </si>
  <si>
    <t>1.2.08</t>
  </si>
  <si>
    <t>1.2.09</t>
  </si>
  <si>
    <t>Máy đo kích thước tự động Gawis 4D</t>
  </si>
  <si>
    <t>Máy đo AA Piovan Inspecta</t>
  </si>
  <si>
    <t>Thickness Gauge</t>
  </si>
  <si>
    <t>Perpendicular Prefrom Thickness Gauge</t>
  </si>
  <si>
    <t>Light Polarizer</t>
  </si>
  <si>
    <t>Digital Scale</t>
  </si>
  <si>
    <t>Colorimeter/Spectrophotometer</t>
  </si>
  <si>
    <t>Moisture analyzer</t>
  </si>
  <si>
    <t>Radius gauges</t>
  </si>
  <si>
    <t>Torque tester</t>
  </si>
  <si>
    <t>Black Ligth/UV light</t>
  </si>
  <si>
    <t>Pitch gauges</t>
  </si>
  <si>
    <t>Melt Flow Index Tester</t>
  </si>
  <si>
    <t>Thickness, thread, body gauge</t>
  </si>
  <si>
    <t>Inspection bench</t>
  </si>
  <si>
    <t>Inspection block</t>
  </si>
  <si>
    <t>Height Gauge</t>
  </si>
  <si>
    <t>2.01</t>
  </si>
  <si>
    <t>2.02</t>
  </si>
  <si>
    <t>3.01</t>
  </si>
  <si>
    <t>3.02</t>
  </si>
  <si>
    <t>3.03</t>
  </si>
  <si>
    <t>3.04</t>
  </si>
  <si>
    <t>3.05</t>
  </si>
  <si>
    <t>3.06</t>
  </si>
  <si>
    <t>3.07</t>
  </si>
  <si>
    <t>3.08</t>
  </si>
  <si>
    <t>3.09</t>
  </si>
  <si>
    <t>3.10</t>
  </si>
  <si>
    <t>3.11</t>
  </si>
  <si>
    <t>3.12</t>
  </si>
  <si>
    <t>3.13</t>
  </si>
  <si>
    <t>3.14</t>
  </si>
  <si>
    <t>3.15</t>
  </si>
  <si>
    <t>3.16</t>
  </si>
  <si>
    <t>3.17</t>
  </si>
  <si>
    <t>3.18</t>
  </si>
  <si>
    <t>3.19</t>
  </si>
  <si>
    <t>Ước tính dự án FtoP</t>
  </si>
  <si>
    <t>SẢN LƯỢNG</t>
  </si>
  <si>
    <t>Chu ký</t>
  </si>
  <si>
    <t>Preform/24h</t>
  </si>
  <si>
    <t>Preform / 1 tháng</t>
  </si>
  <si>
    <t>Số tấn/tháng</t>
  </si>
  <si>
    <t>Diện tích (m2/Pallet)</t>
  </si>
  <si>
    <t>Số Preform</t>
  </si>
  <si>
    <t>Preform quy tấn</t>
  </si>
  <si>
    <t>Số Pallet nhập kho ngày</t>
  </si>
  <si>
    <t>Pallet</t>
  </si>
  <si>
    <t>Diện tích tồn kho 1 tháng</t>
  </si>
  <si>
    <t>Dầu xe nâng</t>
  </si>
  <si>
    <t>Lít/ngày</t>
  </si>
  <si>
    <t>1 ca</t>
  </si>
  <si>
    <t>1 ngày (theo 2 ca 3 kíp)</t>
  </si>
  <si>
    <t>Công nhân đứng máy</t>
  </si>
  <si>
    <t>Nhân sự kho</t>
  </si>
  <si>
    <t>Tổ trưởng Kho</t>
  </si>
  <si>
    <t>Nhân viên xe nâng</t>
  </si>
  <si>
    <t>Nhân viên xuất hàng, soạn hàng</t>
  </si>
  <si>
    <t>2 người/ca</t>
  </si>
  <si>
    <t>Tổ trưởng kho</t>
  </si>
  <si>
    <t>Diện tích đề xuất</t>
  </si>
  <si>
    <t>Máy chính</t>
  </si>
  <si>
    <t>Thiết  bị phụ</t>
  </si>
  <si>
    <t>Thiết bị lab</t>
  </si>
  <si>
    <t>1.5 người/ca</t>
  </si>
  <si>
    <t>năm</t>
  </si>
  <si>
    <t>Lợi nhuận trước thuế</t>
  </si>
  <si>
    <t>Thuế</t>
  </si>
  <si>
    <t>Kế toán kho</t>
  </si>
  <si>
    <t>Máy scan</t>
  </si>
  <si>
    <t xml:space="preserve">Máy đo IV PSL IV 4603 </t>
  </si>
  <si>
    <t>QA</t>
  </si>
  <si>
    <t>SAP</t>
  </si>
  <si>
    <t>Cơ cấu % chi phí /Giá</t>
  </si>
  <si>
    <t>Thuyết minh</t>
  </si>
  <si>
    <t>Chi phí nguyên vật liệu</t>
  </si>
  <si>
    <t>Hao hụt về tiền</t>
  </si>
  <si>
    <t>Chi phí biến đổi</t>
  </si>
  <si>
    <t>Chi phí nhân công</t>
  </si>
  <si>
    <t>Chi phí gián tiếp</t>
  </si>
  <si>
    <t>Điện</t>
  </si>
  <si>
    <t>BAG</t>
  </si>
  <si>
    <t>Đóng gói</t>
  </si>
  <si>
    <t>Hóa chất</t>
  </si>
  <si>
    <t>Nước</t>
  </si>
  <si>
    <t>Giá thành</t>
  </si>
  <si>
    <t>Thuế thu nhập</t>
  </si>
  <si>
    <t>D</t>
  </si>
  <si>
    <t>A+B+C+D</t>
  </si>
  <si>
    <t>% Lãi gộp nguyên liệu/Giá bán</t>
  </si>
  <si>
    <t>Mesh sắt (1x1.1x1.2 m)</t>
  </si>
  <si>
    <t>Số phôi/mesh sắt</t>
  </si>
  <si>
    <t>Bao PE</t>
  </si>
  <si>
    <t>gram</t>
  </si>
  <si>
    <t>phôi/giờ</t>
  </si>
  <si>
    <t>phôi/năm</t>
  </si>
  <si>
    <t>Số lần luân chuyển/tháng</t>
  </si>
  <si>
    <t>CHI PHÍ XÂY DỰNG XƯỞNG SẢN XUẤT</t>
  </si>
  <si>
    <t>Chi phí
VNĐ / Phôi</t>
  </si>
  <si>
    <t>1.4</t>
  </si>
  <si>
    <t>1.3</t>
  </si>
  <si>
    <t>1.7</t>
  </si>
  <si>
    <t>1.5</t>
  </si>
  <si>
    <t>1.6</t>
  </si>
  <si>
    <t>1.8</t>
  </si>
  <si>
    <t>1.9</t>
  </si>
  <si>
    <t>1.10</t>
  </si>
  <si>
    <t>1.11</t>
  </si>
  <si>
    <t>2.1</t>
  </si>
  <si>
    <t>2.2</t>
  </si>
  <si>
    <t>2.3</t>
  </si>
  <si>
    <t>Gía trị bán lại = giá trị ban đầu - khấu hao * sản lượng sx</t>
  </si>
  <si>
    <t>Đàm phán</t>
  </si>
  <si>
    <t>III.</t>
  </si>
  <si>
    <t>GIÁ BÁN PHÔI</t>
  </si>
  <si>
    <t>IV.</t>
  </si>
  <si>
    <t>Ghi chú - Nếu dừng dự án thì Suntory mua lại</t>
  </si>
  <si>
    <t>QA/QC staff</t>
  </si>
  <si>
    <t>Điện 765KW/giờ (tất cả các máy + thiết bị)
không có dùng nước
Nhân công: cần 3 khu vực: vân hành máy: 2 người/3 cụm máy, QC: , bảo trì máy : 1 người.</t>
  </si>
  <si>
    <t>Husky 128 cavs Injection Machine</t>
  </si>
  <si>
    <t>Inspection machine - Lab facilities</t>
  </si>
  <si>
    <t>Auxiliary Equipment</t>
  </si>
  <si>
    <t>Installing &amp; delivery cost</t>
  </si>
  <si>
    <t>Loan - Structure</t>
  </si>
  <si>
    <t>Equity - Structure</t>
  </si>
  <si>
    <t>Year 1 - Effective within the first year after fully approval</t>
  </si>
  <si>
    <t>Depreciation Year - Machine</t>
  </si>
  <si>
    <t>Depreciation Month - Machine</t>
  </si>
  <si>
    <t>Depreciation Year - Factory</t>
  </si>
  <si>
    <t>Depreciation Month - Factory</t>
  </si>
  <si>
    <t>Rental payment</t>
  </si>
  <si>
    <t>Rental Warehouse</t>
  </si>
  <si>
    <t>VND/m2</t>
  </si>
  <si>
    <t>Rental Warehouse Payment</t>
  </si>
  <si>
    <t>Rental Warehouse cost</t>
  </si>
  <si>
    <t>Months</t>
  </si>
  <si>
    <t>Mark-up</t>
  </si>
  <si>
    <t>Total Preform Costing</t>
  </si>
  <si>
    <t>(Năm)</t>
  </si>
  <si>
    <t>1.2.11</t>
  </si>
  <si>
    <t>Hệ thống IT</t>
  </si>
  <si>
    <t>Hệ thống điện dự phòng</t>
  </si>
  <si>
    <t>Conversion + Utility</t>
  </si>
  <si>
    <t>VND/phôi</t>
  </si>
  <si>
    <t>USD/tấn</t>
  </si>
  <si>
    <t>Packaging</t>
  </si>
  <si>
    <t>Giá phôi</t>
  </si>
  <si>
    <t>1.2.12</t>
  </si>
  <si>
    <t>1.2.13</t>
  </si>
  <si>
    <t>Chiết khấu</t>
  </si>
  <si>
    <t>DTR</t>
  </si>
  <si>
    <t>SUNTORY PEPSICO VIETNAM - DỰ ÁN FLAKE TO PREFORM</t>
  </si>
  <si>
    <t>LOẠI PHÔI</t>
  </si>
  <si>
    <t>SỐ LƯỢNG PHÔI/KG</t>
  </si>
  <si>
    <t>Giá mua resin</t>
  </si>
  <si>
    <t>USD</t>
  </si>
  <si>
    <t>PET</t>
  </si>
  <si>
    <t>rPET</t>
  </si>
  <si>
    <t>TẤN/KG</t>
  </si>
  <si>
    <t>CÔNG TY B</t>
  </si>
  <si>
    <t>Tỷ lệ %</t>
  </si>
  <si>
    <t>*Giá rPET mua từ DTR</t>
  </si>
  <si>
    <t>Hao hụt (yield)</t>
  </si>
  <si>
    <r>
      <t xml:space="preserve">Giá mua </t>
    </r>
    <r>
      <rPr>
        <b/>
        <sz val="11"/>
        <color theme="1"/>
        <rFont val="Calibri"/>
        <family val="2"/>
      </rPr>
      <t>VẢY</t>
    </r>
  </si>
  <si>
    <t>Giá resin hoặc Vảy</t>
  </si>
  <si>
    <t>* Công ty A &amp;B: chuyên về sản xuất phôi Hotfill, sử dụng các dòng máy Husky/Sidel</t>
  </si>
  <si>
    <t>Điểm thuận lợi của DTR</t>
  </si>
  <si>
    <t>- Kiểm soát nguồn cung về sản lượng, giá mua vảy, chất lượng đầu vào</t>
  </si>
  <si>
    <t>Điểm bất lợi của DTR</t>
  </si>
  <si>
    <t>- Chưa có kinh nghiệm và kỹ thuật sản xuất phôi Hotfill</t>
  </si>
  <si>
    <t>- Nhiều kinh nghiệm trong lĩnh vực Tái chế, sản xuất hạt nhựa tái chế</t>
  </si>
  <si>
    <t>- SPVB độc quyền công nghệ này và DTR không được sản xuất sản phẩm này cho bất cứ đối tác nào khác</t>
  </si>
  <si>
    <t>- SPVB phụ thuộc vào các converter (Hon-chuan, SPVN) về khuôn tạo phôi, khuôn thổi và máy thổi chai</t>
  </si>
  <si>
    <t>- SPVB yêu cầu cải tiến, các chương trình light weight, do vậy DTR sẽ bị động trong công nghệ, kỹ thuật và phụ thuộc vào converter</t>
  </si>
  <si>
    <t>- Chưa có kinh nghiệm về công nghệ và dây chuyển từ vảy sản xuất thành phôi (công nghệ nhật bản)</t>
  </si>
  <si>
    <t>- Đối thủ cạnh tranh có nhiều kinh nghiệm về phôi, khuôn</t>
  </si>
  <si>
    <t>Dòng tiền thuần chiết khấu (NPV)</t>
  </si>
  <si>
    <t>Tỷ suất hoàn vốn nội bộ (IRR)</t>
  </si>
  <si>
    <t>Thời gian hoàn vốn (DPP)</t>
  </si>
  <si>
    <t>Option 1</t>
  </si>
  <si>
    <t>Option 2</t>
  </si>
  <si>
    <t>BASE</t>
  </si>
  <si>
    <t>Option 3</t>
  </si>
  <si>
    <t>COVER PAGE</t>
  </si>
  <si>
    <t>CAPEX</t>
  </si>
  <si>
    <t>Lạm Phát</t>
  </si>
  <si>
    <t>Tỷ giá</t>
  </si>
  <si>
    <t>% Tăng</t>
  </si>
  <si>
    <t>1.2.14</t>
  </si>
  <si>
    <t>1.2.15</t>
  </si>
  <si>
    <t>1.2.16</t>
  </si>
  <si>
    <t>1.2.17</t>
  </si>
  <si>
    <t>1.2.18</t>
  </si>
  <si>
    <t>KẾT QUẢ</t>
  </si>
  <si>
    <t>GIẢ ĐỊNH</t>
  </si>
  <si>
    <t>5.1</t>
  </si>
  <si>
    <t>CHUNG</t>
  </si>
  <si>
    <t>OPTION 1</t>
  </si>
  <si>
    <t>OPTION 2</t>
  </si>
  <si>
    <t>OPTION 3</t>
  </si>
  <si>
    <t>Khuôn phôi</t>
  </si>
  <si>
    <t>phôi/chu kỳ</t>
  </si>
  <si>
    <t>Sản lượng công suất máy</t>
  </si>
  <si>
    <t>Hạng mục</t>
  </si>
  <si>
    <t>Lương</t>
  </si>
  <si>
    <t>- Nhân công trực tiếp</t>
  </si>
  <si>
    <t>- Nhân công gián tiếp</t>
  </si>
  <si>
    <t>Bảo trì</t>
  </si>
  <si>
    <t>Vận hành xe điện</t>
  </si>
  <si>
    <t>Định phí sản xuất</t>
  </si>
  <si>
    <t>Biến phí sản xuất</t>
  </si>
  <si>
    <t>kg/năm</t>
  </si>
  <si>
    <t>DEF</t>
  </si>
  <si>
    <t>Số phôi/kg</t>
  </si>
  <si>
    <t>phôi/kg</t>
  </si>
  <si>
    <t>7.1</t>
  </si>
  <si>
    <t>7.2</t>
  </si>
  <si>
    <t>7.3</t>
  </si>
  <si>
    <t>7.4</t>
  </si>
  <si>
    <t>Canada</t>
  </si>
  <si>
    <t>Áo</t>
  </si>
  <si>
    <t>NHẬP KHẨU TỪ</t>
  </si>
  <si>
    <t>LAB-direct</t>
  </si>
  <si>
    <t>LAB-indirect</t>
  </si>
  <si>
    <t>LAB-Direct</t>
  </si>
  <si>
    <t>LAB-Indirect</t>
  </si>
  <si>
    <t>LEASE_STORAGE</t>
  </si>
  <si>
    <t>MAINTENANCE</t>
  </si>
  <si>
    <t>LEASE_FORK</t>
  </si>
  <si>
    <t>Nguyên vật liệu</t>
  </si>
  <si>
    <t>8.</t>
  </si>
  <si>
    <t>Currency</t>
  </si>
  <si>
    <t>Row Labels</t>
  </si>
  <si>
    <t>Grand Total</t>
  </si>
  <si>
    <t>FLAKE</t>
  </si>
  <si>
    <t>Hiệu suất sử dụng tối đa</t>
  </si>
  <si>
    <t>Hệ số điều chỉnh sản xuất</t>
  </si>
  <si>
    <t>PACKAGE</t>
  </si>
  <si>
    <t>9.</t>
  </si>
  <si>
    <t>TỔNG CHI PHÍ SẢN XUẤT</t>
  </si>
  <si>
    <t>10.</t>
  </si>
  <si>
    <t>% / chi phí sản xuất</t>
  </si>
  <si>
    <t>11.</t>
  </si>
  <si>
    <t>Chi phí quản lý chung</t>
  </si>
  <si>
    <t xml:space="preserve">Chi phí nhân sự BH,QLDN </t>
  </si>
  <si>
    <t>Chi phí lãi vay</t>
  </si>
  <si>
    <t>Tổng mức đầu tư</t>
  </si>
  <si>
    <t>TỔNG CHI PHÍ</t>
  </si>
  <si>
    <t>CHI PHÍ/TẤN</t>
  </si>
  <si>
    <t>TỔNG CHI PHÍ/TẤN</t>
  </si>
  <si>
    <t>tr. VND/tấn</t>
  </si>
  <si>
    <t>CHI PHÍ/PHÔI</t>
  </si>
  <si>
    <t>ĐẦU TƯ</t>
  </si>
  <si>
    <t>Xây dựng xưởng sản xuất</t>
  </si>
  <si>
    <t>Công cụ dụng cụ LAB</t>
  </si>
  <si>
    <t>CAPEX-MAIN</t>
  </si>
  <si>
    <t>CAPEX-SUB</t>
  </si>
  <si>
    <t>CAPEX-FACTORY</t>
  </si>
  <si>
    <t>CAPEX-LAB</t>
  </si>
  <si>
    <t>Thời gian thu hồi vốn</t>
  </si>
  <si>
    <t>Link từ các W1,W2</t>
  </si>
  <si>
    <t>Link tới W4</t>
  </si>
  <si>
    <t>TỔNG CHI PHÍ/PHÔI</t>
  </si>
  <si>
    <t>LNST</t>
  </si>
  <si>
    <t>%LNST</t>
  </si>
  <si>
    <t>Giá bán mong muốn</t>
  </si>
  <si>
    <t>LNST mong muốn</t>
  </si>
  <si>
    <t>%LNST mong muốn</t>
  </si>
  <si>
    <t>Giá bán thực tế</t>
  </si>
  <si>
    <t>USD/1.000 phôi</t>
  </si>
  <si>
    <t>LNTT</t>
  </si>
  <si>
    <t>%LNTT</t>
  </si>
  <si>
    <t>DOANH THU</t>
  </si>
  <si>
    <t>DÒNG TIỀN THUẦN TRƯỚC THUẾ</t>
  </si>
  <si>
    <t>DÒNG TIỀN THUẦN SAU THUẾ</t>
  </si>
  <si>
    <t>WACC</t>
  </si>
  <si>
    <t>DÒNG TIỀN THUẦN CHIẾT KHẤU</t>
  </si>
  <si>
    <t>Khấu hao/chiết khấu</t>
  </si>
  <si>
    <t>Dòng tiền thuần chiết khấu LK</t>
  </si>
  <si>
    <t>Giá mua VẢY</t>
  </si>
  <si>
    <t>Link qua W3</t>
  </si>
  <si>
    <t>Link qua Sun-W6</t>
  </si>
  <si>
    <t>Tỷ lệ tăng đơn giá</t>
  </si>
  <si>
    <t>Đơn giá ban đầu</t>
  </si>
  <si>
    <t>9.1</t>
  </si>
  <si>
    <t>9.2</t>
  </si>
  <si>
    <t>9.3</t>
  </si>
  <si>
    <t>9.4</t>
  </si>
  <si>
    <t>9.5</t>
  </si>
  <si>
    <t>Link tới CoverPage</t>
  </si>
  <si>
    <t>NPV</t>
  </si>
  <si>
    <t>IRR</t>
  </si>
  <si>
    <t>DPP</t>
  </si>
  <si>
    <t>Link to W6-Preform cost</t>
  </si>
  <si>
    <t>12.</t>
  </si>
  <si>
    <t>Bảo hiểm tài sản</t>
  </si>
  <si>
    <t>ASSET_INSURANCE</t>
  </si>
  <si>
    <t>OVERHEAD_641,642</t>
  </si>
  <si>
    <t>Asset Insurance</t>
  </si>
  <si>
    <t>Inflation</t>
  </si>
  <si>
    <t>PE</t>
  </si>
  <si>
    <t>VND/PE</t>
  </si>
  <si>
    <t>LAB_641,642</t>
  </si>
  <si>
    <t>Electric Forklift</t>
  </si>
  <si>
    <t>Electric Forklift lease</t>
  </si>
  <si>
    <t>VND/forklift</t>
  </si>
  <si>
    <t>forklifts</t>
  </si>
  <si>
    <t>Electric Forklift operation cost</t>
  </si>
  <si>
    <t>Electric forklift cost</t>
  </si>
  <si>
    <t>Other production cost</t>
  </si>
  <si>
    <t>Link tới W5</t>
  </si>
  <si>
    <t>1521</t>
  </si>
  <si>
    <t>1522</t>
  </si>
  <si>
    <t>Chi phí
USD/tấn</t>
  </si>
  <si>
    <t>Chi trả</t>
  </si>
  <si>
    <t>Lãi gốc-ĐK</t>
  </si>
  <si>
    <t>Lãi gốc-CK</t>
  </si>
  <si>
    <t>Lãi vay</t>
  </si>
  <si>
    <t>Lãi suất</t>
  </si>
  <si>
    <t>Total NPV</t>
  </si>
  <si>
    <t>Dòng tiền chiết khẩu</t>
  </si>
  <si>
    <t>Gía thành - DTR</t>
  </si>
  <si>
    <t>A. Quân</t>
  </si>
  <si>
    <t>Nguồn:</t>
  </si>
  <si>
    <t>Calipers with data output</t>
  </si>
  <si>
    <t>* CAPEX/năm</t>
  </si>
  <si>
    <t>không nên thay đổi công suất sử dụng điện</t>
  </si>
  <si>
    <t>Gía bán với %giá bán mong muốn</t>
  </si>
  <si>
    <t>= Gía thàng * (1-tax) / (1-tax-%ln mong muốn)</t>
  </si>
  <si>
    <t>Thời gian hoàn vốn</t>
  </si>
  <si>
    <t>triệu VND</t>
  </si>
  <si>
    <t>CHỈ TIÊU</t>
  </si>
  <si>
    <t>CÔNG SUẤT</t>
  </si>
  <si>
    <t>Năm thứ</t>
  </si>
  <si>
    <t>Năm</t>
  </si>
  <si>
    <t>(không tăng chi phí xây dựng nhà xưởng)</t>
  </si>
  <si>
    <t>Tăng</t>
  </si>
  <si>
    <t>%Lợi nhuận sau thuế</t>
  </si>
  <si>
    <t>6.1</t>
  </si>
  <si>
    <t>6.2</t>
  </si>
  <si>
    <t>Giá điện</t>
  </si>
  <si>
    <t>LỢI NHUẬN SAU THUẾ ƯỚC TÍNH (25 năm)</t>
  </si>
  <si>
    <t>Thực tế</t>
  </si>
  <si>
    <t>Mark-up giá bán</t>
  </si>
  <si>
    <t>Link tới W6-Pre</t>
  </si>
  <si>
    <t>Actual_Price</t>
  </si>
  <si>
    <t>Giả định: sau 25 năm thì giá trị các tài sản còn lại =0</t>
  </si>
  <si>
    <t>tăng mỗi năm</t>
  </si>
  <si>
    <t>Đơn giá bán: tăng mỗi năm</t>
  </si>
  <si>
    <t>KG/NAM</t>
  </si>
  <si>
    <t>PHOI/NAM</t>
  </si>
  <si>
    <t>rPET (không có nhà xưởng)</t>
  </si>
  <si>
    <t>WORKING - NẾU NHƯ KHÔNG CÓ CAPEX XƯỞNG Ở OPTION 3</t>
  </si>
  <si>
    <t>Hệ số K</t>
  </si>
  <si>
    <t>(chỗ này nhân vào capex xưởng ở option 3 - cho bằng 0 thì là ko đầu tư)</t>
  </si>
  <si>
    <t>Trình bày theo W4</t>
  </si>
  <si>
    <t>10.1</t>
  </si>
  <si>
    <t>10.2</t>
  </si>
  <si>
    <t>10.3</t>
  </si>
  <si>
    <t>10.4</t>
  </si>
  <si>
    <t>10.5</t>
  </si>
  <si>
    <t>10.6</t>
  </si>
  <si>
    <t>Lần1</t>
  </si>
  <si>
    <t>Lần 2</t>
  </si>
  <si>
    <t>Lạm phát 5%/năm + tăng lương</t>
  </si>
  <si>
    <t>giảm đầu tư 1 triệu USD (anh Quân)</t>
  </si>
  <si>
    <t>Lạm phát 5%/năm</t>
  </si>
  <si>
    <t>Điều chỉnh giảm lại chi phí</t>
  </si>
  <si>
    <t>Tổng</t>
  </si>
  <si>
    <t>Hạng mục chi phí</t>
  </si>
  <si>
    <t>+/</t>
  </si>
  <si>
    <t xml:space="preserve">CÔNG TY A </t>
  </si>
  <si>
    <t>Lãi nguyên liệu</t>
  </si>
  <si>
    <t>Số pallet chứa được</t>
  </si>
  <si>
    <t>Số ngày chứa</t>
  </si>
  <si>
    <t>Diện tích kho</t>
  </si>
  <si>
    <t>1.1.06</t>
  </si>
  <si>
    <t>Thuế nhà thầu</t>
  </si>
  <si>
    <t>Ghi chú cho W5</t>
  </si>
  <si>
    <t>(không tăng chi phí xây dựng nhà xưởng) - Roundup</t>
  </si>
  <si>
    <t>Total investment amount of production facilities</t>
  </si>
  <si>
    <t>Cooperation period</t>
  </si>
  <si>
    <t>Rest depreciation period</t>
  </si>
  <si>
    <t>Rest value of facilities</t>
  </si>
  <si>
    <t>Compensation amount by SPVB</t>
  </si>
  <si>
    <t>Compensation % of rest value by SPVB</t>
  </si>
  <si>
    <t>Remark if any</t>
  </si>
  <si>
    <t>Investment amount of NGR system &amp; Injection machine</t>
  </si>
  <si>
    <t>Investment amount of utilities and others</t>
  </si>
  <si>
    <t>Chi phí vảy tăng</t>
  </si>
  <si>
    <t>Cp Vảy sạch tăng</t>
  </si>
  <si>
    <t>VND/Cage</t>
  </si>
  <si>
    <t>13.</t>
  </si>
  <si>
    <t>Số mesh sắt</t>
  </si>
  <si>
    <t>Mesh/chuyến</t>
  </si>
  <si>
    <t>Số kilogram/chuyến</t>
  </si>
  <si>
    <t>Kg/chuyến</t>
  </si>
  <si>
    <t>DELIVER</t>
  </si>
  <si>
    <t>Fixed</t>
  </si>
  <si>
    <t>Variable</t>
  </si>
  <si>
    <t>Others</t>
  </si>
  <si>
    <t>Lấy số từ W5</t>
  </si>
  <si>
    <t>tháng</t>
  </si>
  <si>
    <t>Ban đầu</t>
  </si>
  <si>
    <t>Cắt giảm</t>
  </si>
  <si>
    <t>ĐIỀU CHỈNH</t>
  </si>
  <si>
    <t>Conversion cost</t>
  </si>
  <si>
    <t>Cắt giảm NS</t>
  </si>
  <si>
    <t>%+/-</t>
  </si>
  <si>
    <t>Toner AY090</t>
  </si>
  <si>
    <t>AA scavenger</t>
  </si>
  <si>
    <t>%SLSX</t>
  </si>
  <si>
    <t>Liều lượng</t>
  </si>
  <si>
    <t>VẢY SẠCH</t>
  </si>
  <si>
    <t>MÀU/PHỤ GIA</t>
  </si>
  <si>
    <t>CHI PHÍ THUÊ XƯỞNG</t>
  </si>
  <si>
    <t>Year 2 - Mass Production</t>
  </si>
  <si>
    <t>Year 3 - Mass Production</t>
  </si>
  <si>
    <t>Year 4 - Mass Production</t>
  </si>
  <si>
    <t>Year 5 - Mass Production</t>
  </si>
  <si>
    <t>Year 6 - Mass Production</t>
  </si>
  <si>
    <t>Year 7 - Mass Production</t>
  </si>
  <si>
    <t>Year 8 - Mass Production</t>
  </si>
  <si>
    <t>Year 9 - Mass Production</t>
  </si>
  <si>
    <t>Year 10 - Mass Production</t>
  </si>
  <si>
    <t>Price increase per year</t>
  </si>
  <si>
    <t>Material Cost increase per year</t>
  </si>
  <si>
    <t>Thời gian sử dụng Mesh sắt</t>
  </si>
  <si>
    <t>lần/tháng</t>
  </si>
  <si>
    <t>phôi/mesh</t>
  </si>
  <si>
    <t>14.</t>
  </si>
  <si>
    <t>Thuê kho,xưởng</t>
  </si>
  <si>
    <t>(cái,m2)</t>
  </si>
  <si>
    <t>(VND)</t>
  </si>
  <si>
    <t>TỔNG</t>
  </si>
  <si>
    <t>PHÔI 15 GRAM</t>
  </si>
  <si>
    <t>PHÔI 19 GRAM</t>
  </si>
  <si>
    <t>PHÔI 21.2 GRAM</t>
  </si>
  <si>
    <t>Tỷ lệ sử dụng màu Toner AY090</t>
  </si>
  <si>
    <t>Tỷ lệ sử dụng hóa chất AA scavenger</t>
  </si>
  <si>
    <t>AY090_USE</t>
  </si>
  <si>
    <t>AASCAVENGER_USE</t>
  </si>
  <si>
    <t>AY090_PRICE</t>
  </si>
  <si>
    <t>AASCAVENGER_PRICE</t>
  </si>
  <si>
    <t>SỐ LƯỢNG SẢN XUẤT/BÁN</t>
  </si>
  <si>
    <t>SỐ LƯỢNG MÀU/HÓA CHẤT</t>
  </si>
  <si>
    <t>Số lượng màu Toner AY090</t>
  </si>
  <si>
    <t>tr. VND</t>
  </si>
  <si>
    <t>Màu Toner AY090</t>
  </si>
  <si>
    <t>Phụ gia AA Scavenger</t>
  </si>
  <si>
    <t>Số lượng phụ gia AA Scavenger</t>
  </si>
  <si>
    <t>Màu, phụ gia</t>
  </si>
  <si>
    <t>Preform Costing</t>
  </si>
  <si>
    <t>CHI PHÍ QUẢN LÝ CHUNG</t>
  </si>
  <si>
    <t>CHI PHÍ VẬN CHUYỂN</t>
  </si>
  <si>
    <t>BẢO HIỂM TÀI SẢN</t>
  </si>
  <si>
    <t>Hiệu suất sử dụng</t>
  </si>
  <si>
    <t>Số ngày chứa tối đa</t>
  </si>
  <si>
    <t>YEAR 3</t>
  </si>
  <si>
    <t>Value</t>
  </si>
  <si>
    <t>CHI PHÍ SẢN XUẤT KHÁC</t>
  </si>
  <si>
    <t>CHI PHÍ NHÂN SỰ BH+QLDN</t>
  </si>
  <si>
    <t>VND/preform</t>
  </si>
  <si>
    <t>+/-</t>
  </si>
  <si>
    <t>Lợi nhuận mong muốn cổ đông:</t>
  </si>
  <si>
    <t>Conversion cost-1st</t>
  </si>
  <si>
    <t>Conversiono cost-2nd</t>
  </si>
  <si>
    <t>Option 4</t>
  </si>
  <si>
    <t>Option 5</t>
  </si>
  <si>
    <t>Option 6</t>
  </si>
  <si>
    <t>OPTION 6</t>
  </si>
  <si>
    <t>OPTION 4</t>
  </si>
  <si>
    <t>OPTION 5</t>
  </si>
  <si>
    <t>Lấy Option 3 để báo giá</t>
  </si>
  <si>
    <t>Quote 2nd vs 1st</t>
  </si>
  <si>
    <t>Year 11 - Mass Production</t>
  </si>
  <si>
    <t>Year 12 - Mass Production</t>
  </si>
  <si>
    <t>Year 13 - Mass Production</t>
  </si>
  <si>
    <t>Year 14 - Mass Production</t>
  </si>
  <si>
    <t>Year 15 - Mass Production</t>
  </si>
  <si>
    <t>Year 16 - Mass Production</t>
  </si>
  <si>
    <t>Year 17 - Mass Production</t>
  </si>
  <si>
    <t>Year 18 - Mass Production</t>
  </si>
  <si>
    <t>Year 19 - Mass Production</t>
  </si>
  <si>
    <t>Year 20 - Mass Production</t>
  </si>
  <si>
    <t>Year 21 - Mass Production</t>
  </si>
  <si>
    <t>Year 22 - Mass Production</t>
  </si>
  <si>
    <t>Year 23 - Mass Production</t>
  </si>
  <si>
    <t>Year 24 - Mass Production</t>
  </si>
  <si>
    <t>Year 25 - Mass Production</t>
  </si>
  <si>
    <t>Kéo dài thời gian khấu hao từ 10 năm -&gt; 15 năm</t>
  </si>
  <si>
    <t>Công thức có đi theo khấu hao nên giảm cùng lúc</t>
  </si>
  <si>
    <t>Base</t>
  </si>
  <si>
    <t>Công suất máy</t>
  </si>
  <si>
    <t>Đơn giá năm đầu</t>
  </si>
  <si>
    <t>BÁO GIÁ L1</t>
  </si>
  <si>
    <t>BÁO GIÁ L2</t>
  </si>
  <si>
    <t>Doanh thu</t>
  </si>
  <si>
    <t>Dthu</t>
  </si>
  <si>
    <t>%Dthu</t>
  </si>
  <si>
    <t>Suntory muốn tiết kiệm (USD)</t>
  </si>
  <si>
    <t>Suntory muốn tiết kiệm (VND)</t>
  </si>
  <si>
    <t>Số lượng phôi</t>
  </si>
  <si>
    <t>Giảm (VND/Phôi)</t>
  </si>
  <si>
    <t>Báo giá:</t>
  </si>
  <si>
    <t>UPDATED T12.25</t>
  </si>
  <si>
    <t>V.</t>
  </si>
  <si>
    <t>Chi phí
tr. VND/tấn</t>
  </si>
  <si>
    <t>Check</t>
  </si>
  <si>
    <t>Option 1: Base</t>
  </si>
  <si>
    <t>Option 2: Báo giá L1</t>
  </si>
  <si>
    <t>Option 3: Báo giá L2</t>
  </si>
  <si>
    <t>Option 5-T12.25 updated</t>
  </si>
  <si>
    <t>OPTION 1-KHÔNG CÓ KHẤU HAO XƯỞNG</t>
  </si>
  <si>
    <r>
      <t xml:space="preserve">PHƯƠNG ÁN SẢN XUẤT TỪ </t>
    </r>
    <r>
      <rPr>
        <b/>
        <sz val="18"/>
        <color rgb="FFFF0000"/>
        <rFont val="Arial"/>
        <family val="2"/>
      </rPr>
      <t>VẢY SẠCH</t>
    </r>
    <r>
      <rPr>
        <b/>
        <sz val="18"/>
        <color rgb="FF0070C0"/>
        <rFont val="Arial"/>
        <family val="2"/>
      </rPr>
      <t xml:space="preserve"> RA PHÔI (tr.VND/tấn)</t>
    </r>
  </si>
  <si>
    <t>KHỞI ĐỘNG</t>
  </si>
  <si>
    <t>UPDATED T12.25-KHÔNG CÓ THUÊ XƯỜNG</t>
  </si>
  <si>
    <t>Giá EXW</t>
  </si>
  <si>
    <t>Giá DDP</t>
  </si>
  <si>
    <t>THỜI ĐIỂM</t>
  </si>
  <si>
    <t>(VND/phôi)</t>
  </si>
  <si>
    <t>Đơn giá tăng (công thức: dựa vào năm 2027,+1)</t>
  </si>
  <si>
    <t>x</t>
  </si>
  <si>
    <t>Lam phát (công thức: dựa vào năm 2026,+1)</t>
  </si>
  <si>
    <t>Đầu tư</t>
  </si>
  <si>
    <t>tỷ VND</t>
  </si>
  <si>
    <t>TÍNH ĐẦU TƯ XƯỞNG</t>
  </si>
  <si>
    <t>KHÔNG TÍNH ĐẦU TƯ XƯỞNG</t>
  </si>
  <si>
    <r>
      <t>BÁO GIÁ LẦN 1-</t>
    </r>
    <r>
      <rPr>
        <b/>
        <sz val="11"/>
        <color theme="3" tint="0.499984740745262"/>
        <rFont val="Aptos Display"/>
        <family val="2"/>
        <scheme val="major"/>
      </rPr>
      <t>CÓ TÍNH ĐẦU TƯ XƯỞNG</t>
    </r>
  </si>
  <si>
    <r>
      <t xml:space="preserve">BÁO GIÁ LẦN 2 - </t>
    </r>
    <r>
      <rPr>
        <b/>
        <sz val="11"/>
        <color theme="3" tint="0.499984740745262"/>
        <rFont val="Aptos Display"/>
        <family val="2"/>
        <scheme val="major"/>
      </rPr>
      <t>CÓ TÍNH ĐẦU TƯ XƯỞNG</t>
    </r>
  </si>
  <si>
    <t>Tháng 10/2024</t>
  </si>
  <si>
    <t>OPTION 3: BÁO GIÁ LẦN 2
(THÁNG 12/2024)</t>
  </si>
  <si>
    <t>OPTION 2: BÁO GIÁ LẦN 1
(THÁNG 10/2024)</t>
  </si>
  <si>
    <t>OPTION 5-CẬP NHẬT T12/2025</t>
  </si>
  <si>
    <t>Giá bán phôi (VND/phôi)</t>
  </si>
  <si>
    <t>Giá bán phôi (USD/tấn)</t>
  </si>
  <si>
    <t>Giá thành phôi (VND/phôi)</t>
  </si>
  <si>
    <t>Giá thành phôi (USD/tấn)</t>
  </si>
  <si>
    <t>Chi phí: tăng theo lạm phát</t>
  </si>
  <si>
    <t>OPTION 6-CẬP NHẬT T12/2025 - KHÔNG TÍNH XƯỞNG</t>
  </si>
  <si>
    <t>Lợi nhuận sau thuế</t>
  </si>
  <si>
    <t>Lợi nhuận sau thuế (VND/phôi)</t>
  </si>
  <si>
    <t>Lợi nhuận sau thuế (USD/tấn)</t>
  </si>
  <si>
    <t>Đơn giá bán phôi</t>
  </si>
  <si>
    <t>Giá thành phôi</t>
  </si>
  <si>
    <t>Chi phí đầu tư</t>
  </si>
  <si>
    <t>MỘT SỐ CHỈ TIÊU TRỌNG YẾU</t>
  </si>
  <si>
    <t>NPV (triệu VND)</t>
  </si>
  <si>
    <t>%LN sau thuế</t>
  </si>
  <si>
    <t>GIÁ ĐỀ XUẤT - THÁNG 12/2025 :</t>
  </si>
  <si>
    <t>CẬP NHẬT THÁNG 12 / 2025</t>
  </si>
  <si>
    <r>
      <t xml:space="preserve">PHƯƠNG ÁN SẢN XUẤT TỪ </t>
    </r>
    <r>
      <rPr>
        <b/>
        <sz val="18"/>
        <color rgb="FFFF0000"/>
        <rFont val="Arial"/>
        <family val="2"/>
      </rPr>
      <t>VẢY SẠCH</t>
    </r>
    <r>
      <rPr>
        <b/>
        <sz val="18"/>
        <color rgb="FF0070C0"/>
        <rFont val="Arial"/>
        <family val="2"/>
      </rPr>
      <t xml:space="preserve"> RA PHÔI (USD/tấn)</t>
    </r>
  </si>
  <si>
    <r>
      <t xml:space="preserve">PHƯƠNG ÁN SẢN XUẤT TỪ </t>
    </r>
    <r>
      <rPr>
        <b/>
        <sz val="18"/>
        <color rgb="FFFF0000"/>
        <rFont val="Arial"/>
        <family val="2"/>
      </rPr>
      <t>VẢY SẠCH</t>
    </r>
    <r>
      <rPr>
        <b/>
        <sz val="18"/>
        <color rgb="FF0070C0"/>
        <rFont val="Arial"/>
        <family val="2"/>
      </rPr>
      <t xml:space="preserve"> RA PHÔI (VND/phôi)</t>
    </r>
  </si>
  <si>
    <r>
      <rPr>
        <i/>
        <u/>
        <sz val="11"/>
        <color theme="1"/>
        <rFont val="Aptos Display"/>
        <family val="2"/>
        <scheme val="major"/>
      </rPr>
      <t xml:space="preserve">Ghi chú: </t>
    </r>
    <r>
      <rPr>
        <i/>
        <sz val="11"/>
        <color theme="1"/>
        <rFont val="Aptos Display"/>
        <family val="2"/>
        <scheme val="major"/>
      </rPr>
      <t>Tất cả trường hợp đều có khuôn</t>
    </r>
  </si>
  <si>
    <t>CƠ SỞ</t>
  </si>
  <si>
    <t>15gr Hotfill</t>
  </si>
  <si>
    <t>MÁY MÓC THIẾT BỊ PHÒNG LAB</t>
  </si>
  <si>
    <t>m2/tháng</t>
  </si>
  <si>
    <t>Đầu tư khuôn</t>
  </si>
  <si>
    <t>Đầu tư xưởng</t>
  </si>
  <si>
    <t>9 năm 08 tháng</t>
  </si>
  <si>
    <t>Tháng 02/2025</t>
  </si>
  <si>
    <t>10 năm 08 tháng</t>
  </si>
  <si>
    <t>CƠ SỞ-BÁO GIÁ L2-
KHÔNG TÍNH ĐẦU TƯ XƯỞNG</t>
  </si>
  <si>
    <t>CƠ SỞ-BÁO GIÁ L1-
KHÔNG TÍNH ĐẦU TƯ XƯỞNG</t>
  </si>
  <si>
    <t>5 năm 05 tháng</t>
  </si>
  <si>
    <t>5 năm 07 tháng</t>
  </si>
  <si>
    <t>(VND/năm)</t>
  </si>
  <si>
    <t>(USD)</t>
  </si>
  <si>
    <t>2.03</t>
  </si>
  <si>
    <t>2.04</t>
  </si>
  <si>
    <t>2.05</t>
  </si>
  <si>
    <t>2.06</t>
  </si>
  <si>
    <t>2.07</t>
  </si>
  <si>
    <t>2.08</t>
  </si>
  <si>
    <t>2.09</t>
  </si>
  <si>
    <t>2.10</t>
  </si>
  <si>
    <t>2.11</t>
  </si>
  <si>
    <t>2.12</t>
  </si>
  <si>
    <t>2.13</t>
  </si>
  <si>
    <t>2.14</t>
  </si>
  <si>
    <t>2.15</t>
  </si>
  <si>
    <t>2.16</t>
  </si>
  <si>
    <t>2.17</t>
  </si>
  <si>
    <t>2.18</t>
  </si>
  <si>
    <t>2.19</t>
  </si>
  <si>
    <t>Paste chết</t>
  </si>
  <si>
    <t>CÁC GIẢ ĐỊNH CỦA DỰ ÁN</t>
  </si>
  <si>
    <t>GIÁ TRỊ</t>
  </si>
  <si>
    <t>ĐVT/Ghi chú</t>
  </si>
  <si>
    <t>Thông tin chung</t>
  </si>
  <si>
    <t>Sản lượng bán</t>
  </si>
  <si>
    <t>Chủ đầu tư</t>
  </si>
  <si>
    <t>Sản lượng bán năm 1</t>
  </si>
  <si>
    <t>50.0% Sản lượng sản xuất tối đa</t>
  </si>
  <si>
    <t>Thời gian khai thác</t>
  </si>
  <si>
    <t>Sản lượng bán năm 2</t>
  </si>
  <si>
    <t>70.0% Sản lượng sản xuất tối đa</t>
  </si>
  <si>
    <t>Tổng dự toán đầu tư máy móc thiết bị (VND)</t>
  </si>
  <si>
    <t>Sản lượng bán năm 3</t>
  </si>
  <si>
    <t>Tổng dự toán đầu tư máy móc thiết bị (USD)</t>
  </si>
  <si>
    <t>100.0% Sản lượng sản xuất tối đa</t>
  </si>
  <si>
    <t>Thời gian khấu hao (PP đường thẳng)</t>
  </si>
  <si>
    <t>tr.đ/tấn</t>
  </si>
  <si>
    <t>đ/kg</t>
  </si>
  <si>
    <t>Tỷ lệ chiết khấu/cơ cấu vay</t>
  </si>
  <si>
    <t>Vốn vay</t>
  </si>
  <si>
    <t>Sản lượng sản xuất tối đa</t>
  </si>
  <si>
    <t>tấn/năm</t>
  </si>
  <si>
    <t>Vốn tự có</t>
  </si>
  <si>
    <t>Lãi vay trung dài hạn</t>
  </si>
  <si>
    <t>Nhân công trực tiếp (2 người x 3 ca)</t>
  </si>
  <si>
    <t>VND/năm</t>
  </si>
  <si>
    <t>Thuế suất thuế TNDN</t>
  </si>
  <si>
    <t>Nhân viên kỹ thuật, QC, kho</t>
  </si>
  <si>
    <t>Tỷ lệ chiết khấu = WACC</t>
  </si>
  <si>
    <t>kwh</t>
  </si>
  <si>
    <t>Đơn giá điện</t>
  </si>
  <si>
    <t>đ/kwh</t>
  </si>
  <si>
    <t>Chi phí sửa chữa bảo trì</t>
  </si>
  <si>
    <t>đ/kg thành phẩm</t>
  </si>
  <si>
    <t>Nguồn nguyên vật liệu: Vảy sạch từ chai B1</t>
  </si>
  <si>
    <t>(tấn)</t>
  </si>
  <si>
    <t>Từ năm thứ 4 trở đi bằng với năm 3</t>
  </si>
  <si>
    <t>Hiệu suất sử dụng máy</t>
  </si>
  <si>
    <t>Chi phí thuê xưởng</t>
  </si>
  <si>
    <t>Lạm phát</t>
  </si>
  <si>
    <t>Chi phí vận hành xe điện</t>
  </si>
  <si>
    <t>(Số xe thuê: 2 với đơn giá thuê 20 triệu/tháng, chi phí điện 3 triệu/xe/tháng)</t>
  </si>
  <si>
    <t>Chi phí bảo hiểm</t>
  </si>
  <si>
    <t>/tổng tài sản</t>
  </si>
  <si>
    <t>VND/chuyến</t>
  </si>
  <si>
    <t>Liều lượng phụ gia</t>
  </si>
  <si>
    <t>Đơn giá phụ gia</t>
  </si>
  <si>
    <t>VND/kg</t>
  </si>
  <si>
    <t>Đơn giá chai B1</t>
  </si>
  <si>
    <t>Đơn giá vảy sạch cho dự án</t>
  </si>
  <si>
    <t>Tỷ lệ hao hụt FtoP</t>
  </si>
  <si>
    <t>CẬP NHẬT THÁNG 12 / 2025 - BÁO GIÁ</t>
  </si>
  <si>
    <t>OPTION 4: OPTION 1 CÓ XƯỞNG</t>
  </si>
  <si>
    <t>Base-CÓ XƯỞNG</t>
  </si>
  <si>
    <t>CÓ TÍNH ĐẦU TƯ XƯỞNG</t>
  </si>
  <si>
    <t>Dự án chưa tính giá trị đầu tư xưởng (khoảng 150 tỷ đồng ~ 6 triệu USD)</t>
  </si>
  <si>
    <t>Dòng tiền</t>
  </si>
  <si>
    <t>Dòng tiền chiết khấu</t>
  </si>
  <si>
    <t>Dòng tiền chiết khấu Lũy kế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</si>
</sst>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43" formatCode="_(* #,##0.00_);_(* \(#,##0.00\);_(* &quot;-&quot;??_);_(@_)"/>
    <numFmt numFmtId="164" formatCode="_(* #,##0_);_(* \(#,##0\);_(* &quot;-&quot;??_);_(@_)"/>
    <numFmt numFmtId="165" formatCode="0.0%"/>
    <numFmt numFmtId="166" formatCode="_-* #,##0.00_-;\-* #,##0.00_-;_-* &quot;-&quot;??_-;_-@_-"/>
    <numFmt numFmtId="167" formatCode="_(* #,##0.0_);_(* \(#,##0.0\);_(* &quot;-&quot;??_);_(@_)"/>
    <numFmt numFmtId="168" formatCode="_(* #,##0.000_);_(* \(#,##0.000\);_(* &quot;-&quot;??_);_(@_)"/>
    <numFmt numFmtId="169" formatCode="_(* #,##0.000_);_(* \(#,##0.000\);_(* &quot;-&quot;???_);_(@_)"/>
    <numFmt numFmtId="170" formatCode="0.000000000000000%"/>
    <numFmt numFmtId="171" formatCode="#,##0\ &quot;gram&quot;"/>
    <numFmt numFmtId="172" formatCode="#,##0\ &quot;cái&quot;"/>
    <numFmt numFmtId="173" formatCode="&quot;Năm thứ: &quot;\ #,##0"/>
    <numFmt numFmtId="174" formatCode="#,##0_);\(#,##0\);;"/>
    <numFmt numFmtId="175" formatCode="&quot;Năm thứ: &quot;\ 00"/>
    <numFmt numFmtId="176" formatCode="0.0%;\-0.0.%;"/>
    <numFmt numFmtId="177" formatCode="\+0%"/>
    <numFmt numFmtId="178" formatCode="00"/>
    <numFmt numFmtId="179" formatCode="_(* #,##0.000000_);_(* \(#,##0.000000\);_(* &quot;-&quot;??_);_(@_)"/>
    <numFmt numFmtId="180" formatCode="_(* #,##0.00_);_(* \(#,##0.00\);;_(@_)"/>
    <numFmt numFmtId="181" formatCode="0.0%\';\-0.0%;;"/>
    <numFmt numFmtId="182" formatCode="#,##0.0_);\(#,##0.0\);"/>
    <numFmt numFmtId="183" formatCode="\+0%;\-0%;;"/>
    <numFmt numFmtId="184" formatCode="\+0%;\-0%;0%"/>
    <numFmt numFmtId="185" formatCode="_(* #,##0_)&quot;VND/phôi&quot;;_(* \(#,##0\);_(* &quot;-&quot;??_);_(@_)"/>
    <numFmt numFmtId="186" formatCode="\~_(* #,##0_);_(* \(#,##0\);_(* &quot;-&quot;??_);_(@_)"/>
    <numFmt numFmtId="187" formatCode="#,##0;\(#,##0\);;_(@_)"/>
  </numFmts>
  <fonts count="124" x14ac:knownFonts="1">
    <font>
      <sz val="11"/>
      <color theme="1"/>
      <name val="Aptos Display"/>
      <family val="2"/>
      <scheme val="major"/>
    </font>
    <font>
      <sz val="11"/>
      <color theme="1"/>
      <name val="Aptos Display"/>
      <family val="2"/>
      <scheme val="major"/>
    </font>
    <font>
      <b/>
      <sz val="11"/>
      <color theme="1"/>
      <name val="Aptos Display"/>
      <family val="2"/>
      <scheme val="major"/>
    </font>
    <font>
      <b/>
      <sz val="18"/>
      <color rgb="FF0000FF"/>
      <name val="Aptos Narrow"/>
      <family val="2"/>
      <scheme val="minor"/>
    </font>
    <font>
      <b/>
      <sz val="11"/>
      <color theme="0"/>
      <name val="Aptos Narrow"/>
      <family val="2"/>
      <scheme val="minor"/>
    </font>
    <font>
      <b/>
      <sz val="11"/>
      <color rgb="FF0000FF"/>
      <name val="Aptos Display"/>
      <family val="2"/>
      <scheme val="major"/>
    </font>
    <font>
      <b/>
      <sz val="20"/>
      <color rgb="FF0000FF"/>
      <name val="Aptos Display"/>
      <family val="2"/>
      <scheme val="major"/>
    </font>
    <font>
      <i/>
      <sz val="11"/>
      <color theme="1"/>
      <name val="Aptos Display"/>
      <family val="2"/>
      <scheme val="major"/>
    </font>
    <font>
      <b/>
      <sz val="13"/>
      <color rgb="FF0000FF"/>
      <name val="Aptos Display"/>
      <family val="2"/>
      <scheme val="major"/>
    </font>
    <font>
      <b/>
      <sz val="13"/>
      <color theme="1"/>
      <name val="Aptos Display"/>
      <family val="2"/>
      <scheme val="major"/>
    </font>
    <font>
      <sz val="11"/>
      <color theme="0" tint="-0.34998626667073579"/>
      <name val="Aptos Display"/>
      <family val="2"/>
      <scheme val="major"/>
    </font>
    <font>
      <i/>
      <vertAlign val="superscript"/>
      <sz val="11"/>
      <color theme="1"/>
      <name val="Aptos Display"/>
      <family val="2"/>
      <scheme val="major"/>
    </font>
    <font>
      <sz val="8"/>
      <name val="Aptos Display"/>
      <family val="2"/>
      <scheme val="major"/>
    </font>
    <font>
      <b/>
      <sz val="15"/>
      <color rgb="FF0000FF"/>
      <name val="Aptos Display"/>
      <family val="2"/>
      <scheme val="major"/>
    </font>
    <font>
      <b/>
      <i/>
      <sz val="11"/>
      <color theme="1"/>
      <name val="Aptos Display"/>
      <family val="2"/>
      <scheme val="major"/>
    </font>
    <font>
      <b/>
      <i/>
      <sz val="11"/>
      <color rgb="FF0000FF"/>
      <name val="Aptos Display"/>
      <family val="2"/>
      <scheme val="major"/>
    </font>
    <font>
      <b/>
      <sz val="11"/>
      <color theme="5" tint="-0.249977111117893"/>
      <name val="Aptos Narrow"/>
      <family val="2"/>
      <scheme val="minor"/>
    </font>
    <font>
      <b/>
      <sz val="13"/>
      <color theme="9" tint="-0.249977111117893"/>
      <name val="Aptos Narrow"/>
      <family val="2"/>
      <scheme val="minor"/>
    </font>
    <font>
      <b/>
      <sz val="11"/>
      <color theme="1"/>
      <name val="Aptos Narrow"/>
      <family val="2"/>
      <scheme val="minor"/>
    </font>
    <font>
      <sz val="11"/>
      <color theme="1"/>
      <name val="Aptos Narrow"/>
      <family val="1"/>
      <charset val="136"/>
      <scheme val="minor"/>
    </font>
    <font>
      <sz val="11"/>
      <color theme="1"/>
      <name val="Calibri"/>
      <family val="2"/>
    </font>
    <font>
      <sz val="11"/>
      <color rgb="FFFF0000"/>
      <name val="Aptos Display"/>
      <family val="2"/>
      <scheme val="major"/>
    </font>
    <font>
      <u/>
      <sz val="11"/>
      <color theme="10"/>
      <name val="Aptos Narrow"/>
      <family val="2"/>
      <charset val="163"/>
      <scheme val="minor"/>
    </font>
    <font>
      <sz val="11"/>
      <color theme="1"/>
      <name val="Aptos Narrow"/>
      <family val="2"/>
      <charset val="163"/>
      <scheme val="minor"/>
    </font>
    <font>
      <sz val="11"/>
      <color theme="1"/>
      <name val="Aptos Narrow"/>
      <family val="2"/>
      <scheme val="minor"/>
    </font>
    <font>
      <sz val="9"/>
      <color theme="1"/>
      <name val="Aptos Display"/>
      <family val="2"/>
      <scheme val="major"/>
    </font>
    <font>
      <b/>
      <sz val="9"/>
      <color theme="0"/>
      <name val="Aptos Display"/>
      <family val="2"/>
      <scheme val="major"/>
    </font>
    <font>
      <b/>
      <sz val="9"/>
      <color theme="1"/>
      <name val="Aptos Display"/>
      <family val="2"/>
      <scheme val="major"/>
    </font>
    <font>
      <sz val="11"/>
      <color theme="0" tint="-0.249977111117893"/>
      <name val="Aptos Display"/>
      <family val="2"/>
      <scheme val="major"/>
    </font>
    <font>
      <sz val="9"/>
      <color theme="0" tint="-0.249977111117893"/>
      <name val="Aptos Display"/>
      <family val="2"/>
      <scheme val="major"/>
    </font>
    <font>
      <sz val="10"/>
      <color theme="1"/>
      <name val="Times New Roman"/>
      <family val="1"/>
    </font>
    <font>
      <b/>
      <sz val="11"/>
      <color rgb="FFFF0000"/>
      <name val="Aptos Narrow"/>
      <family val="2"/>
    </font>
    <font>
      <b/>
      <sz val="11"/>
      <color rgb="FF000000"/>
      <name val="Aptos Narrow"/>
      <family val="2"/>
    </font>
    <font>
      <b/>
      <sz val="11"/>
      <color rgb="FFFA7D00"/>
      <name val="Aptos Narrow"/>
      <family val="2"/>
    </font>
    <font>
      <b/>
      <sz val="11"/>
      <color rgb="FF0000FF"/>
      <name val="Aptos Narrow"/>
      <family val="2"/>
    </font>
    <font>
      <sz val="11"/>
      <color rgb="FF000000"/>
      <name val="Aptos Narrow"/>
      <family val="2"/>
    </font>
    <font>
      <b/>
      <sz val="18"/>
      <color rgb="FF0070C0"/>
      <name val="Arial"/>
      <family val="2"/>
    </font>
    <font>
      <sz val="11"/>
      <color theme="1"/>
      <name val="Arial"/>
      <family val="2"/>
    </font>
    <font>
      <b/>
      <sz val="13"/>
      <color theme="0"/>
      <name val="Arial"/>
      <family val="2"/>
    </font>
    <font>
      <b/>
      <sz val="13"/>
      <color rgb="FF0033CC"/>
      <name val="Arial"/>
      <family val="2"/>
    </font>
    <font>
      <sz val="13"/>
      <color theme="1"/>
      <name val="Arial"/>
      <family val="2"/>
    </font>
    <font>
      <sz val="13"/>
      <color rgb="FF0033CC"/>
      <name val="Arial"/>
      <family val="2"/>
    </font>
    <font>
      <b/>
      <sz val="13"/>
      <color rgb="FF0000FF"/>
      <name val="Arial"/>
      <family val="2"/>
    </font>
    <font>
      <b/>
      <sz val="11"/>
      <color theme="1"/>
      <name val="Arial"/>
      <family val="2"/>
    </font>
    <font>
      <sz val="13"/>
      <name val="Arial"/>
      <family val="2"/>
    </font>
    <font>
      <i/>
      <sz val="9"/>
      <color rgb="FFFF33CC"/>
      <name val="Aptos Display"/>
      <family val="2"/>
      <scheme val="major"/>
    </font>
    <font>
      <i/>
      <sz val="11"/>
      <color rgb="FFFF33CC"/>
      <name val="Aptos Display"/>
      <family val="2"/>
      <scheme val="major"/>
    </font>
    <font>
      <b/>
      <sz val="11"/>
      <color theme="1"/>
      <name val="Calibri"/>
      <family val="2"/>
    </font>
    <font>
      <b/>
      <sz val="11"/>
      <color theme="0" tint="-0.499984740745262"/>
      <name val="Calibri"/>
      <family val="2"/>
    </font>
    <font>
      <sz val="11"/>
      <color theme="0" tint="-0.499984740745262"/>
      <name val="Calibri"/>
      <family val="2"/>
    </font>
    <font>
      <sz val="11"/>
      <color rgb="FFFF0000"/>
      <name val="Calibri"/>
      <family val="2"/>
    </font>
    <font>
      <b/>
      <sz val="11"/>
      <name val="Calibri"/>
      <family val="2"/>
    </font>
    <font>
      <i/>
      <sz val="11"/>
      <color theme="1"/>
      <name val="Calibri"/>
      <family val="2"/>
    </font>
    <font>
      <b/>
      <sz val="11"/>
      <color rgb="FFC00000"/>
      <name val="Calibri"/>
      <family val="2"/>
    </font>
    <font>
      <i/>
      <sz val="11"/>
      <color theme="0" tint="-0.499984740745262"/>
      <name val="Calibri"/>
      <family val="2"/>
    </font>
    <font>
      <b/>
      <sz val="12"/>
      <color theme="1"/>
      <name val="Aptos Display"/>
      <family val="2"/>
      <scheme val="major"/>
    </font>
    <font>
      <b/>
      <sz val="11"/>
      <color rgb="FFFF0000"/>
      <name val="Calibri"/>
      <family val="2"/>
    </font>
    <font>
      <i/>
      <sz val="11"/>
      <color rgb="FFFF0000"/>
      <name val="Calibri"/>
      <family val="2"/>
    </font>
    <font>
      <i/>
      <sz val="11"/>
      <color theme="4" tint="0.39997558519241921"/>
      <name val="Aptos Display"/>
      <family val="2"/>
      <scheme val="major"/>
    </font>
    <font>
      <sz val="11"/>
      <color rgb="FF0000FF"/>
      <name val="Aptos Display"/>
      <family val="2"/>
      <scheme val="major"/>
    </font>
    <font>
      <i/>
      <sz val="11"/>
      <color rgb="FF0000FF"/>
      <name val="Aptos Display"/>
      <family val="2"/>
      <scheme val="major"/>
    </font>
    <font>
      <sz val="13"/>
      <color rgb="FF0000FF"/>
      <name val="Aptos Display"/>
      <family val="2"/>
      <scheme val="major"/>
    </font>
    <font>
      <sz val="15"/>
      <color rgb="FF0000FF"/>
      <name val="Aptos Display"/>
      <family val="2"/>
      <scheme val="major"/>
    </font>
    <font>
      <sz val="9"/>
      <color rgb="FF0000FF"/>
      <name val="Aptos Display"/>
      <family val="2"/>
      <scheme val="major"/>
    </font>
    <font>
      <b/>
      <sz val="12"/>
      <color theme="0"/>
      <name val="Aptos Display"/>
      <family val="2"/>
      <scheme val="major"/>
    </font>
    <font>
      <b/>
      <sz val="13"/>
      <color theme="0"/>
      <name val="Aptos Display"/>
      <family val="2"/>
      <scheme val="major"/>
    </font>
    <font>
      <b/>
      <sz val="9"/>
      <color rgb="FF0000FF"/>
      <name val="Aptos Display"/>
      <family val="2"/>
      <scheme val="major"/>
    </font>
    <font>
      <sz val="13"/>
      <color theme="1"/>
      <name val="Aptos Display"/>
      <family val="2"/>
      <scheme val="major"/>
    </font>
    <font>
      <i/>
      <sz val="11"/>
      <color theme="3" tint="0.499984740745262"/>
      <name val="Aptos Display"/>
      <family val="2"/>
      <scheme val="major"/>
    </font>
    <font>
      <i/>
      <sz val="9"/>
      <color theme="3" tint="0.499984740745262"/>
      <name val="Aptos Display"/>
      <family val="2"/>
      <scheme val="major"/>
    </font>
    <font>
      <b/>
      <sz val="11"/>
      <color theme="4" tint="0.39997558519241921"/>
      <name val="Aptos Display"/>
      <family val="2"/>
      <scheme val="major"/>
    </font>
    <font>
      <b/>
      <sz val="9"/>
      <color theme="4" tint="0.39997558519241921"/>
      <name val="Aptos Display"/>
      <family val="2"/>
      <scheme val="major"/>
    </font>
    <font>
      <sz val="11"/>
      <color theme="4" tint="0.39997558519241921"/>
      <name val="Aptos Display"/>
      <family val="2"/>
      <scheme val="major"/>
    </font>
    <font>
      <sz val="9"/>
      <color theme="4" tint="0.39997558519241921"/>
      <name val="Aptos Display"/>
      <family val="2"/>
      <scheme val="major"/>
    </font>
    <font>
      <b/>
      <sz val="11"/>
      <color theme="7" tint="-0.499984740745262"/>
      <name val="Aptos Display"/>
      <family val="2"/>
      <scheme val="major"/>
    </font>
    <font>
      <b/>
      <sz val="13"/>
      <color theme="7" tint="-0.499984740745262"/>
      <name val="Aptos Display"/>
      <family val="2"/>
      <scheme val="major"/>
    </font>
    <font>
      <b/>
      <sz val="9"/>
      <color theme="7" tint="-0.499984740745262"/>
      <name val="Aptos Display"/>
      <family val="2"/>
      <scheme val="major"/>
    </font>
    <font>
      <sz val="11"/>
      <color theme="0"/>
      <name val="Aptos Display"/>
      <family val="2"/>
      <scheme val="major"/>
    </font>
    <font>
      <b/>
      <sz val="11"/>
      <color rgb="FFFF0000"/>
      <name val="Aptos Display"/>
      <family val="2"/>
      <scheme val="major"/>
    </font>
    <font>
      <b/>
      <sz val="9"/>
      <color rgb="FFFF0000"/>
      <name val="Aptos Display"/>
      <family val="2"/>
      <scheme val="major"/>
    </font>
    <font>
      <sz val="11"/>
      <color rgb="FF0000FF"/>
      <name val="Arial"/>
      <family val="2"/>
    </font>
    <font>
      <b/>
      <sz val="11"/>
      <color rgb="FF0000FF"/>
      <name val="Arial"/>
      <family val="2"/>
    </font>
    <font>
      <b/>
      <sz val="13"/>
      <color theme="1"/>
      <name val="Arial"/>
      <family val="2"/>
    </font>
    <font>
      <i/>
      <sz val="11"/>
      <color rgb="FF00B0F0"/>
      <name val="Aptos Display"/>
      <family val="2"/>
      <scheme val="major"/>
    </font>
    <font>
      <b/>
      <sz val="11"/>
      <color rgb="FF002060"/>
      <name val="Aptos Display"/>
      <family val="2"/>
      <scheme val="major"/>
    </font>
    <font>
      <b/>
      <u/>
      <sz val="11"/>
      <color theme="1"/>
      <name val="Aptos Display"/>
      <family val="2"/>
      <scheme val="major"/>
    </font>
    <font>
      <b/>
      <sz val="11"/>
      <color rgb="FFFFFF00"/>
      <name val="Arial"/>
      <family val="2"/>
    </font>
    <font>
      <i/>
      <sz val="9"/>
      <color rgb="FF0000FF"/>
      <name val="Arial"/>
      <family val="2"/>
    </font>
    <font>
      <b/>
      <sz val="11"/>
      <color theme="0"/>
      <name val="Aptos Display"/>
      <family val="2"/>
      <scheme val="major"/>
    </font>
    <font>
      <sz val="11"/>
      <color rgb="FFFFFF00"/>
      <name val="Arial"/>
      <family val="2"/>
    </font>
    <font>
      <b/>
      <i/>
      <sz val="11"/>
      <color theme="1"/>
      <name val="Calibri"/>
      <family val="2"/>
    </font>
    <font>
      <b/>
      <i/>
      <sz val="11"/>
      <color theme="1"/>
      <name val="Aptos Narrow"/>
      <family val="2"/>
      <scheme val="minor"/>
    </font>
    <font>
      <i/>
      <sz val="11"/>
      <color theme="0"/>
      <name val="Aptos Display"/>
      <family val="2"/>
      <scheme val="major"/>
    </font>
    <font>
      <sz val="15"/>
      <color theme="7" tint="-0.249977111117893"/>
      <name val="Aptos Display"/>
      <family val="2"/>
      <scheme val="major"/>
    </font>
    <font>
      <b/>
      <sz val="15"/>
      <color theme="7" tint="-0.249977111117893"/>
      <name val="Aptos Display"/>
      <family val="2"/>
      <scheme val="major"/>
    </font>
    <font>
      <sz val="9"/>
      <color indexed="81"/>
      <name val="Tahoma"/>
      <family val="2"/>
    </font>
    <font>
      <b/>
      <sz val="9"/>
      <color indexed="81"/>
      <name val="Tahoma"/>
      <family val="2"/>
    </font>
    <font>
      <b/>
      <sz val="9"/>
      <color rgb="FFFF33CC"/>
      <name val="Aptos Display"/>
      <family val="2"/>
      <scheme val="major"/>
    </font>
    <font>
      <sz val="9"/>
      <color rgb="FFFF33CC"/>
      <name val="Aptos Display"/>
      <family val="2"/>
      <scheme val="major"/>
    </font>
    <font>
      <i/>
      <sz val="11"/>
      <color rgb="FF00B0F0"/>
      <name val="Arial"/>
      <family val="2"/>
    </font>
    <font>
      <i/>
      <u/>
      <sz val="13"/>
      <name val="Arial"/>
      <family val="2"/>
    </font>
    <font>
      <b/>
      <sz val="18"/>
      <color rgb="FFFF0000"/>
      <name val="Arial"/>
      <family val="2"/>
    </font>
    <font>
      <sz val="9"/>
      <color theme="1"/>
      <name val="Arial"/>
      <family val="2"/>
    </font>
    <font>
      <i/>
      <sz val="11"/>
      <color theme="0" tint="-0.249977111117893"/>
      <name val="Aptos Display"/>
      <family val="2"/>
      <scheme val="major"/>
    </font>
    <font>
      <b/>
      <sz val="11"/>
      <color theme="0" tint="-4.9989318521683403E-2"/>
      <name val="Aptos Display"/>
      <family val="2"/>
      <scheme val="major"/>
    </font>
    <font>
      <sz val="11"/>
      <color rgb="FF000099"/>
      <name val="Aptos Display"/>
      <family val="2"/>
      <scheme val="major"/>
    </font>
    <font>
      <b/>
      <sz val="11"/>
      <color theme="7" tint="-0.249977111117893"/>
      <name val="Aptos Display"/>
      <family val="2"/>
      <scheme val="major"/>
    </font>
    <font>
      <b/>
      <sz val="11"/>
      <color theme="3" tint="0.499984740745262"/>
      <name val="Aptos Display"/>
      <family val="2"/>
      <scheme val="major"/>
    </font>
    <font>
      <i/>
      <u/>
      <sz val="11"/>
      <color theme="1"/>
      <name val="Aptos Display"/>
      <family val="2"/>
      <scheme val="major"/>
    </font>
    <font>
      <b/>
      <sz val="11"/>
      <color theme="7" tint="-0.249977111117893"/>
      <name val="Arial"/>
      <family val="2"/>
    </font>
    <font>
      <sz val="11"/>
      <color rgb="FFC00000"/>
      <name val="Aptos Display"/>
      <family val="2"/>
      <scheme val="major"/>
    </font>
    <font>
      <b/>
      <sz val="11"/>
      <color rgb="FFC00000"/>
      <name val="Aptos Display"/>
      <family val="2"/>
      <scheme val="major"/>
    </font>
    <font>
      <i/>
      <sz val="11"/>
      <color rgb="FFC00000"/>
      <name val="Aptos Display"/>
      <family val="2"/>
      <scheme val="major"/>
    </font>
    <font>
      <b/>
      <sz val="18"/>
      <color theme="1"/>
      <name val="Aptos Display"/>
      <family val="2"/>
      <scheme val="major"/>
    </font>
    <font>
      <sz val="9"/>
      <color indexed="81"/>
      <name val="Tahoma"/>
    </font>
    <font>
      <b/>
      <sz val="9"/>
      <color indexed="81"/>
      <name val="Tahoma"/>
    </font>
    <font>
      <sz val="9"/>
      <color indexed="81"/>
      <name val="Tahoma"/>
      <charset val="1"/>
    </font>
    <font>
      <b/>
      <sz val="9"/>
      <color indexed="81"/>
      <name val="Tahoma"/>
      <charset val="1"/>
    </font>
    <font>
      <b/>
      <sz val="18"/>
      <color rgb="FF0000FF"/>
      <name val="Aptos Display"/>
      <family val="2"/>
      <scheme val="major"/>
    </font>
    <font>
      <b/>
      <sz val="14"/>
      <color theme="0"/>
      <name val="Aptos Display"/>
      <family val="2"/>
      <scheme val="major"/>
    </font>
    <font>
      <sz val="14"/>
      <color rgb="FF0000FF"/>
      <name val="Aptos Display"/>
      <family val="2"/>
      <scheme val="major"/>
    </font>
    <font>
      <b/>
      <sz val="12"/>
      <color rgb="FF0000FF"/>
      <name val="Aptos Display"/>
      <family val="2"/>
      <scheme val="major"/>
    </font>
    <font>
      <sz val="12"/>
      <color rgb="FF0000FF"/>
      <name val="Aptos Display"/>
      <family val="2"/>
      <scheme val="major"/>
    </font>
    <font>
      <i/>
      <sz val="12"/>
      <color rgb="FF0000FF"/>
      <name val="Aptos Display"/>
      <family val="2"/>
      <scheme val="major"/>
    </font>
  </fonts>
  <fills count="32">
    <fill>
      <patternFill patternType="none"/>
    </fill>
    <fill>
      <patternFill patternType="gray125"/>
    </fill>
    <fill>
      <patternFill patternType="solid">
        <fgColor theme="3" tint="0.249977111117893"/>
        <bgColor indexed="64"/>
      </patternFill>
    </fill>
    <fill>
      <patternFill patternType="solid">
        <fgColor rgb="FFFFFF00"/>
        <bgColor indexed="64"/>
      </patternFill>
    </fill>
    <fill>
      <patternFill patternType="solid">
        <fgColor rgb="FFFFFF99"/>
        <bgColor indexed="64"/>
      </patternFill>
    </fill>
    <fill>
      <patternFill patternType="solid">
        <fgColor rgb="FFCCCC0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2F2F2"/>
        <bgColor indexed="64"/>
      </patternFill>
    </fill>
    <fill>
      <patternFill patternType="solid">
        <fgColor theme="6" tint="0.39997558519241921"/>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002060"/>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rgb="FF0000FF"/>
        <bgColor indexed="64"/>
      </patternFill>
    </fill>
    <fill>
      <patternFill patternType="solid">
        <fgColor rgb="FF000099"/>
        <bgColor indexed="64"/>
      </patternFill>
    </fill>
    <fill>
      <patternFill patternType="solid">
        <fgColor theme="7" tint="0.79998168889431442"/>
        <bgColor indexed="64"/>
      </patternFill>
    </fill>
    <fill>
      <patternFill patternType="solid">
        <fgColor theme="4" tint="-0.249977111117893"/>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style="thin">
        <color auto="1"/>
      </top>
      <bottom/>
      <diagonal/>
    </border>
    <border>
      <left/>
      <right/>
      <top style="thin">
        <color auto="1"/>
      </top>
      <bottom style="thin">
        <color auto="1"/>
      </bottom>
      <diagonal/>
    </border>
    <border>
      <left/>
      <right/>
      <top style="medium">
        <color auto="1"/>
      </top>
      <bottom style="medium">
        <color auto="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medium">
        <color rgb="FFB2B2B2"/>
      </left>
      <right/>
      <top style="medium">
        <color rgb="FFB2B2B2"/>
      </top>
      <bottom style="medium">
        <color rgb="FF7F7F7F"/>
      </bottom>
      <diagonal/>
    </border>
    <border>
      <left/>
      <right/>
      <top style="medium">
        <color rgb="FFB2B2B2"/>
      </top>
      <bottom style="medium">
        <color rgb="FF7F7F7F"/>
      </bottom>
      <diagonal/>
    </border>
    <border>
      <left/>
      <right style="medium">
        <color rgb="FFB2B2B2"/>
      </right>
      <top style="medium">
        <color rgb="FFB2B2B2"/>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B2B2B2"/>
      </left>
      <right/>
      <top/>
      <bottom style="medium">
        <color rgb="FF7F7F7F"/>
      </bottom>
      <diagonal/>
    </border>
    <border>
      <left/>
      <right/>
      <top/>
      <bottom style="medium">
        <color rgb="FF7F7F7F"/>
      </bottom>
      <diagonal/>
    </border>
    <border>
      <left/>
      <right style="medium">
        <color rgb="FFB2B2B2"/>
      </right>
      <top/>
      <bottom style="medium">
        <color rgb="FF7F7F7F"/>
      </bottom>
      <diagonal/>
    </border>
    <border>
      <left/>
      <right/>
      <top/>
      <bottom style="medium">
        <color rgb="FFB2B2B2"/>
      </bottom>
      <diagonal/>
    </border>
    <border>
      <left style="medium">
        <color rgb="FFB2B2B2"/>
      </left>
      <right/>
      <top style="medium">
        <color rgb="FF7F7F7F"/>
      </top>
      <bottom style="medium">
        <color rgb="FF7F7F7F"/>
      </bottom>
      <diagonal/>
    </border>
    <border>
      <left/>
      <right/>
      <top style="medium">
        <color rgb="FF7F7F7F"/>
      </top>
      <bottom style="medium">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2" tint="-9.9948118533890809E-2"/>
      </left>
      <right style="thin">
        <color theme="2" tint="-9.9948118533890809E-2"/>
      </right>
      <top style="thin">
        <color theme="2" tint="-9.9948118533890809E-2"/>
      </top>
      <bottom/>
      <diagonal/>
    </border>
    <border>
      <left style="medium">
        <color auto="1"/>
      </left>
      <right/>
      <top style="medium">
        <color auto="1"/>
      </top>
      <bottom style="medium">
        <color auto="1"/>
      </bottom>
      <diagonal/>
    </border>
    <border>
      <left style="medium">
        <color auto="1"/>
      </left>
      <right/>
      <top/>
      <bottom/>
      <diagonal/>
    </border>
    <border>
      <left/>
      <right style="medium">
        <color auto="1"/>
      </right>
      <top/>
      <bottom/>
      <diagonal/>
    </border>
    <border>
      <left/>
      <right/>
      <top/>
      <bottom style="thin">
        <color auto="1"/>
      </bottom>
      <diagonal/>
    </border>
    <border>
      <left/>
      <right/>
      <top/>
      <bottom style="dotted">
        <color auto="1"/>
      </bottom>
      <diagonal/>
    </border>
    <border>
      <left/>
      <right/>
      <top style="dotted">
        <color auto="1"/>
      </top>
      <bottom style="dotted">
        <color auto="1"/>
      </bottom>
      <diagonal/>
    </border>
    <border>
      <left/>
      <right/>
      <top style="hair">
        <color theme="0" tint="-0.24994659260841701"/>
      </top>
      <bottom style="dotted">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medium">
        <color auto="1"/>
      </bottom>
      <diagonal/>
    </border>
    <border>
      <left/>
      <right style="thin">
        <color theme="0" tint="-0.24994659260841701"/>
      </right>
      <top/>
      <bottom style="medium">
        <color auto="1"/>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right style="thin">
        <color theme="2" tint="-9.9948118533890809E-2"/>
      </right>
      <top style="thin">
        <color theme="2" tint="-9.9948118533890809E-2"/>
      </top>
      <bottom/>
      <diagonal/>
    </border>
    <border>
      <left/>
      <right style="thin">
        <color theme="2" tint="-9.9948118533890809E-2"/>
      </right>
      <top/>
      <bottom style="thin">
        <color theme="2" tint="-9.9948118533890809E-2"/>
      </bottom>
      <diagonal/>
    </border>
    <border>
      <left style="thick">
        <color rgb="FFC00000"/>
      </left>
      <right style="thin">
        <color theme="2" tint="-9.9948118533890809E-2"/>
      </right>
      <top style="thick">
        <color rgb="FFC00000"/>
      </top>
      <bottom style="thin">
        <color theme="2" tint="-9.9948118533890809E-2"/>
      </bottom>
      <diagonal/>
    </border>
    <border>
      <left style="thin">
        <color theme="2" tint="-9.9948118533890809E-2"/>
      </left>
      <right style="thick">
        <color rgb="FFC00000"/>
      </right>
      <top style="thick">
        <color rgb="FFC00000"/>
      </top>
      <bottom style="thin">
        <color theme="2" tint="-9.9948118533890809E-2"/>
      </bottom>
      <diagonal/>
    </border>
    <border>
      <left style="thick">
        <color rgb="FFC0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C00000"/>
      </right>
      <top style="thin">
        <color theme="2" tint="-9.9948118533890809E-2"/>
      </top>
      <bottom style="thin">
        <color theme="2" tint="-9.9948118533890809E-2"/>
      </bottom>
      <diagonal/>
    </border>
    <border>
      <left style="thick">
        <color rgb="FFC00000"/>
      </left>
      <right style="thin">
        <color theme="2" tint="-9.9948118533890809E-2"/>
      </right>
      <top style="thin">
        <color theme="2" tint="-9.9948118533890809E-2"/>
      </top>
      <bottom/>
      <diagonal/>
    </border>
    <border>
      <left style="thin">
        <color theme="2" tint="-9.9948118533890809E-2"/>
      </left>
      <right style="thick">
        <color rgb="FFC00000"/>
      </right>
      <top style="thin">
        <color theme="2" tint="-9.9948118533890809E-2"/>
      </top>
      <bottom/>
      <diagonal/>
    </border>
    <border>
      <left style="thick">
        <color rgb="FFC00000"/>
      </left>
      <right style="thin">
        <color theme="2" tint="-9.9948118533890809E-2"/>
      </right>
      <top/>
      <bottom style="thin">
        <color theme="2" tint="-9.9948118533890809E-2"/>
      </bottom>
      <diagonal/>
    </border>
    <border>
      <left style="thin">
        <color theme="2" tint="-9.9948118533890809E-2"/>
      </left>
      <right style="thick">
        <color rgb="FFC00000"/>
      </right>
      <top/>
      <bottom style="thin">
        <color theme="2" tint="-9.9948118533890809E-2"/>
      </bottom>
      <diagonal/>
    </border>
    <border>
      <left style="thick">
        <color rgb="FFC00000"/>
      </left>
      <right style="thin">
        <color theme="2" tint="-9.9948118533890809E-2"/>
      </right>
      <top style="thin">
        <color theme="2" tint="-9.9948118533890809E-2"/>
      </top>
      <bottom style="thick">
        <color rgb="FFC00000"/>
      </bottom>
      <diagonal/>
    </border>
    <border>
      <left style="thin">
        <color theme="2" tint="-9.9948118533890809E-2"/>
      </left>
      <right style="thick">
        <color rgb="FFC00000"/>
      </right>
      <top style="thin">
        <color theme="2" tint="-9.9948118533890809E-2"/>
      </top>
      <bottom style="thick">
        <color rgb="FFC00000"/>
      </bottom>
      <diagonal/>
    </border>
    <border>
      <left/>
      <right/>
      <top/>
      <bottom style="hair">
        <color theme="0" tint="-0.14996795556505021"/>
      </bottom>
      <diagonal/>
    </border>
    <border>
      <left/>
      <right/>
      <top style="hair">
        <color theme="0" tint="-0.14996795556505021"/>
      </top>
      <bottom style="hair">
        <color theme="0" tint="-0.14996795556505021"/>
      </bottom>
      <diagonal/>
    </border>
    <border>
      <left/>
      <right/>
      <top/>
      <bottom style="thin">
        <color rgb="FF0033CC"/>
      </bottom>
      <diagonal/>
    </border>
    <border>
      <left style="medium">
        <color theme="1"/>
      </left>
      <right/>
      <top style="medium">
        <color theme="1"/>
      </top>
      <bottom style="hair">
        <color theme="0" tint="-0.14996795556505021"/>
      </bottom>
      <diagonal/>
    </border>
    <border>
      <left/>
      <right/>
      <top style="medium">
        <color theme="1"/>
      </top>
      <bottom style="hair">
        <color theme="0" tint="-0.14996795556505021"/>
      </bottom>
      <diagonal/>
    </border>
    <border>
      <left style="medium">
        <color theme="1"/>
      </left>
      <right/>
      <top style="hair">
        <color theme="0" tint="-0.14996795556505021"/>
      </top>
      <bottom style="hair">
        <color theme="0" tint="-0.14996795556505021"/>
      </bottom>
      <diagonal/>
    </border>
    <border>
      <left style="medium">
        <color theme="1"/>
      </left>
      <right/>
      <top style="hair">
        <color theme="0" tint="-0.14996795556505021"/>
      </top>
      <bottom style="medium">
        <color theme="1"/>
      </bottom>
      <diagonal/>
    </border>
    <border>
      <left/>
      <right/>
      <top style="hair">
        <color theme="0" tint="-0.14996795556505021"/>
      </top>
      <bottom style="medium">
        <color theme="1"/>
      </bottom>
      <diagonal/>
    </border>
    <border>
      <left/>
      <right/>
      <top style="medium">
        <color auto="1"/>
      </top>
      <bottom style="hair">
        <color theme="0" tint="-0.14996795556505021"/>
      </bottom>
      <diagonal/>
    </border>
    <border>
      <left style="thin">
        <color theme="0" tint="-0.24994659260841701"/>
      </left>
      <right/>
      <top style="medium">
        <color auto="1"/>
      </top>
      <bottom style="hair">
        <color theme="0" tint="-0.14996795556505021"/>
      </bottom>
      <diagonal/>
    </border>
    <border>
      <left/>
      <right style="thin">
        <color theme="0" tint="-0.24994659260841701"/>
      </right>
      <top style="medium">
        <color auto="1"/>
      </top>
      <bottom style="hair">
        <color theme="0" tint="-0.14996795556505021"/>
      </bottom>
      <diagonal/>
    </border>
    <border>
      <left style="thin">
        <color theme="0" tint="-0.24994659260841701"/>
      </left>
      <right/>
      <top style="hair">
        <color theme="0" tint="-0.14996795556505021"/>
      </top>
      <bottom style="hair">
        <color theme="0" tint="-0.14996795556505021"/>
      </bottom>
      <diagonal/>
    </border>
    <border>
      <left/>
      <right style="thin">
        <color theme="0" tint="-0.24994659260841701"/>
      </right>
      <top style="hair">
        <color theme="0" tint="-0.14996795556505021"/>
      </top>
      <bottom style="hair">
        <color theme="0" tint="-0.14996795556505021"/>
      </bottom>
      <diagonal/>
    </border>
    <border>
      <left/>
      <right/>
      <top/>
      <bottom style="thin">
        <color theme="0"/>
      </bottom>
      <diagonal/>
    </border>
    <border>
      <left/>
      <right/>
      <top style="thin">
        <color theme="0"/>
      </top>
      <bottom/>
      <diagonal/>
    </border>
    <border>
      <left/>
      <right/>
      <top style="thin">
        <color auto="1"/>
      </top>
      <bottom style="hair">
        <color theme="0" tint="-0.14996795556505021"/>
      </bottom>
      <diagonal/>
    </border>
    <border>
      <left/>
      <right/>
      <top style="thin">
        <color auto="1"/>
      </top>
      <bottom style="hair">
        <color theme="3" tint="0.499984740745262"/>
      </bottom>
      <diagonal/>
    </border>
    <border>
      <left/>
      <right/>
      <top style="hair">
        <color theme="3" tint="0.499984740745262"/>
      </top>
      <bottom style="hair">
        <color theme="3" tint="0.499984740745262"/>
      </bottom>
      <diagonal/>
    </border>
    <border>
      <left/>
      <right/>
      <top/>
      <bottom style="hair">
        <color theme="3" tint="0.499984740745262"/>
      </bottom>
      <diagonal/>
    </border>
    <border>
      <left/>
      <right/>
      <top style="thin">
        <color auto="1"/>
      </top>
      <bottom style="hair">
        <color theme="5" tint="-0.24994659260841701"/>
      </bottom>
      <diagonal/>
    </border>
    <border>
      <left/>
      <right/>
      <top style="hair">
        <color theme="5" tint="-0.24994659260841701"/>
      </top>
      <bottom style="hair">
        <color theme="5" tint="-0.24994659260841701"/>
      </bottom>
      <diagonal/>
    </border>
    <border>
      <left/>
      <right/>
      <top/>
      <bottom style="hair">
        <color theme="5" tint="-0.24994659260841701"/>
      </bottom>
      <diagonal/>
    </border>
    <border>
      <left/>
      <right/>
      <top style="hair">
        <color theme="0" tint="-0.14996795556505021"/>
      </top>
      <bottom/>
      <diagonal/>
    </border>
    <border>
      <left/>
      <right/>
      <top style="hair">
        <color theme="3" tint="0.499984740745262"/>
      </top>
      <bottom/>
      <diagonal/>
    </border>
    <border>
      <left/>
      <right/>
      <top style="hair">
        <color theme="5" tint="-0.24994659260841701"/>
      </top>
      <bottom/>
      <diagonal/>
    </border>
    <border>
      <left/>
      <right/>
      <top/>
      <bottom style="thin">
        <color rgb="FF0000FF"/>
      </bottom>
      <diagonal/>
    </border>
    <border>
      <left/>
      <right/>
      <top/>
      <bottom style="hair">
        <color auto="1"/>
      </bottom>
      <diagonal/>
    </border>
    <border>
      <left/>
      <right/>
      <top style="hair">
        <color auto="1"/>
      </top>
      <bottom style="hair">
        <color auto="1"/>
      </bottom>
      <diagonal/>
    </border>
    <border>
      <left/>
      <right/>
      <top style="hair">
        <color auto="1"/>
      </top>
      <bottom/>
      <diagonal/>
    </border>
    <border>
      <left style="thin">
        <color theme="0" tint="-0.24994659260841701"/>
      </left>
      <right/>
      <top style="medium">
        <color auto="1"/>
      </top>
      <bottom/>
      <diagonal/>
    </border>
    <border>
      <left/>
      <right style="thin">
        <color theme="0" tint="-0.24994659260841701"/>
      </right>
      <top style="medium">
        <color auto="1"/>
      </top>
      <bottom/>
      <diagonal/>
    </border>
    <border>
      <left style="medium">
        <color theme="1"/>
      </left>
      <right style="thin">
        <color theme="2" tint="-9.9948118533890809E-2"/>
      </right>
      <top style="thin">
        <color theme="2" tint="-9.9948118533890809E-2"/>
      </top>
      <bottom style="thin">
        <color theme="2" tint="-9.9948118533890809E-2"/>
      </bottom>
      <diagonal/>
    </border>
    <border>
      <left style="thin">
        <color theme="2" tint="-9.9948118533890809E-2"/>
      </left>
      <right style="medium">
        <color theme="1"/>
      </right>
      <top style="thin">
        <color theme="2" tint="-9.9948118533890809E-2"/>
      </top>
      <bottom style="thin">
        <color theme="2" tint="-9.9948118533890809E-2"/>
      </bottom>
      <diagonal/>
    </border>
    <border>
      <left style="medium">
        <color theme="1"/>
      </left>
      <right style="thin">
        <color theme="2" tint="-9.9948118533890809E-2"/>
      </right>
      <top style="thin">
        <color theme="2" tint="-9.9948118533890809E-2"/>
      </top>
      <bottom/>
      <diagonal/>
    </border>
    <border>
      <left style="thin">
        <color theme="2" tint="-9.9948118533890809E-2"/>
      </left>
      <right style="medium">
        <color theme="1"/>
      </right>
      <top style="thin">
        <color theme="2" tint="-9.9948118533890809E-2"/>
      </top>
      <bottom/>
      <diagonal/>
    </border>
    <border>
      <left style="medium">
        <color theme="1"/>
      </left>
      <right style="thin">
        <color theme="2" tint="-9.9948118533890809E-2"/>
      </right>
      <top/>
      <bottom style="thin">
        <color theme="2" tint="-9.9948118533890809E-2"/>
      </bottom>
      <diagonal/>
    </border>
    <border>
      <left style="thin">
        <color theme="2" tint="-9.9948118533890809E-2"/>
      </left>
      <right style="medium">
        <color theme="1"/>
      </right>
      <top/>
      <bottom style="thin">
        <color theme="2" tint="-9.9948118533890809E-2"/>
      </bottom>
      <diagonal/>
    </border>
    <border>
      <left/>
      <right/>
      <top style="thin">
        <color theme="2" tint="-9.9948118533890809E-2"/>
      </top>
      <bottom/>
      <diagonal/>
    </border>
    <border>
      <left/>
      <right/>
      <top style="thick">
        <color rgb="FFC00000"/>
      </top>
      <bottom/>
      <diagonal/>
    </border>
    <border>
      <left/>
      <right/>
      <top style="medium">
        <color theme="1"/>
      </top>
      <bottom/>
      <diagonal/>
    </border>
    <border>
      <left/>
      <right/>
      <top/>
      <bottom style="medium">
        <color theme="1"/>
      </bottom>
      <diagonal/>
    </border>
    <border>
      <left/>
      <right/>
      <top style="hair">
        <color theme="0" tint="-0.14996795556505021"/>
      </top>
      <bottom style="medium">
        <color auto="1"/>
      </bottom>
      <diagonal/>
    </border>
    <border>
      <left/>
      <right style="medium">
        <color auto="1"/>
      </right>
      <top style="medium">
        <color auto="1"/>
      </top>
      <bottom style="hair">
        <color theme="0" tint="-0.14996795556505021"/>
      </bottom>
      <diagonal/>
    </border>
    <border>
      <left/>
      <right style="medium">
        <color auto="1"/>
      </right>
      <top style="hair">
        <color theme="0" tint="-0.14996795556505021"/>
      </top>
      <bottom style="hair">
        <color theme="0" tint="-0.14996795556505021"/>
      </bottom>
      <diagonal/>
    </border>
    <border>
      <left/>
      <right style="medium">
        <color auto="1"/>
      </right>
      <top style="hair">
        <color theme="0" tint="-0.14996795556505021"/>
      </top>
      <bottom style="medium">
        <color auto="1"/>
      </bottom>
      <diagonal/>
    </border>
    <border>
      <left style="thick">
        <color rgb="FFFF0000"/>
      </left>
      <right style="thin">
        <color theme="2" tint="-9.9948118533890809E-2"/>
      </right>
      <top style="thick">
        <color rgb="FFFF0000"/>
      </top>
      <bottom style="thin">
        <color theme="2" tint="-9.9948118533890809E-2"/>
      </bottom>
      <diagonal/>
    </border>
    <border>
      <left style="thin">
        <color theme="2" tint="-9.9948118533890809E-2"/>
      </left>
      <right style="thick">
        <color rgb="FFFF0000"/>
      </right>
      <top style="thick">
        <color rgb="FFFF0000"/>
      </top>
      <bottom style="thin">
        <color theme="2" tint="-9.9948118533890809E-2"/>
      </bottom>
      <diagonal/>
    </border>
    <border>
      <left style="thick">
        <color rgb="FFFF0000"/>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rgb="FFFF0000"/>
      </right>
      <top style="thin">
        <color theme="2" tint="-9.9948118533890809E-2"/>
      </top>
      <bottom style="thin">
        <color theme="2" tint="-9.9948118533890809E-2"/>
      </bottom>
      <diagonal/>
    </border>
    <border>
      <left style="thick">
        <color rgb="FFFF0000"/>
      </left>
      <right style="thin">
        <color theme="2" tint="-9.9948118533890809E-2"/>
      </right>
      <top style="thin">
        <color theme="2" tint="-9.9948118533890809E-2"/>
      </top>
      <bottom/>
      <diagonal/>
    </border>
    <border>
      <left style="thin">
        <color theme="2" tint="-9.9948118533890809E-2"/>
      </left>
      <right style="thick">
        <color rgb="FFFF0000"/>
      </right>
      <top style="thin">
        <color theme="2" tint="-9.9948118533890809E-2"/>
      </top>
      <bottom/>
      <diagonal/>
    </border>
    <border>
      <left style="thick">
        <color rgb="FFFF0000"/>
      </left>
      <right style="thin">
        <color theme="2" tint="-9.9948118533890809E-2"/>
      </right>
      <top/>
      <bottom style="thin">
        <color theme="2" tint="-9.9948118533890809E-2"/>
      </bottom>
      <diagonal/>
    </border>
    <border>
      <left style="thin">
        <color theme="2" tint="-9.9948118533890809E-2"/>
      </left>
      <right style="thick">
        <color rgb="FFFF0000"/>
      </right>
      <top/>
      <bottom style="thin">
        <color theme="2" tint="-9.9948118533890809E-2"/>
      </bottom>
      <diagonal/>
    </border>
    <border>
      <left style="thick">
        <color rgb="FFFF0000"/>
      </left>
      <right style="thin">
        <color theme="2" tint="-9.9948118533890809E-2"/>
      </right>
      <top style="thin">
        <color theme="2" tint="-9.9948118533890809E-2"/>
      </top>
      <bottom style="thick">
        <color rgb="FFFF0000"/>
      </bottom>
      <diagonal/>
    </border>
    <border>
      <left style="thin">
        <color theme="2" tint="-9.9948118533890809E-2"/>
      </left>
      <right style="thick">
        <color rgb="FFFF0000"/>
      </right>
      <top style="thin">
        <color theme="2" tint="-9.9948118533890809E-2"/>
      </top>
      <bottom style="thick">
        <color rgb="FFFF0000"/>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style="medium">
        <color auto="1"/>
      </right>
      <top style="medium">
        <color auto="1"/>
      </top>
      <bottom style="medium">
        <color auto="1"/>
      </bottom>
      <diagonal/>
    </border>
    <border>
      <left/>
      <right/>
      <top style="hair">
        <color theme="0" tint="-0.14996795556505021"/>
      </top>
      <bottom style="hair">
        <color theme="0" tint="-0.14993743705557422"/>
      </bottom>
      <diagonal/>
    </border>
    <border>
      <left/>
      <right/>
      <top style="hair">
        <color theme="0" tint="-0.14993743705557422"/>
      </top>
      <bottom style="hair">
        <color theme="0" tint="-0.14993743705557422"/>
      </bottom>
      <diagonal/>
    </border>
    <border>
      <left style="thick">
        <color rgb="FFC00000"/>
      </left>
      <right style="thick">
        <color rgb="FFC00000"/>
      </right>
      <top style="thick">
        <color rgb="FFC00000"/>
      </top>
      <bottom/>
      <diagonal/>
    </border>
    <border>
      <left style="thick">
        <color rgb="FFC00000"/>
      </left>
      <right style="thick">
        <color rgb="FFC00000"/>
      </right>
      <top style="thin">
        <color theme="0"/>
      </top>
      <bottom/>
      <diagonal/>
    </border>
    <border>
      <left style="thick">
        <color rgb="FFC00000"/>
      </left>
      <right style="thick">
        <color rgb="FFC00000"/>
      </right>
      <top/>
      <bottom/>
      <diagonal/>
    </border>
    <border>
      <left style="thick">
        <color rgb="FFC00000"/>
      </left>
      <right style="thick">
        <color rgb="FFC00000"/>
      </right>
      <top/>
      <bottom style="hair">
        <color theme="0" tint="-0.14996795556505021"/>
      </bottom>
      <diagonal/>
    </border>
    <border>
      <left style="thick">
        <color rgb="FFC00000"/>
      </left>
      <right style="thick">
        <color rgb="FFC00000"/>
      </right>
      <top style="hair">
        <color theme="0" tint="-0.14996795556505021"/>
      </top>
      <bottom style="hair">
        <color theme="0" tint="-0.14996795556505021"/>
      </bottom>
      <diagonal/>
    </border>
    <border>
      <left style="thick">
        <color rgb="FFC00000"/>
      </left>
      <right style="thick">
        <color rgb="FFC00000"/>
      </right>
      <top style="hair">
        <color theme="0" tint="-0.14996795556505021"/>
      </top>
      <bottom/>
      <diagonal/>
    </border>
    <border>
      <left style="thick">
        <color rgb="FFC00000"/>
      </left>
      <right style="thick">
        <color rgb="FFC00000"/>
      </right>
      <top style="hair">
        <color theme="0" tint="-0.14996795556505021"/>
      </top>
      <bottom style="hair">
        <color theme="0" tint="-0.14993743705557422"/>
      </bottom>
      <diagonal/>
    </border>
    <border>
      <left style="thick">
        <color rgb="FFC00000"/>
      </left>
      <right style="thick">
        <color rgb="FFC00000"/>
      </right>
      <top style="hair">
        <color theme="0" tint="-0.14993743705557422"/>
      </top>
      <bottom style="hair">
        <color theme="0" tint="-0.14993743705557422"/>
      </bottom>
      <diagonal/>
    </border>
    <border>
      <left style="thick">
        <color rgb="FFC00000"/>
      </left>
      <right style="thick">
        <color rgb="FFC00000"/>
      </right>
      <top/>
      <bottom style="thick">
        <color rgb="FFC00000"/>
      </bottom>
      <diagonal/>
    </border>
    <border>
      <left style="medium">
        <color rgb="FF0000FF"/>
      </left>
      <right/>
      <top style="medium">
        <color rgb="FF0000FF"/>
      </top>
      <bottom style="thin">
        <color theme="0"/>
      </bottom>
      <diagonal/>
    </border>
    <border>
      <left/>
      <right style="medium">
        <color rgb="FF0000FF"/>
      </right>
      <top style="medium">
        <color rgb="FF0000FF"/>
      </top>
      <bottom style="thin">
        <color theme="0"/>
      </bottom>
      <diagonal/>
    </border>
    <border>
      <left style="medium">
        <color rgb="FF0000FF"/>
      </left>
      <right/>
      <top style="thin">
        <color theme="0"/>
      </top>
      <bottom/>
      <diagonal/>
    </border>
    <border>
      <left/>
      <right style="medium">
        <color rgb="FF0000FF"/>
      </right>
      <top style="thin">
        <color theme="0"/>
      </top>
      <bottom/>
      <diagonal/>
    </border>
    <border>
      <left style="medium">
        <color rgb="FF0000FF"/>
      </left>
      <right/>
      <top/>
      <bottom/>
      <diagonal/>
    </border>
    <border>
      <left/>
      <right style="medium">
        <color rgb="FF0000FF"/>
      </right>
      <top/>
      <bottom/>
      <diagonal/>
    </border>
    <border>
      <left style="medium">
        <color rgb="FF0000FF"/>
      </left>
      <right/>
      <top/>
      <bottom style="hair">
        <color theme="0" tint="-0.14996795556505021"/>
      </bottom>
      <diagonal/>
    </border>
    <border>
      <left/>
      <right style="medium">
        <color rgb="FF0000FF"/>
      </right>
      <top/>
      <bottom style="hair">
        <color theme="0" tint="-0.14996795556505021"/>
      </bottom>
      <diagonal/>
    </border>
    <border>
      <left style="medium">
        <color rgb="FF0000FF"/>
      </left>
      <right/>
      <top style="hair">
        <color theme="0" tint="-0.14996795556505021"/>
      </top>
      <bottom style="hair">
        <color theme="0" tint="-0.14996795556505021"/>
      </bottom>
      <diagonal/>
    </border>
    <border>
      <left/>
      <right style="medium">
        <color rgb="FF0000FF"/>
      </right>
      <top style="hair">
        <color theme="0" tint="-0.14996795556505021"/>
      </top>
      <bottom style="hair">
        <color theme="0" tint="-0.14996795556505021"/>
      </bottom>
      <diagonal/>
    </border>
    <border>
      <left style="medium">
        <color rgb="FF0000FF"/>
      </left>
      <right/>
      <top style="hair">
        <color theme="0" tint="-0.14996795556505021"/>
      </top>
      <bottom/>
      <diagonal/>
    </border>
    <border>
      <left/>
      <right style="medium">
        <color rgb="FF0000FF"/>
      </right>
      <top style="hair">
        <color theme="0" tint="-0.14996795556505021"/>
      </top>
      <bottom/>
      <diagonal/>
    </border>
    <border>
      <left style="medium">
        <color rgb="FF0000FF"/>
      </left>
      <right/>
      <top style="hair">
        <color theme="0" tint="-0.14996795556505021"/>
      </top>
      <bottom style="hair">
        <color theme="0" tint="-0.14993743705557422"/>
      </bottom>
      <diagonal/>
    </border>
    <border>
      <left/>
      <right style="medium">
        <color rgb="FF0000FF"/>
      </right>
      <top style="hair">
        <color theme="0" tint="-0.14996795556505021"/>
      </top>
      <bottom style="hair">
        <color theme="0" tint="-0.14993743705557422"/>
      </bottom>
      <diagonal/>
    </border>
    <border>
      <left style="medium">
        <color rgb="FF0000FF"/>
      </left>
      <right/>
      <top style="hair">
        <color theme="0" tint="-0.14993743705557422"/>
      </top>
      <bottom style="hair">
        <color theme="0" tint="-0.14993743705557422"/>
      </bottom>
      <diagonal/>
    </border>
    <border>
      <left/>
      <right style="medium">
        <color rgb="FF0000FF"/>
      </right>
      <top style="hair">
        <color theme="0" tint="-0.14993743705557422"/>
      </top>
      <bottom style="hair">
        <color theme="0" tint="-0.14993743705557422"/>
      </bottom>
      <diagonal/>
    </border>
    <border>
      <left style="medium">
        <color rgb="FF0000FF"/>
      </left>
      <right/>
      <top/>
      <bottom style="medium">
        <color rgb="FF0000FF"/>
      </bottom>
      <diagonal/>
    </border>
    <border>
      <left/>
      <right style="medium">
        <color rgb="FF0000FF"/>
      </right>
      <top/>
      <bottom style="medium">
        <color rgb="FF0000FF"/>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ck">
        <color rgb="FFC00000"/>
      </right>
      <top/>
      <bottom/>
      <diagonal/>
    </border>
    <border>
      <left/>
      <right style="thick">
        <color rgb="FFC00000"/>
      </right>
      <top/>
      <bottom style="thick">
        <color rgb="FFC00000"/>
      </bottom>
      <diagonal/>
    </border>
    <border>
      <left style="thick">
        <color rgb="FFC00000"/>
      </left>
      <right/>
      <top/>
      <bottom/>
      <diagonal/>
    </border>
    <border>
      <left style="thick">
        <color rgb="FFC00000"/>
      </left>
      <right/>
      <top/>
      <bottom style="hair">
        <color theme="0" tint="-0.14996795556505021"/>
      </bottom>
      <diagonal/>
    </border>
    <border>
      <left style="thick">
        <color rgb="FFC00000"/>
      </left>
      <right/>
      <top style="hair">
        <color theme="0" tint="-0.14996795556505021"/>
      </top>
      <bottom style="hair">
        <color theme="0" tint="-0.14996795556505021"/>
      </bottom>
      <diagonal/>
    </border>
    <border>
      <left style="thick">
        <color rgb="FFC00000"/>
      </left>
      <right/>
      <top style="hair">
        <color theme="0" tint="-0.14996795556505021"/>
      </top>
      <bottom/>
      <diagonal/>
    </border>
    <border>
      <left style="thick">
        <color rgb="FFC00000"/>
      </left>
      <right/>
      <top style="hair">
        <color theme="0" tint="-0.14996795556505021"/>
      </top>
      <bottom style="hair">
        <color theme="0" tint="-0.14993743705557422"/>
      </bottom>
      <diagonal/>
    </border>
    <border>
      <left style="thick">
        <color rgb="FFC00000"/>
      </left>
      <right/>
      <top style="hair">
        <color theme="0" tint="-0.14993743705557422"/>
      </top>
      <bottom style="hair">
        <color theme="0" tint="-0.14993743705557422"/>
      </bottom>
      <diagonal/>
    </border>
    <border>
      <left style="thick">
        <color rgb="FFC00000"/>
      </left>
      <right/>
      <top/>
      <bottom style="thick">
        <color rgb="FFC00000"/>
      </bottom>
      <diagonal/>
    </border>
    <border>
      <left style="thick">
        <color rgb="FFC00000"/>
      </left>
      <right/>
      <top style="thick">
        <color rgb="FFC00000"/>
      </top>
      <bottom style="thin">
        <color theme="0"/>
      </bottom>
      <diagonal/>
    </border>
    <border>
      <left/>
      <right style="thick">
        <color rgb="FFC00000"/>
      </right>
      <top style="thick">
        <color rgb="FFC00000"/>
      </top>
      <bottom style="thin">
        <color theme="0"/>
      </bottom>
      <diagonal/>
    </border>
    <border>
      <left/>
      <right style="thick">
        <color rgb="FFC00000"/>
      </right>
      <top style="thin">
        <color theme="0"/>
      </top>
      <bottom/>
      <diagonal/>
    </border>
    <border>
      <left/>
      <right style="thick">
        <color rgb="FFC00000"/>
      </right>
      <top/>
      <bottom style="hair">
        <color theme="0" tint="-0.14996795556505021"/>
      </bottom>
      <diagonal/>
    </border>
    <border>
      <left/>
      <right style="thick">
        <color rgb="FFC00000"/>
      </right>
      <top style="hair">
        <color theme="0" tint="-0.14996795556505021"/>
      </top>
      <bottom style="hair">
        <color theme="0" tint="-0.14996795556505021"/>
      </bottom>
      <diagonal/>
    </border>
  </borders>
  <cellStyleXfs count="10">
    <xf numFmtId="0" fontId="0" fillId="0" borderId="0"/>
    <xf numFmtId="43" fontId="1" fillId="0" borderId="0" applyFont="0" applyFill="0" applyBorder="0" applyAlignment="0" applyProtection="0"/>
    <xf numFmtId="0" fontId="19" fillId="0" borderId="0"/>
    <xf numFmtId="0" fontId="22" fillId="0" borderId="0" applyNumberFormat="0" applyFill="0" applyBorder="0" applyAlignment="0" applyProtection="0"/>
    <xf numFmtId="0" fontId="23" fillId="0" borderId="0"/>
    <xf numFmtId="166" fontId="24" fillId="0" borderId="0" applyFont="0" applyFill="0" applyBorder="0" applyAlignment="0" applyProtection="0"/>
    <xf numFmtId="9" fontId="24" fillId="0" borderId="0" applyFont="0" applyFill="0" applyBorder="0" applyAlignment="0" applyProtection="0"/>
    <xf numFmtId="166" fontId="23"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cellStyleXfs>
  <cellXfs count="1122">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xf>
    <xf numFmtId="0" fontId="0" fillId="0" borderId="2" xfId="0" applyBorder="1" applyAlignment="1">
      <alignment horizontal="center" vertical="top"/>
    </xf>
    <xf numFmtId="0" fontId="0" fillId="0" borderId="2" xfId="0" applyBorder="1" applyAlignment="1">
      <alignment vertical="top" wrapText="1"/>
    </xf>
    <xf numFmtId="0" fontId="0" fillId="0" borderId="3" xfId="0" applyBorder="1" applyAlignment="1">
      <alignment horizontal="center"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center" vertical="top"/>
    </xf>
    <xf numFmtId="0" fontId="0" fillId="0" borderId="4" xfId="0" applyBorder="1" applyAlignment="1">
      <alignment vertical="top" wrapText="1"/>
    </xf>
    <xf numFmtId="0" fontId="0" fillId="3" borderId="5" xfId="0" applyFill="1"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3" borderId="0" xfId="0" applyFill="1" applyAlignment="1">
      <alignment vertical="top" wrapText="1"/>
    </xf>
    <xf numFmtId="164" fontId="0" fillId="0" borderId="0" xfId="1" applyNumberFormat="1" applyFont="1"/>
    <xf numFmtId="0" fontId="5" fillId="0" borderId="0" xfId="0" applyFont="1"/>
    <xf numFmtId="43" fontId="2" fillId="0" borderId="0" xfId="1" applyFont="1"/>
    <xf numFmtId="0" fontId="0" fillId="4" borderId="0" xfId="0" applyFill="1"/>
    <xf numFmtId="0" fontId="5"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8" fillId="0" borderId="0" xfId="0" applyFont="1"/>
    <xf numFmtId="0" fontId="9" fillId="5" borderId="0" xfId="0" applyFont="1" applyFill="1" applyAlignment="1">
      <alignment horizontal="center" vertical="center"/>
    </xf>
    <xf numFmtId="0" fontId="9" fillId="0" borderId="0" xfId="0" applyFont="1"/>
    <xf numFmtId="0" fontId="7" fillId="5" borderId="6" xfId="0" applyFont="1" applyFill="1" applyBorder="1" applyAlignment="1">
      <alignment horizontal="center" vertical="center"/>
    </xf>
    <xf numFmtId="0" fontId="2" fillId="0" borderId="7" xfId="0" applyFont="1" applyBorder="1"/>
    <xf numFmtId="164" fontId="0" fillId="4" borderId="0" xfId="1" applyNumberFormat="1" applyFont="1" applyFill="1"/>
    <xf numFmtId="164" fontId="8" fillId="0" borderId="0" xfId="1" applyNumberFormat="1" applyFont="1"/>
    <xf numFmtId="164" fontId="5" fillId="0" borderId="0" xfId="1" applyNumberFormat="1" applyFont="1"/>
    <xf numFmtId="164" fontId="2" fillId="0" borderId="7" xfId="1" applyNumberFormat="1" applyFont="1" applyBorder="1"/>
    <xf numFmtId="0" fontId="13" fillId="0" borderId="0" xfId="0" applyFont="1"/>
    <xf numFmtId="9" fontId="0" fillId="0" borderId="0" xfId="0" applyNumberFormat="1"/>
    <xf numFmtId="0" fontId="2" fillId="6" borderId="8" xfId="0" applyFont="1" applyFill="1" applyBorder="1"/>
    <xf numFmtId="0" fontId="10" fillId="0" borderId="0" xfId="0" applyFont="1" applyAlignment="1">
      <alignment horizontal="left" indent="2"/>
    </xf>
    <xf numFmtId="0" fontId="13" fillId="0" borderId="0" xfId="0" applyFont="1" applyAlignment="1">
      <alignment horizontal="left" indent="2"/>
    </xf>
    <xf numFmtId="0" fontId="6" fillId="0" borderId="0" xfId="0" applyFont="1" applyAlignment="1">
      <alignment horizontal="left" indent="2"/>
    </xf>
    <xf numFmtId="0" fontId="2" fillId="0" borderId="7" xfId="0" quotePrefix="1" applyFont="1" applyBorder="1" applyAlignment="1">
      <alignment horizontal="center"/>
    </xf>
    <xf numFmtId="0" fontId="8" fillId="0" borderId="0" xfId="0" quotePrefix="1" applyFont="1" applyAlignment="1">
      <alignment horizontal="center"/>
    </xf>
    <xf numFmtId="164" fontId="2" fillId="0" borderId="0" xfId="1" applyNumberFormat="1" applyFont="1"/>
    <xf numFmtId="0" fontId="15" fillId="0" borderId="0" xfId="0" applyFont="1"/>
    <xf numFmtId="0" fontId="7" fillId="0" borderId="0" xfId="0" applyFont="1"/>
    <xf numFmtId="0" fontId="8" fillId="0" borderId="8" xfId="0" applyFont="1" applyBorder="1" applyAlignment="1">
      <alignment vertical="center"/>
    </xf>
    <xf numFmtId="164" fontId="8" fillId="0" borderId="8" xfId="0" applyNumberFormat="1" applyFont="1" applyBorder="1" applyAlignment="1">
      <alignment vertical="center"/>
    </xf>
    <xf numFmtId="164" fontId="8" fillId="0" borderId="0" xfId="0" applyNumberFormat="1" applyFont="1"/>
    <xf numFmtId="0" fontId="10" fillId="0" borderId="0" xfId="0" applyFont="1" applyAlignment="1">
      <alignment horizontal="left" indent="3"/>
    </xf>
    <xf numFmtId="0" fontId="13" fillId="0" borderId="0" xfId="0" applyFont="1" applyAlignment="1">
      <alignment horizontal="left" indent="3"/>
    </xf>
    <xf numFmtId="0" fontId="6" fillId="0" borderId="0" xfId="0" applyFont="1" applyAlignment="1">
      <alignment horizontal="left" indent="3"/>
    </xf>
    <xf numFmtId="0" fontId="2" fillId="6" borderId="0" xfId="0" applyFont="1" applyFill="1"/>
    <xf numFmtId="0" fontId="17" fillId="0" borderId="0" xfId="0" applyFont="1" applyAlignment="1">
      <alignment horizontal="centerContinuous"/>
    </xf>
    <xf numFmtId="0" fontId="16" fillId="0" borderId="0" xfId="0" applyFont="1" applyAlignment="1">
      <alignment horizontal="left"/>
    </xf>
    <xf numFmtId="0" fontId="4" fillId="9" borderId="1" xfId="0" applyFont="1" applyFill="1" applyBorder="1" applyAlignment="1">
      <alignment wrapText="1"/>
    </xf>
    <xf numFmtId="0" fontId="4" fillId="9" borderId="1" xfId="0" applyFont="1" applyFill="1" applyBorder="1"/>
    <xf numFmtId="0" fontId="18" fillId="10" borderId="1" xfId="0" applyFont="1" applyFill="1" applyBorder="1" applyAlignment="1">
      <alignment wrapText="1"/>
    </xf>
    <xf numFmtId="0" fontId="0" fillId="10" borderId="1" xfId="0" applyFill="1" applyBorder="1"/>
    <xf numFmtId="0" fontId="0" fillId="0" borderId="1" xfId="0" applyBorder="1"/>
    <xf numFmtId="0" fontId="0" fillId="0" borderId="1" xfId="0" applyBorder="1" applyAlignment="1">
      <alignment wrapText="1"/>
    </xf>
    <xf numFmtId="0" fontId="20" fillId="0" borderId="1" xfId="2" applyFont="1" applyBorder="1" applyAlignment="1">
      <alignment horizontal="left" vertical="center" wrapText="1"/>
    </xf>
    <xf numFmtId="0" fontId="20" fillId="0" borderId="1" xfId="0" applyFont="1" applyBorder="1" applyAlignment="1">
      <alignment horizontal="left"/>
    </xf>
    <xf numFmtId="0" fontId="18" fillId="0" borderId="0" xfId="0" applyFont="1"/>
    <xf numFmtId="0" fontId="0" fillId="0" borderId="0" xfId="0" applyAlignment="1">
      <alignment wrapText="1"/>
    </xf>
    <xf numFmtId="0" fontId="18" fillId="10" borderId="1" xfId="0" applyFont="1" applyFill="1" applyBorder="1"/>
    <xf numFmtId="0" fontId="18" fillId="0" borderId="1" xfId="0" applyFont="1" applyBorder="1"/>
    <xf numFmtId="164" fontId="8" fillId="0" borderId="8" xfId="1" applyNumberFormat="1" applyFont="1" applyBorder="1" applyAlignment="1">
      <alignment vertical="center"/>
    </xf>
    <xf numFmtId="164" fontId="0" fillId="0" borderId="0" xfId="0" applyNumberFormat="1"/>
    <xf numFmtId="0" fontId="25" fillId="0" borderId="0" xfId="0" applyFont="1"/>
    <xf numFmtId="0" fontId="27" fillId="0" borderId="0" xfId="0" applyFont="1"/>
    <xf numFmtId="0" fontId="0" fillId="0" borderId="0" xfId="0" applyAlignment="1">
      <alignment horizontal="left" indent="2"/>
    </xf>
    <xf numFmtId="0" fontId="29" fillId="0" borderId="0" xfId="0" applyFont="1"/>
    <xf numFmtId="0" fontId="28" fillId="0" borderId="0" xfId="0" applyFont="1"/>
    <xf numFmtId="43" fontId="0" fillId="0" borderId="0" xfId="0" applyNumberFormat="1"/>
    <xf numFmtId="169" fontId="0" fillId="0" borderId="0" xfId="0" applyNumberFormat="1"/>
    <xf numFmtId="0" fontId="0" fillId="0" borderId="0" xfId="0" quotePrefix="1" applyAlignment="1">
      <alignment horizontal="center"/>
    </xf>
    <xf numFmtId="0" fontId="30" fillId="0" borderId="0" xfId="0" applyFont="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xf numFmtId="0" fontId="32" fillId="13" borderId="12" xfId="0" applyFont="1" applyFill="1" applyBorder="1" applyAlignment="1">
      <alignment vertical="center"/>
    </xf>
    <xf numFmtId="0" fontId="33" fillId="14" borderId="13" xfId="0" applyFont="1" applyFill="1" applyBorder="1" applyAlignment="1">
      <alignment horizontal="right" vertical="center"/>
    </xf>
    <xf numFmtId="0" fontId="33" fillId="14" borderId="14" xfId="0" applyFont="1" applyFill="1" applyBorder="1" applyAlignment="1">
      <alignment horizontal="right" vertical="center"/>
    </xf>
    <xf numFmtId="0" fontId="33" fillId="14" borderId="14" xfId="0" applyFont="1" applyFill="1" applyBorder="1" applyAlignment="1">
      <alignment horizontal="right" vertical="center" wrapText="1"/>
    </xf>
    <xf numFmtId="0" fontId="34" fillId="0" borderId="0" xfId="0" applyFont="1" applyAlignment="1">
      <alignment horizontal="right" vertical="center"/>
    </xf>
    <xf numFmtId="0" fontId="33" fillId="14" borderId="15" xfId="0" applyFont="1" applyFill="1" applyBorder="1" applyAlignment="1">
      <alignment horizontal="right" vertical="center" wrapText="1"/>
    </xf>
    <xf numFmtId="0" fontId="33" fillId="14" borderId="16" xfId="0" applyFont="1" applyFill="1" applyBorder="1" applyAlignment="1">
      <alignment horizontal="right" vertical="center"/>
    </xf>
    <xf numFmtId="0" fontId="33" fillId="14" borderId="16" xfId="0" applyFont="1" applyFill="1" applyBorder="1" applyAlignment="1">
      <alignment horizontal="right" vertical="center" wrapText="1"/>
    </xf>
    <xf numFmtId="0" fontId="30" fillId="13" borderId="11" xfId="0" applyFont="1" applyFill="1" applyBorder="1" applyAlignment="1">
      <alignment vertical="center"/>
    </xf>
    <xf numFmtId="0" fontId="34" fillId="13" borderId="11" xfId="0" applyFont="1" applyFill="1" applyBorder="1" applyAlignment="1">
      <alignment horizontal="center" vertical="center"/>
    </xf>
    <xf numFmtId="0" fontId="35" fillId="13" borderId="12" xfId="0" applyFont="1" applyFill="1" applyBorder="1" applyAlignment="1">
      <alignment vertical="center"/>
    </xf>
    <xf numFmtId="0" fontId="32" fillId="13" borderId="17" xfId="0" applyFont="1" applyFill="1" applyBorder="1" applyAlignment="1">
      <alignment vertical="center"/>
    </xf>
    <xf numFmtId="0" fontId="30" fillId="13" borderId="18" xfId="0" applyFont="1" applyFill="1" applyBorder="1" applyAlignment="1">
      <alignment vertical="center"/>
    </xf>
    <xf numFmtId="0" fontId="34" fillId="13" borderId="18" xfId="0" applyFont="1" applyFill="1" applyBorder="1" applyAlignment="1">
      <alignment horizontal="center" vertical="center"/>
    </xf>
    <xf numFmtId="0" fontId="35" fillId="13" borderId="19" xfId="0" applyFont="1" applyFill="1" applyBorder="1" applyAlignment="1">
      <alignment vertical="center"/>
    </xf>
    <xf numFmtId="0" fontId="32" fillId="13" borderId="18" xfId="0" applyFont="1" applyFill="1" applyBorder="1" applyAlignment="1">
      <alignment vertical="center"/>
    </xf>
    <xf numFmtId="0" fontId="33" fillId="14" borderId="15" xfId="0" applyFont="1" applyFill="1" applyBorder="1" applyAlignment="1">
      <alignment horizontal="right" vertical="center"/>
    </xf>
    <xf numFmtId="164" fontId="34" fillId="0" borderId="0" xfId="1" applyNumberFormat="1" applyFont="1" applyAlignment="1">
      <alignment horizontal="right" vertical="center"/>
    </xf>
    <xf numFmtId="168" fontId="34" fillId="0" borderId="0" xfId="1" applyNumberFormat="1" applyFont="1" applyAlignment="1">
      <alignment horizontal="right" vertical="center"/>
    </xf>
    <xf numFmtId="165" fontId="0" fillId="0" borderId="0" xfId="0" applyNumberFormat="1"/>
    <xf numFmtId="0" fontId="2" fillId="6" borderId="23" xfId="0" applyFont="1" applyFill="1" applyBorder="1"/>
    <xf numFmtId="164" fontId="2" fillId="6" borderId="25" xfId="0" applyNumberFormat="1" applyFont="1" applyFill="1" applyBorder="1"/>
    <xf numFmtId="0" fontId="2" fillId="6" borderId="26" xfId="0" applyFont="1" applyFill="1" applyBorder="1"/>
    <xf numFmtId="10" fontId="0" fillId="0" borderId="0" xfId="1" applyNumberFormat="1" applyFont="1"/>
    <xf numFmtId="164" fontId="0" fillId="0" borderId="1" xfId="1" applyNumberFormat="1" applyFont="1" applyBorder="1"/>
    <xf numFmtId="43" fontId="0" fillId="0" borderId="1" xfId="0" applyNumberFormat="1" applyBorder="1"/>
    <xf numFmtId="0" fontId="27" fillId="6" borderId="8" xfId="0" applyFont="1" applyFill="1" applyBorder="1"/>
    <xf numFmtId="164" fontId="2" fillId="6" borderId="8" xfId="1" applyNumberFormat="1" applyFont="1" applyFill="1" applyBorder="1"/>
    <xf numFmtId="0" fontId="36" fillId="11" borderId="0" xfId="4" applyFont="1" applyFill="1" applyAlignment="1">
      <alignment horizontal="center" vertical="center"/>
    </xf>
    <xf numFmtId="0" fontId="37" fillId="11" borderId="0" xfId="4" applyFont="1" applyFill="1"/>
    <xf numFmtId="0" fontId="38" fillId="8" borderId="29" xfId="4" applyFont="1" applyFill="1" applyBorder="1" applyAlignment="1">
      <alignment horizontal="center" vertical="center"/>
    </xf>
    <xf numFmtId="2" fontId="38" fillId="8" borderId="9" xfId="4" applyNumberFormat="1" applyFont="1" applyFill="1" applyBorder="1" applyAlignment="1">
      <alignment horizontal="center" vertical="center" wrapText="1"/>
    </xf>
    <xf numFmtId="0" fontId="39" fillId="16" borderId="9" xfId="4" applyFont="1" applyFill="1" applyBorder="1" applyAlignment="1">
      <alignment horizontal="center" vertical="center"/>
    </xf>
    <xf numFmtId="9" fontId="39" fillId="16" borderId="9" xfId="6" applyFont="1" applyFill="1" applyBorder="1" applyAlignment="1">
      <alignment horizontal="center" vertical="center"/>
    </xf>
    <xf numFmtId="0" fontId="40" fillId="11" borderId="9" xfId="4" applyFont="1" applyFill="1" applyBorder="1" applyAlignment="1">
      <alignment horizontal="center" vertical="center"/>
    </xf>
    <xf numFmtId="9" fontId="40" fillId="11" borderId="9" xfId="6" applyFont="1" applyFill="1" applyBorder="1" applyAlignment="1">
      <alignment horizontal="center" vertical="center"/>
    </xf>
    <xf numFmtId="9" fontId="40" fillId="11" borderId="9" xfId="6" applyFont="1" applyFill="1" applyBorder="1" applyAlignment="1">
      <alignment horizontal="left" vertical="center"/>
    </xf>
    <xf numFmtId="9" fontId="39" fillId="16" borderId="9" xfId="6" applyFont="1" applyFill="1" applyBorder="1" applyAlignment="1">
      <alignment horizontal="left" vertical="center" wrapText="1"/>
    </xf>
    <xf numFmtId="0" fontId="39" fillId="11" borderId="9" xfId="4" applyFont="1" applyFill="1" applyBorder="1" applyAlignment="1">
      <alignment vertical="center"/>
    </xf>
    <xf numFmtId="9" fontId="39" fillId="11" borderId="9" xfId="6" applyFont="1" applyFill="1" applyBorder="1" applyAlignment="1">
      <alignment horizontal="center" vertical="center"/>
    </xf>
    <xf numFmtId="0" fontId="41" fillId="11" borderId="9" xfId="4" applyFont="1" applyFill="1" applyBorder="1" applyAlignment="1">
      <alignment vertical="center"/>
    </xf>
    <xf numFmtId="0" fontId="40" fillId="17" borderId="9" xfId="4" applyFont="1" applyFill="1" applyBorder="1" applyAlignment="1">
      <alignment vertical="center"/>
    </xf>
    <xf numFmtId="9" fontId="42" fillId="17" borderId="9" xfId="4" applyNumberFormat="1" applyFont="1" applyFill="1" applyBorder="1" applyAlignment="1">
      <alignment horizontal="center" vertical="center"/>
    </xf>
    <xf numFmtId="164" fontId="21" fillId="0" borderId="0" xfId="1" applyNumberFormat="1" applyFont="1" applyFill="1"/>
    <xf numFmtId="43" fontId="30" fillId="0" borderId="0" xfId="1" applyFont="1" applyAlignment="1">
      <alignment vertical="center"/>
    </xf>
    <xf numFmtId="0" fontId="34" fillId="13" borderId="18" xfId="1" applyNumberFormat="1" applyFont="1" applyFill="1" applyBorder="1" applyAlignment="1">
      <alignment horizontal="center" vertical="center"/>
    </xf>
    <xf numFmtId="165" fontId="37" fillId="11" borderId="0" xfId="4" applyNumberFormat="1" applyFont="1" applyFill="1"/>
    <xf numFmtId="164" fontId="37" fillId="11" borderId="0" xfId="1" applyNumberFormat="1" applyFont="1" applyFill="1"/>
    <xf numFmtId="43" fontId="37" fillId="11" borderId="0" xfId="4" applyNumberFormat="1" applyFont="1" applyFill="1"/>
    <xf numFmtId="0" fontId="37" fillId="11" borderId="0" xfId="4" applyFont="1" applyFill="1" applyAlignment="1">
      <alignment vertical="center"/>
    </xf>
    <xf numFmtId="0" fontId="43" fillId="11" borderId="30" xfId="4" applyFont="1" applyFill="1" applyBorder="1" applyAlignment="1">
      <alignment vertical="center"/>
    </xf>
    <xf numFmtId="0" fontId="0" fillId="6" borderId="0" xfId="0" applyFill="1"/>
    <xf numFmtId="43" fontId="0" fillId="0" borderId="1" xfId="1" applyFont="1" applyBorder="1"/>
    <xf numFmtId="9" fontId="0" fillId="0" borderId="1" xfId="0" applyNumberFormat="1" applyBorder="1"/>
    <xf numFmtId="0" fontId="4" fillId="9" borderId="1" xfId="0" applyFont="1" applyFill="1" applyBorder="1" applyAlignment="1">
      <alignment horizontal="right"/>
    </xf>
    <xf numFmtId="167" fontId="0" fillId="0" borderId="1" xfId="1" applyNumberFormat="1" applyFont="1" applyBorder="1"/>
    <xf numFmtId="164" fontId="0" fillId="3" borderId="1" xfId="1" applyNumberFormat="1" applyFont="1" applyFill="1" applyBorder="1"/>
    <xf numFmtId="164" fontId="0" fillId="10" borderId="1" xfId="0" applyNumberFormat="1" applyFill="1" applyBorder="1"/>
    <xf numFmtId="164" fontId="0" fillId="0" borderId="1" xfId="0" applyNumberFormat="1" applyBorder="1"/>
    <xf numFmtId="167" fontId="17" fillId="0" borderId="0" xfId="1" applyNumberFormat="1" applyFont="1" applyAlignment="1">
      <alignment horizontal="centerContinuous"/>
    </xf>
    <xf numFmtId="170" fontId="0" fillId="0" borderId="1" xfId="0" applyNumberFormat="1" applyBorder="1"/>
    <xf numFmtId="169" fontId="0" fillId="0" borderId="1" xfId="0" applyNumberFormat="1" applyBorder="1"/>
    <xf numFmtId="165" fontId="0" fillId="0" borderId="1" xfId="0" applyNumberFormat="1" applyBorder="1"/>
    <xf numFmtId="165" fontId="8" fillId="0" borderId="0" xfId="1" applyNumberFormat="1" applyFont="1"/>
    <xf numFmtId="165" fontId="2" fillId="0" borderId="7" xfId="1" applyNumberFormat="1" applyFont="1" applyBorder="1"/>
    <xf numFmtId="165" fontId="8" fillId="0" borderId="8" xfId="0" applyNumberFormat="1" applyFont="1" applyBorder="1" applyAlignment="1">
      <alignment vertical="center"/>
    </xf>
    <xf numFmtId="0" fontId="21" fillId="0" borderId="0" xfId="0" applyFont="1"/>
    <xf numFmtId="164" fontId="21" fillId="0" borderId="0" xfId="1" applyNumberFormat="1" applyFont="1"/>
    <xf numFmtId="0" fontId="45" fillId="0" borderId="0" xfId="0" applyFont="1"/>
    <xf numFmtId="43" fontId="37" fillId="11" borderId="0" xfId="1" applyFont="1" applyFill="1"/>
    <xf numFmtId="0" fontId="46" fillId="0" borderId="0" xfId="0" applyFont="1"/>
    <xf numFmtId="165" fontId="46" fillId="0" borderId="0" xfId="0" applyNumberFormat="1" applyFont="1"/>
    <xf numFmtId="0" fontId="47" fillId="0" borderId="33" xfId="0" applyFont="1" applyBorder="1" applyAlignment="1">
      <alignment horizontal="center" vertical="center"/>
    </xf>
    <xf numFmtId="0" fontId="47" fillId="0" borderId="33" xfId="0" applyFont="1" applyBorder="1" applyAlignment="1">
      <alignment vertical="center"/>
    </xf>
    <xf numFmtId="0" fontId="48" fillId="0" borderId="33" xfId="0" applyFont="1" applyBorder="1" applyAlignment="1">
      <alignment vertical="center"/>
    </xf>
    <xf numFmtId="0" fontId="47" fillId="0" borderId="0" xfId="0" applyFont="1" applyAlignment="1">
      <alignment vertical="center"/>
    </xf>
    <xf numFmtId="0" fontId="48"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71" fontId="20" fillId="0" borderId="0" xfId="0" applyNumberFormat="1" applyFont="1" applyAlignment="1">
      <alignment vertical="center"/>
    </xf>
    <xf numFmtId="0" fontId="49" fillId="0" borderId="0" xfId="0" applyFont="1" applyAlignment="1">
      <alignment vertical="center"/>
    </xf>
    <xf numFmtId="172" fontId="20" fillId="0" borderId="0" xfId="0" applyNumberFormat="1" applyFont="1" applyAlignment="1">
      <alignment vertical="center"/>
    </xf>
    <xf numFmtId="164" fontId="50" fillId="0" borderId="0" xfId="1" applyNumberFormat="1" applyFont="1" applyAlignment="1">
      <alignment vertical="center"/>
    </xf>
    <xf numFmtId="164" fontId="20" fillId="0" borderId="0" xfId="1" applyNumberFormat="1" applyFont="1" applyAlignment="1">
      <alignment vertical="center"/>
    </xf>
    <xf numFmtId="172" fontId="49" fillId="0" borderId="0" xfId="0" applyNumberFormat="1" applyFont="1" applyAlignment="1">
      <alignment vertical="center"/>
    </xf>
    <xf numFmtId="0" fontId="47" fillId="0" borderId="0" xfId="0" applyFont="1" applyAlignment="1">
      <alignment horizontal="center" vertical="center"/>
    </xf>
    <xf numFmtId="0" fontId="47" fillId="0" borderId="0" xfId="0" applyFont="1" applyAlignment="1">
      <alignment horizontal="centerContinuous" vertical="center"/>
    </xf>
    <xf numFmtId="0" fontId="20" fillId="0" borderId="0" xfId="0" applyFont="1" applyAlignment="1">
      <alignment horizontal="centerContinuous" vertical="center"/>
    </xf>
    <xf numFmtId="0" fontId="47" fillId="5" borderId="33" xfId="0" applyFont="1" applyFill="1" applyBorder="1" applyAlignment="1">
      <alignment horizontal="centerContinuous" vertical="center"/>
    </xf>
    <xf numFmtId="0" fontId="47" fillId="18" borderId="33" xfId="0" applyFont="1" applyFill="1" applyBorder="1" applyAlignment="1">
      <alignment horizontal="centerContinuous" vertical="center"/>
    </xf>
    <xf numFmtId="0" fontId="47" fillId="12" borderId="33" xfId="0" applyFont="1" applyFill="1" applyBorder="1" applyAlignment="1">
      <alignment horizontal="centerContinuous" vertical="center"/>
    </xf>
    <xf numFmtId="0" fontId="47" fillId="0" borderId="0" xfId="0" applyFont="1" applyAlignment="1">
      <alignment vertical="center" wrapText="1"/>
    </xf>
    <xf numFmtId="0" fontId="47" fillId="5" borderId="0" xfId="0" applyFont="1" applyFill="1" applyAlignment="1">
      <alignment horizontal="center" vertical="center" wrapText="1"/>
    </xf>
    <xf numFmtId="0" fontId="47" fillId="0" borderId="0" xfId="0" applyFont="1" applyAlignment="1">
      <alignment horizontal="center" vertical="center" wrapText="1"/>
    </xf>
    <xf numFmtId="0" fontId="47" fillId="18" borderId="0" xfId="0" applyFont="1" applyFill="1" applyAlignment="1">
      <alignment horizontal="center" vertical="center" wrapText="1"/>
    </xf>
    <xf numFmtId="0" fontId="47" fillId="12" borderId="0" xfId="0" applyFont="1" applyFill="1" applyAlignment="1">
      <alignment horizontal="center" vertical="center" wrapText="1"/>
    </xf>
    <xf numFmtId="0" fontId="49" fillId="0" borderId="0" xfId="0" applyFont="1" applyAlignment="1">
      <alignment horizontal="centerContinuous" vertical="center"/>
    </xf>
    <xf numFmtId="0" fontId="48" fillId="5" borderId="33" xfId="0" applyFont="1" applyFill="1" applyBorder="1" applyAlignment="1">
      <alignment horizontal="centerContinuous" vertical="center"/>
    </xf>
    <xf numFmtId="0" fontId="48" fillId="18" borderId="33" xfId="0" applyFont="1" applyFill="1" applyBorder="1" applyAlignment="1">
      <alignment horizontal="centerContinuous" vertical="center"/>
    </xf>
    <xf numFmtId="0" fontId="48" fillId="12" borderId="33" xfId="0" applyFont="1" applyFill="1" applyBorder="1" applyAlignment="1">
      <alignment horizontal="centerContinuous" vertical="center"/>
    </xf>
    <xf numFmtId="0" fontId="51" fillId="5" borderId="0" xfId="0" applyFont="1" applyFill="1" applyAlignment="1">
      <alignment horizontal="center" vertical="center" wrapText="1"/>
    </xf>
    <xf numFmtId="0" fontId="48" fillId="12" borderId="0" xfId="0" applyFont="1" applyFill="1" applyAlignment="1">
      <alignment horizontal="center" vertical="center" wrapText="1"/>
    </xf>
    <xf numFmtId="0" fontId="52" fillId="0" borderId="0" xfId="0" applyFont="1" applyAlignment="1">
      <alignment horizontal="left" vertical="center"/>
    </xf>
    <xf numFmtId="164" fontId="47" fillId="0" borderId="33" xfId="1" applyNumberFormat="1" applyFont="1" applyBorder="1" applyAlignment="1">
      <alignment vertical="center"/>
    </xf>
    <xf numFmtId="9" fontId="48" fillId="0" borderId="33" xfId="1" applyNumberFormat="1" applyFont="1" applyBorder="1" applyAlignment="1">
      <alignment vertical="center"/>
    </xf>
    <xf numFmtId="0" fontId="20" fillId="0" borderId="34" xfId="0" applyFont="1" applyBorder="1" applyAlignment="1">
      <alignment vertical="center"/>
    </xf>
    <xf numFmtId="0" fontId="53" fillId="0" borderId="33" xfId="0" applyFont="1" applyBorder="1" applyAlignment="1">
      <alignment horizontal="center" vertical="center"/>
    </xf>
    <xf numFmtId="0" fontId="53" fillId="0" borderId="33" xfId="0" applyFont="1" applyBorder="1" applyAlignment="1">
      <alignment vertical="center"/>
    </xf>
    <xf numFmtId="0" fontId="53" fillId="0" borderId="0" xfId="0" applyFont="1" applyAlignment="1">
      <alignment vertical="center"/>
    </xf>
    <xf numFmtId="164" fontId="53" fillId="0" borderId="33" xfId="1" applyNumberFormat="1" applyFont="1" applyBorder="1" applyAlignment="1">
      <alignment vertical="center"/>
    </xf>
    <xf numFmtId="9" fontId="53" fillId="0" borderId="33" xfId="1" applyNumberFormat="1" applyFont="1" applyBorder="1" applyAlignment="1">
      <alignment vertical="center"/>
    </xf>
    <xf numFmtId="0" fontId="20" fillId="0" borderId="35" xfId="0" applyFont="1" applyBorder="1" applyAlignment="1">
      <alignment horizontal="center" vertical="center"/>
    </xf>
    <xf numFmtId="0" fontId="20" fillId="0" borderId="35" xfId="0" applyFont="1" applyBorder="1" applyAlignment="1">
      <alignment vertical="center"/>
    </xf>
    <xf numFmtId="164" fontId="20" fillId="0" borderId="35" xfId="1" applyNumberFormat="1" applyFont="1" applyBorder="1" applyAlignment="1">
      <alignment vertical="center"/>
    </xf>
    <xf numFmtId="9" fontId="49" fillId="0" borderId="35" xfId="1" applyNumberFormat="1" applyFont="1" applyBorder="1" applyAlignment="1">
      <alignment vertical="center"/>
    </xf>
    <xf numFmtId="0" fontId="20" fillId="0" borderId="36" xfId="0" applyFont="1" applyBorder="1" applyAlignment="1">
      <alignment horizontal="center" vertical="center"/>
    </xf>
    <xf numFmtId="0" fontId="20" fillId="0" borderId="36" xfId="0" applyFont="1" applyBorder="1" applyAlignment="1">
      <alignment vertical="center"/>
    </xf>
    <xf numFmtId="164" fontId="20" fillId="0" borderId="36" xfId="1" applyNumberFormat="1" applyFont="1" applyFill="1" applyBorder="1" applyAlignment="1">
      <alignment vertical="center"/>
    </xf>
    <xf numFmtId="164" fontId="49" fillId="0" borderId="36" xfId="1" applyNumberFormat="1" applyFont="1" applyFill="1" applyBorder="1" applyAlignment="1">
      <alignment vertical="center"/>
    </xf>
    <xf numFmtId="0" fontId="47" fillId="0" borderId="35" xfId="0" applyFont="1" applyBorder="1" applyAlignment="1">
      <alignment horizontal="center" vertical="center"/>
    </xf>
    <xf numFmtId="0" fontId="47" fillId="0" borderId="35" xfId="0" applyFont="1" applyBorder="1" applyAlignment="1">
      <alignment vertical="center"/>
    </xf>
    <xf numFmtId="164" fontId="47" fillId="0" borderId="35" xfId="1" applyNumberFormat="1" applyFont="1" applyFill="1" applyBorder="1" applyAlignment="1">
      <alignment vertical="center"/>
    </xf>
    <xf numFmtId="164" fontId="48" fillId="0" borderId="35" xfId="1" applyNumberFormat="1" applyFont="1" applyFill="1" applyBorder="1" applyAlignment="1">
      <alignment vertical="center"/>
    </xf>
    <xf numFmtId="165" fontId="49" fillId="0" borderId="35" xfId="1" applyNumberFormat="1" applyFont="1" applyBorder="1" applyAlignment="1">
      <alignment vertical="center"/>
    </xf>
    <xf numFmtId="164" fontId="53" fillId="12" borderId="35" xfId="1" applyNumberFormat="1" applyFont="1" applyFill="1" applyBorder="1" applyAlignment="1">
      <alignment vertical="center"/>
    </xf>
    <xf numFmtId="164" fontId="53" fillId="12" borderId="36" xfId="1" applyNumberFormat="1" applyFont="1" applyFill="1" applyBorder="1" applyAlignment="1">
      <alignment vertical="center"/>
    </xf>
    <xf numFmtId="0" fontId="52" fillId="0" borderId="35" xfId="0" applyFont="1" applyBorder="1" applyAlignment="1">
      <alignment horizontal="center" vertical="center"/>
    </xf>
    <xf numFmtId="0" fontId="52" fillId="0" borderId="35" xfId="0" applyFont="1" applyBorder="1" applyAlignment="1">
      <alignment vertical="center"/>
    </xf>
    <xf numFmtId="164" fontId="52" fillId="0" borderId="35" xfId="1" applyNumberFormat="1" applyFont="1" applyBorder="1" applyAlignment="1">
      <alignment vertical="center"/>
    </xf>
    <xf numFmtId="165" fontId="54" fillId="0" borderId="35" xfId="1" applyNumberFormat="1" applyFont="1" applyBorder="1" applyAlignment="1">
      <alignment vertical="center"/>
    </xf>
    <xf numFmtId="0" fontId="52" fillId="0" borderId="0" xfId="0" applyFont="1" applyAlignment="1">
      <alignment vertical="center"/>
    </xf>
    <xf numFmtId="0" fontId="52" fillId="0" borderId="35" xfId="0" applyFont="1" applyBorder="1" applyAlignment="1">
      <alignment horizontal="left" vertical="center" indent="2"/>
    </xf>
    <xf numFmtId="0" fontId="53" fillId="12" borderId="0" xfId="0" applyFont="1" applyFill="1" applyAlignment="1">
      <alignment vertical="center"/>
    </xf>
    <xf numFmtId="0" fontId="20" fillId="0" borderId="0" xfId="0" quotePrefix="1" applyFont="1" applyAlignment="1">
      <alignment vertical="center"/>
    </xf>
    <xf numFmtId="43" fontId="0" fillId="10" borderId="1" xfId="1" applyFont="1" applyFill="1" applyBorder="1"/>
    <xf numFmtId="164" fontId="0" fillId="6" borderId="0" xfId="1" applyNumberFormat="1" applyFont="1" applyFill="1"/>
    <xf numFmtId="0" fontId="2" fillId="6" borderId="31" xfId="0" applyFont="1" applyFill="1" applyBorder="1"/>
    <xf numFmtId="0" fontId="25" fillId="6" borderId="0" xfId="0" applyFont="1" applyFill="1"/>
    <xf numFmtId="0" fontId="0" fillId="0" borderId="24" xfId="0" applyBorder="1"/>
    <xf numFmtId="0" fontId="9" fillId="0" borderId="0" xfId="0" applyFont="1" applyAlignment="1">
      <alignment vertical="center"/>
    </xf>
    <xf numFmtId="0" fontId="21" fillId="3" borderId="0" xfId="0" applyFont="1" applyFill="1"/>
    <xf numFmtId="0" fontId="2" fillId="16" borderId="0" xfId="0" applyFont="1" applyFill="1"/>
    <xf numFmtId="0" fontId="7" fillId="0" borderId="0" xfId="0" applyFont="1" applyAlignment="1">
      <alignment horizontal="center" vertical="center"/>
    </xf>
    <xf numFmtId="164" fontId="8" fillId="0" borderId="0" xfId="1" applyNumberFormat="1" applyFont="1" applyFill="1" applyBorder="1"/>
    <xf numFmtId="164" fontId="2" fillId="0" borderId="0" xfId="1" applyNumberFormat="1" applyFont="1" applyFill="1" applyBorder="1"/>
    <xf numFmtId="164" fontId="0" fillId="0" borderId="0" xfId="1" applyNumberFormat="1" applyFont="1" applyFill="1" applyBorder="1"/>
    <xf numFmtId="164" fontId="1" fillId="0" borderId="0" xfId="1" applyNumberFormat="1" applyFont="1" applyFill="1" applyBorder="1"/>
    <xf numFmtId="164" fontId="5" fillId="0" borderId="0" xfId="1" applyNumberFormat="1" applyFont="1" applyFill="1" applyBorder="1"/>
    <xf numFmtId="164" fontId="21" fillId="0" borderId="0" xfId="1" applyNumberFormat="1" applyFont="1" applyFill="1" applyBorder="1"/>
    <xf numFmtId="164" fontId="8" fillId="0" borderId="0" xfId="1" applyNumberFormat="1" applyFont="1" applyFill="1" applyBorder="1" applyAlignment="1">
      <alignment vertical="center"/>
    </xf>
    <xf numFmtId="9" fontId="2" fillId="16" borderId="0" xfId="0" applyNumberFormat="1" applyFont="1" applyFill="1"/>
    <xf numFmtId="0" fontId="55" fillId="5" borderId="0" xfId="0" applyFont="1" applyFill="1" applyAlignment="1">
      <alignment horizontal="center" vertical="center" wrapText="1"/>
    </xf>
    <xf numFmtId="0" fontId="55" fillId="0" borderId="0" xfId="0" applyFont="1" applyAlignment="1">
      <alignment horizontal="center" vertical="center" wrapText="1"/>
    </xf>
    <xf numFmtId="0" fontId="55" fillId="0" borderId="0" xfId="0" applyFont="1" applyAlignment="1">
      <alignment wrapText="1"/>
    </xf>
    <xf numFmtId="0" fontId="2" fillId="0" borderId="7" xfId="0" applyFont="1" applyBorder="1" applyAlignment="1">
      <alignment horizontal="left" indent="1"/>
    </xf>
    <xf numFmtId="0" fontId="55" fillId="0" borderId="0" xfId="0" applyFont="1" applyAlignment="1">
      <alignment vertical="center" wrapText="1"/>
    </xf>
    <xf numFmtId="0" fontId="7" fillId="0" borderId="0" xfId="0" applyFont="1" applyAlignment="1">
      <alignment vertical="center"/>
    </xf>
    <xf numFmtId="0" fontId="56" fillId="0" borderId="33" xfId="0" applyFont="1" applyBorder="1" applyAlignment="1">
      <alignment vertical="center"/>
    </xf>
    <xf numFmtId="0" fontId="50" fillId="0" borderId="0" xfId="0" applyFont="1" applyAlignment="1">
      <alignment vertical="center"/>
    </xf>
    <xf numFmtId="0" fontId="56" fillId="0" borderId="0" xfId="0" applyFont="1" applyAlignment="1">
      <alignment horizontal="centerContinuous" vertical="center"/>
    </xf>
    <xf numFmtId="0" fontId="56" fillId="12" borderId="33" xfId="0" applyFont="1" applyFill="1" applyBorder="1" applyAlignment="1">
      <alignment horizontal="centerContinuous" vertical="center"/>
    </xf>
    <xf numFmtId="0" fontId="56" fillId="12" borderId="0" xfId="0" applyFont="1" applyFill="1" applyAlignment="1">
      <alignment horizontal="center" vertical="center" wrapText="1"/>
    </xf>
    <xf numFmtId="164" fontId="50" fillId="0" borderId="36" xfId="1" applyNumberFormat="1" applyFont="1" applyFill="1" applyBorder="1" applyAlignment="1">
      <alignment vertical="center"/>
    </xf>
    <xf numFmtId="164" fontId="56" fillId="0" borderId="35" xfId="1" applyNumberFormat="1" applyFont="1" applyFill="1" applyBorder="1" applyAlignment="1">
      <alignment vertical="center"/>
    </xf>
    <xf numFmtId="164" fontId="50" fillId="0" borderId="35" xfId="1" applyNumberFormat="1" applyFont="1" applyBorder="1" applyAlignment="1">
      <alignment vertical="center"/>
    </xf>
    <xf numFmtId="164" fontId="56" fillId="0" borderId="33" xfId="1" applyNumberFormat="1" applyFont="1" applyBorder="1" applyAlignment="1">
      <alignment vertical="center"/>
    </xf>
    <xf numFmtId="164" fontId="57" fillId="0" borderId="35" xfId="1" applyNumberFormat="1" applyFont="1" applyBorder="1" applyAlignment="1">
      <alignment vertical="center"/>
    </xf>
    <xf numFmtId="164" fontId="0" fillId="0" borderId="0" xfId="1" applyNumberFormat="1" applyFont="1" applyAlignment="1">
      <alignment horizontal="center"/>
    </xf>
    <xf numFmtId="164" fontId="0" fillId="0" borderId="0" xfId="1" applyNumberFormat="1" applyFont="1" applyFill="1"/>
    <xf numFmtId="0" fontId="58" fillId="0" borderId="0" xfId="0" applyFont="1"/>
    <xf numFmtId="165" fontId="58" fillId="0" borderId="0" xfId="9" applyNumberFormat="1" applyFont="1"/>
    <xf numFmtId="0" fontId="0" fillId="16" borderId="0" xfId="0" applyFill="1"/>
    <xf numFmtId="9" fontId="0" fillId="16" borderId="0" xfId="0" applyNumberFormat="1" applyFill="1"/>
    <xf numFmtId="0" fontId="2" fillId="16" borderId="0" xfId="0" applyFont="1" applyFill="1" applyAlignment="1">
      <alignment horizontal="right"/>
    </xf>
    <xf numFmtId="0" fontId="59" fillId="0" borderId="0" xfId="0" applyFont="1"/>
    <xf numFmtId="0" fontId="61" fillId="0" borderId="0" xfId="0" applyFont="1"/>
    <xf numFmtId="0" fontId="26" fillId="19" borderId="0" xfId="0" applyFont="1" applyFill="1"/>
    <xf numFmtId="0" fontId="62" fillId="0" borderId="0" xfId="0" applyFont="1" applyAlignment="1">
      <alignment horizontal="center"/>
    </xf>
    <xf numFmtId="0" fontId="62" fillId="0" borderId="0" xfId="0" applyFont="1"/>
    <xf numFmtId="0" fontId="27" fillId="6" borderId="0" xfId="0" applyFont="1" applyFill="1"/>
    <xf numFmtId="164" fontId="2" fillId="6" borderId="0" xfId="1" applyNumberFormat="1" applyFont="1" applyFill="1" applyBorder="1"/>
    <xf numFmtId="164" fontId="1" fillId="6" borderId="0" xfId="1" applyNumberFormat="1" applyFont="1" applyFill="1" applyBorder="1"/>
    <xf numFmtId="0" fontId="2" fillId="0" borderId="0" xfId="0" quotePrefix="1" applyFont="1" applyAlignment="1">
      <alignment horizontal="center"/>
    </xf>
    <xf numFmtId="0" fontId="9" fillId="15" borderId="0" xfId="0" applyFont="1" applyFill="1"/>
    <xf numFmtId="0" fontId="65" fillId="20" borderId="0" xfId="0" applyFont="1" applyFill="1"/>
    <xf numFmtId="0" fontId="65" fillId="21" borderId="0" xfId="0" applyFont="1" applyFill="1"/>
    <xf numFmtId="43" fontId="8" fillId="0" borderId="0" xfId="0" applyNumberFormat="1" applyFont="1"/>
    <xf numFmtId="43" fontId="0" fillId="0" borderId="0" xfId="1" applyFont="1"/>
    <xf numFmtId="0" fontId="0" fillId="0" borderId="0" xfId="0" pivotButton="1"/>
    <xf numFmtId="0" fontId="0" fillId="0" borderId="0" xfId="0" applyAlignment="1">
      <alignment horizontal="left"/>
    </xf>
    <xf numFmtId="0" fontId="2" fillId="0" borderId="33" xfId="0" applyFont="1" applyBorder="1"/>
    <xf numFmtId="0" fontId="27" fillId="0" borderId="33" xfId="0" applyFont="1" applyBorder="1"/>
    <xf numFmtId="164" fontId="2" fillId="0" borderId="33" xfId="1" applyNumberFormat="1" applyFont="1" applyBorder="1" applyAlignment="1">
      <alignment horizontal="center"/>
    </xf>
    <xf numFmtId="164" fontId="2" fillId="0" borderId="33" xfId="1" applyNumberFormat="1" applyFont="1" applyBorder="1"/>
    <xf numFmtId="0" fontId="5" fillId="0" borderId="33" xfId="0" applyFont="1" applyBorder="1"/>
    <xf numFmtId="0" fontId="66" fillId="0" borderId="33" xfId="0" applyFont="1" applyBorder="1"/>
    <xf numFmtId="164" fontId="5" fillId="0" borderId="33" xfId="1" applyNumberFormat="1" applyFont="1" applyBorder="1"/>
    <xf numFmtId="0" fontId="2" fillId="16" borderId="33" xfId="0" applyFont="1" applyFill="1" applyBorder="1"/>
    <xf numFmtId="0" fontId="27" fillId="16" borderId="33" xfId="0" applyFont="1" applyFill="1" applyBorder="1"/>
    <xf numFmtId="0" fontId="25" fillId="16" borderId="0" xfId="0" applyFont="1" applyFill="1"/>
    <xf numFmtId="0" fontId="5" fillId="16" borderId="33" xfId="0" applyFont="1" applyFill="1" applyBorder="1"/>
    <xf numFmtId="0" fontId="66" fillId="16" borderId="33" xfId="0" applyFont="1" applyFill="1" applyBorder="1"/>
    <xf numFmtId="164" fontId="2" fillId="16" borderId="33" xfId="1" applyNumberFormat="1" applyFont="1" applyFill="1" applyBorder="1" applyAlignment="1">
      <alignment horizontal="center"/>
    </xf>
    <xf numFmtId="164" fontId="0" fillId="16" borderId="0" xfId="1" applyNumberFormat="1" applyFont="1" applyFill="1" applyAlignment="1">
      <alignment horizontal="center"/>
    </xf>
    <xf numFmtId="164" fontId="2" fillId="16" borderId="33" xfId="1" applyNumberFormat="1" applyFont="1" applyFill="1" applyBorder="1"/>
    <xf numFmtId="164" fontId="0" fillId="16" borderId="0" xfId="1" applyNumberFormat="1" applyFont="1" applyFill="1"/>
    <xf numFmtId="43" fontId="0" fillId="16" borderId="0" xfId="1" applyFont="1" applyFill="1"/>
    <xf numFmtId="164" fontId="5" fillId="16" borderId="33" xfId="1" applyNumberFormat="1" applyFont="1" applyFill="1" applyBorder="1"/>
    <xf numFmtId="0" fontId="2" fillId="0" borderId="0" xfId="0" applyFont="1" applyAlignment="1">
      <alignment vertical="center"/>
    </xf>
    <xf numFmtId="0" fontId="65" fillId="7" borderId="0" xfId="0" applyFont="1" applyFill="1" applyAlignment="1">
      <alignment horizontal="center" vertical="center"/>
    </xf>
    <xf numFmtId="0" fontId="67" fillId="0" borderId="0" xfId="0" applyFont="1"/>
    <xf numFmtId="0" fontId="2" fillId="22" borderId="33" xfId="0" applyFont="1" applyFill="1" applyBorder="1"/>
    <xf numFmtId="0" fontId="27" fillId="22" borderId="33" xfId="0" applyFont="1" applyFill="1" applyBorder="1"/>
    <xf numFmtId="0" fontId="0" fillId="22" borderId="0" xfId="0" applyFill="1"/>
    <xf numFmtId="0" fontId="25" fillId="22" borderId="0" xfId="0" applyFont="1" applyFill="1"/>
    <xf numFmtId="0" fontId="5" fillId="22" borderId="33" xfId="0" applyFont="1" applyFill="1" applyBorder="1"/>
    <xf numFmtId="0" fontId="66" fillId="22" borderId="33" xfId="0" applyFont="1" applyFill="1" applyBorder="1"/>
    <xf numFmtId="164" fontId="2" fillId="22" borderId="33" xfId="1" applyNumberFormat="1" applyFont="1" applyFill="1" applyBorder="1" applyAlignment="1">
      <alignment horizontal="center"/>
    </xf>
    <xf numFmtId="164" fontId="0" fillId="22" borderId="0" xfId="1" applyNumberFormat="1" applyFont="1" applyFill="1" applyAlignment="1">
      <alignment horizontal="center"/>
    </xf>
    <xf numFmtId="164" fontId="2" fillId="22" borderId="33" xfId="1" applyNumberFormat="1" applyFont="1" applyFill="1" applyBorder="1"/>
    <xf numFmtId="164" fontId="0" fillId="22" borderId="0" xfId="1" applyNumberFormat="1" applyFont="1" applyFill="1"/>
    <xf numFmtId="43" fontId="0" fillId="22" borderId="0" xfId="1" applyFont="1" applyFill="1"/>
    <xf numFmtId="164" fontId="5" fillId="22" borderId="33" xfId="1" applyNumberFormat="1" applyFont="1" applyFill="1" applyBorder="1"/>
    <xf numFmtId="0" fontId="68" fillId="0" borderId="0" xfId="0" applyFont="1"/>
    <xf numFmtId="0" fontId="70" fillId="0" borderId="0" xfId="0" applyFont="1"/>
    <xf numFmtId="0" fontId="70" fillId="0" borderId="33" xfId="0" applyFont="1" applyBorder="1"/>
    <xf numFmtId="0" fontId="71" fillId="0" borderId="33" xfId="0" applyFont="1" applyBorder="1"/>
    <xf numFmtId="164" fontId="70" fillId="0" borderId="33" xfId="1" applyNumberFormat="1" applyFont="1" applyBorder="1"/>
    <xf numFmtId="0" fontId="0" fillId="23" borderId="0" xfId="0" applyFill="1"/>
    <xf numFmtId="0" fontId="25" fillId="23" borderId="0" xfId="0" applyFont="1" applyFill="1"/>
    <xf numFmtId="0" fontId="65" fillId="19" borderId="0" xfId="0" applyFont="1" applyFill="1" applyAlignment="1">
      <alignment horizontal="center"/>
    </xf>
    <xf numFmtId="0" fontId="65" fillId="19" borderId="0" xfId="0" applyFont="1" applyFill="1"/>
    <xf numFmtId="0" fontId="66" fillId="0" borderId="0" xfId="0" applyFont="1"/>
    <xf numFmtId="0" fontId="20" fillId="3" borderId="0" xfId="0" applyFont="1" applyFill="1" applyAlignment="1">
      <alignment vertical="center"/>
    </xf>
    <xf numFmtId="0" fontId="27" fillId="6" borderId="24" xfId="0" applyFont="1" applyFill="1" applyBorder="1"/>
    <xf numFmtId="0" fontId="2" fillId="6" borderId="24" xfId="0" applyFont="1" applyFill="1" applyBorder="1"/>
    <xf numFmtId="0" fontId="27" fillId="6" borderId="27" xfId="0" applyFont="1" applyFill="1" applyBorder="1"/>
    <xf numFmtId="0" fontId="2" fillId="6" borderId="27" xfId="0" applyFont="1" applyFill="1" applyBorder="1"/>
    <xf numFmtId="9" fontId="2" fillId="6" borderId="32" xfId="0" applyNumberFormat="1" applyFont="1" applyFill="1" applyBorder="1"/>
    <xf numFmtId="43" fontId="2" fillId="6" borderId="28" xfId="1" applyFont="1" applyFill="1" applyBorder="1"/>
    <xf numFmtId="0" fontId="0" fillId="0" borderId="0" xfId="0" applyAlignment="1">
      <alignment horizontal="right"/>
    </xf>
    <xf numFmtId="0" fontId="0" fillId="3" borderId="0" xfId="0" applyFill="1" applyAlignment="1">
      <alignment wrapText="1"/>
    </xf>
    <xf numFmtId="0" fontId="25" fillId="0" borderId="24" xfId="0" applyFont="1" applyBorder="1"/>
    <xf numFmtId="0" fontId="0" fillId="3" borderId="0" xfId="0" applyFill="1" applyAlignment="1">
      <alignment horizontal="center"/>
    </xf>
    <xf numFmtId="43" fontId="25" fillId="0" borderId="0" xfId="1" applyFont="1" applyAlignment="1">
      <alignment horizontal="right"/>
    </xf>
    <xf numFmtId="0" fontId="0" fillId="3" borderId="0" xfId="0" applyFill="1"/>
    <xf numFmtId="0" fontId="0" fillId="16" borderId="0" xfId="0" applyFill="1" applyAlignment="1">
      <alignment wrapText="1"/>
    </xf>
    <xf numFmtId="9" fontId="0" fillId="16" borderId="0" xfId="0" applyNumberFormat="1" applyFill="1" applyAlignment="1">
      <alignment horizontal="center"/>
    </xf>
    <xf numFmtId="167" fontId="0" fillId="0" borderId="0" xfId="1" applyNumberFormat="1" applyFont="1"/>
    <xf numFmtId="0" fontId="2" fillId="0" borderId="1" xfId="0" applyFont="1" applyBorder="1"/>
    <xf numFmtId="164" fontId="2" fillId="0" borderId="1" xfId="0" applyNumberFormat="1" applyFont="1" applyBorder="1"/>
    <xf numFmtId="164" fontId="17" fillId="0" borderId="0" xfId="1" applyNumberFormat="1" applyFont="1" applyAlignment="1">
      <alignment horizontal="centerContinuous"/>
    </xf>
    <xf numFmtId="164" fontId="17" fillId="0" borderId="0" xfId="0" applyNumberFormat="1" applyFont="1" applyAlignment="1">
      <alignment horizontal="centerContinuous"/>
    </xf>
    <xf numFmtId="164" fontId="0" fillId="0" borderId="1" xfId="1" applyNumberFormat="1" applyFont="1" applyFill="1" applyBorder="1"/>
    <xf numFmtId="164" fontId="43" fillId="4" borderId="8" xfId="1" applyNumberFormat="1" applyFont="1" applyFill="1" applyBorder="1" applyAlignment="1">
      <alignment vertical="center"/>
    </xf>
    <xf numFmtId="49" fontId="68" fillId="0" borderId="0" xfId="0" applyNumberFormat="1" applyFont="1"/>
    <xf numFmtId="49" fontId="40" fillId="11" borderId="9" xfId="4" applyNumberFormat="1" applyFont="1" applyFill="1" applyBorder="1" applyAlignment="1">
      <alignment horizontal="center" vertical="center"/>
    </xf>
    <xf numFmtId="174" fontId="44" fillId="11" borderId="9" xfId="4" applyNumberFormat="1" applyFont="1" applyFill="1" applyBorder="1" applyAlignment="1">
      <alignment horizontal="center" vertical="center"/>
    </xf>
    <xf numFmtId="164" fontId="43" fillId="11" borderId="0" xfId="1" applyNumberFormat="1" applyFont="1" applyFill="1"/>
    <xf numFmtId="0" fontId="74" fillId="0" borderId="0" xfId="0" applyFont="1" applyAlignment="1">
      <alignment horizontal="center"/>
    </xf>
    <xf numFmtId="0" fontId="75" fillId="0" borderId="0" xfId="0" applyFont="1"/>
    <xf numFmtId="0" fontId="76" fillId="0" borderId="0" xfId="0" applyFont="1"/>
    <xf numFmtId="0" fontId="74" fillId="0" borderId="0" xfId="0" applyFont="1"/>
    <xf numFmtId="0" fontId="2" fillId="0" borderId="27" xfId="0" applyFont="1" applyBorder="1"/>
    <xf numFmtId="0" fontId="0" fillId="0" borderId="27" xfId="0" applyBorder="1"/>
    <xf numFmtId="164" fontId="2" fillId="0" borderId="27" xfId="0" applyNumberFormat="1" applyFont="1" applyBorder="1"/>
    <xf numFmtId="0" fontId="27" fillId="0" borderId="27" xfId="0" applyFont="1" applyBorder="1"/>
    <xf numFmtId="0" fontId="77" fillId="19" borderId="0" xfId="0" applyFont="1" applyFill="1"/>
    <xf numFmtId="164" fontId="2" fillId="0" borderId="0" xfId="0" applyNumberFormat="1" applyFont="1"/>
    <xf numFmtId="164" fontId="0" fillId="6" borderId="0" xfId="0" applyNumberFormat="1" applyFill="1"/>
    <xf numFmtId="164" fontId="2" fillId="6" borderId="0" xfId="0" applyNumberFormat="1" applyFont="1" applyFill="1"/>
    <xf numFmtId="165" fontId="0" fillId="6" borderId="0" xfId="0" applyNumberFormat="1" applyFill="1"/>
    <xf numFmtId="0" fontId="21" fillId="6" borderId="0" xfId="0" applyFont="1" applyFill="1"/>
    <xf numFmtId="164" fontId="21" fillId="6" borderId="0" xfId="1" applyNumberFormat="1" applyFont="1" applyFill="1"/>
    <xf numFmtId="0" fontId="2" fillId="3" borderId="0" xfId="0" applyFont="1" applyFill="1"/>
    <xf numFmtId="175" fontId="49" fillId="0" borderId="0" xfId="0" applyNumberFormat="1" applyFont="1" applyAlignment="1">
      <alignment vertical="center"/>
    </xf>
    <xf numFmtId="164" fontId="20" fillId="0" borderId="0" xfId="0" applyNumberFormat="1" applyFont="1" applyAlignment="1">
      <alignment vertical="center"/>
    </xf>
    <xf numFmtId="164" fontId="47" fillId="0" borderId="0" xfId="1" applyNumberFormat="1" applyFont="1" applyAlignment="1">
      <alignment vertical="center"/>
    </xf>
    <xf numFmtId="164" fontId="47" fillId="0" borderId="0" xfId="0" applyNumberFormat="1" applyFont="1" applyAlignment="1">
      <alignment vertical="center"/>
    </xf>
    <xf numFmtId="165" fontId="0" fillId="4" borderId="0" xfId="1" applyNumberFormat="1" applyFont="1" applyFill="1"/>
    <xf numFmtId="174" fontId="37" fillId="11" borderId="0" xfId="4" applyNumberFormat="1" applyFont="1" applyFill="1"/>
    <xf numFmtId="0" fontId="0" fillId="6" borderId="0" xfId="0" quotePrefix="1" applyFill="1"/>
    <xf numFmtId="9" fontId="37" fillId="11" borderId="0" xfId="4" applyNumberFormat="1" applyFont="1" applyFill="1"/>
    <xf numFmtId="0" fontId="43" fillId="11" borderId="0" xfId="4" applyFont="1" applyFill="1"/>
    <xf numFmtId="164" fontId="37" fillId="11" borderId="38" xfId="1" applyNumberFormat="1" applyFont="1" applyFill="1" applyBorder="1"/>
    <xf numFmtId="164" fontId="37" fillId="11" borderId="37" xfId="1" applyNumberFormat="1" applyFont="1" applyFill="1" applyBorder="1"/>
    <xf numFmtId="0" fontId="37" fillId="11" borderId="38" xfId="4" applyFont="1" applyFill="1" applyBorder="1"/>
    <xf numFmtId="9" fontId="37" fillId="11" borderId="37" xfId="4" applyNumberFormat="1" applyFont="1" applyFill="1" applyBorder="1"/>
    <xf numFmtId="0" fontId="37" fillId="6" borderId="0" xfId="4" applyFont="1" applyFill="1"/>
    <xf numFmtId="43" fontId="37" fillId="6" borderId="0" xfId="4" applyNumberFormat="1" applyFont="1" applyFill="1" applyAlignment="1">
      <alignment horizontal="centerContinuous"/>
    </xf>
    <xf numFmtId="164" fontId="37" fillId="6" borderId="0" xfId="1" applyNumberFormat="1" applyFont="1" applyFill="1" applyAlignment="1">
      <alignment horizontal="centerContinuous"/>
    </xf>
    <xf numFmtId="164" fontId="37" fillId="6" borderId="38" xfId="1" applyNumberFormat="1" applyFont="1" applyFill="1" applyBorder="1" applyAlignment="1">
      <alignment horizontal="centerContinuous"/>
    </xf>
    <xf numFmtId="0" fontId="38" fillId="19" borderId="0" xfId="4" applyFont="1" applyFill="1" applyAlignment="1">
      <alignment vertical="center"/>
    </xf>
    <xf numFmtId="164" fontId="38" fillId="19" borderId="0" xfId="1" applyNumberFormat="1" applyFont="1" applyFill="1" applyAlignment="1">
      <alignment horizontal="centerContinuous" vertical="center"/>
    </xf>
    <xf numFmtId="164" fontId="38" fillId="19" borderId="38" xfId="1" applyNumberFormat="1" applyFont="1" applyFill="1" applyBorder="1" applyAlignment="1">
      <alignment horizontal="centerContinuous" vertical="center"/>
    </xf>
    <xf numFmtId="0" fontId="82" fillId="11" borderId="0" xfId="4" applyFont="1" applyFill="1" applyAlignment="1">
      <alignment vertical="center"/>
    </xf>
    <xf numFmtId="0" fontId="37" fillId="11" borderId="0" xfId="4" applyFont="1" applyFill="1" applyAlignment="1">
      <alignment horizontal="center"/>
    </xf>
    <xf numFmtId="0" fontId="38" fillId="19" borderId="0" xfId="4" applyFont="1" applyFill="1" applyAlignment="1">
      <alignment horizontal="center" vertical="center"/>
    </xf>
    <xf numFmtId="0" fontId="81" fillId="11" borderId="0" xfId="4" applyFont="1" applyFill="1"/>
    <xf numFmtId="164" fontId="81" fillId="11" borderId="0" xfId="1" applyNumberFormat="1" applyFont="1" applyFill="1" applyBorder="1" applyAlignment="1">
      <alignment horizontal="right"/>
    </xf>
    <xf numFmtId="164" fontId="81" fillId="11" borderId="37" xfId="1" applyNumberFormat="1" applyFont="1" applyFill="1" applyBorder="1" applyAlignment="1">
      <alignment horizontal="right"/>
    </xf>
    <xf numFmtId="164" fontId="81" fillId="11" borderId="38" xfId="1" applyNumberFormat="1" applyFont="1" applyFill="1" applyBorder="1" applyAlignment="1">
      <alignment horizontal="right"/>
    </xf>
    <xf numFmtId="0" fontId="81" fillId="11" borderId="27" xfId="4" applyFont="1" applyFill="1" applyBorder="1" applyAlignment="1">
      <alignment horizontal="center"/>
    </xf>
    <xf numFmtId="0" fontId="81" fillId="11" borderId="0" xfId="4" applyFont="1" applyFill="1" applyAlignment="1">
      <alignment horizontal="center"/>
    </xf>
    <xf numFmtId="0" fontId="83" fillId="0" borderId="0" xfId="0" applyFont="1"/>
    <xf numFmtId="164" fontId="83" fillId="0" borderId="0" xfId="0" applyNumberFormat="1" applyFont="1"/>
    <xf numFmtId="0" fontId="37" fillId="6" borderId="0" xfId="4" applyFont="1" applyFill="1" applyAlignment="1">
      <alignment horizontal="center"/>
    </xf>
    <xf numFmtId="0" fontId="43" fillId="24" borderId="0" xfId="4" applyFont="1" applyFill="1" applyAlignment="1">
      <alignment horizontal="center"/>
    </xf>
    <xf numFmtId="0" fontId="43" fillId="24" borderId="0" xfId="4" applyFont="1" applyFill="1"/>
    <xf numFmtId="164" fontId="43" fillId="24" borderId="0" xfId="1" applyNumberFormat="1" applyFont="1" applyFill="1"/>
    <xf numFmtId="164" fontId="43" fillId="24" borderId="37" xfId="1" applyNumberFormat="1" applyFont="1" applyFill="1" applyBorder="1"/>
    <xf numFmtId="164" fontId="43" fillId="24" borderId="38" xfId="1" applyNumberFormat="1" applyFont="1" applyFill="1" applyBorder="1"/>
    <xf numFmtId="165" fontId="37" fillId="6" borderId="0" xfId="1" applyNumberFormat="1" applyFont="1" applyFill="1"/>
    <xf numFmtId="165" fontId="37" fillId="6" borderId="37" xfId="1" applyNumberFormat="1" applyFont="1" applyFill="1" applyBorder="1"/>
    <xf numFmtId="164" fontId="37" fillId="6" borderId="38" xfId="1" applyNumberFormat="1" applyFont="1" applyFill="1" applyBorder="1"/>
    <xf numFmtId="164" fontId="2" fillId="0" borderId="1" xfId="1" applyNumberFormat="1" applyFont="1" applyFill="1" applyBorder="1"/>
    <xf numFmtId="164" fontId="0" fillId="10" borderId="1" xfId="1" applyNumberFormat="1" applyFont="1" applyFill="1" applyBorder="1"/>
    <xf numFmtId="0" fontId="21" fillId="0" borderId="1" xfId="0" applyFont="1" applyBorder="1"/>
    <xf numFmtId="165" fontId="21" fillId="0" borderId="1" xfId="0" applyNumberFormat="1" applyFont="1" applyBorder="1"/>
    <xf numFmtId="164" fontId="21" fillId="0" borderId="1" xfId="0" applyNumberFormat="1" applyFont="1" applyBorder="1"/>
    <xf numFmtId="165" fontId="37" fillId="6" borderId="0" xfId="1" applyNumberFormat="1" applyFont="1" applyFill="1" applyBorder="1"/>
    <xf numFmtId="9" fontId="49" fillId="6" borderId="35" xfId="1" applyNumberFormat="1" applyFont="1" applyFill="1" applyBorder="1" applyAlignment="1">
      <alignment vertical="center"/>
    </xf>
    <xf numFmtId="164" fontId="20" fillId="6" borderId="35" xfId="1" applyNumberFormat="1" applyFont="1" applyFill="1" applyBorder="1" applyAlignment="1">
      <alignment vertical="center"/>
    </xf>
    <xf numFmtId="171" fontId="20" fillId="4" borderId="0" xfId="0" applyNumberFormat="1" applyFont="1" applyFill="1" applyAlignment="1">
      <alignment vertical="center"/>
    </xf>
    <xf numFmtId="164" fontId="52" fillId="4" borderId="35" xfId="1" applyNumberFormat="1" applyFont="1" applyFill="1" applyBorder="1" applyAlignment="1">
      <alignment vertical="center"/>
    </xf>
    <xf numFmtId="0" fontId="84" fillId="0" borderId="0" xfId="0" applyFont="1"/>
    <xf numFmtId="167" fontId="0" fillId="3" borderId="0" xfId="1" applyNumberFormat="1" applyFont="1" applyFill="1"/>
    <xf numFmtId="0" fontId="85" fillId="0" borderId="0" xfId="0" applyFont="1"/>
    <xf numFmtId="164" fontId="52" fillId="0" borderId="0" xfId="0" applyNumberFormat="1" applyFont="1" applyAlignment="1">
      <alignment vertical="center"/>
    </xf>
    <xf numFmtId="0" fontId="87" fillId="11" borderId="27" xfId="4" applyFont="1" applyFill="1" applyBorder="1" applyAlignment="1">
      <alignment horizontal="right"/>
    </xf>
    <xf numFmtId="0" fontId="87" fillId="11" borderId="39" xfId="4" applyFont="1" applyFill="1" applyBorder="1" applyAlignment="1">
      <alignment horizontal="right"/>
    </xf>
    <xf numFmtId="0" fontId="87" fillId="11" borderId="40" xfId="4" applyFont="1" applyFill="1" applyBorder="1" applyAlignment="1">
      <alignment horizontal="right"/>
    </xf>
    <xf numFmtId="0" fontId="40" fillId="11" borderId="29" xfId="4" applyFont="1" applyFill="1" applyBorder="1" applyAlignment="1">
      <alignment horizontal="center" vertical="center"/>
    </xf>
    <xf numFmtId="174" fontId="44" fillId="11" borderId="29" xfId="4" applyNumberFormat="1" applyFont="1" applyFill="1" applyBorder="1" applyAlignment="1">
      <alignment horizontal="center" vertical="center"/>
    </xf>
    <xf numFmtId="9" fontId="40" fillId="11" borderId="29" xfId="6" applyFont="1" applyFill="1" applyBorder="1" applyAlignment="1">
      <alignment horizontal="center" vertical="center"/>
    </xf>
    <xf numFmtId="0" fontId="40" fillId="11" borderId="41" xfId="4" applyFont="1" applyFill="1" applyBorder="1" applyAlignment="1">
      <alignment horizontal="center" vertical="center"/>
    </xf>
    <xf numFmtId="9" fontId="40" fillId="11" borderId="41" xfId="6" applyFont="1" applyFill="1" applyBorder="1" applyAlignment="1">
      <alignment horizontal="center" vertical="center"/>
    </xf>
    <xf numFmtId="0" fontId="37" fillId="11" borderId="24" xfId="4" applyFont="1" applyFill="1" applyBorder="1"/>
    <xf numFmtId="0" fontId="88" fillId="19" borderId="0" xfId="0" applyFont="1" applyFill="1"/>
    <xf numFmtId="0" fontId="88" fillId="19" borderId="0" xfId="0" applyFont="1" applyFill="1" applyAlignment="1">
      <alignment horizontal="right"/>
    </xf>
    <xf numFmtId="0" fontId="2" fillId="0" borderId="8" xfId="0" applyFont="1" applyBorder="1"/>
    <xf numFmtId="43" fontId="2" fillId="0" borderId="8" xfId="1" applyFont="1" applyBorder="1"/>
    <xf numFmtId="43" fontId="2" fillId="0" borderId="0" xfId="1" applyFont="1" applyBorder="1"/>
    <xf numFmtId="0" fontId="88" fillId="19" borderId="0" xfId="0" quotePrefix="1" applyFont="1" applyFill="1" applyAlignment="1">
      <alignment horizontal="right"/>
    </xf>
    <xf numFmtId="0" fontId="40" fillId="11" borderId="43" xfId="4" applyFont="1" applyFill="1" applyBorder="1" applyAlignment="1">
      <alignment vertical="center" wrapText="1"/>
    </xf>
    <xf numFmtId="2" fontId="38" fillId="8" borderId="45" xfId="4" applyNumberFormat="1" applyFont="1" applyFill="1" applyBorder="1" applyAlignment="1">
      <alignment horizontal="center" vertical="center" wrapText="1"/>
    </xf>
    <xf numFmtId="174" fontId="44" fillId="11" borderId="45" xfId="4" applyNumberFormat="1" applyFont="1" applyFill="1" applyBorder="1" applyAlignment="1">
      <alignment horizontal="center" vertical="center"/>
    </xf>
    <xf numFmtId="174" fontId="44" fillId="11" borderId="46" xfId="4" applyNumberFormat="1" applyFont="1" applyFill="1" applyBorder="1" applyAlignment="1">
      <alignment horizontal="center" vertical="center"/>
    </xf>
    <xf numFmtId="2" fontId="38" fillId="8" borderId="48" xfId="4" applyNumberFormat="1" applyFont="1" applyFill="1" applyBorder="1" applyAlignment="1">
      <alignment horizontal="center" vertical="center" wrapText="1"/>
    </xf>
    <xf numFmtId="174" fontId="44" fillId="11" borderId="50" xfId="4" applyNumberFormat="1" applyFont="1" applyFill="1" applyBorder="1" applyAlignment="1">
      <alignment horizontal="center" vertical="center"/>
    </xf>
    <xf numFmtId="174" fontId="44" fillId="11" borderId="52" xfId="4" applyNumberFormat="1" applyFont="1" applyFill="1" applyBorder="1" applyAlignment="1">
      <alignment horizontal="center" vertical="center"/>
    </xf>
    <xf numFmtId="2" fontId="38" fillId="8" borderId="42" xfId="4" applyNumberFormat="1" applyFont="1" applyFill="1" applyBorder="1" applyAlignment="1">
      <alignment horizontal="center" vertical="center" wrapText="1"/>
    </xf>
    <xf numFmtId="0" fontId="39" fillId="16" borderId="43" xfId="4" applyFont="1" applyFill="1" applyBorder="1" applyAlignment="1">
      <alignment vertical="center" wrapText="1"/>
    </xf>
    <xf numFmtId="0" fontId="40" fillId="11" borderId="43" xfId="4" applyFont="1" applyFill="1" applyBorder="1" applyAlignment="1">
      <alignment horizontal="left" vertical="center" indent="1"/>
    </xf>
    <xf numFmtId="0" fontId="40" fillId="11" borderId="43" xfId="4" applyFont="1" applyFill="1" applyBorder="1" applyAlignment="1">
      <alignment horizontal="left" vertical="center" wrapText="1" indent="1"/>
    </xf>
    <xf numFmtId="0" fontId="40" fillId="11" borderId="42" xfId="4" applyFont="1" applyFill="1" applyBorder="1" applyAlignment="1">
      <alignment horizontal="left" vertical="center" wrapText="1" indent="1"/>
    </xf>
    <xf numFmtId="0" fontId="40" fillId="11" borderId="44" xfId="4" applyFont="1" applyFill="1" applyBorder="1" applyAlignment="1">
      <alignment horizontal="left" vertical="center" indent="1"/>
    </xf>
    <xf numFmtId="0" fontId="39" fillId="11" borderId="43" xfId="4" applyFont="1" applyFill="1" applyBorder="1" applyAlignment="1">
      <alignment horizontal="left" vertical="center" wrapText="1"/>
    </xf>
    <xf numFmtId="0" fontId="42" fillId="17" borderId="43" xfId="4" applyFont="1" applyFill="1" applyBorder="1" applyAlignment="1">
      <alignment vertical="center"/>
    </xf>
    <xf numFmtId="2" fontId="38" fillId="8" borderId="49" xfId="4" applyNumberFormat="1" applyFont="1" applyFill="1" applyBorder="1" applyAlignment="1">
      <alignment horizontal="center" vertical="center" wrapText="1"/>
    </xf>
    <xf numFmtId="0" fontId="86" fillId="25" borderId="0" xfId="4" applyFont="1" applyFill="1" applyAlignment="1">
      <alignment horizontal="right"/>
    </xf>
    <xf numFmtId="0" fontId="90" fillId="0" borderId="0" xfId="0" applyFont="1" applyAlignment="1">
      <alignment horizontal="left" vertical="center"/>
    </xf>
    <xf numFmtId="164" fontId="2" fillId="3" borderId="0" xfId="1" applyNumberFormat="1" applyFont="1" applyFill="1"/>
    <xf numFmtId="0" fontId="2" fillId="0" borderId="0" xfId="0" applyFont="1" applyAlignment="1">
      <alignment horizontal="right"/>
    </xf>
    <xf numFmtId="0" fontId="43" fillId="3" borderId="0" xfId="4" applyFont="1" applyFill="1" applyAlignment="1">
      <alignment vertical="center"/>
    </xf>
    <xf numFmtId="0" fontId="37" fillId="3" borderId="0" xfId="4" applyFont="1" applyFill="1" applyAlignment="1">
      <alignment vertical="center"/>
    </xf>
    <xf numFmtId="164" fontId="89" fillId="25" borderId="0" xfId="1" applyNumberFormat="1" applyFont="1" applyFill="1"/>
    <xf numFmtId="0" fontId="18" fillId="3" borderId="0" xfId="0" applyFont="1" applyFill="1"/>
    <xf numFmtId="0" fontId="4" fillId="2" borderId="1" xfId="0" applyFont="1" applyFill="1" applyBorder="1" applyAlignment="1">
      <alignment horizontal="center" wrapText="1"/>
    </xf>
    <xf numFmtId="0" fontId="0" fillId="0" borderId="1" xfId="0" applyBorder="1" applyAlignment="1">
      <alignment horizontal="left"/>
    </xf>
    <xf numFmtId="0" fontId="91" fillId="0" borderId="0" xfId="0" applyFont="1"/>
    <xf numFmtId="0" fontId="8" fillId="0" borderId="58" xfId="0" quotePrefix="1" applyFont="1" applyBorder="1" applyAlignment="1">
      <alignment horizontal="center"/>
    </xf>
    <xf numFmtId="0" fontId="8" fillId="0" borderId="58" xfId="0" applyFont="1" applyBorder="1"/>
    <xf numFmtId="0" fontId="2" fillId="0" borderId="59" xfId="0" applyFont="1" applyBorder="1"/>
    <xf numFmtId="0" fontId="14" fillId="0" borderId="59" xfId="0" applyFont="1" applyBorder="1"/>
    <xf numFmtId="43" fontId="2" fillId="0" borderId="59" xfId="1" applyFont="1" applyBorder="1"/>
    <xf numFmtId="164" fontId="2" fillId="0" borderId="59" xfId="1" applyNumberFormat="1" applyFont="1" applyBorder="1"/>
    <xf numFmtId="0" fontId="0" fillId="0" borderId="59" xfId="0" quotePrefix="1" applyBorder="1"/>
    <xf numFmtId="0" fontId="0" fillId="0" borderId="59" xfId="0" applyBorder="1"/>
    <xf numFmtId="0" fontId="7" fillId="0" borderId="59" xfId="0" applyFont="1" applyBorder="1"/>
    <xf numFmtId="43" fontId="0" fillId="4" borderId="59" xfId="1" applyFont="1" applyFill="1" applyBorder="1"/>
    <xf numFmtId="164" fontId="0" fillId="0" borderId="59" xfId="1" applyNumberFormat="1" applyFont="1" applyBorder="1"/>
    <xf numFmtId="0" fontId="0" fillId="0" borderId="58" xfId="0" quotePrefix="1" applyBorder="1"/>
    <xf numFmtId="0" fontId="0" fillId="0" borderId="58" xfId="0" applyBorder="1"/>
    <xf numFmtId="0" fontId="7" fillId="0" borderId="58" xfId="0" applyFont="1" applyBorder="1"/>
    <xf numFmtId="164" fontId="0" fillId="0" borderId="58" xfId="1" applyNumberFormat="1" applyFont="1" applyBorder="1"/>
    <xf numFmtId="164" fontId="0" fillId="0" borderId="58" xfId="1" applyNumberFormat="1" applyFont="1" applyFill="1" applyBorder="1"/>
    <xf numFmtId="164" fontId="0" fillId="0" borderId="59" xfId="1" applyNumberFormat="1" applyFont="1" applyFill="1" applyBorder="1"/>
    <xf numFmtId="164" fontId="2" fillId="4" borderId="58" xfId="1" applyNumberFormat="1" applyFont="1" applyFill="1" applyBorder="1"/>
    <xf numFmtId="164" fontId="0" fillId="4" borderId="58" xfId="1" applyNumberFormat="1" applyFont="1" applyFill="1" applyBorder="1"/>
    <xf numFmtId="0" fontId="0" fillId="4" borderId="58" xfId="0" applyFill="1" applyBorder="1"/>
    <xf numFmtId="0" fontId="0" fillId="4" borderId="59" xfId="0" applyFill="1" applyBorder="1"/>
    <xf numFmtId="164" fontId="0" fillId="4" borderId="59" xfId="1" applyNumberFormat="1" applyFont="1" applyFill="1" applyBorder="1"/>
    <xf numFmtId="9" fontId="21" fillId="4" borderId="58" xfId="0" applyNumberFormat="1" applyFont="1" applyFill="1" applyBorder="1"/>
    <xf numFmtId="0" fontId="2" fillId="0" borderId="58" xfId="0" applyFont="1" applyBorder="1"/>
    <xf numFmtId="164" fontId="2" fillId="0" borderId="58" xfId="1" applyNumberFormat="1" applyFont="1" applyBorder="1"/>
    <xf numFmtId="164" fontId="21" fillId="4" borderId="59" xfId="1" applyNumberFormat="1" applyFont="1" applyFill="1" applyBorder="1"/>
    <xf numFmtId="164" fontId="21" fillId="0" borderId="59" xfId="1" applyNumberFormat="1" applyFont="1" applyFill="1" applyBorder="1"/>
    <xf numFmtId="164" fontId="0" fillId="0" borderId="59" xfId="0" applyNumberFormat="1" applyBorder="1"/>
    <xf numFmtId="10" fontId="28" fillId="0" borderId="59" xfId="0" applyNumberFormat="1" applyFont="1" applyBorder="1"/>
    <xf numFmtId="174" fontId="37" fillId="11" borderId="0" xfId="4" applyNumberFormat="1" applyFont="1" applyFill="1" applyAlignment="1">
      <alignment vertical="center"/>
    </xf>
    <xf numFmtId="0" fontId="14" fillId="0" borderId="58" xfId="0" applyFont="1" applyBorder="1"/>
    <xf numFmtId="43" fontId="2" fillId="0" borderId="58" xfId="1" applyFont="1" applyBorder="1"/>
    <xf numFmtId="0" fontId="8" fillId="0" borderId="60" xfId="0" quotePrefix="1" applyFont="1" applyBorder="1" applyAlignment="1">
      <alignment horizontal="center"/>
    </xf>
    <xf numFmtId="0" fontId="8" fillId="0" borderId="60" xfId="0" applyFont="1" applyBorder="1"/>
    <xf numFmtId="0" fontId="15" fillId="0" borderId="60" xfId="0" applyFont="1" applyBorder="1"/>
    <xf numFmtId="43" fontId="8" fillId="0" borderId="60" xfId="1" applyFont="1" applyBorder="1"/>
    <xf numFmtId="164" fontId="8" fillId="0" borderId="60" xfId="1" applyNumberFormat="1" applyFont="1" applyBorder="1"/>
    <xf numFmtId="0" fontId="0" fillId="0" borderId="60" xfId="0" applyBorder="1"/>
    <xf numFmtId="0" fontId="60" fillId="0" borderId="60" xfId="0" applyFont="1" applyBorder="1"/>
    <xf numFmtId="164" fontId="61" fillId="0" borderId="60" xfId="1" applyNumberFormat="1" applyFont="1" applyBorder="1"/>
    <xf numFmtId="0" fontId="61" fillId="0" borderId="60" xfId="0" applyFont="1" applyBorder="1"/>
    <xf numFmtId="165" fontId="61" fillId="0" borderId="60" xfId="1" applyNumberFormat="1" applyFont="1" applyBorder="1"/>
    <xf numFmtId="168" fontId="8" fillId="0" borderId="60" xfId="1" applyNumberFormat="1" applyFont="1" applyFill="1" applyBorder="1"/>
    <xf numFmtId="168" fontId="8" fillId="0" borderId="60" xfId="1" applyNumberFormat="1" applyFont="1" applyBorder="1"/>
    <xf numFmtId="164" fontId="8" fillId="0" borderId="60" xfId="1" applyNumberFormat="1" applyFont="1" applyFill="1" applyBorder="1"/>
    <xf numFmtId="165" fontId="8" fillId="0" borderId="60" xfId="1" applyNumberFormat="1" applyFont="1" applyBorder="1"/>
    <xf numFmtId="0" fontId="0" fillId="0" borderId="58" xfId="0" applyBorder="1" applyAlignment="1">
      <alignment horizontal="center"/>
    </xf>
    <xf numFmtId="0" fontId="25" fillId="0" borderId="58" xfId="0" applyFont="1" applyBorder="1"/>
    <xf numFmtId="177" fontId="0" fillId="0" borderId="58" xfId="0" applyNumberFormat="1" applyBorder="1" applyAlignment="1">
      <alignment horizontal="center"/>
    </xf>
    <xf numFmtId="0" fontId="0" fillId="0" borderId="59" xfId="0" applyBorder="1" applyAlignment="1">
      <alignment horizontal="center"/>
    </xf>
    <xf numFmtId="0" fontId="25" fillId="0" borderId="59" xfId="0" applyFont="1" applyBorder="1"/>
    <xf numFmtId="177" fontId="0" fillId="0" borderId="59" xfId="0" applyNumberFormat="1" applyBorder="1" applyAlignment="1">
      <alignment horizontal="center"/>
    </xf>
    <xf numFmtId="9" fontId="0" fillId="0" borderId="59" xfId="0" applyNumberFormat="1" applyBorder="1" applyAlignment="1">
      <alignment horizontal="center"/>
    </xf>
    <xf numFmtId="9" fontId="0" fillId="0" borderId="59" xfId="0" applyNumberFormat="1" applyBorder="1"/>
    <xf numFmtId="0" fontId="0" fillId="6" borderId="59" xfId="0" applyFill="1" applyBorder="1" applyAlignment="1">
      <alignment horizontal="center"/>
    </xf>
    <xf numFmtId="0" fontId="0" fillId="6" borderId="59" xfId="0" applyFill="1" applyBorder="1"/>
    <xf numFmtId="0" fontId="25" fillId="6" borderId="59" xfId="0" applyFont="1" applyFill="1" applyBorder="1"/>
    <xf numFmtId="9" fontId="0" fillId="6" borderId="59" xfId="0" applyNumberFormat="1" applyFill="1" applyBorder="1"/>
    <xf numFmtId="43" fontId="0" fillId="6" borderId="59" xfId="1" applyFont="1" applyFill="1" applyBorder="1"/>
    <xf numFmtId="0" fontId="72" fillId="6" borderId="59" xfId="0" applyFont="1" applyFill="1" applyBorder="1" applyAlignment="1">
      <alignment horizontal="center"/>
    </xf>
    <xf numFmtId="0" fontId="72" fillId="6" borderId="59" xfId="0" applyFont="1" applyFill="1" applyBorder="1"/>
    <xf numFmtId="0" fontId="73" fillId="6" borderId="59" xfId="0" applyFont="1" applyFill="1" applyBorder="1"/>
    <xf numFmtId="9" fontId="72" fillId="6" borderId="59" xfId="0" applyNumberFormat="1" applyFont="1" applyFill="1" applyBorder="1"/>
    <xf numFmtId="164" fontId="72" fillId="6" borderId="59" xfId="1" applyNumberFormat="1" applyFont="1" applyFill="1" applyBorder="1"/>
    <xf numFmtId="0" fontId="78" fillId="0" borderId="59" xfId="0" applyFont="1" applyBorder="1" applyAlignment="1">
      <alignment horizontal="center"/>
    </xf>
    <xf numFmtId="0" fontId="78" fillId="0" borderId="59" xfId="0" applyFont="1" applyBorder="1"/>
    <xf numFmtId="0" fontId="79" fillId="0" borderId="59" xfId="0" applyFont="1" applyBorder="1"/>
    <xf numFmtId="9" fontId="78" fillId="0" borderId="59" xfId="0" applyNumberFormat="1" applyFont="1" applyBorder="1"/>
    <xf numFmtId="0" fontId="0" fillId="0" borderId="61" xfId="0" quotePrefix="1" applyBorder="1" applyAlignment="1">
      <alignment horizontal="center"/>
    </xf>
    <xf numFmtId="0" fontId="0" fillId="0" borderId="62" xfId="0" applyBorder="1"/>
    <xf numFmtId="0" fontId="25" fillId="0" borderId="62" xfId="0" applyFont="1" applyBorder="1"/>
    <xf numFmtId="9" fontId="0" fillId="0" borderId="62" xfId="0" applyNumberFormat="1" applyBorder="1"/>
    <xf numFmtId="0" fontId="0" fillId="0" borderId="63" xfId="0" quotePrefix="1" applyBorder="1" applyAlignment="1">
      <alignment horizontal="center"/>
    </xf>
    <xf numFmtId="0" fontId="2" fillId="24" borderId="64" xfId="0" quotePrefix="1" applyFont="1" applyFill="1" applyBorder="1" applyAlignment="1">
      <alignment horizontal="center"/>
    </xf>
    <xf numFmtId="0" fontId="2" fillId="24" borderId="65" xfId="0" applyFont="1" applyFill="1" applyBorder="1"/>
    <xf numFmtId="0" fontId="27" fillId="24" borderId="65" xfId="0" applyFont="1" applyFill="1" applyBorder="1"/>
    <xf numFmtId="165" fontId="2" fillId="24" borderId="65" xfId="0" applyNumberFormat="1" applyFont="1" applyFill="1" applyBorder="1"/>
    <xf numFmtId="165" fontId="8" fillId="0" borderId="60" xfId="1" applyNumberFormat="1" applyFont="1" applyFill="1" applyBorder="1"/>
    <xf numFmtId="178" fontId="80" fillId="11" borderId="66" xfId="4" applyNumberFormat="1" applyFont="1" applyFill="1" applyBorder="1" applyAlignment="1">
      <alignment horizontal="center"/>
    </xf>
    <xf numFmtId="0" fontId="80" fillId="11" borderId="66" xfId="4" applyFont="1" applyFill="1" applyBorder="1" applyAlignment="1">
      <alignment horizontal="center"/>
    </xf>
    <xf numFmtId="9" fontId="80" fillId="11" borderId="66" xfId="4" applyNumberFormat="1" applyFont="1" applyFill="1" applyBorder="1" applyAlignment="1">
      <alignment horizontal="center"/>
    </xf>
    <xf numFmtId="38" fontId="80" fillId="11" borderId="66" xfId="1" applyNumberFormat="1" applyFont="1" applyFill="1" applyBorder="1"/>
    <xf numFmtId="38" fontId="80" fillId="11" borderId="67" xfId="1" applyNumberFormat="1" applyFont="1" applyFill="1" applyBorder="1"/>
    <xf numFmtId="38" fontId="80" fillId="11" borderId="68" xfId="1" applyNumberFormat="1" applyFont="1" applyFill="1" applyBorder="1"/>
    <xf numFmtId="178" fontId="80" fillId="11" borderId="59" xfId="4" applyNumberFormat="1" applyFont="1" applyFill="1" applyBorder="1" applyAlignment="1">
      <alignment horizontal="center"/>
    </xf>
    <xf numFmtId="0" fontId="80" fillId="11" borderId="59" xfId="4" applyFont="1" applyFill="1" applyBorder="1" applyAlignment="1">
      <alignment horizontal="center"/>
    </xf>
    <xf numFmtId="9" fontId="80" fillId="11" borderId="59" xfId="4" applyNumberFormat="1" applyFont="1" applyFill="1" applyBorder="1" applyAlignment="1">
      <alignment horizontal="center"/>
    </xf>
    <xf numFmtId="38" fontId="80" fillId="11" borderId="59" xfId="1" applyNumberFormat="1" applyFont="1" applyFill="1" applyBorder="1"/>
    <xf numFmtId="38" fontId="80" fillId="11" borderId="69" xfId="1" applyNumberFormat="1" applyFont="1" applyFill="1" applyBorder="1"/>
    <xf numFmtId="38" fontId="80" fillId="11" borderId="70" xfId="1" applyNumberFormat="1" applyFont="1" applyFill="1" applyBorder="1"/>
    <xf numFmtId="0" fontId="59" fillId="0" borderId="59" xfId="0" applyFont="1" applyBorder="1"/>
    <xf numFmtId="179" fontId="0" fillId="0" borderId="0" xfId="0" applyNumberFormat="1"/>
    <xf numFmtId="175" fontId="0" fillId="0" borderId="66" xfId="0" applyNumberFormat="1" applyBorder="1" applyAlignment="1">
      <alignment horizontal="left"/>
    </xf>
    <xf numFmtId="0" fontId="25" fillId="0" borderId="66" xfId="0" applyFont="1" applyBorder="1"/>
    <xf numFmtId="0" fontId="0" fillId="0" borderId="66" xfId="0" applyBorder="1"/>
    <xf numFmtId="164" fontId="0" fillId="0" borderId="66" xfId="1" applyNumberFormat="1" applyFont="1" applyBorder="1"/>
    <xf numFmtId="175" fontId="0" fillId="0" borderId="59" xfId="0" applyNumberFormat="1" applyBorder="1" applyAlignment="1">
      <alignment horizontal="left"/>
    </xf>
    <xf numFmtId="0" fontId="65" fillId="7" borderId="71" xfId="0" applyFont="1" applyFill="1" applyBorder="1" applyAlignment="1">
      <alignment horizontal="center" vertical="center"/>
    </xf>
    <xf numFmtId="0" fontId="92" fillId="7" borderId="72" xfId="0" quotePrefix="1" applyFont="1" applyFill="1" applyBorder="1" applyAlignment="1">
      <alignment horizontal="center" vertical="center"/>
    </xf>
    <xf numFmtId="167" fontId="59" fillId="0" borderId="59" xfId="1" applyNumberFormat="1" applyFont="1" applyBorder="1"/>
    <xf numFmtId="165" fontId="0" fillId="0" borderId="59" xfId="1" applyNumberFormat="1" applyFont="1" applyBorder="1"/>
    <xf numFmtId="0" fontId="63" fillId="0" borderId="59" xfId="0" applyFont="1" applyBorder="1"/>
    <xf numFmtId="164" fontId="0" fillId="0" borderId="58" xfId="1" applyNumberFormat="1" applyFont="1" applyBorder="1" applyAlignment="1">
      <alignment horizontal="center"/>
    </xf>
    <xf numFmtId="164" fontId="0" fillId="0" borderId="59" xfId="1" applyNumberFormat="1" applyFont="1" applyBorder="1" applyAlignment="1">
      <alignment horizontal="center"/>
    </xf>
    <xf numFmtId="0" fontId="59" fillId="0" borderId="59" xfId="0" applyFont="1" applyBorder="1" applyAlignment="1">
      <alignment horizontal="center"/>
    </xf>
    <xf numFmtId="9" fontId="59" fillId="0" borderId="59" xfId="0" applyNumberFormat="1" applyFont="1" applyBorder="1" applyAlignment="1">
      <alignment horizontal="right"/>
    </xf>
    <xf numFmtId="165" fontId="0" fillId="0" borderId="59" xfId="1" applyNumberFormat="1" applyFont="1" applyBorder="1" applyAlignment="1">
      <alignment horizontal="right"/>
    </xf>
    <xf numFmtId="0" fontId="68" fillId="0" borderId="59" xfId="0" quotePrefix="1" applyFont="1" applyBorder="1"/>
    <xf numFmtId="0" fontId="69" fillId="0" borderId="59" xfId="0" applyFont="1" applyBorder="1"/>
    <xf numFmtId="164" fontId="68" fillId="0" borderId="59" xfId="1" applyNumberFormat="1" applyFont="1" applyBorder="1" applyAlignment="1">
      <alignment horizontal="center"/>
    </xf>
    <xf numFmtId="0" fontId="0" fillId="16" borderId="74" xfId="0" applyFill="1" applyBorder="1"/>
    <xf numFmtId="0" fontId="25" fillId="16" borderId="74" xfId="0" applyFont="1" applyFill="1" applyBorder="1"/>
    <xf numFmtId="0" fontId="0" fillId="16" borderId="75" xfId="0" applyFill="1" applyBorder="1"/>
    <xf numFmtId="0" fontId="25" fillId="16" borderId="75" xfId="0" applyFont="1" applyFill="1" applyBorder="1"/>
    <xf numFmtId="0" fontId="68" fillId="16" borderId="75" xfId="0" quotePrefix="1" applyFont="1" applyFill="1" applyBorder="1"/>
    <xf numFmtId="0" fontId="69" fillId="16" borderId="75" xfId="0" applyFont="1" applyFill="1" applyBorder="1"/>
    <xf numFmtId="0" fontId="0" fillId="16" borderId="74" xfId="0" applyFill="1" applyBorder="1" applyAlignment="1">
      <alignment horizontal="center"/>
    </xf>
    <xf numFmtId="164" fontId="0" fillId="16" borderId="74" xfId="1" applyNumberFormat="1" applyFont="1" applyFill="1" applyBorder="1" applyAlignment="1">
      <alignment horizontal="center"/>
    </xf>
    <xf numFmtId="164" fontId="0" fillId="16" borderId="75" xfId="1" applyNumberFormat="1" applyFont="1" applyFill="1" applyBorder="1" applyAlignment="1">
      <alignment horizontal="center"/>
    </xf>
    <xf numFmtId="164" fontId="68" fillId="16" borderId="75" xfId="1" applyNumberFormat="1" applyFont="1" applyFill="1" applyBorder="1" applyAlignment="1">
      <alignment horizontal="center"/>
    </xf>
    <xf numFmtId="164" fontId="1" fillId="16" borderId="74" xfId="1" applyNumberFormat="1" applyFont="1" applyFill="1" applyBorder="1"/>
    <xf numFmtId="164" fontId="1" fillId="16" borderId="75" xfId="1" applyNumberFormat="1" applyFont="1" applyFill="1" applyBorder="1"/>
    <xf numFmtId="0" fontId="0" fillId="16" borderId="76" xfId="0" applyFill="1" applyBorder="1"/>
    <xf numFmtId="0" fontId="25" fillId="16" borderId="76" xfId="0" applyFont="1" applyFill="1" applyBorder="1"/>
    <xf numFmtId="164" fontId="0" fillId="16" borderId="76" xfId="1" applyNumberFormat="1" applyFont="1" applyFill="1" applyBorder="1"/>
    <xf numFmtId="164" fontId="0" fillId="16" borderId="75" xfId="1" applyNumberFormat="1" applyFont="1" applyFill="1" applyBorder="1"/>
    <xf numFmtId="0" fontId="0" fillId="22" borderId="77" xfId="0" applyFill="1" applyBorder="1"/>
    <xf numFmtId="0" fontId="25" fillId="22" borderId="77" xfId="0" applyFont="1" applyFill="1" applyBorder="1"/>
    <xf numFmtId="0" fontId="0" fillId="22" borderId="78" xfId="0" applyFill="1" applyBorder="1"/>
    <xf numFmtId="0" fontId="25" fillId="22" borderId="78" xfId="0" applyFont="1" applyFill="1" applyBorder="1"/>
    <xf numFmtId="0" fontId="68" fillId="22" borderId="78" xfId="0" quotePrefix="1" applyFont="1" applyFill="1" applyBorder="1"/>
    <xf numFmtId="0" fontId="69" fillId="22" borderId="78" xfId="0" applyFont="1" applyFill="1" applyBorder="1"/>
    <xf numFmtId="0" fontId="0" fillId="22" borderId="77" xfId="0" applyFill="1" applyBorder="1" applyAlignment="1">
      <alignment horizontal="center"/>
    </xf>
    <xf numFmtId="164" fontId="0" fillId="22" borderId="77" xfId="1" applyNumberFormat="1" applyFont="1" applyFill="1" applyBorder="1" applyAlignment="1">
      <alignment horizontal="center"/>
    </xf>
    <xf numFmtId="164" fontId="0" fillId="22" borderId="78" xfId="1" applyNumberFormat="1" applyFont="1" applyFill="1" applyBorder="1" applyAlignment="1">
      <alignment horizontal="center"/>
    </xf>
    <xf numFmtId="164" fontId="68" fillId="22" borderId="78" xfId="1" applyNumberFormat="1" applyFont="1" applyFill="1" applyBorder="1" applyAlignment="1">
      <alignment horizontal="center"/>
    </xf>
    <xf numFmtId="164" fontId="1" fillId="22" borderId="77" xfId="1" applyNumberFormat="1" applyFont="1" applyFill="1" applyBorder="1"/>
    <xf numFmtId="164" fontId="1" fillId="22" borderId="78" xfId="1" applyNumberFormat="1" applyFont="1" applyFill="1" applyBorder="1"/>
    <xf numFmtId="164" fontId="0" fillId="22" borderId="78" xfId="1" applyNumberFormat="1" applyFont="1" applyFill="1" applyBorder="1"/>
    <xf numFmtId="0" fontId="2" fillId="16" borderId="75" xfId="0" applyFont="1" applyFill="1" applyBorder="1"/>
    <xf numFmtId="0" fontId="27" fillId="16" borderId="75" xfId="0" applyFont="1" applyFill="1" applyBorder="1"/>
    <xf numFmtId="0" fontId="46" fillId="16" borderId="75" xfId="0" applyFont="1" applyFill="1" applyBorder="1"/>
    <xf numFmtId="0" fontId="45" fillId="16" borderId="75" xfId="0" applyFont="1" applyFill="1" applyBorder="1"/>
    <xf numFmtId="9" fontId="0" fillId="16" borderId="76" xfId="0" applyNumberFormat="1" applyFill="1" applyBorder="1"/>
    <xf numFmtId="164" fontId="2" fillId="16" borderId="75" xfId="1" applyNumberFormat="1" applyFont="1" applyFill="1" applyBorder="1"/>
    <xf numFmtId="165" fontId="0" fillId="16" borderId="75" xfId="0" applyNumberFormat="1" applyFill="1" applyBorder="1"/>
    <xf numFmtId="165" fontId="46" fillId="16" borderId="75" xfId="0" applyNumberFormat="1" applyFont="1" applyFill="1" applyBorder="1"/>
    <xf numFmtId="0" fontId="0" fillId="22" borderId="79" xfId="0" applyFill="1" applyBorder="1"/>
    <xf numFmtId="0" fontId="25" fillId="22" borderId="79" xfId="0" applyFont="1" applyFill="1" applyBorder="1"/>
    <xf numFmtId="0" fontId="2" fillId="22" borderId="78" xfId="0" applyFont="1" applyFill="1" applyBorder="1"/>
    <xf numFmtId="0" fontId="27" fillId="22" borderId="78" xfId="0" applyFont="1" applyFill="1" applyBorder="1"/>
    <xf numFmtId="0" fontId="46" fillId="22" borderId="78" xfId="0" applyFont="1" applyFill="1" applyBorder="1"/>
    <xf numFmtId="0" fontId="45" fillId="22" borderId="78" xfId="0" applyFont="1" applyFill="1" applyBorder="1"/>
    <xf numFmtId="9" fontId="0" fillId="22" borderId="79" xfId="0" applyNumberFormat="1" applyFill="1" applyBorder="1"/>
    <xf numFmtId="164" fontId="2" fillId="22" borderId="78" xfId="1" applyNumberFormat="1" applyFont="1" applyFill="1" applyBorder="1"/>
    <xf numFmtId="165" fontId="0" fillId="22" borderId="78" xfId="0" applyNumberFormat="1" applyFill="1" applyBorder="1"/>
    <xf numFmtId="165" fontId="46" fillId="22" borderId="78" xfId="0" applyNumberFormat="1" applyFont="1" applyFill="1" applyBorder="1"/>
    <xf numFmtId="10" fontId="0" fillId="0" borderId="0" xfId="0" applyNumberFormat="1"/>
    <xf numFmtId="164" fontId="0" fillId="22" borderId="79" xfId="1" applyNumberFormat="1" applyFont="1" applyFill="1" applyBorder="1"/>
    <xf numFmtId="164" fontId="1" fillId="0" borderId="0" xfId="1" applyNumberFormat="1" applyFont="1" applyFill="1"/>
    <xf numFmtId="0" fontId="9" fillId="5" borderId="0" xfId="0" applyFont="1" applyFill="1" applyAlignment="1">
      <alignment horizontal="center" vertical="center" wrapText="1"/>
    </xf>
    <xf numFmtId="0" fontId="9" fillId="5" borderId="33" xfId="0" applyFont="1" applyFill="1" applyBorder="1" applyAlignment="1">
      <alignment horizontal="centerContinuous" vertical="center"/>
    </xf>
    <xf numFmtId="0" fontId="7" fillId="5" borderId="0" xfId="0" applyFont="1" applyFill="1" applyAlignment="1">
      <alignment horizontal="center" vertical="center"/>
    </xf>
    <xf numFmtId="0" fontId="0" fillId="0" borderId="73" xfId="0" applyBorder="1" applyAlignment="1">
      <alignment horizontal="center"/>
    </xf>
    <xf numFmtId="0" fontId="0" fillId="0" borderId="73" xfId="0" applyBorder="1" applyAlignment="1">
      <alignment horizontal="left" indent="2"/>
    </xf>
    <xf numFmtId="0" fontId="0" fillId="4" borderId="73" xfId="0" applyFill="1" applyBorder="1"/>
    <xf numFmtId="164" fontId="0" fillId="0" borderId="73" xfId="1" applyNumberFormat="1" applyFont="1" applyBorder="1"/>
    <xf numFmtId="0" fontId="0" fillId="0" borderId="59" xfId="0" applyBorder="1" applyAlignment="1">
      <alignment horizontal="left" indent="2"/>
    </xf>
    <xf numFmtId="164" fontId="0" fillId="4" borderId="73" xfId="1" applyNumberFormat="1" applyFont="1" applyFill="1" applyBorder="1"/>
    <xf numFmtId="164" fontId="1" fillId="3" borderId="59" xfId="1" applyNumberFormat="1" applyFont="1" applyFill="1" applyBorder="1"/>
    <xf numFmtId="164" fontId="1" fillId="0" borderId="59" xfId="1" applyNumberFormat="1" applyFont="1" applyBorder="1"/>
    <xf numFmtId="164" fontId="0" fillId="3" borderId="59" xfId="1" applyNumberFormat="1" applyFont="1" applyFill="1" applyBorder="1"/>
    <xf numFmtId="0" fontId="21" fillId="0" borderId="59" xfId="0" applyFont="1" applyBorder="1" applyAlignment="1">
      <alignment horizontal="center"/>
    </xf>
    <xf numFmtId="0" fontId="21" fillId="0" borderId="59" xfId="0" applyFont="1" applyBorder="1" applyAlignment="1">
      <alignment horizontal="left" indent="2"/>
    </xf>
    <xf numFmtId="0" fontId="21" fillId="4" borderId="59" xfId="0" applyFont="1" applyFill="1" applyBorder="1"/>
    <xf numFmtId="164" fontId="21" fillId="0" borderId="59" xfId="1" applyNumberFormat="1" applyFont="1" applyBorder="1"/>
    <xf numFmtId="0" fontId="0" fillId="0" borderId="73" xfId="0" quotePrefix="1" applyBorder="1" applyAlignment="1">
      <alignment horizontal="center"/>
    </xf>
    <xf numFmtId="0" fontId="0" fillId="0" borderId="59" xfId="0" quotePrefix="1" applyBorder="1" applyAlignment="1">
      <alignment horizontal="center"/>
    </xf>
    <xf numFmtId="164" fontId="0" fillId="3" borderId="73" xfId="1" applyNumberFormat="1" applyFont="1" applyFill="1" applyBorder="1"/>
    <xf numFmtId="0" fontId="59" fillId="0" borderId="58" xfId="0" applyFont="1" applyBorder="1"/>
    <xf numFmtId="0" fontId="63" fillId="0" borderId="58" xfId="0" applyFont="1" applyBorder="1"/>
    <xf numFmtId="164" fontId="59" fillId="0" borderId="58" xfId="1" applyNumberFormat="1" applyFont="1" applyBorder="1" applyAlignment="1">
      <alignment horizontal="center"/>
    </xf>
    <xf numFmtId="164" fontId="59" fillId="0" borderId="59" xfId="1" applyNumberFormat="1" applyFont="1" applyBorder="1" applyAlignment="1">
      <alignment horizontal="center"/>
    </xf>
    <xf numFmtId="165" fontId="59" fillId="0" borderId="58" xfId="1" applyNumberFormat="1" applyFont="1" applyBorder="1" applyAlignment="1">
      <alignment horizontal="center"/>
    </xf>
    <xf numFmtId="165" fontId="59" fillId="0" borderId="58" xfId="1" applyNumberFormat="1" applyFont="1" applyBorder="1" applyAlignment="1">
      <alignment horizontal="right"/>
    </xf>
    <xf numFmtId="0" fontId="93" fillId="0" borderId="0" xfId="0" applyFont="1"/>
    <xf numFmtId="0" fontId="94" fillId="0" borderId="0" xfId="0" applyFont="1"/>
    <xf numFmtId="0" fontId="93" fillId="0" borderId="0" xfId="0" applyFont="1" applyAlignment="1">
      <alignment horizontal="center"/>
    </xf>
    <xf numFmtId="0" fontId="9" fillId="0" borderId="0" xfId="0" applyFont="1" applyAlignment="1">
      <alignment horizontal="center"/>
    </xf>
    <xf numFmtId="164" fontId="9" fillId="0" borderId="0" xfId="1" applyNumberFormat="1" applyFont="1" applyAlignment="1">
      <alignment horizontal="center"/>
    </xf>
    <xf numFmtId="0" fontId="0" fillId="0" borderId="73" xfId="0" applyBorder="1"/>
    <xf numFmtId="0" fontId="25" fillId="0" borderId="73" xfId="0" applyFont="1" applyBorder="1"/>
    <xf numFmtId="164" fontId="1" fillId="0" borderId="73" xfId="1" applyNumberFormat="1" applyFont="1" applyBorder="1"/>
    <xf numFmtId="164" fontId="68" fillId="0" borderId="80" xfId="1" applyNumberFormat="1" applyFont="1" applyBorder="1" applyAlignment="1">
      <alignment horizontal="center"/>
    </xf>
    <xf numFmtId="0" fontId="68" fillId="16" borderId="81" xfId="0" quotePrefix="1" applyFont="1" applyFill="1" applyBorder="1"/>
    <xf numFmtId="0" fontId="69" fillId="16" borderId="81" xfId="0" applyFont="1" applyFill="1" applyBorder="1"/>
    <xf numFmtId="164" fontId="68" fillId="16" borderId="81" xfId="1" applyNumberFormat="1" applyFont="1" applyFill="1" applyBorder="1" applyAlignment="1">
      <alignment horizontal="center"/>
    </xf>
    <xf numFmtId="0" fontId="9" fillId="16" borderId="0" xfId="0" applyFont="1" applyFill="1"/>
    <xf numFmtId="0" fontId="9" fillId="22" borderId="0" xfId="0" applyFont="1" applyFill="1"/>
    <xf numFmtId="0" fontId="68" fillId="22" borderId="82" xfId="0" quotePrefix="1" applyFont="1" applyFill="1" applyBorder="1"/>
    <xf numFmtId="0" fontId="69" fillId="22" borderId="82" xfId="0" applyFont="1" applyFill="1" applyBorder="1"/>
    <xf numFmtId="164" fontId="68" fillId="22" borderId="82" xfId="1" applyNumberFormat="1" applyFont="1" applyFill="1" applyBorder="1" applyAlignment="1">
      <alignment horizontal="center"/>
    </xf>
    <xf numFmtId="165" fontId="8" fillId="0" borderId="0" xfId="0" applyNumberFormat="1" applyFont="1"/>
    <xf numFmtId="165" fontId="0" fillId="0" borderId="1" xfId="1" applyNumberFormat="1" applyFont="1" applyBorder="1"/>
    <xf numFmtId="164" fontId="0" fillId="0" borderId="0" xfId="1" quotePrefix="1" applyNumberFormat="1" applyFont="1"/>
    <xf numFmtId="0" fontId="8" fillId="0" borderId="83" xfId="0" quotePrefix="1" applyFont="1" applyBorder="1" applyAlignment="1">
      <alignment horizontal="center"/>
    </xf>
    <xf numFmtId="0" fontId="8" fillId="0" borderId="83" xfId="0" applyFont="1" applyBorder="1"/>
    <xf numFmtId="0" fontId="15" fillId="0" borderId="83" xfId="0" applyFont="1" applyBorder="1"/>
    <xf numFmtId="164" fontId="8" fillId="0" borderId="83" xfId="1" applyNumberFormat="1" applyFont="1" applyBorder="1"/>
    <xf numFmtId="169" fontId="30" fillId="0" borderId="0" xfId="0" applyNumberFormat="1" applyFont="1" applyAlignment="1">
      <alignment vertical="center"/>
    </xf>
    <xf numFmtId="164" fontId="1" fillId="3" borderId="0" xfId="1" applyNumberFormat="1" applyFont="1" applyFill="1"/>
    <xf numFmtId="165" fontId="1" fillId="3" borderId="0" xfId="1" applyNumberFormat="1" applyFont="1" applyFill="1"/>
    <xf numFmtId="0" fontId="0" fillId="0" borderId="84" xfId="0" applyBorder="1"/>
    <xf numFmtId="0" fontId="0" fillId="0" borderId="85" xfId="0" applyBorder="1"/>
    <xf numFmtId="0" fontId="0" fillId="0" borderId="86" xfId="0" applyBorder="1"/>
    <xf numFmtId="167" fontId="8" fillId="0" borderId="60" xfId="1" applyNumberFormat="1" applyFont="1" applyBorder="1"/>
    <xf numFmtId="167" fontId="2" fillId="0" borderId="58" xfId="1" applyNumberFormat="1" applyFont="1" applyBorder="1"/>
    <xf numFmtId="167" fontId="0" fillId="4" borderId="59" xfId="1" applyNumberFormat="1" applyFont="1" applyFill="1" applyBorder="1"/>
    <xf numFmtId="167" fontId="2" fillId="0" borderId="59" xfId="1" applyNumberFormat="1" applyFont="1" applyBorder="1"/>
    <xf numFmtId="165" fontId="0" fillId="0" borderId="0" xfId="1" applyNumberFormat="1" applyFont="1"/>
    <xf numFmtId="165" fontId="98" fillId="0" borderId="84" xfId="1" applyNumberFormat="1" applyFont="1" applyBorder="1"/>
    <xf numFmtId="165" fontId="98" fillId="0" borderId="85" xfId="1" applyNumberFormat="1" applyFont="1" applyBorder="1"/>
    <xf numFmtId="165" fontId="98" fillId="0" borderId="86" xfId="1" applyNumberFormat="1" applyFont="1" applyBorder="1"/>
    <xf numFmtId="165" fontId="97" fillId="0" borderId="8" xfId="0" applyNumberFormat="1" applyFont="1" applyBorder="1"/>
    <xf numFmtId="0" fontId="88" fillId="26" borderId="72" xfId="0" applyFont="1" applyFill="1" applyBorder="1" applyAlignment="1">
      <alignment horizontal="right"/>
    </xf>
    <xf numFmtId="0" fontId="26" fillId="26" borderId="72" xfId="0" applyFont="1" applyFill="1" applyBorder="1" applyAlignment="1">
      <alignment horizontal="right"/>
    </xf>
    <xf numFmtId="0" fontId="88" fillId="20" borderId="72" xfId="0" applyFont="1" applyFill="1" applyBorder="1" applyAlignment="1">
      <alignment horizontal="right"/>
    </xf>
    <xf numFmtId="0" fontId="26" fillId="20" borderId="72" xfId="0" applyFont="1" applyFill="1" applyBorder="1" applyAlignment="1">
      <alignment horizontal="right"/>
    </xf>
    <xf numFmtId="0" fontId="88" fillId="20" borderId="72" xfId="0" quotePrefix="1" applyFont="1" applyFill="1" applyBorder="1" applyAlignment="1">
      <alignment horizontal="right"/>
    </xf>
    <xf numFmtId="180" fontId="0" fillId="0" borderId="84" xfId="1" applyNumberFormat="1" applyFont="1" applyBorder="1"/>
    <xf numFmtId="180" fontId="0" fillId="0" borderId="85" xfId="1" applyNumberFormat="1" applyFont="1" applyBorder="1"/>
    <xf numFmtId="180" fontId="0" fillId="0" borderId="86" xfId="1" applyNumberFormat="1" applyFont="1" applyBorder="1"/>
    <xf numFmtId="180" fontId="2" fillId="0" borderId="8" xfId="1" applyNumberFormat="1" applyFont="1" applyBorder="1"/>
    <xf numFmtId="181" fontId="98" fillId="0" borderId="84" xfId="1" applyNumberFormat="1" applyFont="1" applyBorder="1"/>
    <xf numFmtId="181" fontId="98" fillId="0" borderId="85" xfId="1" applyNumberFormat="1" applyFont="1" applyBorder="1"/>
    <xf numFmtId="181" fontId="98" fillId="0" borderId="86" xfId="1" applyNumberFormat="1" applyFont="1" applyBorder="1"/>
    <xf numFmtId="181" fontId="97" fillId="0" borderId="8" xfId="0" applyNumberFormat="1" applyFont="1" applyBorder="1"/>
    <xf numFmtId="165" fontId="98" fillId="0" borderId="0" xfId="1" applyNumberFormat="1" applyFont="1" applyFill="1" applyBorder="1"/>
    <xf numFmtId="174" fontId="44" fillId="0" borderId="45" xfId="4" applyNumberFormat="1" applyFont="1" applyBorder="1" applyAlignment="1">
      <alignment horizontal="center" vertical="center"/>
    </xf>
    <xf numFmtId="174" fontId="44" fillId="0" borderId="46" xfId="4" applyNumberFormat="1" applyFont="1" applyBorder="1" applyAlignment="1">
      <alignment horizontal="center" vertical="center"/>
    </xf>
    <xf numFmtId="165" fontId="0" fillId="0" borderId="62" xfId="0" applyNumberFormat="1" applyBorder="1"/>
    <xf numFmtId="0" fontId="55" fillId="15" borderId="71" xfId="0" applyFont="1" applyFill="1" applyBorder="1" applyAlignment="1">
      <alignment horizontal="right" wrapText="1"/>
    </xf>
    <xf numFmtId="0" fontId="64" fillId="20" borderId="71" xfId="0" applyFont="1" applyFill="1" applyBorder="1" applyAlignment="1">
      <alignment horizontal="right" wrapText="1"/>
    </xf>
    <xf numFmtId="0" fontId="64" fillId="21" borderId="71" xfId="0" applyFont="1" applyFill="1" applyBorder="1" applyAlignment="1">
      <alignment horizontal="right" wrapText="1"/>
    </xf>
    <xf numFmtId="0" fontId="64" fillId="27" borderId="71" xfId="0" applyFont="1" applyFill="1" applyBorder="1" applyAlignment="1">
      <alignment horizontal="right" wrapText="1"/>
    </xf>
    <xf numFmtId="0" fontId="65" fillId="27" borderId="0" xfId="0" applyFont="1" applyFill="1"/>
    <xf numFmtId="0" fontId="64" fillId="8" borderId="71" xfId="0" applyFont="1" applyFill="1" applyBorder="1" applyAlignment="1">
      <alignment horizontal="right" wrapText="1"/>
    </xf>
    <xf numFmtId="0" fontId="65" fillId="8" borderId="0" xfId="0" applyFont="1" applyFill="1"/>
    <xf numFmtId="0" fontId="13" fillId="16" borderId="0" xfId="0" applyFont="1" applyFill="1"/>
    <xf numFmtId="0" fontId="64" fillId="7" borderId="71" xfId="0" applyFont="1" applyFill="1" applyBorder="1" applyAlignment="1">
      <alignment horizontal="right" wrapText="1"/>
    </xf>
    <xf numFmtId="0" fontId="65" fillId="7" borderId="0" xfId="0" applyFont="1" applyFill="1"/>
    <xf numFmtId="164" fontId="37" fillId="11" borderId="0" xfId="1" applyNumberFormat="1" applyFont="1" applyFill="1" applyBorder="1"/>
    <xf numFmtId="164" fontId="43" fillId="24" borderId="0" xfId="1" applyNumberFormat="1" applyFont="1" applyFill="1" applyBorder="1"/>
    <xf numFmtId="164" fontId="37" fillId="6" borderId="0" xfId="1" applyNumberFormat="1" applyFont="1" applyFill="1" applyBorder="1" applyAlignment="1">
      <alignment horizontal="centerContinuous"/>
    </xf>
    <xf numFmtId="164" fontId="38" fillId="19" borderId="87" xfId="1" applyNumberFormat="1" applyFont="1" applyFill="1" applyBorder="1" applyAlignment="1">
      <alignment horizontal="centerContinuous" vertical="center"/>
    </xf>
    <xf numFmtId="164" fontId="38" fillId="19" borderId="88" xfId="1" applyNumberFormat="1" applyFont="1" applyFill="1" applyBorder="1" applyAlignment="1">
      <alignment horizontal="centerContinuous" vertical="center"/>
    </xf>
    <xf numFmtId="164" fontId="37" fillId="6" borderId="37" xfId="1" applyNumberFormat="1" applyFont="1" applyFill="1" applyBorder="1" applyAlignment="1">
      <alignment horizontal="centerContinuous"/>
    </xf>
    <xf numFmtId="2" fontId="38" fillId="8" borderId="89" xfId="4" applyNumberFormat="1" applyFont="1" applyFill="1" applyBorder="1" applyAlignment="1">
      <alignment horizontal="center" vertical="center" wrapText="1"/>
    </xf>
    <xf numFmtId="174" fontId="44" fillId="0" borderId="89" xfId="4" applyNumberFormat="1" applyFont="1" applyBorder="1" applyAlignment="1">
      <alignment horizontal="center" vertical="center"/>
    </xf>
    <xf numFmtId="174" fontId="44" fillId="0" borderId="91" xfId="4" applyNumberFormat="1" applyFont="1" applyBorder="1" applyAlignment="1">
      <alignment horizontal="center" vertical="center"/>
    </xf>
    <xf numFmtId="0" fontId="37" fillId="11" borderId="95" xfId="4" applyFont="1" applyFill="1" applyBorder="1"/>
    <xf numFmtId="0" fontId="37" fillId="11" borderId="96" xfId="4" applyFont="1" applyFill="1" applyBorder="1"/>
    <xf numFmtId="2" fontId="38" fillId="8" borderId="43" xfId="4" applyNumberFormat="1" applyFont="1" applyFill="1" applyBorder="1" applyAlignment="1">
      <alignment horizontal="center" vertical="center" wrapText="1"/>
    </xf>
    <xf numFmtId="174" fontId="44" fillId="11" borderId="89" xfId="4" applyNumberFormat="1" applyFont="1" applyFill="1" applyBorder="1" applyAlignment="1">
      <alignment horizontal="center" vertical="center"/>
    </xf>
    <xf numFmtId="174" fontId="44" fillId="11" borderId="91" xfId="4" applyNumberFormat="1" applyFont="1" applyFill="1" applyBorder="1" applyAlignment="1">
      <alignment horizontal="center" vertical="center"/>
    </xf>
    <xf numFmtId="10" fontId="59" fillId="0" borderId="0" xfId="1" applyNumberFormat="1" applyFont="1" applyFill="1" applyBorder="1"/>
    <xf numFmtId="10" fontId="59" fillId="0" borderId="0" xfId="0" applyNumberFormat="1" applyFont="1"/>
    <xf numFmtId="0" fontId="67" fillId="0" borderId="0" xfId="0" applyFont="1" applyAlignment="1">
      <alignment horizontal="center" vertical="center"/>
    </xf>
    <xf numFmtId="0" fontId="67" fillId="0" borderId="0" xfId="0" applyFont="1" applyAlignment="1">
      <alignment vertical="center"/>
    </xf>
    <xf numFmtId="0" fontId="8" fillId="0" borderId="0" xfId="0" applyFont="1" applyAlignment="1">
      <alignment vertical="center"/>
    </xf>
    <xf numFmtId="0" fontId="63" fillId="0" borderId="0" xfId="0" applyFont="1"/>
    <xf numFmtId="0" fontId="26" fillId="19" borderId="0" xfId="0" applyFont="1" applyFill="1" applyAlignment="1">
      <alignment horizontal="center"/>
    </xf>
    <xf numFmtId="9" fontId="25" fillId="0" borderId="59" xfId="0" applyNumberFormat="1" applyFont="1" applyBorder="1" applyAlignment="1">
      <alignment horizontal="center"/>
    </xf>
    <xf numFmtId="9" fontId="25" fillId="0" borderId="59" xfId="0" applyNumberFormat="1" applyFont="1" applyBorder="1"/>
    <xf numFmtId="43" fontId="25" fillId="6" borderId="59" xfId="1" applyFont="1" applyFill="1" applyBorder="1"/>
    <xf numFmtId="164" fontId="73" fillId="6" borderId="59" xfId="1" applyNumberFormat="1" applyFont="1" applyFill="1" applyBorder="1"/>
    <xf numFmtId="164" fontId="25" fillId="0" borderId="59" xfId="1" applyNumberFormat="1" applyFont="1" applyFill="1" applyBorder="1"/>
    <xf numFmtId="9" fontId="79" fillId="0" borderId="59" xfId="0" applyNumberFormat="1" applyFont="1" applyBorder="1"/>
    <xf numFmtId="9" fontId="25" fillId="0" borderId="0" xfId="0" applyNumberFormat="1" applyFont="1"/>
    <xf numFmtId="165" fontId="25" fillId="0" borderId="62" xfId="0" applyNumberFormat="1" applyFont="1" applyBorder="1"/>
    <xf numFmtId="165" fontId="27" fillId="24" borderId="65" xfId="0" applyNumberFormat="1" applyFont="1" applyFill="1" applyBorder="1"/>
    <xf numFmtId="164" fontId="25" fillId="0" borderId="0" xfId="1" applyNumberFormat="1" applyFont="1"/>
    <xf numFmtId="164" fontId="27" fillId="0" borderId="0" xfId="1" applyNumberFormat="1" applyFont="1"/>
    <xf numFmtId="43" fontId="25" fillId="0" borderId="0" xfId="1" applyFont="1"/>
    <xf numFmtId="164" fontId="27" fillId="0" borderId="27" xfId="0" applyNumberFormat="1" applyFont="1" applyBorder="1"/>
    <xf numFmtId="164" fontId="25" fillId="0" borderId="66" xfId="1" applyNumberFormat="1" applyFont="1" applyBorder="1"/>
    <xf numFmtId="164" fontId="25" fillId="0" borderId="59" xfId="1" applyNumberFormat="1" applyFont="1" applyBorder="1"/>
    <xf numFmtId="0" fontId="97" fillId="0" borderId="0" xfId="0" applyFont="1" applyAlignment="1">
      <alignment horizontal="right"/>
    </xf>
    <xf numFmtId="165" fontId="97" fillId="0" borderId="27" xfId="0" applyNumberFormat="1" applyFont="1" applyBorder="1"/>
    <xf numFmtId="165" fontId="98" fillId="0" borderId="66" xfId="1" applyNumberFormat="1" applyFont="1" applyBorder="1"/>
    <xf numFmtId="165" fontId="98" fillId="0" borderId="59" xfId="1" applyNumberFormat="1" applyFont="1" applyBorder="1"/>
    <xf numFmtId="10" fontId="37" fillId="11" borderId="95" xfId="4" applyNumberFormat="1" applyFont="1" applyFill="1" applyBorder="1"/>
    <xf numFmtId="43" fontId="0" fillId="6" borderId="0" xfId="1" applyFont="1" applyFill="1" applyBorder="1"/>
    <xf numFmtId="164" fontId="72" fillId="6" borderId="0" xfId="1" applyNumberFormat="1" applyFont="1" applyFill="1" applyBorder="1"/>
    <xf numFmtId="9" fontId="78" fillId="0" borderId="0" xfId="0" applyNumberFormat="1" applyFont="1"/>
    <xf numFmtId="164" fontId="0" fillId="0" borderId="0" xfId="1" applyNumberFormat="1" applyFont="1" applyBorder="1"/>
    <xf numFmtId="0" fontId="0" fillId="0" borderId="97" xfId="0" applyBorder="1"/>
    <xf numFmtId="0" fontId="0" fillId="0" borderId="98" xfId="0" applyBorder="1"/>
    <xf numFmtId="0" fontId="70" fillId="0" borderId="0" xfId="0" applyFont="1" applyAlignment="1">
      <alignment horizontal="center"/>
    </xf>
    <xf numFmtId="0" fontId="71" fillId="0" borderId="0" xfId="0" applyFont="1"/>
    <xf numFmtId="164" fontId="70" fillId="0" borderId="0" xfId="0" applyNumberFormat="1" applyFont="1"/>
    <xf numFmtId="164" fontId="71" fillId="0" borderId="0" xfId="0" applyNumberFormat="1" applyFont="1"/>
    <xf numFmtId="165" fontId="0" fillId="0" borderId="66" xfId="0" applyNumberFormat="1" applyBorder="1"/>
    <xf numFmtId="165" fontId="2" fillId="24" borderId="99" xfId="0" applyNumberFormat="1" applyFont="1" applyFill="1" applyBorder="1"/>
    <xf numFmtId="165" fontId="0" fillId="0" borderId="100" xfId="0" applyNumberFormat="1" applyBorder="1"/>
    <xf numFmtId="9" fontId="0" fillId="0" borderId="101" xfId="0" applyNumberFormat="1" applyBorder="1"/>
    <xf numFmtId="165" fontId="2" fillId="24" borderId="102" xfId="0" applyNumberFormat="1" applyFont="1" applyFill="1" applyBorder="1"/>
    <xf numFmtId="164" fontId="70" fillId="0" borderId="0" xfId="1" applyNumberFormat="1" applyFont="1"/>
    <xf numFmtId="10" fontId="0" fillId="0" borderId="58" xfId="1" applyNumberFormat="1" applyFont="1" applyBorder="1"/>
    <xf numFmtId="43" fontId="8" fillId="3" borderId="60" xfId="1" applyFont="1" applyFill="1" applyBorder="1"/>
    <xf numFmtId="43" fontId="8" fillId="0" borderId="0" xfId="1" applyFont="1"/>
    <xf numFmtId="182" fontId="44" fillId="11" borderId="50" xfId="4" applyNumberFormat="1" applyFont="1" applyFill="1" applyBorder="1" applyAlignment="1">
      <alignment horizontal="center" vertical="center"/>
    </xf>
    <xf numFmtId="182" fontId="44" fillId="11" borderId="52" xfId="4" applyNumberFormat="1" applyFont="1" applyFill="1" applyBorder="1" applyAlignment="1">
      <alignment horizontal="center" vertical="center"/>
    </xf>
    <xf numFmtId="0" fontId="99" fillId="11" borderId="0" xfId="4" applyFont="1" applyFill="1"/>
    <xf numFmtId="164" fontId="99" fillId="11" borderId="0" xfId="1" applyNumberFormat="1" applyFont="1" applyFill="1"/>
    <xf numFmtId="43" fontId="99" fillId="11" borderId="0" xfId="1" applyFont="1" applyFill="1"/>
    <xf numFmtId="182" fontId="44" fillId="11" borderId="45" xfId="4" applyNumberFormat="1" applyFont="1" applyFill="1" applyBorder="1" applyAlignment="1">
      <alignment horizontal="center" vertical="center"/>
    </xf>
    <xf numFmtId="182" fontId="44" fillId="11" borderId="46" xfId="4" applyNumberFormat="1" applyFont="1" applyFill="1" applyBorder="1" applyAlignment="1">
      <alignment horizontal="center" vertical="center"/>
    </xf>
    <xf numFmtId="182" fontId="44" fillId="11" borderId="89" xfId="4" applyNumberFormat="1" applyFont="1" applyFill="1" applyBorder="1" applyAlignment="1">
      <alignment horizontal="center" vertical="center"/>
    </xf>
    <xf numFmtId="182" fontId="44" fillId="11" borderId="91" xfId="4" applyNumberFormat="1" applyFont="1" applyFill="1" applyBorder="1" applyAlignment="1">
      <alignment horizontal="center" vertical="center"/>
    </xf>
    <xf numFmtId="2" fontId="38" fillId="8" borderId="103" xfId="4" applyNumberFormat="1" applyFont="1" applyFill="1" applyBorder="1" applyAlignment="1">
      <alignment horizontal="center" vertical="center" wrapText="1"/>
    </xf>
    <xf numFmtId="174" fontId="44" fillId="11" borderId="105" xfId="4" applyNumberFormat="1" applyFont="1" applyFill="1" applyBorder="1" applyAlignment="1">
      <alignment horizontal="center" vertical="center"/>
    </xf>
    <xf numFmtId="174" fontId="44" fillId="11" borderId="107" xfId="4" applyNumberFormat="1" applyFont="1" applyFill="1" applyBorder="1" applyAlignment="1">
      <alignment horizontal="center" vertical="center"/>
    </xf>
    <xf numFmtId="182" fontId="44" fillId="11" borderId="105" xfId="4" applyNumberFormat="1" applyFont="1" applyFill="1" applyBorder="1" applyAlignment="1">
      <alignment horizontal="center" vertical="center"/>
    </xf>
    <xf numFmtId="182" fontId="44" fillId="11" borderId="107" xfId="4" applyNumberFormat="1" applyFont="1" applyFill="1" applyBorder="1" applyAlignment="1">
      <alignment horizontal="center" vertical="center"/>
    </xf>
    <xf numFmtId="0" fontId="38" fillId="19" borderId="24" xfId="4" applyFont="1" applyFill="1" applyBorder="1" applyAlignment="1">
      <alignment horizontal="centerContinuous" vertical="center" wrapText="1"/>
    </xf>
    <xf numFmtId="0" fontId="38" fillId="19" borderId="88" xfId="4" applyFont="1" applyFill="1" applyBorder="1" applyAlignment="1">
      <alignment horizontal="centerContinuous" vertical="center" wrapText="1"/>
    </xf>
    <xf numFmtId="0" fontId="38" fillId="19" borderId="0" xfId="4" applyFont="1" applyFill="1" applyAlignment="1">
      <alignment horizontal="centerContinuous" vertical="center" wrapText="1"/>
    </xf>
    <xf numFmtId="0" fontId="100" fillId="11" borderId="0" xfId="4" applyFont="1" applyFill="1" applyAlignment="1">
      <alignment horizontal="right" vertical="center"/>
    </xf>
    <xf numFmtId="164" fontId="100" fillId="11" borderId="37" xfId="4" applyNumberFormat="1" applyFont="1" applyFill="1" applyBorder="1" applyAlignment="1">
      <alignment horizontal="right" vertical="center"/>
    </xf>
    <xf numFmtId="164" fontId="100" fillId="11" borderId="0" xfId="4" applyNumberFormat="1" applyFont="1" applyFill="1" applyAlignment="1">
      <alignment horizontal="right" vertical="center"/>
    </xf>
    <xf numFmtId="0" fontId="36" fillId="11" borderId="0" xfId="4" applyFont="1" applyFill="1" applyAlignment="1">
      <alignment vertical="center"/>
    </xf>
    <xf numFmtId="2" fontId="38" fillId="8" borderId="90" xfId="4" applyNumberFormat="1" applyFont="1" applyFill="1" applyBorder="1" applyAlignment="1">
      <alignment horizontal="center" vertical="center" wrapText="1"/>
    </xf>
    <xf numFmtId="49" fontId="39" fillId="16" borderId="9" xfId="4" applyNumberFormat="1" applyFont="1" applyFill="1" applyBorder="1" applyAlignment="1">
      <alignment horizontal="center" vertical="center"/>
    </xf>
    <xf numFmtId="174" fontId="39" fillId="16" borderId="50" xfId="4" applyNumberFormat="1" applyFont="1" applyFill="1" applyBorder="1" applyAlignment="1">
      <alignment horizontal="center" vertical="center"/>
    </xf>
    <xf numFmtId="176" fontId="39" fillId="16" borderId="51" xfId="6" applyNumberFormat="1" applyFont="1" applyFill="1" applyBorder="1" applyAlignment="1">
      <alignment horizontal="center" vertical="center"/>
    </xf>
    <xf numFmtId="174" fontId="39" fillId="16" borderId="45" xfId="4" applyNumberFormat="1" applyFont="1" applyFill="1" applyBorder="1" applyAlignment="1">
      <alignment horizontal="center" vertical="center"/>
    </xf>
    <xf numFmtId="176" fontId="39" fillId="16" borderId="43" xfId="6" applyNumberFormat="1" applyFont="1" applyFill="1" applyBorder="1" applyAlignment="1">
      <alignment horizontal="center" vertical="center"/>
    </xf>
    <xf numFmtId="174" fontId="39" fillId="16" borderId="89" xfId="4" applyNumberFormat="1" applyFont="1" applyFill="1" applyBorder="1" applyAlignment="1">
      <alignment horizontal="center" vertical="center"/>
    </xf>
    <xf numFmtId="176" fontId="39" fillId="16" borderId="90" xfId="6" applyNumberFormat="1" applyFont="1" applyFill="1" applyBorder="1" applyAlignment="1">
      <alignment horizontal="center" vertical="center"/>
    </xf>
    <xf numFmtId="174" fontId="39" fillId="16" borderId="9" xfId="4" applyNumberFormat="1" applyFont="1" applyFill="1" applyBorder="1" applyAlignment="1">
      <alignment horizontal="center" vertical="center"/>
    </xf>
    <xf numFmtId="176" fontId="39" fillId="16" borderId="9" xfId="6" applyNumberFormat="1" applyFont="1" applyFill="1" applyBorder="1" applyAlignment="1">
      <alignment horizontal="center" vertical="center"/>
    </xf>
    <xf numFmtId="174" fontId="40" fillId="11" borderId="50" xfId="4" applyNumberFormat="1" applyFont="1" applyFill="1" applyBorder="1" applyAlignment="1">
      <alignment horizontal="center" vertical="center"/>
    </xf>
    <xf numFmtId="176" fontId="40" fillId="11" borderId="51" xfId="6" applyNumberFormat="1" applyFont="1" applyFill="1" applyBorder="1" applyAlignment="1">
      <alignment horizontal="center" vertical="center"/>
    </xf>
    <xf numFmtId="174" fontId="40" fillId="11" borderId="45" xfId="4" applyNumberFormat="1" applyFont="1" applyFill="1" applyBorder="1" applyAlignment="1">
      <alignment horizontal="center" vertical="center"/>
    </xf>
    <xf numFmtId="176" fontId="40" fillId="11" borderId="43" xfId="6" applyNumberFormat="1" applyFont="1" applyFill="1" applyBorder="1" applyAlignment="1">
      <alignment horizontal="center" vertical="center"/>
    </xf>
    <xf numFmtId="174" fontId="40" fillId="11" borderId="89" xfId="4" applyNumberFormat="1" applyFont="1" applyFill="1" applyBorder="1" applyAlignment="1">
      <alignment horizontal="center" vertical="center"/>
    </xf>
    <xf numFmtId="176" fontId="40" fillId="11" borderId="90" xfId="6" applyNumberFormat="1" applyFont="1" applyFill="1" applyBorder="1" applyAlignment="1">
      <alignment horizontal="center" vertical="center"/>
    </xf>
    <xf numFmtId="174" fontId="40" fillId="11" borderId="9" xfId="4" applyNumberFormat="1" applyFont="1" applyFill="1" applyBorder="1" applyAlignment="1">
      <alignment horizontal="center" vertical="center"/>
    </xf>
    <xf numFmtId="176" fontId="40" fillId="11" borderId="9" xfId="6" applyNumberFormat="1" applyFont="1" applyFill="1" applyBorder="1" applyAlignment="1">
      <alignment horizontal="center" vertical="center"/>
    </xf>
    <xf numFmtId="49" fontId="40" fillId="11" borderId="29" xfId="4" applyNumberFormat="1" applyFont="1" applyFill="1" applyBorder="1" applyAlignment="1">
      <alignment horizontal="center" vertical="center"/>
    </xf>
    <xf numFmtId="176" fontId="40" fillId="11" borderId="53" xfId="6" applyNumberFormat="1" applyFont="1" applyFill="1" applyBorder="1" applyAlignment="1">
      <alignment horizontal="center" vertical="center"/>
    </xf>
    <xf numFmtId="176" fontId="40" fillId="11" borderId="42" xfId="6" applyNumberFormat="1" applyFont="1" applyFill="1" applyBorder="1" applyAlignment="1">
      <alignment horizontal="center" vertical="center"/>
    </xf>
    <xf numFmtId="176" fontId="40" fillId="11" borderId="92" xfId="6" applyNumberFormat="1" applyFont="1" applyFill="1" applyBorder="1" applyAlignment="1">
      <alignment horizontal="center" vertical="center"/>
    </xf>
    <xf numFmtId="176" fontId="40" fillId="11" borderId="29" xfId="6" applyNumberFormat="1" applyFont="1" applyFill="1" applyBorder="1" applyAlignment="1">
      <alignment horizontal="center" vertical="center"/>
    </xf>
    <xf numFmtId="174" fontId="39" fillId="11" borderId="50" xfId="4" applyNumberFormat="1" applyFont="1" applyFill="1" applyBorder="1" applyAlignment="1">
      <alignment horizontal="center" vertical="center"/>
    </xf>
    <xf numFmtId="176" fontId="39" fillId="11" borderId="51" xfId="6" applyNumberFormat="1" applyFont="1" applyFill="1" applyBorder="1" applyAlignment="1">
      <alignment horizontal="center" vertical="center"/>
    </xf>
    <xf numFmtId="174" fontId="39" fillId="11" borderId="45" xfId="4" applyNumberFormat="1" applyFont="1" applyFill="1" applyBorder="1" applyAlignment="1">
      <alignment horizontal="center" vertical="center"/>
    </xf>
    <xf numFmtId="176" fontId="39" fillId="11" borderId="43" xfId="6" applyNumberFormat="1" applyFont="1" applyFill="1" applyBorder="1" applyAlignment="1">
      <alignment horizontal="center" vertical="center"/>
    </xf>
    <xf numFmtId="174" fontId="39" fillId="11" borderId="89" xfId="4" applyNumberFormat="1" applyFont="1" applyFill="1" applyBorder="1" applyAlignment="1">
      <alignment horizontal="center" vertical="center"/>
    </xf>
    <xf numFmtId="176" fontId="39" fillId="11" borderId="90" xfId="6" applyNumberFormat="1" applyFont="1" applyFill="1" applyBorder="1" applyAlignment="1">
      <alignment horizontal="center" vertical="center"/>
    </xf>
    <xf numFmtId="174" fontId="39" fillId="11" borderId="9" xfId="4" applyNumberFormat="1" applyFont="1" applyFill="1" applyBorder="1" applyAlignment="1">
      <alignment horizontal="center" vertical="center"/>
    </xf>
    <xf numFmtId="176" fontId="39" fillId="11" borderId="9" xfId="6" applyNumberFormat="1" applyFont="1" applyFill="1" applyBorder="1" applyAlignment="1">
      <alignment horizontal="center" vertical="center"/>
    </xf>
    <xf numFmtId="49" fontId="40" fillId="11" borderId="41" xfId="4" applyNumberFormat="1" applyFont="1" applyFill="1" applyBorder="1" applyAlignment="1">
      <alignment horizontal="center" vertical="center"/>
    </xf>
    <xf numFmtId="174" fontId="40" fillId="11" borderId="54" xfId="4" applyNumberFormat="1" applyFont="1" applyFill="1" applyBorder="1" applyAlignment="1">
      <alignment horizontal="center" vertical="center"/>
    </xf>
    <xf numFmtId="176" fontId="40" fillId="11" borderId="55" xfId="6" applyNumberFormat="1" applyFont="1" applyFill="1" applyBorder="1" applyAlignment="1">
      <alignment horizontal="center" vertical="center"/>
    </xf>
    <xf numFmtId="174" fontId="40" fillId="11" borderId="47" xfId="4" applyNumberFormat="1" applyFont="1" applyFill="1" applyBorder="1" applyAlignment="1">
      <alignment horizontal="center" vertical="center"/>
    </xf>
    <xf numFmtId="176" fontId="40" fillId="11" borderId="44" xfId="6" applyNumberFormat="1" applyFont="1" applyFill="1" applyBorder="1" applyAlignment="1">
      <alignment horizontal="center" vertical="center"/>
    </xf>
    <xf numFmtId="174" fontId="40" fillId="11" borderId="93" xfId="4" applyNumberFormat="1" applyFont="1" applyFill="1" applyBorder="1" applyAlignment="1">
      <alignment horizontal="center" vertical="center"/>
    </xf>
    <xf numFmtId="176" fontId="40" fillId="11" borderId="94" xfId="6" applyNumberFormat="1" applyFont="1" applyFill="1" applyBorder="1" applyAlignment="1">
      <alignment horizontal="center" vertical="center"/>
    </xf>
    <xf numFmtId="174" fontId="40" fillId="11" borderId="41" xfId="4" applyNumberFormat="1" applyFont="1" applyFill="1" applyBorder="1" applyAlignment="1">
      <alignment horizontal="center" vertical="center"/>
    </xf>
    <xf numFmtId="176" fontId="40" fillId="11" borderId="41" xfId="6" applyNumberFormat="1" applyFont="1" applyFill="1" applyBorder="1" applyAlignment="1">
      <alignment horizontal="center" vertical="center"/>
    </xf>
    <xf numFmtId="174" fontId="40" fillId="17" borderId="56" xfId="6" applyNumberFormat="1" applyFont="1" applyFill="1" applyBorder="1" applyAlignment="1">
      <alignment vertical="center"/>
    </xf>
    <xf numFmtId="176" fontId="42" fillId="17" borderId="57" xfId="4" applyNumberFormat="1" applyFont="1" applyFill="1" applyBorder="1" applyAlignment="1">
      <alignment horizontal="center" vertical="center"/>
    </xf>
    <xf numFmtId="174" fontId="40" fillId="17" borderId="45" xfId="6" applyNumberFormat="1" applyFont="1" applyFill="1" applyBorder="1" applyAlignment="1">
      <alignment vertical="center"/>
    </xf>
    <xf numFmtId="176" fontId="42" fillId="17" borderId="43" xfId="4" applyNumberFormat="1" applyFont="1" applyFill="1" applyBorder="1" applyAlignment="1">
      <alignment horizontal="center" vertical="center"/>
    </xf>
    <xf numFmtId="174" fontId="40" fillId="17" borderId="89" xfId="6" applyNumberFormat="1" applyFont="1" applyFill="1" applyBorder="1" applyAlignment="1">
      <alignment vertical="center"/>
    </xf>
    <xf numFmtId="176" fontId="42" fillId="17" borderId="90" xfId="4" applyNumberFormat="1" applyFont="1" applyFill="1" applyBorder="1" applyAlignment="1">
      <alignment horizontal="center" vertical="center"/>
    </xf>
    <xf numFmtId="174" fontId="40" fillId="17" borderId="9" xfId="6" applyNumberFormat="1" applyFont="1" applyFill="1" applyBorder="1" applyAlignment="1">
      <alignment vertical="center"/>
    </xf>
    <xf numFmtId="176" fontId="42" fillId="17" borderId="9" xfId="4" applyNumberFormat="1" applyFont="1" applyFill="1" applyBorder="1" applyAlignment="1">
      <alignment horizontal="center" vertical="center"/>
    </xf>
    <xf numFmtId="2" fontId="38" fillId="8" borderId="104" xfId="4" applyNumberFormat="1" applyFont="1" applyFill="1" applyBorder="1" applyAlignment="1">
      <alignment horizontal="center" vertical="center" wrapText="1"/>
    </xf>
    <xf numFmtId="174" fontId="39" fillId="16" borderId="105" xfId="4" applyNumberFormat="1" applyFont="1" applyFill="1" applyBorder="1" applyAlignment="1">
      <alignment horizontal="center" vertical="center"/>
    </xf>
    <xf numFmtId="176" fontId="39" fillId="16" borderId="106" xfId="6" applyNumberFormat="1" applyFont="1" applyFill="1" applyBorder="1" applyAlignment="1">
      <alignment horizontal="center" vertical="center"/>
    </xf>
    <xf numFmtId="174" fontId="40" fillId="11" borderId="105" xfId="4" applyNumberFormat="1" applyFont="1" applyFill="1" applyBorder="1" applyAlignment="1">
      <alignment horizontal="center" vertical="center"/>
    </xf>
    <xf numFmtId="176" fontId="40" fillId="11" borderId="106" xfId="6" applyNumberFormat="1" applyFont="1" applyFill="1" applyBorder="1" applyAlignment="1">
      <alignment horizontal="center" vertical="center"/>
    </xf>
    <xf numFmtId="176" fontId="40" fillId="11" borderId="108" xfId="6" applyNumberFormat="1" applyFont="1" applyFill="1" applyBorder="1" applyAlignment="1">
      <alignment horizontal="center" vertical="center"/>
    </xf>
    <xf numFmtId="174" fontId="39" fillId="11" borderId="105" xfId="4" applyNumberFormat="1" applyFont="1" applyFill="1" applyBorder="1" applyAlignment="1">
      <alignment horizontal="center" vertical="center"/>
    </xf>
    <xf numFmtId="176" fontId="39" fillId="11" borderId="106" xfId="6" applyNumberFormat="1" applyFont="1" applyFill="1" applyBorder="1" applyAlignment="1">
      <alignment horizontal="center" vertical="center"/>
    </xf>
    <xf numFmtId="174" fontId="40" fillId="11" borderId="109" xfId="4" applyNumberFormat="1" applyFont="1" applyFill="1" applyBorder="1" applyAlignment="1">
      <alignment horizontal="center" vertical="center"/>
    </xf>
    <xf numFmtId="176" fontId="40" fillId="11" borderId="110" xfId="6" applyNumberFormat="1" applyFont="1" applyFill="1" applyBorder="1" applyAlignment="1">
      <alignment horizontal="center" vertical="center"/>
    </xf>
    <xf numFmtId="174" fontId="40" fillId="17" borderId="111" xfId="6" applyNumberFormat="1" applyFont="1" applyFill="1" applyBorder="1" applyAlignment="1">
      <alignment vertical="center"/>
    </xf>
    <xf numFmtId="176" fontId="42" fillId="17" borderId="112" xfId="4" applyNumberFormat="1" applyFont="1" applyFill="1" applyBorder="1" applyAlignment="1">
      <alignment horizontal="center" vertical="center"/>
    </xf>
    <xf numFmtId="0" fontId="100" fillId="11" borderId="0" xfId="4" applyFont="1" applyFill="1" applyAlignment="1">
      <alignment horizontal="center" vertical="center"/>
    </xf>
    <xf numFmtId="182" fontId="39" fillId="16" borderId="50" xfId="4" applyNumberFormat="1" applyFont="1" applyFill="1" applyBorder="1" applyAlignment="1">
      <alignment horizontal="center" vertical="center"/>
    </xf>
    <xf numFmtId="182" fontId="39" fillId="16" borderId="45" xfId="4" applyNumberFormat="1" applyFont="1" applyFill="1" applyBorder="1" applyAlignment="1">
      <alignment horizontal="center" vertical="center"/>
    </xf>
    <xf numFmtId="182" fontId="39" fillId="16" borderId="89" xfId="4" applyNumberFormat="1" applyFont="1" applyFill="1" applyBorder="1" applyAlignment="1">
      <alignment horizontal="center" vertical="center"/>
    </xf>
    <xf numFmtId="182" fontId="39" fillId="16" borderId="105" xfId="4" applyNumberFormat="1" applyFont="1" applyFill="1" applyBorder="1" applyAlignment="1">
      <alignment horizontal="center" vertical="center"/>
    </xf>
    <xf numFmtId="182" fontId="40" fillId="11" borderId="50" xfId="4" applyNumberFormat="1" applyFont="1" applyFill="1" applyBorder="1" applyAlignment="1">
      <alignment horizontal="center" vertical="center"/>
    </xf>
    <xf numFmtId="182" fontId="40" fillId="11" borderId="45" xfId="4" applyNumberFormat="1" applyFont="1" applyFill="1" applyBorder="1" applyAlignment="1">
      <alignment horizontal="center" vertical="center"/>
    </xf>
    <xf numFmtId="182" fontId="40" fillId="11" borderId="89" xfId="4" applyNumberFormat="1" applyFont="1" applyFill="1" applyBorder="1" applyAlignment="1">
      <alignment horizontal="center" vertical="center"/>
    </xf>
    <xf numFmtId="182" fontId="40" fillId="11" borderId="105" xfId="4" applyNumberFormat="1" applyFont="1" applyFill="1" applyBorder="1" applyAlignment="1">
      <alignment horizontal="center" vertical="center"/>
    </xf>
    <xf numFmtId="182" fontId="39" fillId="11" borderId="50" xfId="4" applyNumberFormat="1" applyFont="1" applyFill="1" applyBorder="1" applyAlignment="1">
      <alignment horizontal="center" vertical="center"/>
    </xf>
    <xf numFmtId="182" fontId="39" fillId="11" borderId="45" xfId="4" applyNumberFormat="1" applyFont="1" applyFill="1" applyBorder="1" applyAlignment="1">
      <alignment horizontal="center" vertical="center"/>
    </xf>
    <xf numFmtId="182" fontId="39" fillId="11" borderId="89" xfId="4" applyNumberFormat="1" applyFont="1" applyFill="1" applyBorder="1" applyAlignment="1">
      <alignment horizontal="center" vertical="center"/>
    </xf>
    <xf numFmtId="182" fontId="39" fillId="11" borderId="105" xfId="4" applyNumberFormat="1" applyFont="1" applyFill="1" applyBorder="1" applyAlignment="1">
      <alignment horizontal="center" vertical="center"/>
    </xf>
    <xf numFmtId="182" fontId="40" fillId="11" borderId="54" xfId="4" applyNumberFormat="1" applyFont="1" applyFill="1" applyBorder="1" applyAlignment="1">
      <alignment horizontal="center" vertical="center"/>
    </xf>
    <xf numFmtId="182" fontId="40" fillId="11" borderId="47" xfId="4" applyNumberFormat="1" applyFont="1" applyFill="1" applyBorder="1" applyAlignment="1">
      <alignment horizontal="center" vertical="center"/>
    </xf>
    <xf numFmtId="182" fontId="40" fillId="11" borderId="93" xfId="4" applyNumberFormat="1" applyFont="1" applyFill="1" applyBorder="1" applyAlignment="1">
      <alignment horizontal="center" vertical="center"/>
    </xf>
    <xf numFmtId="182" fontId="40" fillId="11" borderId="109" xfId="4" applyNumberFormat="1" applyFont="1" applyFill="1" applyBorder="1" applyAlignment="1">
      <alignment horizontal="center" vertical="center"/>
    </xf>
    <xf numFmtId="182" fontId="40" fillId="17" borderId="45" xfId="6" applyNumberFormat="1" applyFont="1" applyFill="1" applyBorder="1" applyAlignment="1">
      <alignment vertical="center"/>
    </xf>
    <xf numFmtId="182" fontId="40" fillId="17" borderId="89" xfId="6" applyNumberFormat="1" applyFont="1" applyFill="1" applyBorder="1" applyAlignment="1">
      <alignment vertical="center"/>
    </xf>
    <xf numFmtId="182" fontId="40" fillId="17" borderId="111" xfId="6" applyNumberFormat="1" applyFont="1" applyFill="1" applyBorder="1" applyAlignment="1">
      <alignment vertical="center"/>
    </xf>
    <xf numFmtId="164" fontId="38" fillId="19" borderId="0" xfId="1" applyNumberFormat="1" applyFont="1" applyFill="1" applyBorder="1" applyAlignment="1">
      <alignment horizontal="centerContinuous" vertical="center" wrapText="1"/>
    </xf>
    <xf numFmtId="164" fontId="37" fillId="11" borderId="0" xfId="4" applyNumberFormat="1" applyFont="1" applyFill="1"/>
    <xf numFmtId="0" fontId="102" fillId="11" borderId="8" xfId="4" applyFont="1" applyFill="1" applyBorder="1" applyAlignment="1">
      <alignment vertical="center"/>
    </xf>
    <xf numFmtId="0" fontId="37" fillId="0" borderId="0" xfId="4" applyFont="1" applyAlignment="1">
      <alignment horizontal="center"/>
    </xf>
    <xf numFmtId="0" fontId="37" fillId="0" borderId="0" xfId="4" applyFont="1"/>
    <xf numFmtId="165" fontId="37" fillId="0" borderId="0" xfId="4" applyNumberFormat="1" applyFont="1" applyAlignment="1">
      <alignment horizontal="centerContinuous"/>
    </xf>
    <xf numFmtId="165" fontId="37" fillId="0" borderId="0" xfId="1" applyNumberFormat="1" applyFont="1" applyFill="1" applyAlignment="1">
      <alignment horizontal="centerContinuous"/>
    </xf>
    <xf numFmtId="165" fontId="37" fillId="0" borderId="38" xfId="1" applyNumberFormat="1" applyFont="1" applyFill="1" applyBorder="1" applyAlignment="1">
      <alignment horizontal="centerContinuous"/>
    </xf>
    <xf numFmtId="165" fontId="37" fillId="0" borderId="37" xfId="1" applyNumberFormat="1" applyFont="1" applyFill="1" applyBorder="1" applyAlignment="1">
      <alignment horizontal="centerContinuous"/>
    </xf>
    <xf numFmtId="165" fontId="37" fillId="0" borderId="0" xfId="1" applyNumberFormat="1" applyFont="1" applyFill="1" applyBorder="1" applyAlignment="1">
      <alignment horizontal="centerContinuous"/>
    </xf>
    <xf numFmtId="14" fontId="0" fillId="0" borderId="0" xfId="0" applyNumberFormat="1"/>
    <xf numFmtId="0" fontId="2" fillId="10" borderId="0" xfId="0" applyFont="1" applyFill="1"/>
    <xf numFmtId="0" fontId="2" fillId="10" borderId="0" xfId="0" applyFont="1" applyFill="1" applyAlignment="1">
      <alignment horizontal="center"/>
    </xf>
    <xf numFmtId="0" fontId="103" fillId="0" borderId="0" xfId="0" applyFont="1"/>
    <xf numFmtId="0" fontId="103" fillId="0" borderId="0" xfId="0" applyFont="1" applyAlignment="1">
      <alignment horizontal="center"/>
    </xf>
    <xf numFmtId="0" fontId="0" fillId="0" borderId="113" xfId="0" applyBorder="1" applyAlignment="1">
      <alignment horizontal="center"/>
    </xf>
    <xf numFmtId="0" fontId="0" fillId="0" borderId="113" xfId="0" applyBorder="1"/>
    <xf numFmtId="0" fontId="0" fillId="0" borderId="114" xfId="0" applyBorder="1" applyAlignment="1">
      <alignment horizontal="center"/>
    </xf>
    <xf numFmtId="0" fontId="0" fillId="0" borderId="114" xfId="0" applyBorder="1"/>
    <xf numFmtId="183" fontId="0" fillId="0" borderId="58" xfId="0" applyNumberFormat="1" applyBorder="1" applyAlignment="1">
      <alignment horizontal="center"/>
    </xf>
    <xf numFmtId="173" fontId="43" fillId="4" borderId="115" xfId="1" applyNumberFormat="1" applyFont="1" applyFill="1" applyBorder="1" applyAlignment="1">
      <alignment vertical="center"/>
    </xf>
    <xf numFmtId="164" fontId="68" fillId="0" borderId="0" xfId="1" applyNumberFormat="1" applyFont="1"/>
    <xf numFmtId="0" fontId="0" fillId="0" borderId="0" xfId="0" applyAlignment="1">
      <alignment vertical="center"/>
    </xf>
    <xf numFmtId="184" fontId="0" fillId="0" borderId="58" xfId="0" applyNumberFormat="1" applyBorder="1" applyAlignment="1">
      <alignment horizontal="center"/>
    </xf>
    <xf numFmtId="0" fontId="2" fillId="6" borderId="58" xfId="0" applyFont="1" applyFill="1" applyBorder="1" applyAlignment="1">
      <alignment horizontal="center"/>
    </xf>
    <xf numFmtId="0" fontId="2" fillId="6" borderId="58" xfId="0" applyFont="1" applyFill="1" applyBorder="1"/>
    <xf numFmtId="164" fontId="2" fillId="6" borderId="58" xfId="1" applyNumberFormat="1" applyFont="1" applyFill="1" applyBorder="1"/>
    <xf numFmtId="0" fontId="2" fillId="6" borderId="59" xfId="0" applyFont="1" applyFill="1" applyBorder="1" applyAlignment="1">
      <alignment horizontal="center"/>
    </xf>
    <xf numFmtId="0" fontId="2" fillId="6" borderId="59" xfId="0" applyFont="1" applyFill="1" applyBorder="1"/>
    <xf numFmtId="164" fontId="2" fillId="6" borderId="59" xfId="1" applyNumberFormat="1" applyFont="1" applyFill="1" applyBorder="1"/>
    <xf numFmtId="0" fontId="0" fillId="0" borderId="80" xfId="0" applyBorder="1" applyAlignment="1">
      <alignment horizontal="center"/>
    </xf>
    <xf numFmtId="0" fontId="0" fillId="0" borderId="80" xfId="0" applyBorder="1"/>
    <xf numFmtId="164" fontId="0" fillId="0" borderId="80" xfId="1" applyNumberFormat="1" applyFont="1" applyBorder="1" applyAlignment="1">
      <alignment horizontal="center"/>
    </xf>
    <xf numFmtId="0" fontId="0" fillId="0" borderId="117" xfId="0" applyBorder="1" applyAlignment="1">
      <alignment horizontal="center"/>
    </xf>
    <xf numFmtId="0" fontId="0" fillId="0" borderId="117" xfId="0" applyBorder="1"/>
    <xf numFmtId="43" fontId="0" fillId="0" borderId="117" xfId="0" applyNumberFormat="1" applyBorder="1" applyAlignment="1">
      <alignment horizontal="center"/>
    </xf>
    <xf numFmtId="0" fontId="2" fillId="6" borderId="116" xfId="0" applyFont="1" applyFill="1" applyBorder="1" applyAlignment="1">
      <alignment horizontal="center"/>
    </xf>
    <xf numFmtId="0" fontId="2" fillId="6" borderId="116" xfId="0" applyFont="1" applyFill="1" applyBorder="1"/>
    <xf numFmtId="164" fontId="2" fillId="6" borderId="116" xfId="1" applyNumberFormat="1" applyFont="1" applyFill="1" applyBorder="1"/>
    <xf numFmtId="0" fontId="105" fillId="0" borderId="117" xfId="0" applyFont="1" applyBorder="1" applyAlignment="1">
      <alignment horizontal="center"/>
    </xf>
    <xf numFmtId="0" fontId="105" fillId="0" borderId="117" xfId="0" applyFont="1" applyBorder="1"/>
    <xf numFmtId="0" fontId="105" fillId="0" borderId="0" xfId="0" applyFont="1"/>
    <xf numFmtId="165" fontId="105" fillId="0" borderId="117" xfId="0" applyNumberFormat="1" applyFont="1" applyBorder="1"/>
    <xf numFmtId="0" fontId="7" fillId="0" borderId="0" xfId="0" applyFont="1" applyAlignment="1">
      <alignment horizontal="center"/>
    </xf>
    <xf numFmtId="164" fontId="38" fillId="19" borderId="87" xfId="1" applyNumberFormat="1" applyFont="1" applyFill="1" applyBorder="1" applyAlignment="1">
      <alignment horizontal="centerContinuous" vertical="center" wrapText="1"/>
    </xf>
    <xf numFmtId="0" fontId="38" fillId="19" borderId="37" xfId="4" applyFont="1" applyFill="1" applyBorder="1" applyAlignment="1">
      <alignment horizontal="centerContinuous" vertical="center" wrapText="1"/>
    </xf>
    <xf numFmtId="0" fontId="109" fillId="11" borderId="0" xfId="4" applyFont="1" applyFill="1" applyAlignment="1">
      <alignment horizontal="center"/>
    </xf>
    <xf numFmtId="0" fontId="109" fillId="11" borderId="0" xfId="4" applyFont="1" applyFill="1"/>
    <xf numFmtId="164" fontId="109" fillId="11" borderId="0" xfId="1" applyNumberFormat="1" applyFont="1" applyFill="1"/>
    <xf numFmtId="164" fontId="109" fillId="11" borderId="38" xfId="1" applyNumberFormat="1" applyFont="1" applyFill="1" applyBorder="1"/>
    <xf numFmtId="164" fontId="109" fillId="11" borderId="37" xfId="1" applyNumberFormat="1" applyFont="1" applyFill="1" applyBorder="1"/>
    <xf numFmtId="167" fontId="109" fillId="11" borderId="0" xfId="1" applyNumberFormat="1" applyFont="1" applyFill="1"/>
    <xf numFmtId="0" fontId="106" fillId="0" borderId="59" xfId="0" applyFont="1" applyBorder="1" applyAlignment="1">
      <alignment horizontal="center"/>
    </xf>
    <xf numFmtId="0" fontId="106" fillId="0" borderId="59" xfId="0" applyFont="1" applyBorder="1"/>
    <xf numFmtId="0" fontId="106" fillId="0" borderId="0" xfId="0" applyFont="1"/>
    <xf numFmtId="164" fontId="106" fillId="0" borderId="59" xfId="1" applyNumberFormat="1" applyFont="1" applyBorder="1"/>
    <xf numFmtId="0" fontId="10" fillId="0" borderId="0" xfId="0" applyFont="1" applyAlignment="1">
      <alignment horizontal="left" indent="7"/>
    </xf>
    <xf numFmtId="0" fontId="13" fillId="0" borderId="0" xfId="0" applyFont="1" applyAlignment="1">
      <alignment horizontal="left" indent="7"/>
    </xf>
    <xf numFmtId="0" fontId="6" fillId="0" borderId="0" xfId="0" applyFont="1" applyAlignment="1">
      <alignment horizontal="left" indent="7"/>
    </xf>
    <xf numFmtId="0" fontId="106" fillId="6" borderId="59" xfId="0" applyFont="1" applyFill="1" applyBorder="1" applyAlignment="1">
      <alignment horizontal="center"/>
    </xf>
    <xf numFmtId="0" fontId="106" fillId="6" borderId="59" xfId="0" applyFont="1" applyFill="1" applyBorder="1"/>
    <xf numFmtId="164" fontId="106" fillId="6" borderId="59" xfId="1" applyNumberFormat="1" applyFont="1" applyFill="1" applyBorder="1"/>
    <xf numFmtId="0" fontId="111" fillId="0" borderId="59" xfId="0" applyFont="1" applyBorder="1" applyAlignment="1">
      <alignment horizontal="center"/>
    </xf>
    <xf numFmtId="0" fontId="111" fillId="0" borderId="59" xfId="0" applyFont="1" applyBorder="1"/>
    <xf numFmtId="0" fontId="111" fillId="0" borderId="0" xfId="0" applyFont="1"/>
    <xf numFmtId="164" fontId="111" fillId="0" borderId="59" xfId="1" applyNumberFormat="1" applyFont="1" applyBorder="1"/>
    <xf numFmtId="0" fontId="46" fillId="0" borderId="59" xfId="0" applyFont="1" applyBorder="1" applyAlignment="1">
      <alignment horizontal="center"/>
    </xf>
    <xf numFmtId="0" fontId="46" fillId="0" borderId="59" xfId="0" applyFont="1" applyBorder="1"/>
    <xf numFmtId="165" fontId="46" fillId="0" borderId="59" xfId="1" applyNumberFormat="1" applyFont="1" applyBorder="1"/>
    <xf numFmtId="0" fontId="7" fillId="30" borderId="0" xfId="0" applyFont="1" applyFill="1" applyAlignment="1">
      <alignment horizontal="center" vertical="center" wrapText="1"/>
    </xf>
    <xf numFmtId="165" fontId="0" fillId="0" borderId="59" xfId="0" applyNumberFormat="1" applyBorder="1"/>
    <xf numFmtId="0" fontId="2" fillId="0" borderId="0" xfId="0" applyFont="1" applyAlignment="1">
      <alignment horizontal="center" vertical="center"/>
    </xf>
    <xf numFmtId="3" fontId="37" fillId="0" borderId="0" xfId="1" applyNumberFormat="1" applyFont="1" applyAlignment="1">
      <alignment horizontal="centerContinuous"/>
    </xf>
    <xf numFmtId="3" fontId="37" fillId="0" borderId="0" xfId="1" applyNumberFormat="1" applyFont="1" applyFill="1" applyAlignment="1">
      <alignment horizontal="centerContinuous"/>
    </xf>
    <xf numFmtId="3" fontId="37" fillId="0" borderId="38" xfId="1" applyNumberFormat="1" applyFont="1" applyFill="1" applyBorder="1" applyAlignment="1">
      <alignment horizontal="centerContinuous"/>
    </xf>
    <xf numFmtId="0" fontId="113" fillId="0" borderId="0" xfId="0" applyFont="1" applyAlignment="1">
      <alignment horizontal="left" vertical="center"/>
    </xf>
    <xf numFmtId="0" fontId="0" fillId="0" borderId="0" xfId="0" applyAlignment="1">
      <alignment horizontal="center" vertical="center"/>
    </xf>
    <xf numFmtId="0" fontId="112" fillId="0" borderId="30" xfId="0" applyFont="1" applyBorder="1" applyAlignment="1">
      <alignment horizontal="center" vertical="center"/>
    </xf>
    <xf numFmtId="0" fontId="110" fillId="0" borderId="8" xfId="0" applyFont="1" applyBorder="1" applyAlignment="1">
      <alignment vertical="center"/>
    </xf>
    <xf numFmtId="0" fontId="111" fillId="0" borderId="8" xfId="0" applyFont="1" applyBorder="1" applyAlignment="1">
      <alignment horizontal="right" vertical="center"/>
    </xf>
    <xf numFmtId="185" fontId="111" fillId="0" borderId="115" xfId="0" applyNumberFormat="1" applyFont="1" applyBorder="1" applyAlignment="1">
      <alignment horizontal="right" vertical="center"/>
    </xf>
    <xf numFmtId="0" fontId="88" fillId="29" borderId="118" xfId="0" applyFont="1" applyFill="1" applyBorder="1" applyAlignment="1">
      <alignment horizontal="center" vertical="center"/>
    </xf>
    <xf numFmtId="164" fontId="2" fillId="6" borderId="121" xfId="1" applyNumberFormat="1" applyFont="1" applyFill="1" applyBorder="1"/>
    <xf numFmtId="164" fontId="111" fillId="0" borderId="122" xfId="1" applyNumberFormat="1" applyFont="1" applyBorder="1"/>
    <xf numFmtId="164" fontId="0" fillId="0" borderId="122" xfId="1" applyNumberFormat="1" applyFont="1" applyBorder="1"/>
    <xf numFmtId="164" fontId="106" fillId="6" borderId="122" xfId="1" applyNumberFormat="1" applyFont="1" applyFill="1" applyBorder="1"/>
    <xf numFmtId="164" fontId="106" fillId="0" borderId="122" xfId="1" applyNumberFormat="1" applyFont="1" applyBorder="1"/>
    <xf numFmtId="165" fontId="46" fillId="0" borderId="122" xfId="1" applyNumberFormat="1" applyFont="1" applyBorder="1"/>
    <xf numFmtId="164" fontId="2" fillId="6" borderId="122" xfId="1" applyNumberFormat="1" applyFont="1" applyFill="1" applyBorder="1"/>
    <xf numFmtId="164" fontId="0" fillId="0" borderId="123" xfId="1" applyNumberFormat="1" applyFont="1" applyBorder="1" applyAlignment="1">
      <alignment horizontal="center"/>
    </xf>
    <xf numFmtId="164" fontId="2" fillId="6" borderId="124" xfId="1" applyNumberFormat="1" applyFont="1" applyFill="1" applyBorder="1"/>
    <xf numFmtId="43" fontId="0" fillId="0" borderId="125" xfId="0" applyNumberFormat="1" applyBorder="1" applyAlignment="1">
      <alignment horizontal="center"/>
    </xf>
    <xf numFmtId="165" fontId="105" fillId="0" borderId="125" xfId="0" applyNumberFormat="1" applyFont="1" applyBorder="1"/>
    <xf numFmtId="0" fontId="0" fillId="0" borderId="120" xfId="0" applyBorder="1"/>
    <xf numFmtId="0" fontId="0" fillId="0" borderId="126" xfId="0" applyBorder="1"/>
    <xf numFmtId="164" fontId="2" fillId="6" borderId="133" xfId="1" applyNumberFormat="1" applyFont="1" applyFill="1" applyBorder="1"/>
    <xf numFmtId="164" fontId="2" fillId="6" borderId="134" xfId="1" applyNumberFormat="1" applyFont="1" applyFill="1" applyBorder="1"/>
    <xf numFmtId="164" fontId="111" fillId="0" borderId="135" xfId="1" applyNumberFormat="1" applyFont="1" applyBorder="1"/>
    <xf numFmtId="164" fontId="111" fillId="0" borderId="136" xfId="1" applyNumberFormat="1" applyFont="1" applyBorder="1"/>
    <xf numFmtId="164" fontId="0" fillId="0" borderId="135" xfId="1" applyNumberFormat="1" applyFont="1" applyBorder="1"/>
    <xf numFmtId="164" fontId="0" fillId="0" borderId="136" xfId="1" applyNumberFormat="1" applyFont="1" applyBorder="1"/>
    <xf numFmtId="164" fontId="106" fillId="6" borderId="135" xfId="1" applyNumberFormat="1" applyFont="1" applyFill="1" applyBorder="1"/>
    <xf numFmtId="164" fontId="106" fillId="6" borderId="136" xfId="1" applyNumberFormat="1" applyFont="1" applyFill="1" applyBorder="1"/>
    <xf numFmtId="164" fontId="106" fillId="0" borderId="135" xfId="1" applyNumberFormat="1" applyFont="1" applyBorder="1"/>
    <xf numFmtId="164" fontId="106" fillId="0" borderId="136" xfId="1" applyNumberFormat="1" applyFont="1" applyBorder="1"/>
    <xf numFmtId="165" fontId="46" fillId="0" borderId="135" xfId="1" applyNumberFormat="1" applyFont="1" applyBorder="1"/>
    <xf numFmtId="165" fontId="46" fillId="0" borderId="136" xfId="1" applyNumberFormat="1" applyFont="1" applyBorder="1"/>
    <xf numFmtId="164" fontId="2" fillId="6" borderId="135" xfId="1" applyNumberFormat="1" applyFont="1" applyFill="1" applyBorder="1"/>
    <xf numFmtId="164" fontId="2" fillId="6" borderId="136" xfId="1" applyNumberFormat="1" applyFont="1" applyFill="1" applyBorder="1"/>
    <xf numFmtId="164" fontId="0" fillId="0" borderId="137" xfId="1" applyNumberFormat="1" applyFont="1" applyBorder="1" applyAlignment="1">
      <alignment horizontal="center"/>
    </xf>
    <xf numFmtId="164" fontId="0" fillId="0" borderId="138" xfId="1" applyNumberFormat="1" applyFont="1" applyBorder="1" applyAlignment="1">
      <alignment horizontal="center"/>
    </xf>
    <xf numFmtId="164" fontId="2" fillId="6" borderId="139" xfId="1" applyNumberFormat="1" applyFont="1" applyFill="1" applyBorder="1"/>
    <xf numFmtId="164" fontId="2" fillId="6" borderId="140" xfId="1" applyNumberFormat="1" applyFont="1" applyFill="1" applyBorder="1"/>
    <xf numFmtId="0" fontId="0" fillId="0" borderId="141" xfId="0" applyBorder="1" applyAlignment="1">
      <alignment horizontal="center"/>
    </xf>
    <xf numFmtId="43" fontId="0" fillId="0" borderId="142" xfId="0" applyNumberFormat="1" applyBorder="1" applyAlignment="1">
      <alignment horizontal="center"/>
    </xf>
    <xf numFmtId="165" fontId="105" fillId="0" borderId="141" xfId="0" applyNumberFormat="1" applyFont="1" applyBorder="1"/>
    <xf numFmtId="165" fontId="105" fillId="0" borderId="142" xfId="0" applyNumberFormat="1" applyFont="1" applyBorder="1"/>
    <xf numFmtId="0" fontId="0" fillId="0" borderId="131" xfId="0" applyBorder="1"/>
    <xf numFmtId="0" fontId="0" fillId="0" borderId="132" xfId="0" applyBorder="1"/>
    <xf numFmtId="0" fontId="0" fillId="0" borderId="143" xfId="0" applyBorder="1"/>
    <xf numFmtId="0" fontId="0" fillId="0" borderId="144" xfId="0" applyBorder="1"/>
    <xf numFmtId="6" fontId="0" fillId="0" borderId="0" xfId="0" applyNumberFormat="1"/>
    <xf numFmtId="0" fontId="0" fillId="0" borderId="145" xfId="0" applyBorder="1" applyAlignment="1">
      <alignment horizontal="center"/>
    </xf>
    <xf numFmtId="0" fontId="0" fillId="0" borderId="146" xfId="0" applyBorder="1"/>
    <xf numFmtId="0" fontId="0" fillId="0" borderId="146" xfId="0" applyBorder="1" applyAlignment="1">
      <alignment horizontal="center"/>
    </xf>
    <xf numFmtId="0" fontId="0" fillId="0" borderId="147" xfId="0" applyBorder="1" applyAlignment="1">
      <alignment horizontal="center"/>
    </xf>
    <xf numFmtId="0" fontId="0" fillId="0" borderId="148" xfId="0" applyBorder="1"/>
    <xf numFmtId="0" fontId="0" fillId="0" borderId="148" xfId="0" applyBorder="1" applyAlignment="1">
      <alignment horizontal="center"/>
    </xf>
    <xf numFmtId="0" fontId="0" fillId="0" borderId="6" xfId="0" applyBorder="1"/>
    <xf numFmtId="0" fontId="0" fillId="0" borderId="33" xfId="0" applyBorder="1"/>
    <xf numFmtId="165" fontId="8" fillId="0" borderId="0" xfId="1" applyNumberFormat="1" applyFont="1" applyFill="1"/>
    <xf numFmtId="164" fontId="8" fillId="0" borderId="0" xfId="1" applyNumberFormat="1" applyFont="1" applyFill="1"/>
    <xf numFmtId="164" fontId="5" fillId="0" borderId="0" xfId="1" applyNumberFormat="1" applyFont="1" applyFill="1"/>
    <xf numFmtId="165" fontId="2" fillId="0" borderId="7" xfId="1" applyNumberFormat="1" applyFont="1" applyFill="1" applyBorder="1"/>
    <xf numFmtId="164" fontId="2" fillId="0" borderId="7" xfId="1" applyNumberFormat="1" applyFont="1" applyFill="1" applyBorder="1"/>
    <xf numFmtId="164" fontId="0" fillId="0" borderId="73" xfId="1" applyNumberFormat="1" applyFont="1" applyFill="1" applyBorder="1"/>
    <xf numFmtId="164" fontId="1" fillId="0" borderId="59" xfId="1" applyNumberFormat="1" applyFont="1" applyFill="1" applyBorder="1"/>
    <xf numFmtId="0" fontId="21" fillId="0" borderId="59" xfId="0" applyFont="1" applyBorder="1"/>
    <xf numFmtId="164" fontId="8" fillId="0" borderId="8" xfId="1" applyNumberFormat="1" applyFont="1" applyFill="1" applyBorder="1" applyAlignment="1">
      <alignment vertical="center"/>
    </xf>
    <xf numFmtId="0" fontId="120" fillId="0" borderId="0" xfId="0" applyFont="1"/>
    <xf numFmtId="0" fontId="121" fillId="0" borderId="59" xfId="0" applyFont="1" applyBorder="1" applyAlignment="1">
      <alignment horizontal="center" vertical="center"/>
    </xf>
    <xf numFmtId="0" fontId="121" fillId="0" borderId="59" xfId="0" applyFont="1" applyBorder="1" applyAlignment="1">
      <alignment vertical="center"/>
    </xf>
    <xf numFmtId="0" fontId="121" fillId="0" borderId="59" xfId="0" applyFont="1" applyBorder="1" applyAlignment="1">
      <alignment horizontal="right" vertical="center"/>
    </xf>
    <xf numFmtId="0" fontId="121" fillId="0" borderId="0" xfId="0" applyFont="1"/>
    <xf numFmtId="165" fontId="122" fillId="0" borderId="59" xfId="6" applyNumberFormat="1" applyFont="1" applyBorder="1" applyAlignment="1">
      <alignment horizontal="right" vertical="center"/>
    </xf>
    <xf numFmtId="0" fontId="122" fillId="0" borderId="59" xfId="0" applyFont="1" applyBorder="1" applyAlignment="1">
      <alignment horizontal="center" vertical="center"/>
    </xf>
    <xf numFmtId="0" fontId="122" fillId="0" borderId="59" xfId="0" applyFont="1" applyBorder="1" applyAlignment="1">
      <alignment vertical="center"/>
    </xf>
    <xf numFmtId="0" fontId="122" fillId="0" borderId="59" xfId="0" applyFont="1" applyBorder="1" applyAlignment="1">
      <alignment horizontal="right" vertical="center"/>
    </xf>
    <xf numFmtId="0" fontId="122" fillId="0" borderId="0" xfId="0" applyFont="1"/>
    <xf numFmtId="164" fontId="122" fillId="0" borderId="59" xfId="1" applyNumberFormat="1" applyFont="1" applyBorder="1" applyAlignment="1">
      <alignment horizontal="right" vertical="center"/>
    </xf>
    <xf numFmtId="0" fontId="122" fillId="0" borderId="59" xfId="0" applyFont="1" applyBorder="1"/>
    <xf numFmtId="164" fontId="122" fillId="0" borderId="59" xfId="1" applyNumberFormat="1" applyFont="1" applyBorder="1"/>
    <xf numFmtId="164" fontId="121" fillId="0" borderId="59" xfId="1" applyNumberFormat="1" applyFont="1" applyBorder="1" applyAlignment="1">
      <alignment horizontal="right" vertical="center"/>
    </xf>
    <xf numFmtId="165" fontId="122" fillId="0" borderId="59" xfId="1" applyNumberFormat="1" applyFont="1" applyBorder="1"/>
    <xf numFmtId="0" fontId="123" fillId="0" borderId="59" xfId="0" applyFont="1" applyBorder="1" applyAlignment="1">
      <alignment vertical="center"/>
    </xf>
    <xf numFmtId="0" fontId="122" fillId="0" borderId="0" xfId="0" applyFont="1" applyAlignment="1">
      <alignment horizontal="center" vertical="center"/>
    </xf>
    <xf numFmtId="0" fontId="122" fillId="0" borderId="0" xfId="0" applyFont="1" applyAlignment="1">
      <alignment vertical="center"/>
    </xf>
    <xf numFmtId="165" fontId="122" fillId="0" borderId="0" xfId="1" applyNumberFormat="1" applyFont="1" applyBorder="1" applyAlignment="1">
      <alignment horizontal="right" vertical="center"/>
    </xf>
    <xf numFmtId="0" fontId="122" fillId="0" borderId="0" xfId="0" quotePrefix="1" applyFont="1" applyAlignment="1">
      <alignment horizontal="center" vertical="center"/>
    </xf>
    <xf numFmtId="0" fontId="122" fillId="0" borderId="59" xfId="0" quotePrefix="1" applyFont="1" applyBorder="1" applyAlignment="1">
      <alignment horizontal="center" vertical="center"/>
    </xf>
    <xf numFmtId="10" fontId="122" fillId="0" borderId="59" xfId="6" applyNumberFormat="1" applyFont="1" applyBorder="1" applyAlignment="1">
      <alignment horizontal="right" vertical="center"/>
    </xf>
    <xf numFmtId="0" fontId="121" fillId="0" borderId="116" xfId="0" applyFont="1" applyBorder="1" applyAlignment="1">
      <alignment horizontal="center" vertical="center"/>
    </xf>
    <xf numFmtId="0" fontId="121" fillId="0" borderId="116" xfId="0" applyFont="1" applyBorder="1" applyAlignment="1">
      <alignment vertical="center"/>
    </xf>
    <xf numFmtId="165" fontId="122" fillId="0" borderId="116" xfId="1" applyNumberFormat="1" applyFont="1" applyBorder="1" applyAlignment="1">
      <alignment horizontal="right" vertical="center"/>
    </xf>
    <xf numFmtId="0" fontId="122" fillId="0" borderId="116" xfId="0" applyFont="1" applyBorder="1" applyAlignment="1">
      <alignment horizontal="center" vertical="center"/>
    </xf>
    <xf numFmtId="0" fontId="59" fillId="0" borderId="117" xfId="0" applyFont="1" applyBorder="1"/>
    <xf numFmtId="0" fontId="122" fillId="0" borderId="117" xfId="0" applyFont="1" applyBorder="1" applyAlignment="1">
      <alignment horizontal="center" vertical="center"/>
    </xf>
    <xf numFmtId="0" fontId="122" fillId="0" borderId="117" xfId="0" applyFont="1" applyBorder="1" applyAlignment="1">
      <alignment vertical="center"/>
    </xf>
    <xf numFmtId="164" fontId="122" fillId="0" borderId="117" xfId="1" applyNumberFormat="1" applyFont="1" applyBorder="1" applyAlignment="1">
      <alignment horizontal="right" vertical="center"/>
    </xf>
    <xf numFmtId="0" fontId="122" fillId="0" borderId="117" xfId="0" applyFont="1" applyBorder="1" applyAlignment="1">
      <alignment horizontal="right"/>
    </xf>
    <xf numFmtId="186" fontId="123" fillId="0" borderId="117" xfId="1" applyNumberFormat="1" applyFont="1" applyBorder="1"/>
    <xf numFmtId="0" fontId="123" fillId="0" borderId="117" xfId="0" applyFont="1" applyBorder="1" applyAlignment="1">
      <alignment horizontal="center" vertical="center"/>
    </xf>
    <xf numFmtId="0" fontId="121" fillId="0" borderId="117" xfId="0" applyFont="1" applyBorder="1" applyAlignment="1">
      <alignment horizontal="center" vertical="center"/>
    </xf>
    <xf numFmtId="0" fontId="121" fillId="0" borderId="117" xfId="0" applyFont="1" applyBorder="1" applyAlignment="1">
      <alignment vertical="center"/>
    </xf>
    <xf numFmtId="165" fontId="123" fillId="0" borderId="117" xfId="6" applyNumberFormat="1" applyFont="1" applyBorder="1" applyAlignment="1">
      <alignment horizontal="right" vertical="center"/>
    </xf>
    <xf numFmtId="167" fontId="121" fillId="0" borderId="117" xfId="1" applyNumberFormat="1" applyFont="1" applyBorder="1" applyAlignment="1">
      <alignment horizontal="right" vertical="center"/>
    </xf>
    <xf numFmtId="0" fontId="122" fillId="0" borderId="117" xfId="0" applyFont="1" applyBorder="1"/>
    <xf numFmtId="164" fontId="121" fillId="0" borderId="117" xfId="1" applyNumberFormat="1" applyFont="1" applyBorder="1" applyAlignment="1">
      <alignment horizontal="right" vertical="center"/>
    </xf>
    <xf numFmtId="9" fontId="122" fillId="0" borderId="117" xfId="6" applyFont="1" applyBorder="1" applyAlignment="1">
      <alignment horizontal="right" vertical="center"/>
    </xf>
    <xf numFmtId="165" fontId="122" fillId="0" borderId="117" xfId="6" applyNumberFormat="1" applyFont="1" applyBorder="1" applyAlignment="1">
      <alignment horizontal="right" vertical="center"/>
    </xf>
    <xf numFmtId="164" fontId="122" fillId="0" borderId="117" xfId="1" applyNumberFormat="1" applyFont="1" applyBorder="1"/>
    <xf numFmtId="0" fontId="122" fillId="0" borderId="117" xfId="0" applyFont="1" applyBorder="1" applyAlignment="1">
      <alignment horizontal="center"/>
    </xf>
    <xf numFmtId="43" fontId="121" fillId="0" borderId="117" xfId="1" applyFont="1" applyBorder="1" applyAlignment="1">
      <alignment horizontal="right" vertical="center"/>
    </xf>
    <xf numFmtId="164" fontId="119" fillId="31" borderId="0" xfId="1" applyNumberFormat="1" applyFont="1" applyFill="1" applyBorder="1" applyAlignment="1">
      <alignment horizontal="center" vertical="center" wrapText="1"/>
    </xf>
    <xf numFmtId="3" fontId="0" fillId="0" borderId="0" xfId="0" applyNumberFormat="1"/>
    <xf numFmtId="0" fontId="0" fillId="0" borderId="149" xfId="0" applyBorder="1"/>
    <xf numFmtId="0" fontId="0" fillId="0" borderId="150" xfId="0" applyBorder="1"/>
    <xf numFmtId="164" fontId="2" fillId="6" borderId="152" xfId="1" applyNumberFormat="1" applyFont="1" applyFill="1" applyBorder="1"/>
    <xf numFmtId="164" fontId="111" fillId="0" borderId="153" xfId="1" applyNumberFormat="1" applyFont="1" applyBorder="1"/>
    <xf numFmtId="164" fontId="0" fillId="0" borderId="153" xfId="1" applyNumberFormat="1" applyFont="1" applyBorder="1"/>
    <xf numFmtId="164" fontId="106" fillId="6" borderId="153" xfId="1" applyNumberFormat="1" applyFont="1" applyFill="1" applyBorder="1"/>
    <xf numFmtId="164" fontId="106" fillId="0" borderId="153" xfId="1" applyNumberFormat="1" applyFont="1" applyBorder="1"/>
    <xf numFmtId="165" fontId="46" fillId="0" borderId="153" xfId="1" applyNumberFormat="1" applyFont="1" applyBorder="1"/>
    <xf numFmtId="164" fontId="2" fillId="6" borderId="153" xfId="1" applyNumberFormat="1" applyFont="1" applyFill="1" applyBorder="1"/>
    <xf numFmtId="164" fontId="0" fillId="0" borderId="154" xfId="1" applyNumberFormat="1" applyFont="1" applyBorder="1" applyAlignment="1">
      <alignment horizontal="center"/>
    </xf>
    <xf numFmtId="164" fontId="2" fillId="6" borderId="155" xfId="1" applyNumberFormat="1" applyFont="1" applyFill="1" applyBorder="1"/>
    <xf numFmtId="43" fontId="0" fillId="0" borderId="156" xfId="0" applyNumberFormat="1" applyBorder="1" applyAlignment="1">
      <alignment horizontal="center"/>
    </xf>
    <xf numFmtId="165" fontId="105" fillId="0" borderId="156" xfId="0" applyNumberFormat="1" applyFont="1" applyBorder="1"/>
    <xf numFmtId="0" fontId="0" fillId="0" borderId="151" xfId="0" applyBorder="1"/>
    <xf numFmtId="0" fontId="0" fillId="0" borderId="157" xfId="0" applyBorder="1"/>
    <xf numFmtId="164" fontId="2" fillId="6" borderId="161" xfId="1" applyNumberFormat="1" applyFont="1" applyFill="1" applyBorder="1"/>
    <xf numFmtId="164" fontId="111" fillId="0" borderId="162" xfId="1" applyNumberFormat="1" applyFont="1" applyBorder="1"/>
    <xf numFmtId="164" fontId="2" fillId="6" borderId="162" xfId="1" applyNumberFormat="1" applyFont="1" applyFill="1" applyBorder="1"/>
    <xf numFmtId="164" fontId="0" fillId="0" borderId="162" xfId="1" applyNumberFormat="1" applyFont="1" applyBorder="1"/>
    <xf numFmtId="164" fontId="106" fillId="6" borderId="162" xfId="1" applyNumberFormat="1" applyFont="1" applyFill="1" applyBorder="1"/>
    <xf numFmtId="164" fontId="106" fillId="0" borderId="162" xfId="1" applyNumberFormat="1" applyFont="1" applyBorder="1"/>
    <xf numFmtId="165" fontId="46" fillId="0" borderId="162" xfId="1" applyNumberFormat="1" applyFont="1" applyBorder="1"/>
    <xf numFmtId="164" fontId="0" fillId="0" borderId="162" xfId="1" applyNumberFormat="1" applyFont="1" applyBorder="1" applyAlignment="1">
      <alignment horizontal="center"/>
    </xf>
    <xf numFmtId="43" fontId="0" fillId="0" borderId="162" xfId="0" applyNumberFormat="1" applyBorder="1" applyAlignment="1">
      <alignment horizontal="center"/>
    </xf>
    <xf numFmtId="165" fontId="105" fillId="0" borderId="162" xfId="0" applyNumberFormat="1" applyFont="1" applyBorder="1"/>
    <xf numFmtId="0" fontId="118" fillId="0" borderId="0" xfId="0" applyFont="1" applyAlignment="1">
      <alignment horizontal="center" vertical="center"/>
    </xf>
    <xf numFmtId="0" fontId="9" fillId="5" borderId="0" xfId="0" applyFont="1" applyFill="1" applyAlignment="1">
      <alignment vertical="center"/>
    </xf>
    <xf numFmtId="0" fontId="104" fillId="29" borderId="119" xfId="0" applyFont="1" applyFill="1" applyBorder="1" applyAlignment="1">
      <alignment horizontal="center" vertical="center" wrapText="1"/>
    </xf>
    <xf numFmtId="0" fontId="104" fillId="29" borderId="120" xfId="0" applyFont="1" applyFill="1" applyBorder="1" applyAlignment="1">
      <alignment horizontal="center" vertical="center" wrapText="1"/>
    </xf>
    <xf numFmtId="0" fontId="104" fillId="29" borderId="127" xfId="0" applyFont="1" applyFill="1" applyBorder="1" applyAlignment="1">
      <alignment horizontal="center" vertical="center"/>
    </xf>
    <xf numFmtId="0" fontId="104" fillId="29" borderId="128" xfId="0" applyFont="1" applyFill="1" applyBorder="1" applyAlignment="1">
      <alignment horizontal="center" vertical="center"/>
    </xf>
    <xf numFmtId="0" fontId="104" fillId="29" borderId="0" xfId="0" applyFont="1" applyFill="1" applyAlignment="1">
      <alignment horizontal="center" vertical="center"/>
    </xf>
    <xf numFmtId="0" fontId="104" fillId="29" borderId="0" xfId="0" applyFont="1" applyFill="1" applyAlignment="1">
      <alignment vertical="center"/>
    </xf>
    <xf numFmtId="0" fontId="104" fillId="29" borderId="129" xfId="0" applyFont="1" applyFill="1" applyBorder="1" applyAlignment="1">
      <alignment horizontal="center" vertical="center" wrapText="1"/>
    </xf>
    <xf numFmtId="0" fontId="104" fillId="29" borderId="131" xfId="0" applyFont="1" applyFill="1" applyBorder="1" applyAlignment="1">
      <alignment horizontal="center" vertical="center" wrapText="1"/>
    </xf>
    <xf numFmtId="0" fontId="104" fillId="29" borderId="130" xfId="0" applyFont="1" applyFill="1" applyBorder="1" applyAlignment="1">
      <alignment horizontal="center" vertical="center" wrapText="1"/>
    </xf>
    <xf numFmtId="0" fontId="104" fillId="29" borderId="132" xfId="0" applyFont="1" applyFill="1" applyBorder="1" applyAlignment="1">
      <alignment horizontal="center" vertical="center" wrapText="1"/>
    </xf>
    <xf numFmtId="0" fontId="2" fillId="30" borderId="0" xfId="0" applyFont="1" applyFill="1" applyAlignment="1">
      <alignment horizontal="center" vertical="center" wrapText="1"/>
    </xf>
    <xf numFmtId="0" fontId="104" fillId="29" borderId="151" xfId="0" applyFont="1" applyFill="1" applyBorder="1" applyAlignment="1">
      <alignment horizontal="center" vertical="center" wrapText="1"/>
    </xf>
    <xf numFmtId="0" fontId="88" fillId="29" borderId="158" xfId="0" applyFont="1" applyFill="1" applyBorder="1" applyAlignment="1">
      <alignment horizontal="center" vertical="center"/>
    </xf>
    <xf numFmtId="0" fontId="88" fillId="29" borderId="159" xfId="0" applyFont="1" applyFill="1" applyBorder="1" applyAlignment="1">
      <alignment horizontal="center" vertical="center"/>
    </xf>
    <xf numFmtId="0" fontId="104" fillId="29" borderId="160" xfId="0" applyFont="1" applyFill="1" applyBorder="1" applyAlignment="1">
      <alignment horizontal="center" vertical="center" wrapText="1"/>
    </xf>
    <xf numFmtId="0" fontId="104" fillId="29" borderId="149" xfId="0" applyFont="1" applyFill="1" applyBorder="1" applyAlignment="1">
      <alignment horizontal="center" vertical="center" wrapText="1"/>
    </xf>
    <xf numFmtId="0" fontId="65" fillId="29" borderId="0" xfId="0" applyFont="1" applyFill="1" applyAlignment="1">
      <alignment horizontal="center" vertical="center"/>
    </xf>
    <xf numFmtId="0" fontId="65" fillId="28" borderId="0" xfId="0" applyFont="1" applyFill="1" applyAlignment="1">
      <alignment horizontal="center" vertical="center"/>
    </xf>
    <xf numFmtId="0" fontId="88" fillId="7" borderId="0" xfId="0" applyFont="1" applyFill="1" applyAlignment="1">
      <alignment vertical="center"/>
    </xf>
    <xf numFmtId="0" fontId="9" fillId="5" borderId="0" xfId="0" applyFont="1" applyFill="1" applyAlignment="1">
      <alignment horizontal="center" vertical="center"/>
    </xf>
    <xf numFmtId="0" fontId="14" fillId="5" borderId="0" xfId="0" applyFont="1" applyFill="1" applyAlignment="1">
      <alignment vertical="center"/>
    </xf>
    <xf numFmtId="0" fontId="65" fillId="7" borderId="0" xfId="0" applyFont="1" applyFill="1" applyAlignment="1">
      <alignment horizontal="center" vertical="center"/>
    </xf>
    <xf numFmtId="0" fontId="47" fillId="5" borderId="0" xfId="0" applyFont="1" applyFill="1" applyAlignment="1">
      <alignment vertical="center"/>
    </xf>
    <xf numFmtId="0" fontId="47" fillId="5" borderId="0" xfId="0" applyFont="1" applyFill="1" applyAlignment="1">
      <alignment horizontal="center" vertical="center"/>
    </xf>
    <xf numFmtId="0" fontId="88" fillId="26" borderId="71" xfId="0" applyFont="1" applyFill="1" applyBorder="1" applyAlignment="1">
      <alignment horizontal="center"/>
    </xf>
    <xf numFmtId="0" fontId="88" fillId="20" borderId="71" xfId="0" applyFont="1" applyFill="1" applyBorder="1" applyAlignment="1">
      <alignment horizontal="center"/>
    </xf>
    <xf numFmtId="0" fontId="5" fillId="0" borderId="8" xfId="0" applyFont="1" applyBorder="1"/>
    <xf numFmtId="0" fontId="55" fillId="5" borderId="0" xfId="0" applyFont="1" applyFill="1" applyAlignment="1">
      <alignment vertical="center"/>
    </xf>
    <xf numFmtId="0" fontId="9" fillId="5" borderId="0" xfId="0" applyFont="1" applyFill="1" applyAlignment="1">
      <alignment horizontal="center" vertical="center" wrapText="1"/>
    </xf>
    <xf numFmtId="0" fontId="32" fillId="13" borderId="21" xfId="0" applyFont="1" applyFill="1" applyBorder="1" applyAlignment="1">
      <alignment vertical="center"/>
    </xf>
    <xf numFmtId="0" fontId="32" fillId="13" borderId="22" xfId="0" applyFont="1" applyFill="1" applyBorder="1" applyAlignment="1">
      <alignment vertical="center"/>
    </xf>
    <xf numFmtId="0" fontId="31" fillId="0" borderId="20" xfId="0" applyFont="1" applyBorder="1" applyAlignment="1">
      <alignment vertical="center"/>
    </xf>
    <xf numFmtId="0" fontId="32" fillId="13" borderId="10" xfId="0" applyFont="1" applyFill="1" applyBorder="1" applyAlignment="1">
      <alignment vertical="center"/>
    </xf>
    <xf numFmtId="0" fontId="32" fillId="13" borderId="11" xfId="0" applyFont="1" applyFill="1" applyBorder="1" applyAlignment="1">
      <alignment vertical="center"/>
    </xf>
    <xf numFmtId="0" fontId="0" fillId="0" borderId="0" xfId="0" applyBorder="1" applyAlignment="1">
      <alignment vertical="center"/>
    </xf>
    <xf numFmtId="0" fontId="110" fillId="0" borderId="0" xfId="0" applyFont="1" applyBorder="1" applyAlignment="1">
      <alignment vertical="center"/>
    </xf>
    <xf numFmtId="0" fontId="0" fillId="0" borderId="0" xfId="0" applyBorder="1"/>
    <xf numFmtId="0" fontId="7" fillId="0" borderId="0" xfId="0" applyFont="1" applyBorder="1" applyAlignment="1">
      <alignment horizontal="center"/>
    </xf>
    <xf numFmtId="0" fontId="111" fillId="12" borderId="0" xfId="0" applyFont="1" applyFill="1" applyBorder="1" applyAlignment="1">
      <alignment horizontal="left" vertical="center"/>
    </xf>
    <xf numFmtId="0" fontId="112" fillId="12" borderId="0" xfId="0" applyFont="1" applyFill="1" applyBorder="1" applyAlignment="1">
      <alignment horizontal="center" vertical="center"/>
    </xf>
    <xf numFmtId="185" fontId="111" fillId="12" borderId="0" xfId="0" applyNumberFormat="1" applyFont="1" applyFill="1" applyBorder="1" applyAlignment="1">
      <alignment horizontal="right" vertical="center"/>
    </xf>
    <xf numFmtId="43" fontId="0" fillId="0" borderId="141" xfId="0" applyNumberFormat="1" applyBorder="1" applyAlignment="1">
      <alignment horizontal="center"/>
    </xf>
    <xf numFmtId="0" fontId="0" fillId="0" borderId="142" xfId="0" applyBorder="1" applyAlignment="1">
      <alignment horizontal="center"/>
    </xf>
    <xf numFmtId="0" fontId="5" fillId="0" borderId="33" xfId="0" applyFont="1" applyBorder="1" applyAlignment="1">
      <alignment horizontal="center"/>
    </xf>
    <xf numFmtId="0" fontId="2" fillId="0" borderId="33" xfId="0" applyFont="1" applyBorder="1" applyAlignment="1">
      <alignment horizontal="center"/>
    </xf>
    <xf numFmtId="0" fontId="68" fillId="0" borderId="59" xfId="0" quotePrefix="1" applyFont="1" applyBorder="1" applyAlignment="1">
      <alignment horizontal="center"/>
    </xf>
    <xf numFmtId="0" fontId="70" fillId="0" borderId="33" xfId="0" applyFont="1" applyBorder="1" applyAlignment="1">
      <alignment horizontal="center"/>
    </xf>
    <xf numFmtId="0" fontId="46" fillId="0" borderId="0" xfId="0" applyFont="1" applyAlignment="1">
      <alignment horizontal="center"/>
    </xf>
    <xf numFmtId="0" fontId="2" fillId="0" borderId="0" xfId="0" applyFont="1" applyAlignment="1">
      <alignment horizontal="center"/>
    </xf>
    <xf numFmtId="187" fontId="0" fillId="0" borderId="0" xfId="1" applyNumberFormat="1" applyFont="1"/>
    <xf numFmtId="187" fontId="0" fillId="0" borderId="0" xfId="0" applyNumberFormat="1"/>
  </cellXfs>
  <cellStyles count="10">
    <cellStyle name="Comma" xfId="1" builtinId="3"/>
    <cellStyle name="Comma 2" xfId="5" xr:uid="{8C88768D-7E3E-4B7E-A802-C36A367215D9}"/>
    <cellStyle name="Comma 3" xfId="7" xr:uid="{07A71FE7-5137-4F11-9B68-3AA2D57967D5}"/>
    <cellStyle name="Hyperlink 2" xfId="3" xr:uid="{CFFA9261-7F94-400E-BF26-9774D987A33C}"/>
    <cellStyle name="Normal" xfId="0" builtinId="0"/>
    <cellStyle name="Normal 2" xfId="4" xr:uid="{D05A5197-C8F0-4E35-AE15-CF17A24FC0AB}"/>
    <cellStyle name="Normal 2 7" xfId="2" xr:uid="{269ACB90-76D0-46B6-A20D-E49684A85419}"/>
    <cellStyle name="Percent" xfId="9" builtinId="5"/>
    <cellStyle name="Percent 2" xfId="6" xr:uid="{8EE9FA21-AA1C-4E95-A514-A3CBA1AAC0AB}"/>
    <cellStyle name="Percent 3" xfId="8" xr:uid="{F5D9F4E5-A037-42E7-9467-D98A8845CFEB}"/>
  </cellStyles>
  <dxfs count="3">
    <dxf>
      <font>
        <b val="0"/>
        <i val="0"/>
        <color rgb="FFFF0000"/>
      </font>
    </dxf>
    <dxf>
      <font>
        <b val="0"/>
        <i val="0"/>
        <color rgb="FFFF0000"/>
      </font>
    </dxf>
    <dxf>
      <font>
        <b val="0"/>
        <i val="0"/>
        <color rgb="FFFF0000"/>
      </font>
    </dxf>
  </dxfs>
  <tableStyles count="0" defaultTableStyle="TableStyleMedium2" defaultPivotStyle="PivotStyleLight16"/>
  <colors>
    <mruColors>
      <color rgb="FF0000FF"/>
      <color rgb="FF119303"/>
      <color rgb="FF000099"/>
      <color rgb="FFFF33CC"/>
      <color rgb="FFFFFF99"/>
      <color rgb="FFCCCC00"/>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1.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7.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2.xml"/><Relationship Id="rId1" Type="http://schemas.microsoft.com/office/2011/relationships/chartStyle" Target="style12.xml"/></Relationships>
</file>

<file path=xl/charts/_rels/chart2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4F3F56FB-45B0-4982-B1D0-FDA3606A3538}" type="CELLRANGE">
                      <a:rPr lang="en-US" baseline="0"/>
                      <a:pPr>
                        <a:defRPr sz="1300"/>
                      </a:pPr>
                      <a:t>[CELLRANGE]</a:t>
                    </a:fld>
                    <a:r>
                      <a:rPr lang="en-US" baseline="0"/>
                      <a:t>, </a:t>
                    </a:r>
                    <a:fld id="{8AC754FA-C6C1-448C-B25E-5024F41070D5}" type="SERIESNAME">
                      <a:rPr lang="en-US" baseline="0"/>
                      <a:pPr>
                        <a:defRPr sz="1300"/>
                      </a:pPr>
                      <a:t>[SERIES NAME]</a:t>
                    </a:fld>
                    <a:r>
                      <a:rPr lang="en-US" baseline="0"/>
                      <a:t>, </a:t>
                    </a:r>
                    <a:fld id="{05A79FBC-B34B-4E77-A171-17B27AA96B77}"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D6C0-49BA-BFAE-7C4DBB5FBEAC}"/>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1504C577-568E-4C2A-A44D-CC190CC1BF2B}" type="CELLRANGE">
                      <a:rPr lang="en-US" baseline="0"/>
                      <a:pPr>
                        <a:defRPr sz="1100"/>
                      </a:pPr>
                      <a:t>[CELLRANGE]</a:t>
                    </a:fld>
                    <a:r>
                      <a:rPr lang="en-US" baseline="0"/>
                      <a:t>, </a:t>
                    </a:r>
                    <a:fld id="{9388F6C8-61A0-4BD1-892E-399D494D5C78}" type="SERIESNAME">
                      <a:rPr lang="en-US" baseline="0"/>
                      <a:pPr>
                        <a:defRPr sz="1100"/>
                      </a:pPr>
                      <a:t>[SERIES NAME]</a:t>
                    </a:fld>
                    <a:r>
                      <a:rPr lang="en-US" baseline="0"/>
                      <a:t>, </a:t>
                    </a:r>
                    <a:fld id="{AF3C17D0-0D3F-49C5-BD99-D09411172F32}"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D6C0-49BA-BFAE-7C4DBB5FBEAC}"/>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D6C0-49BA-BFAE-7C4DBB5FBEAC}"/>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21A41E5-BCBB-443C-8C5D-5BE00C995982}" type="CELLRANGE">
                      <a:rPr lang="en-US" baseline="0"/>
                      <a:pPr>
                        <a:defRPr sz="1300"/>
                      </a:pPr>
                      <a:t>[CELLRANGE]</a:t>
                    </a:fld>
                    <a:r>
                      <a:rPr lang="en-US" baseline="0"/>
                      <a:t>, </a:t>
                    </a:r>
                    <a:fld id="{36648D31-E646-4861-B3F1-E752A2283672}" type="SERIESNAME">
                      <a:rPr lang="en-US" baseline="0"/>
                      <a:pPr>
                        <a:defRPr sz="1300"/>
                      </a:pPr>
                      <a:t>[SERIES NAME]</a:t>
                    </a:fld>
                    <a:r>
                      <a:rPr lang="en-US" baseline="0"/>
                      <a:t>, </a:t>
                    </a:r>
                    <a:fld id="{CC8EC0BF-C5C7-421E-87E1-7C5D59DB605D}"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512.52452191747943</c:v>
                </c:pt>
              </c:numCache>
            </c:numRef>
          </c:val>
          <c:extLst xmlns:c15="http://schemas.microsoft.com/office/drawing/2012/chart">
            <c:ext xmlns:c15="http://schemas.microsoft.com/office/drawing/2012/chart" uri="{02D57815-91ED-43cb-92C2-25804820EDAC}">
              <c15:datalabelsRange>
                <c15:f>'W5'!$F$74</c15:f>
                <c15:dlblRangeCache>
                  <c:ptCount val="1"/>
                  <c:pt idx="0">
                    <c:v>29.4%</c:v>
                  </c:pt>
                </c15:dlblRangeCache>
              </c15:datalabelsRange>
            </c:ext>
            <c:ext xmlns:c16="http://schemas.microsoft.com/office/drawing/2014/chart" uri="{C3380CC4-5D6E-409C-BE32-E72D297353CC}">
              <c16:uniqueId val="{00000006-D6C0-49BA-BFAE-7C4DBB5FBEAC}"/>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6293729F-D4A4-4568-B1B3-10B26B49E839}" type="CELLRANGE">
                      <a:rPr lang="en-US" sz="1100" baseline="0"/>
                      <a:pPr>
                        <a:defRPr sz="1100"/>
                      </a:pPr>
                      <a:t>[CELLRANGE]</a:t>
                    </a:fld>
                    <a:r>
                      <a:rPr lang="en-US" sz="1100" baseline="0"/>
                      <a:t>, </a:t>
                    </a:r>
                    <a:fld id="{71654C28-5621-4817-9349-D70B9102E28A}" type="SERIESNAME">
                      <a:rPr lang="en-US" sz="1100" baseline="0"/>
                      <a:pPr>
                        <a:defRPr sz="1100"/>
                      </a:pPr>
                      <a:t>[SERIES NAME]</a:t>
                    </a:fld>
                    <a:r>
                      <a:rPr lang="en-US" sz="1100" baseline="0"/>
                      <a:t>, </a:t>
                    </a:r>
                    <a:fld id="{2E4221FF-D740-4260-8ED8-758027BEA29A}"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D6C0-49BA-BFAE-7C4DBB5FBEA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35.632399173162504</c:v>
                </c:pt>
              </c:numCache>
            </c:numRef>
          </c:val>
          <c:extLst>
            <c:ext xmlns:c15="http://schemas.microsoft.com/office/drawing/2012/chart" uri="{02D57815-91ED-43cb-92C2-25804820EDAC}">
              <c15:datalabelsRange>
                <c15:f>'W5'!$F$84</c15:f>
                <c15:dlblRangeCache>
                  <c:ptCount val="1"/>
                  <c:pt idx="0">
                    <c:v>2.0%</c:v>
                  </c:pt>
                </c15:dlblRangeCache>
              </c15:datalabelsRange>
            </c:ext>
            <c:ext xmlns:c16="http://schemas.microsoft.com/office/drawing/2014/chart" uri="{C3380CC4-5D6E-409C-BE32-E72D297353CC}">
              <c16:uniqueId val="{00000008-D6C0-49BA-BFAE-7C4DBB5FBEAC}"/>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8E1FB5F7-77C6-4E53-A484-10007BDB8903}"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E1E698F-8CF6-4FEC-84DB-C6018C74DD0F}"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5F6D0FB9-1E2B-49FB-91BE-57B3DF6C3FA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D6C0-49BA-BFAE-7C4DBB5FBEAC}"/>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142.52959669265002</c:v>
                </c:pt>
              </c:numCache>
            </c:numRef>
          </c:val>
          <c:extLst>
            <c:ext xmlns:c15="http://schemas.microsoft.com/office/drawing/2012/chart" uri="{02D57815-91ED-43cb-92C2-25804820EDAC}">
              <c15:datalabelsRange>
                <c15:f>'W5'!$F$85</c15:f>
                <c15:dlblRangeCache>
                  <c:ptCount val="1"/>
                  <c:pt idx="0">
                    <c:v>8.2%</c:v>
                  </c:pt>
                </c15:dlblRangeCache>
              </c15:datalabelsRange>
            </c:ext>
            <c:ext xmlns:c16="http://schemas.microsoft.com/office/drawing/2014/chart" uri="{C3380CC4-5D6E-409C-BE32-E72D297353CC}">
              <c16:uniqueId val="{0000000A-D6C0-49BA-BFAE-7C4DBB5FBEAC}"/>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D6C0-49BA-BFAE-7C4DBB5FBEAC}"/>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D6C0-49BA-BFAE-7C4DBB5FBEAC}"/>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D6C0-49BA-BFAE-7C4DBB5FBEAC}"/>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89.499728274380047</c:v>
                      </c:pt>
                    </c:numCache>
                  </c:numRef>
                </c:val>
                <c:extLst xmlns:c15="http://schemas.microsoft.com/office/drawing/2012/chart">
                  <c:ext xmlns:c16="http://schemas.microsoft.com/office/drawing/2014/chart" uri="{C3380CC4-5D6E-409C-BE32-E72D297353CC}">
                    <c16:uniqueId val="{0000000E-D6C0-49BA-BFAE-7C4DBB5FBEAC}"/>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D6C0-49BA-BFAE-7C4DBB5FBEAC}"/>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D6C0-49BA-BFAE-7C4DBB5FBEAC}"/>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D6C0-49BA-BFAE-7C4DBB5FBEAC}"/>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D6C0-49BA-BFAE-7C4DBB5FBEAC}"/>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D6C0-49BA-BFAE-7C4DBB5FBEAC}"/>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1565.4277477239311</c:v>
                      </c:pt>
                    </c:numCache>
                  </c:numRef>
                </c:val>
                <c:extLst xmlns:c15="http://schemas.microsoft.com/office/drawing/2012/chart">
                  <c:ext xmlns:c16="http://schemas.microsoft.com/office/drawing/2014/chart" uri="{C3380CC4-5D6E-409C-BE32-E72D297353CC}">
                    <c16:uniqueId val="{00000014-D6C0-49BA-BFAE-7C4DBB5FBEAC}"/>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D6C0-49BA-BFAE-7C4DBB5FBEA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D6C0-49BA-BFAE-7C4DBB5FBEAC}"/>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BBED046-56BC-47C4-9397-EF86AD3FE068}" type="CELLRANGE">
                      <a:rPr lang="en-US" sz="1300" baseline="0"/>
                      <a:pPr>
                        <a:defRPr sz="1300"/>
                      </a:pPr>
                      <a:t>[CELLRANGE]</a:t>
                    </a:fld>
                    <a:r>
                      <a:rPr lang="en-US" sz="1300" baseline="0"/>
                      <a:t>, </a:t>
                    </a:r>
                    <a:fld id="{56E5FAB1-D02E-45E1-A9F8-5C25DFE00586}" type="SERIESNAME">
                      <a:rPr lang="en-US" sz="1300" baseline="0"/>
                      <a:pPr>
                        <a:defRPr sz="1300"/>
                      </a:pPr>
                      <a:t>[SERIES NAME]</a:t>
                    </a:fld>
                    <a:r>
                      <a:rPr lang="en-US" sz="1300" baseline="0"/>
                      <a:t>, </a:t>
                    </a:r>
                    <a:fld id="{0CD8DD70-11F1-4F19-A570-21626C5D8529}"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3DAB-4DB5-9D61-48E4947FAB73}"/>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A21E30AF-CE0A-41F1-B8B6-DD68CBE6BE5F}" type="CELLRANGE">
                      <a:rPr lang="en-US" baseline="0"/>
                      <a:pPr/>
                      <a:t>[CELLRANGE]</a:t>
                    </a:fld>
                    <a:r>
                      <a:rPr lang="en-US" baseline="0"/>
                      <a:t>, </a:t>
                    </a:r>
                    <a:fld id="{382E861F-5822-4494-9326-1C31D5E284B1}" type="SERIESNAME">
                      <a:rPr lang="en-US" baseline="0"/>
                      <a:pPr/>
                      <a:t>[SERIES NAME]</a:t>
                    </a:fld>
                    <a:r>
                      <a:rPr lang="en-US" baseline="0"/>
                      <a:t>, </a:t>
                    </a:r>
                    <a:fld id="{28325A1A-561D-48AA-A108-019DE5B0EB2D}"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3DAB-4DB5-9D61-48E4947FAB7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3DAB-4DB5-9D61-48E4947FAB73}"/>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BFC65E4-6CAD-4666-86DE-330DFC8E1D4D}" type="CELLRANGE">
                      <a:rPr lang="en-US" sz="1300" baseline="0"/>
                      <a:pPr>
                        <a:defRPr sz="1300"/>
                      </a:pPr>
                      <a:t>[CELLRANGE]</a:t>
                    </a:fld>
                    <a:r>
                      <a:rPr lang="en-US" sz="1300" baseline="0"/>
                      <a:t>, </a:t>
                    </a:r>
                    <a:fld id="{FFE279E2-15F7-47AB-AA34-68A238F40144}" type="SERIESNAME">
                      <a:rPr lang="en-US" sz="1300" baseline="0"/>
                      <a:pPr>
                        <a:defRPr sz="1300"/>
                      </a:pPr>
                      <a:t>[SERIES NAME]</a:t>
                    </a:fld>
                    <a:r>
                      <a:rPr lang="en-US" sz="1300" baseline="0"/>
                      <a:t>, </a:t>
                    </a:r>
                    <a:fld id="{E74F43CD-4415-4CE4-9A30-D283A56DEDBD}"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199.88456354781695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29.4%</c:v>
                  </c:pt>
                </c15:dlblRangeCache>
              </c15:datalabelsRange>
            </c:ext>
            <c:ext xmlns:c16="http://schemas.microsoft.com/office/drawing/2014/chart" uri="{C3380CC4-5D6E-409C-BE32-E72D297353CC}">
              <c16:uniqueId val="{00000005-3DAB-4DB5-9D61-48E4947FAB73}"/>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092F2703-602A-4103-8222-55285432CBA6}" type="CELLRANGE">
                      <a:rPr lang="en-US" baseline="0"/>
                      <a:pPr/>
                      <a:t>[CELLRANGE]</a:t>
                    </a:fld>
                    <a:r>
                      <a:rPr lang="en-US" baseline="0"/>
                      <a:t>, </a:t>
                    </a:r>
                    <a:fld id="{8A0E9AEF-325F-4D23-B29B-6B5FBA94CE55}" type="SERIESNAME">
                      <a:rPr lang="en-US" baseline="0"/>
                      <a:pPr/>
                      <a:t>[SERIES NAME]</a:t>
                    </a:fld>
                    <a:r>
                      <a:rPr lang="en-US" baseline="0"/>
                      <a:t>, </a:t>
                    </a:r>
                    <a:fld id="{964D88CB-7001-47C1-AF5F-0DBAB318A7E5}"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3DAB-4DB5-9D61-48E4947FAB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13.896635677533368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2.0%</c:v>
                  </c:pt>
                </c15:dlblRangeCache>
              </c15:datalabelsRange>
            </c:ext>
            <c:ext xmlns:c16="http://schemas.microsoft.com/office/drawing/2014/chart" uri="{C3380CC4-5D6E-409C-BE32-E72D297353CC}">
              <c16:uniqueId val="{00000007-3DAB-4DB5-9D61-48E4947FAB73}"/>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AF4D3CC8-028E-49DA-8901-24D9EC957D9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C964B02F-B435-4E7F-A138-C52A8BC3A1D8}"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E0CF185-54D7-43C2-94BE-C19F2F11A0C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3DAB-4DB5-9D61-48E4947FAB7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55.586542710133472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8.2%</c:v>
                  </c:pt>
                </c15:dlblRangeCache>
              </c15:datalabelsRange>
            </c:ext>
            <c:ext xmlns:c16="http://schemas.microsoft.com/office/drawing/2014/chart" uri="{C3380CC4-5D6E-409C-BE32-E72D297353CC}">
              <c16:uniqueId val="{00000009-3DAB-4DB5-9D61-48E4947FAB73}"/>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3DAB-4DB5-9D61-48E4947FAB73}"/>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3DAB-4DB5-9D61-48E4947FAB73}"/>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3DAB-4DB5-9D61-48E4947FAB73}"/>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34.904894027008218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3DAB-4DB5-9D61-48E4947FAB73}"/>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3DAB-4DB5-9D61-48E4947FAB73}"/>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3DAB-4DB5-9D61-48E4947FAB73}"/>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3DAB-4DB5-9D61-48E4947FAB73}"/>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3DAB-4DB5-9D61-48E4947FAB73}"/>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3DAB-4DB5-9D61-48E4947FAB73}"/>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610.51682161233316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3DAB-4DB5-9D61-48E4947FAB73}"/>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3DAB-4DB5-9D61-48E4947FAB73}"/>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3DAB-4DB5-9D61-48E4947FAB73}"/>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41237976372793733"/>
          <c:y val="9.8165813622631451E-2"/>
          <c:w val="0.58470971121856841"/>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'W5'!$G$49:$H$49</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'W5'!$H$49</c15:f>
              </c15:datalabelsRange>
            </c:ext>
            <c:ext xmlns:c16="http://schemas.microsoft.com/office/drawing/2014/chart" uri="{C3380CC4-5D6E-409C-BE32-E72D297353CC}">
              <c16:uniqueId val="{00000001-F063-411D-A8B3-02801E85D490}"/>
            </c:ext>
          </c:extLst>
        </c:ser>
        <c:ser>
          <c:idx val="1"/>
          <c:order val="1"/>
          <c:tx>
            <c:strRef>
              <c:f>'W5'!$D$50</c:f>
              <c:strCache>
                <c:ptCount val="1"/>
                <c:pt idx="0">
                  <c:v>Vảy sạch</c:v>
                </c:pt>
              </c:strCache>
              <c:extLst xmlns:c15="http://schemas.microsoft.com/office/drawing/2012/chart"/>
            </c:strRef>
          </c:tx>
          <c:spPr>
            <a:solidFill>
              <a:schemeClr val="accent2"/>
            </a:solidFill>
            <a:ln>
              <a:noFill/>
            </a:ln>
            <a:effectLst/>
          </c:spPr>
          <c:invertIfNegative val="0"/>
          <c:val>
            <c:numRef>
              <c:f>'W5'!$G$50:$H$50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A-F063-411D-A8B3-02801E85D490}"/>
            </c:ext>
          </c:extLst>
        </c:ser>
        <c:ser>
          <c:idx val="4"/>
          <c:order val="2"/>
          <c:tx>
            <c:strRef>
              <c:f>'W5'!$D$51</c:f>
              <c:strCache>
                <c:ptCount val="1"/>
                <c:pt idx="0">
                  <c:v>Hao hụt về tiền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'W5'!$G$51:$H$51</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'W5'!$H$51</c15:f>
              </c15:datalabelsRange>
            </c:ext>
            <c:ext xmlns:c16="http://schemas.microsoft.com/office/drawing/2014/chart" uri="{C3380CC4-5D6E-409C-BE32-E72D297353CC}">
              <c16:uniqueId val="{00000003-F063-411D-A8B3-02801E85D490}"/>
            </c:ext>
          </c:extLst>
        </c:ser>
        <c:ser>
          <c:idx val="3"/>
          <c:order val="3"/>
          <c:tx>
            <c:strRef>
              <c:f>'W5'!$D$52</c:f>
              <c:strCache>
                <c:ptCount val="1"/>
                <c:pt idx="0">
                  <c:v>Chi phí biến đổi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'W5'!$G$52:$H$52</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'W5'!$H$52</c15:f>
              </c15:datalabelsRange>
            </c:ext>
            <c:ext xmlns:c16="http://schemas.microsoft.com/office/drawing/2014/chart" uri="{C3380CC4-5D6E-409C-BE32-E72D297353CC}">
              <c16:uniqueId val="{00000005-F063-411D-A8B3-02801E85D490}"/>
            </c:ext>
          </c:extLst>
        </c:ser>
        <c:ser>
          <c:idx val="5"/>
          <c:order val="4"/>
          <c:tx>
            <c:strRef>
              <c:f>'W5'!$D$53</c:f>
              <c:strCache>
                <c:ptCount val="1"/>
                <c:pt idx="0">
                  <c:v>Chi phí nhân công</c:v>
                </c:pt>
              </c:strCache>
              <c:extLst xmlns:c15="http://schemas.microsoft.com/office/drawing/2012/chart"/>
            </c:strRef>
          </c:tx>
          <c:spPr>
            <a:solidFill>
              <a:schemeClr val="accent6"/>
            </a:solidFill>
            <a:ln>
              <a:noFill/>
            </a:ln>
            <a:effectLst/>
          </c:spPr>
          <c:invertIfNegative val="0"/>
          <c:val>
            <c:numRef>
              <c:f>'W5'!$G$53:$H$53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B-F063-411D-A8B3-02801E85D490}"/>
            </c:ext>
          </c:extLst>
        </c:ser>
        <c:ser>
          <c:idx val="6"/>
          <c:order val="5"/>
          <c:tx>
            <c:strRef>
              <c:f>'W5'!$D$54</c:f>
              <c:strCache>
                <c:ptCount val="1"/>
                <c:pt idx="0">
                  <c:v>Khấu hao</c:v>
                </c:pt>
              </c:strCache>
              <c:extLst xmlns:c15="http://schemas.microsoft.com/office/drawing/2012/chart"/>
            </c:strRef>
          </c:tx>
          <c:spPr>
            <a:solidFill>
              <a:schemeClr val="accent1">
                <a:lumMod val="60000"/>
              </a:schemeClr>
            </a:solidFill>
            <a:ln>
              <a:noFill/>
            </a:ln>
            <a:effectLst/>
          </c:spPr>
          <c:invertIfNegative val="0"/>
          <c:val>
            <c:numRef>
              <c:f>'W5'!$G$54:$H$54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C-F063-411D-A8B3-02801E85D490}"/>
            </c:ext>
          </c:extLst>
        </c:ser>
        <c:ser>
          <c:idx val="7"/>
          <c:order val="6"/>
          <c:tx>
            <c:strRef>
              <c:f>'W5'!$D$55</c:f>
              <c:strCache>
                <c:ptCount val="1"/>
                <c:pt idx="0">
                  <c:v>Chi phí quản lý</c:v>
                </c:pt>
              </c:strCache>
              <c:extLst xmlns:c15="http://schemas.microsoft.com/office/drawing/2012/chart"/>
            </c:strRef>
          </c:tx>
          <c:spPr>
            <a:solidFill>
              <a:schemeClr val="accent2">
                <a:lumMod val="60000"/>
              </a:schemeClr>
            </a:solidFill>
            <a:ln>
              <a:noFill/>
            </a:ln>
            <a:effectLst/>
          </c:spPr>
          <c:invertIfNegative val="0"/>
          <c:val>
            <c:numRef>
              <c:f>'W5'!$G$55:$H$55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D-F063-411D-A8B3-02801E85D490}"/>
            </c:ext>
          </c:extLst>
        </c:ser>
        <c:ser>
          <c:idx val="8"/>
          <c:order val="7"/>
          <c:tx>
            <c:strRef>
              <c:f>'W5'!$D$56</c:f>
              <c:strCache>
                <c:ptCount val="1"/>
                <c:pt idx="0">
                  <c:v>Chi phí gián tiếp</c:v>
                </c:pt>
              </c:strCache>
              <c:extLst xmlns:c15="http://schemas.microsoft.com/office/drawing/2012/chart"/>
            </c:strRef>
          </c:tx>
          <c:spPr>
            <a:solidFill>
              <a:schemeClr val="accent3">
                <a:lumMod val="60000"/>
              </a:schemeClr>
            </a:solidFill>
            <a:ln>
              <a:noFill/>
            </a:ln>
            <a:effectLst/>
          </c:spPr>
          <c:invertIfNegative val="0"/>
          <c:val>
            <c:numRef>
              <c:f>'W5'!$G$56:$H$56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E-F063-411D-A8B3-02801E85D490}"/>
            </c:ext>
          </c:extLst>
        </c:ser>
        <c:ser>
          <c:idx val="9"/>
          <c:order val="8"/>
          <c:tx>
            <c:strRef>
              <c:f>'W5'!$D$57</c:f>
              <c:strCache>
                <c:ptCount val="1"/>
                <c:pt idx="0">
                  <c:v>Điện</c:v>
                </c:pt>
              </c:strCache>
              <c:extLst xmlns:c15="http://schemas.microsoft.com/office/drawing/2012/chart"/>
            </c:strRef>
          </c:tx>
          <c:spPr>
            <a:solidFill>
              <a:schemeClr val="accent4">
                <a:lumMod val="60000"/>
              </a:schemeClr>
            </a:solidFill>
            <a:ln>
              <a:noFill/>
            </a:ln>
            <a:effectLst/>
          </c:spPr>
          <c:invertIfNegative val="0"/>
          <c:val>
            <c:numRef>
              <c:f>'W5'!$G$57:$H$57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F-F063-411D-A8B3-02801E85D490}"/>
            </c:ext>
          </c:extLst>
        </c:ser>
        <c:ser>
          <c:idx val="10"/>
          <c:order val="9"/>
          <c:tx>
            <c:strRef>
              <c:f>'W5'!$D$58</c:f>
              <c:strCache>
                <c:ptCount val="1"/>
                <c:pt idx="0">
                  <c:v>Đóng gói</c:v>
                </c:pt>
              </c:strCache>
              <c:extLst xmlns:c15="http://schemas.microsoft.com/office/drawing/2012/chart"/>
            </c:strRef>
          </c:tx>
          <c:spPr>
            <a:solidFill>
              <a:schemeClr val="accent5">
                <a:lumMod val="60000"/>
              </a:schemeClr>
            </a:solidFill>
            <a:ln>
              <a:noFill/>
            </a:ln>
            <a:effectLst/>
          </c:spPr>
          <c:invertIfNegative val="0"/>
          <c:val>
            <c:numRef>
              <c:f>'W5'!$G$58:$H$58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0-F063-411D-A8B3-02801E85D490}"/>
            </c:ext>
          </c:extLst>
        </c:ser>
        <c:ser>
          <c:idx val="11"/>
          <c:order val="10"/>
          <c:tx>
            <c:strRef>
              <c:f>'W5'!$D$59</c:f>
              <c:strCache>
                <c:ptCount val="1"/>
                <c:pt idx="0">
                  <c:v>Hóa chất</c:v>
                </c:pt>
              </c:strCache>
              <c:extLst xmlns:c15="http://schemas.microsoft.com/office/drawing/2012/chart"/>
            </c:strRef>
          </c:tx>
          <c:spPr>
            <a:solidFill>
              <a:schemeClr val="accent6">
                <a:lumMod val="60000"/>
              </a:schemeClr>
            </a:solidFill>
            <a:ln>
              <a:noFill/>
            </a:ln>
            <a:effectLst/>
          </c:spPr>
          <c:invertIfNegative val="0"/>
          <c:val>
            <c:numRef>
              <c:f>'W5'!$G$59:$H$59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1-F063-411D-A8B3-02801E85D490}"/>
            </c:ext>
          </c:extLst>
        </c:ser>
        <c:ser>
          <c:idx val="12"/>
          <c:order val="11"/>
          <c:tx>
            <c:strRef>
              <c:f>'W5'!$D$60</c:f>
              <c:strCache>
                <c:ptCount val="1"/>
                <c:pt idx="0">
                  <c:v>Nước</c:v>
                </c:pt>
              </c:strCache>
              <c:extLst xmlns:c15="http://schemas.microsoft.com/office/drawing/2012/chart"/>
            </c:strRef>
          </c:tx>
          <c:spPr>
            <a:solidFill>
              <a:schemeClr val="accent1">
                <a:lumMod val="80000"/>
                <a:lumOff val="20000"/>
              </a:schemeClr>
            </a:solidFill>
            <a:ln>
              <a:noFill/>
            </a:ln>
            <a:effectLst/>
          </c:spPr>
          <c:invertIfNegative val="0"/>
          <c:val>
            <c:numRef>
              <c:f>'W5'!$G$60:$H$60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2-F063-411D-A8B3-02801E85D490}"/>
            </c:ext>
          </c:extLst>
        </c:ser>
        <c:ser>
          <c:idx val="13"/>
          <c:order val="12"/>
          <c:tx>
            <c:strRef>
              <c:f>'W5'!$D$61</c:f>
              <c:strCache>
                <c:ptCount val="1"/>
                <c:pt idx="0">
                  <c:v>Giá thành</c:v>
                </c:pt>
              </c:strCache>
              <c:extLst xmlns:c15="http://schemas.microsoft.com/office/drawing/2012/chart"/>
            </c:strRef>
          </c:tx>
          <c:spPr>
            <a:solidFill>
              <a:schemeClr val="accent2">
                <a:lumMod val="80000"/>
                <a:lumOff val="20000"/>
              </a:schemeClr>
            </a:solidFill>
            <a:ln>
              <a:noFill/>
            </a:ln>
            <a:effectLst/>
          </c:spPr>
          <c:invertIfNegative val="0"/>
          <c:val>
            <c:numRef>
              <c:f>'W5'!$G$61:$H$61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3-F063-411D-A8B3-02801E85D490}"/>
            </c:ext>
          </c:extLst>
        </c:ser>
        <c:ser>
          <c:idx val="14"/>
          <c:order val="13"/>
          <c:tx>
            <c:strRef>
              <c:f>'W5'!$D$62</c:f>
              <c:strCache>
                <c:ptCount val="1"/>
                <c:pt idx="0">
                  <c:v>Thuế thu nhập</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'W5'!$G$62:$H$62</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'W5'!$H$62</c15:f>
              </c15:datalabelsRange>
            </c:ext>
            <c:ext xmlns:c16="http://schemas.microsoft.com/office/drawing/2014/chart" uri="{C3380CC4-5D6E-409C-BE32-E72D297353CC}">
              <c16:uniqueId val="{00000007-F063-411D-A8B3-02801E85D490}"/>
            </c:ext>
          </c:extLst>
        </c:ser>
        <c:ser>
          <c:idx val="15"/>
          <c:order val="14"/>
          <c:tx>
            <c:strRef>
              <c:f>'W5'!$D$63</c:f>
              <c:strCache>
                <c:ptCount val="1"/>
                <c:pt idx="0">
                  <c:v>Lợi nhuận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'W5'!$G$63:$H$63</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'W5'!$H$63</c15:f>
              </c15:datalabelsRange>
            </c:ext>
            <c:ext xmlns:c16="http://schemas.microsoft.com/office/drawing/2014/chart" uri="{C3380CC4-5D6E-409C-BE32-E72D297353CC}">
              <c16:uniqueId val="{00000009-F063-411D-A8B3-02801E85D490}"/>
            </c:ext>
          </c:extLst>
        </c:ser>
        <c:dLbls>
          <c:showLegendKey val="0"/>
          <c:showVal val="0"/>
          <c:showCatName val="0"/>
          <c:showSerName val="0"/>
          <c:showPercent val="0"/>
          <c:showBubbleSize val="0"/>
        </c:dLbls>
        <c:gapWidth val="50"/>
        <c:overlap val="100"/>
        <c:axId val="336187152"/>
        <c:axId val="336190512"/>
        <c:extLst/>
      </c:barChart>
      <c:lineChart>
        <c:grouping val="standard"/>
        <c:varyColors val="0"/>
        <c:ser>
          <c:idx val="16"/>
          <c:order val="15"/>
          <c:tx>
            <c:strRef>
              <c:f>'W5'!$D$64</c:f>
              <c:strCache>
                <c:ptCount val="1"/>
                <c:pt idx="0">
                  <c:v>Giá bán</c:v>
                </c:pt>
              </c:strCache>
              <c:extLst xmlns:c15="http://schemas.microsoft.com/office/drawing/2012/chart"/>
            </c:strRef>
          </c:tx>
          <c:spPr>
            <a:ln w="28575" cap="rnd">
              <a:solidFill>
                <a:schemeClr val="accent5">
                  <a:lumMod val="80000"/>
                  <a:lumOff val="20000"/>
                </a:schemeClr>
              </a:solidFill>
              <a:round/>
            </a:ln>
            <a:effectLst/>
          </c:spPr>
          <c:marker>
            <c:symbol val="none"/>
          </c:marker>
          <c:val>
            <c:numRef>
              <c:f>'W5'!$G$64:$H$64</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4-F063-411D-A8B3-02801E85D490}"/>
            </c:ext>
          </c:extLst>
        </c:ser>
        <c:ser>
          <c:idx val="2"/>
          <c:order val="16"/>
          <c:tx>
            <c:strRef>
              <c:f>'W5'!$D$65</c:f>
              <c:strCache>
                <c:ptCount val="1"/>
                <c:pt idx="0">
                  <c:v>% Lãi gộp nguyên liệu/Giá bán</c:v>
                </c:pt>
              </c:strCache>
              <c:extLst xmlns:c15="http://schemas.microsoft.com/office/drawing/2012/chart"/>
            </c:strRef>
          </c:tx>
          <c:spPr>
            <a:ln w="28575" cap="rnd">
              <a:solidFill>
                <a:schemeClr val="accent3"/>
              </a:solidFill>
              <a:round/>
            </a:ln>
            <a:effectLst/>
          </c:spPr>
          <c:marker>
            <c:symbol val="none"/>
          </c:marker>
          <c:val>
            <c:numRef>
              <c:f>'W5'!$G$65:$H$65</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5-F063-411D-A8B3-02801E85D490}"/>
            </c:ext>
          </c:extLst>
        </c:ser>
        <c:dLbls>
          <c:showLegendKey val="0"/>
          <c:showVal val="0"/>
          <c:showCatName val="0"/>
          <c:showSerName val="0"/>
          <c:showPercent val="0"/>
          <c:showBubbleSize val="0"/>
        </c:dLbls>
        <c:marker val="1"/>
        <c:smooth val="0"/>
        <c:axId val="336187152"/>
        <c:axId val="336190512"/>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2776307268326495"/>
          <c:w val="0.61549198515721915"/>
          <c:h val="0.87223692731673508"/>
        </c:manualLayout>
      </c:layout>
      <c:barChart>
        <c:barDir val="col"/>
        <c:grouping val="stacked"/>
        <c:varyColors val="0"/>
        <c:ser>
          <c:idx val="0"/>
          <c:order val="0"/>
          <c:tx>
            <c:strRef>
              <c:f>'W5'!$D$71</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'W5'!$G$71:$H$71</c:f>
            </c:numRef>
          </c:val>
          <c:extLst>
            <c:ext xmlns:c15="http://schemas.microsoft.com/office/drawing/2012/chart" uri="{02D57815-91ED-43cb-92C2-25804820EDAC}">
              <c15:datalabelsRange>
                <c15:f>'W5'!$H$71</c15:f>
              </c15:datalabelsRange>
            </c:ext>
            <c:ext xmlns:c16="http://schemas.microsoft.com/office/drawing/2014/chart" uri="{C3380CC4-5D6E-409C-BE32-E72D297353CC}">
              <c16:uniqueId val="{00000001-B9B7-4B2B-8B35-40C85DD0D2B6}"/>
            </c:ext>
          </c:extLst>
        </c:ser>
        <c:ser>
          <c:idx val="4"/>
          <c:order val="1"/>
          <c:tx>
            <c:strRef>
              <c:f>'W5'!$D$72</c:f>
              <c:strCache>
                <c:ptCount val="1"/>
                <c:pt idx="0">
                  <c:v>Vảy sạch</c:v>
                </c:pt>
              </c:strCache>
              <c:extLst xmlns:c15="http://schemas.microsoft.com/office/drawing/2012/chart"/>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'W5'!$G$72:$H$72</c:f>
            </c:numRef>
          </c:val>
          <c:extLst xmlns:c15="http://schemas.microsoft.com/office/drawing/2012/char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B-B9B7-4B2B-8B35-40C85DD0D2B6}"/>
            </c:ext>
          </c:extLst>
        </c:ser>
        <c:ser>
          <c:idx val="3"/>
          <c:order val="2"/>
          <c:tx>
            <c:strRef>
              <c:f>'W5'!$D$73</c:f>
              <c:strCache>
                <c:ptCount val="1"/>
                <c:pt idx="0">
                  <c:v>Hao hụt về tiền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'W5'!$G$73:$H$73</c:f>
            </c:numRef>
          </c:val>
          <c:extLst>
            <c:ext xmlns:c15="http://schemas.microsoft.com/office/drawing/2012/chart" uri="{02D57815-91ED-43cb-92C2-25804820EDAC}">
              <c15:datalabelsRange>
                <c15:f>'W5'!$H$73</c15:f>
              </c15:datalabelsRange>
            </c:ext>
            <c:ext xmlns:c16="http://schemas.microsoft.com/office/drawing/2014/chart" uri="{C3380CC4-5D6E-409C-BE32-E72D297353CC}">
              <c16:uniqueId val="{00000003-B9B7-4B2B-8B35-40C85DD0D2B6}"/>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'W5'!$G$74:$H$74</c:f>
            </c:numRef>
          </c:val>
          <c:extLst xmlns:c15="http://schemas.microsoft.com/office/drawing/2012/chart">
            <c:ext xmlns:c15="http://schemas.microsoft.com/office/drawing/2012/chart" uri="{02D57815-91ED-43cb-92C2-25804820EDAC}">
              <c15:datalabelsRange>
                <c15:f>'W5'!$H$74</c15:f>
              </c15:datalabelsRange>
            </c:ext>
            <c:ext xmlns:c16="http://schemas.microsoft.com/office/drawing/2014/chart" uri="{C3380CC4-5D6E-409C-BE32-E72D297353CC}">
              <c16:uniqueId val="{00000005-B9B7-4B2B-8B35-40C85DD0D2B6}"/>
            </c:ext>
          </c:extLst>
        </c:ser>
        <c:ser>
          <c:idx val="15"/>
          <c:order val="4"/>
          <c:tx>
            <c:strRef>
              <c:f>'W5'!$D$75</c:f>
              <c:strCache>
                <c:ptCount val="1"/>
                <c:pt idx="0">
                  <c:v>Chi phí nhân công</c:v>
                </c:pt>
              </c:strCache>
              <c:extLst xmlns:c15="http://schemas.microsoft.com/office/drawing/2012/chart"/>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'W5'!$G$75:$H$75</c:f>
            </c:numRef>
          </c:val>
          <c:extLst xmlns:c15="http://schemas.microsoft.com/office/drawing/2012/chart">
            <c:ext xmlns:c15="http://schemas.microsoft.com/office/drawing/2012/chart" uri="{02D57815-91ED-43cb-92C2-25804820EDAC}">
              <c15:datalabelsRange>
                <c15:f>'W5'!$F$85</c15:f>
                <c15:dlblRangeCache>
                  <c:ptCount val="1"/>
                  <c:pt idx="0">
                    <c:v>8.2%</c:v>
                  </c:pt>
                </c15:dlblRangeCache>
              </c15:datalabelsRange>
            </c:ext>
            <c:ext xmlns:c16="http://schemas.microsoft.com/office/drawing/2014/chart" uri="{C3380CC4-5D6E-409C-BE32-E72D297353CC}">
              <c16:uniqueId val="{0000000D-B9B7-4B2B-8B35-40C85DD0D2B6}"/>
            </c:ext>
          </c:extLst>
        </c:ser>
        <c:ser>
          <c:idx val="1"/>
          <c:order val="5"/>
          <c:tx>
            <c:strRef>
              <c:f>'W5'!$D$76</c:f>
              <c:strCache>
                <c:ptCount val="1"/>
                <c:pt idx="0">
                  <c:v>Khấu hao</c:v>
                </c:pt>
              </c:strCache>
              <c:extLst xmlns:c15="http://schemas.microsoft.com/office/drawing/2012/chart"/>
            </c:strRef>
          </c:tx>
          <c:spPr>
            <a:solidFill>
              <a:schemeClr val="accent2"/>
            </a:solidFill>
            <a:ln>
              <a:noFill/>
            </a:ln>
            <a:effectLst/>
          </c:spPr>
          <c:invertIfNegative val="0"/>
          <c:cat>
            <c:strRef>
              <c:f>'W5'!$G$70:$H$70</c:f>
            </c:strRef>
          </c:cat>
          <c:val>
            <c:numRef>
              <c:f>'W5'!$G$76:$H$76</c:f>
            </c:numRef>
          </c:val>
          <c:extLst xmlns:c15="http://schemas.microsoft.com/office/drawing/2012/chart">
            <c:ext xmlns:c16="http://schemas.microsoft.com/office/drawing/2014/chart" uri="{C3380CC4-5D6E-409C-BE32-E72D297353CC}">
              <c16:uniqueId val="{0000000E-B9B7-4B2B-8B35-40C85DD0D2B6}"/>
            </c:ext>
          </c:extLst>
        </c:ser>
        <c:ser>
          <c:idx val="2"/>
          <c:order val="6"/>
          <c:tx>
            <c:strRef>
              <c:f>'W5'!$D$77</c:f>
              <c:strCache>
                <c:ptCount val="1"/>
                <c:pt idx="0">
                  <c:v>Chi phí gián tiếp</c:v>
                </c:pt>
              </c:strCache>
              <c:extLst xmlns:c15="http://schemas.microsoft.com/office/drawing/2012/chart"/>
            </c:strRef>
          </c:tx>
          <c:spPr>
            <a:solidFill>
              <a:schemeClr val="accent3"/>
            </a:solidFill>
            <a:ln>
              <a:noFill/>
            </a:ln>
            <a:effectLst/>
          </c:spPr>
          <c:invertIfNegative val="0"/>
          <c:cat>
            <c:strRef>
              <c:f>'W5'!$G$70:$H$70</c:f>
            </c:strRef>
          </c:cat>
          <c:val>
            <c:numRef>
              <c:f>'W5'!$G$77:$H$77</c:f>
            </c:numRef>
          </c:val>
          <c:extLst xmlns:c15="http://schemas.microsoft.com/office/drawing/2012/chart">
            <c:ext xmlns:c16="http://schemas.microsoft.com/office/drawing/2014/chart" uri="{C3380CC4-5D6E-409C-BE32-E72D297353CC}">
              <c16:uniqueId val="{0000000F-B9B7-4B2B-8B35-40C85DD0D2B6}"/>
            </c:ext>
          </c:extLst>
        </c:ser>
        <c:ser>
          <c:idx val="5"/>
          <c:order val="7"/>
          <c:tx>
            <c:strRef>
              <c:f>'W5'!$D$78</c:f>
              <c:strCache>
                <c:ptCount val="1"/>
                <c:pt idx="0">
                  <c:v>Điện</c:v>
                </c:pt>
              </c:strCache>
              <c:extLst xmlns:c15="http://schemas.microsoft.com/office/drawing/2012/chart"/>
            </c:strRef>
          </c:tx>
          <c:spPr>
            <a:solidFill>
              <a:schemeClr val="accent6"/>
            </a:solidFill>
            <a:ln>
              <a:noFill/>
            </a:ln>
            <a:effectLst/>
          </c:spPr>
          <c:invertIfNegative val="0"/>
          <c:cat>
            <c:strRef>
              <c:f>'W5'!$G$70:$H$70</c:f>
            </c:strRef>
          </c:cat>
          <c:val>
            <c:numRef>
              <c:f>'W5'!$G$78:$H$78</c:f>
            </c:numRef>
          </c:val>
          <c:extLst xmlns:c15="http://schemas.microsoft.com/office/drawing/2012/chart">
            <c:ext xmlns:c16="http://schemas.microsoft.com/office/drawing/2014/chart" uri="{C3380CC4-5D6E-409C-BE32-E72D297353CC}">
              <c16:uniqueId val="{00000010-B9B7-4B2B-8B35-40C85DD0D2B6}"/>
            </c:ext>
          </c:extLst>
        </c:ser>
        <c:ser>
          <c:idx val="6"/>
          <c:order val="8"/>
          <c:tx>
            <c:strRef>
              <c:f>'W5'!$D$79</c:f>
              <c:strCache>
                <c:ptCount val="1"/>
                <c:pt idx="0">
                  <c:v>Chi phí quản lý</c:v>
                </c:pt>
              </c:strCache>
              <c:extLst xmlns:c15="http://schemas.microsoft.com/office/drawing/2012/chart"/>
            </c:strRef>
          </c:tx>
          <c:spPr>
            <a:solidFill>
              <a:schemeClr val="accent1">
                <a:lumMod val="60000"/>
              </a:schemeClr>
            </a:solidFill>
            <a:ln>
              <a:noFill/>
            </a:ln>
            <a:effectLst/>
          </c:spPr>
          <c:invertIfNegative val="0"/>
          <c:cat>
            <c:strRef>
              <c:f>'W5'!$G$70:$H$70</c:f>
            </c:strRef>
          </c:cat>
          <c:val>
            <c:numRef>
              <c:f>'W5'!$G$79:$H$79</c:f>
            </c:numRef>
          </c:val>
          <c:extLst xmlns:c15="http://schemas.microsoft.com/office/drawing/2012/chart">
            <c:ext xmlns:c16="http://schemas.microsoft.com/office/drawing/2014/chart" uri="{C3380CC4-5D6E-409C-BE32-E72D297353CC}">
              <c16:uniqueId val="{00000011-B9B7-4B2B-8B35-40C85DD0D2B6}"/>
            </c:ext>
          </c:extLst>
        </c:ser>
        <c:ser>
          <c:idx val="7"/>
          <c:order val="9"/>
          <c:tx>
            <c:strRef>
              <c:f>'W5'!$D$80</c:f>
              <c:strCache>
                <c:ptCount val="1"/>
                <c:pt idx="0">
                  <c:v>Đóng gói</c:v>
                </c:pt>
              </c:strCache>
              <c:extLst xmlns:c15="http://schemas.microsoft.com/office/drawing/2012/chart"/>
            </c:strRef>
          </c:tx>
          <c:spPr>
            <a:solidFill>
              <a:schemeClr val="accent2">
                <a:lumMod val="60000"/>
              </a:schemeClr>
            </a:solidFill>
            <a:ln>
              <a:noFill/>
            </a:ln>
            <a:effectLst/>
          </c:spPr>
          <c:invertIfNegative val="0"/>
          <c:cat>
            <c:strRef>
              <c:f>'W5'!$G$70:$H$70</c:f>
            </c:strRef>
          </c:cat>
          <c:val>
            <c:numRef>
              <c:f>'W5'!$G$80:$H$80</c:f>
            </c:numRef>
          </c:val>
          <c:extLst xmlns:c15="http://schemas.microsoft.com/office/drawing/2012/chart">
            <c:ext xmlns:c16="http://schemas.microsoft.com/office/drawing/2014/chart" uri="{C3380CC4-5D6E-409C-BE32-E72D297353CC}">
              <c16:uniqueId val="{00000012-B9B7-4B2B-8B35-40C85DD0D2B6}"/>
            </c:ext>
          </c:extLst>
        </c:ser>
        <c:ser>
          <c:idx val="8"/>
          <c:order val="10"/>
          <c:tx>
            <c:strRef>
              <c:f>'W5'!$D$81</c:f>
              <c:strCache>
                <c:ptCount val="1"/>
                <c:pt idx="0">
                  <c:v>Hóa chất</c:v>
                </c:pt>
              </c:strCache>
              <c:extLst xmlns:c15="http://schemas.microsoft.com/office/drawing/2012/chart"/>
            </c:strRef>
          </c:tx>
          <c:spPr>
            <a:solidFill>
              <a:schemeClr val="accent3">
                <a:lumMod val="60000"/>
              </a:schemeClr>
            </a:solidFill>
            <a:ln>
              <a:noFill/>
            </a:ln>
            <a:effectLst/>
          </c:spPr>
          <c:invertIfNegative val="0"/>
          <c:cat>
            <c:strRef>
              <c:f>'W5'!$G$70:$H$70</c:f>
            </c:strRef>
          </c:cat>
          <c:val>
            <c:numRef>
              <c:f>'W5'!$G$81:$H$81</c:f>
            </c:numRef>
          </c:val>
          <c:extLst xmlns:c15="http://schemas.microsoft.com/office/drawing/2012/chart">
            <c:ext xmlns:c16="http://schemas.microsoft.com/office/drawing/2014/chart" uri="{C3380CC4-5D6E-409C-BE32-E72D297353CC}">
              <c16:uniqueId val="{00000013-B9B7-4B2B-8B35-40C85DD0D2B6}"/>
            </c:ext>
          </c:extLst>
        </c:ser>
        <c:ser>
          <c:idx val="9"/>
          <c:order val="11"/>
          <c:tx>
            <c:strRef>
              <c:f>'W5'!$D$82</c:f>
              <c:strCache>
                <c:ptCount val="1"/>
                <c:pt idx="0">
                  <c:v>Nước</c:v>
                </c:pt>
              </c:strCache>
              <c:extLst xmlns:c15="http://schemas.microsoft.com/office/drawing/2012/chart"/>
            </c:strRef>
          </c:tx>
          <c:spPr>
            <a:solidFill>
              <a:schemeClr val="accent4">
                <a:lumMod val="60000"/>
              </a:schemeClr>
            </a:solidFill>
            <a:ln>
              <a:noFill/>
            </a:ln>
            <a:effectLst/>
          </c:spPr>
          <c:invertIfNegative val="0"/>
          <c:cat>
            <c:strRef>
              <c:f>'W5'!$G$70:$H$70</c:f>
            </c:strRef>
          </c:cat>
          <c:val>
            <c:numRef>
              <c:f>'W5'!$G$82:$H$82</c:f>
            </c:numRef>
          </c:val>
          <c:extLst xmlns:c15="http://schemas.microsoft.com/office/drawing/2012/chart">
            <c:ext xmlns:c16="http://schemas.microsoft.com/office/drawing/2014/chart" uri="{C3380CC4-5D6E-409C-BE32-E72D297353CC}">
              <c16:uniqueId val="{00000014-B9B7-4B2B-8B35-40C85DD0D2B6}"/>
            </c:ext>
          </c:extLst>
        </c:ser>
        <c:ser>
          <c:idx val="10"/>
          <c:order val="12"/>
          <c:tx>
            <c:strRef>
              <c:f>'W5'!$D$83</c:f>
              <c:strCache>
                <c:ptCount val="1"/>
                <c:pt idx="0">
                  <c:v>Giá thành</c:v>
                </c:pt>
              </c:strCache>
              <c:extLst xmlns:c15="http://schemas.microsoft.com/office/drawing/2012/chart"/>
            </c:strRef>
          </c:tx>
          <c:spPr>
            <a:solidFill>
              <a:schemeClr val="accent5">
                <a:lumMod val="60000"/>
              </a:schemeClr>
            </a:solidFill>
            <a:ln>
              <a:noFill/>
            </a:ln>
            <a:effectLst/>
          </c:spPr>
          <c:invertIfNegative val="0"/>
          <c:cat>
            <c:strRef>
              <c:f>'W5'!$G$70:$H$70</c:f>
            </c:strRef>
          </c:cat>
          <c:val>
            <c:numRef>
              <c:f>'W5'!$G$83:$H$83</c:f>
            </c:numRef>
          </c:val>
          <c:extLst xmlns:c15="http://schemas.microsoft.com/office/drawing/2012/chart">
            <c:ext xmlns:c16="http://schemas.microsoft.com/office/drawing/2014/chart" uri="{C3380CC4-5D6E-409C-BE32-E72D297353CC}">
              <c16:uniqueId val="{00000015-B9B7-4B2B-8B35-40C85DD0D2B6}"/>
            </c:ext>
          </c:extLst>
        </c:ser>
        <c:ser>
          <c:idx val="11"/>
          <c:order val="13"/>
          <c:tx>
            <c:strRef>
              <c:f>'W5'!$D$84</c:f>
              <c:strCache>
                <c:ptCount val="1"/>
                <c:pt idx="0">
                  <c:v>Thuế thu nhập</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'W5'!$G$84:$H$84</c:f>
            </c:numRef>
          </c:val>
          <c:extLst>
            <c:ext xmlns:c15="http://schemas.microsoft.com/office/drawing/2012/chart" uri="{02D57815-91ED-43cb-92C2-25804820EDAC}">
              <c15:datalabelsRange>
                <c15:f>'W5'!$H$84</c15:f>
              </c15:datalabelsRange>
            </c:ext>
            <c:ext xmlns:c16="http://schemas.microsoft.com/office/drawing/2014/chart" uri="{C3380CC4-5D6E-409C-BE32-E72D297353CC}">
              <c16:uniqueId val="{00000007-B9B7-4B2B-8B35-40C85DD0D2B6}"/>
            </c:ext>
          </c:extLst>
        </c:ser>
        <c:ser>
          <c:idx val="12"/>
          <c:order val="14"/>
          <c:tx>
            <c:strRef>
              <c:f>'W5'!$D$85</c:f>
              <c:strCache>
                <c:ptCount val="1"/>
                <c:pt idx="0">
                  <c:v>Lợi nhuận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'W5'!$G$85:$H$85</c:f>
            </c:numRef>
          </c:val>
          <c:extLst>
            <c:ext xmlns:c15="http://schemas.microsoft.com/office/drawing/2012/chart" uri="{02D57815-91ED-43cb-92C2-25804820EDAC}">
              <c15:datalabelsRange>
                <c15:f>'W5'!$H$85</c15:f>
              </c15:datalabelsRange>
            </c:ext>
            <c:ext xmlns:c16="http://schemas.microsoft.com/office/drawing/2014/chart" uri="{C3380CC4-5D6E-409C-BE32-E72D297353CC}">
              <c16:uniqueId val="{00000009-B9B7-4B2B-8B35-40C85DD0D2B6}"/>
            </c:ext>
          </c:extLst>
        </c:ser>
        <c:ser>
          <c:idx val="13"/>
          <c:order val="15"/>
          <c:tx>
            <c:strRef>
              <c:f>'W5'!$D$86</c:f>
              <c:strCache>
                <c:ptCount val="1"/>
                <c:pt idx="0">
                  <c:v>Giá bán</c:v>
                </c:pt>
              </c:strCache>
              <c:extLst xmlns:c15="http://schemas.microsoft.com/office/drawing/2012/chart"/>
            </c:strRef>
          </c:tx>
          <c:spPr>
            <a:solidFill>
              <a:schemeClr val="accent2">
                <a:lumMod val="80000"/>
                <a:lumOff val="20000"/>
              </a:schemeClr>
            </a:solidFill>
            <a:ln>
              <a:noFill/>
            </a:ln>
            <a:effectLst/>
          </c:spPr>
          <c:invertIfNegative val="0"/>
          <c:cat>
            <c:strRef>
              <c:f>'W5'!$G$70:$H$70</c:f>
            </c:strRef>
          </c:cat>
          <c:val>
            <c:numRef>
              <c:f>'W5'!$G$86:$H$86</c:f>
            </c:numRef>
          </c:val>
          <c:extLst xmlns:c15="http://schemas.microsoft.com/office/drawing/2012/chart">
            <c:ext xmlns:c16="http://schemas.microsoft.com/office/drawing/2014/chart" uri="{C3380CC4-5D6E-409C-BE32-E72D297353CC}">
              <c16:uniqueId val="{00000016-B9B7-4B2B-8B35-40C85DD0D2B6}"/>
            </c:ext>
          </c:extLst>
        </c:ser>
        <c:ser>
          <c:idx val="16"/>
          <c:order val="16"/>
          <c:tx>
            <c:strRef>
              <c:f>'W5'!$D$87</c:f>
              <c:strCache>
                <c:ptCount val="1"/>
                <c:pt idx="0">
                  <c:v>% Lãi gộp nguyên liệu/Giá bán</c:v>
                </c:pt>
              </c:strCache>
              <c:extLst xmlns:c15="http://schemas.microsoft.com/office/drawing/2012/chart"/>
            </c:strRef>
          </c:tx>
          <c:spPr>
            <a:solidFill>
              <a:schemeClr val="accent5">
                <a:lumMod val="80000"/>
                <a:lumOff val="20000"/>
              </a:schemeClr>
            </a:solidFill>
            <a:ln>
              <a:noFill/>
            </a:ln>
            <a:effectLst/>
          </c:spPr>
          <c:invertIfNegative val="0"/>
          <c:cat>
            <c:strRef>
              <c:f>'W5'!$G$70:$H$70</c:f>
            </c:strRef>
          </c:cat>
          <c:val>
            <c:numRef>
              <c:f>'W5'!$G$87:$H$87</c:f>
            </c:numRef>
          </c:val>
          <c:extLst xmlns:c15="http://schemas.microsoft.com/office/drawing/2012/chart">
            <c:ext xmlns:c16="http://schemas.microsoft.com/office/drawing/2014/chart" uri="{C3380CC4-5D6E-409C-BE32-E72D297353CC}">
              <c16:uniqueId val="{00000017-B9B7-4B2B-8B35-40C85DD0D2B6}"/>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'W5'!$I$49:$J$49</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'W5'!$J$49</c15:f>
              </c15:datalabelsRange>
            </c:ext>
            <c:ext xmlns:c16="http://schemas.microsoft.com/office/drawing/2014/chart" uri="{C3380CC4-5D6E-409C-BE32-E72D297353CC}">
              <c16:uniqueId val="{00000002-B8B5-4059-87B2-2CD93BFF6F19}"/>
            </c:ext>
          </c:extLst>
        </c:ser>
        <c:ser>
          <c:idx val="4"/>
          <c:order val="1"/>
          <c:tx>
            <c:strRef>
              <c:f>'W5'!$D$50</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'W5'!$I$50:$J$50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'W5'!$P$51</c15:f>
              </c15:datalabelsRange>
            </c:ext>
            <c:ext xmlns:c16="http://schemas.microsoft.com/office/drawing/2014/chart" uri="{C3380CC4-5D6E-409C-BE32-E72D297353CC}">
              <c16:uniqueId val="{0000000E-B8B5-4059-87B2-2CD93BFF6F19}"/>
            </c:ext>
          </c:extLst>
        </c:ser>
        <c:ser>
          <c:idx val="3"/>
          <c:order val="2"/>
          <c:tx>
            <c:strRef>
              <c:f>'W5'!$D$51</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'W5'!$I$51:$J$51</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'W5'!$J$51</c15:f>
              </c15:datalabelsRange>
            </c:ext>
            <c:ext xmlns:c16="http://schemas.microsoft.com/office/drawing/2014/chart" uri="{C3380CC4-5D6E-409C-BE32-E72D297353CC}">
              <c16:uniqueId val="{00000004-B8B5-4059-87B2-2CD93BFF6F19}"/>
            </c:ext>
          </c:extLst>
        </c:ser>
        <c:ser>
          <c:idx val="14"/>
          <c:order val="3"/>
          <c:tx>
            <c:strRef>
              <c:f>'W5'!$D$52</c:f>
              <c:strCache>
                <c:ptCount val="1"/>
                <c:pt idx="0">
                  <c:v>Chi phí biến đổi</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'W5'!$I$52:$J$52</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'W5'!$J$52</c15:f>
              </c15:datalabelsRange>
            </c:ext>
            <c:ext xmlns:c16="http://schemas.microsoft.com/office/drawing/2014/chart" uri="{C3380CC4-5D6E-409C-BE32-E72D297353CC}">
              <c16:uniqueId val="{00000006-B8B5-4059-87B2-2CD93BFF6F19}"/>
            </c:ext>
          </c:extLst>
        </c:ser>
        <c:ser>
          <c:idx val="15"/>
          <c:order val="4"/>
          <c:tx>
            <c:strRef>
              <c:f>'W5'!$D$53</c:f>
              <c:strCache>
                <c:ptCount val="1"/>
                <c:pt idx="0">
                  <c:v>Chi phí nhân công</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'W5'!$I$53:$J$53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'W5'!$P$63</c15:f>
              </c15:datalabelsRange>
            </c:ext>
            <c:ext xmlns:c16="http://schemas.microsoft.com/office/drawing/2014/chart" uri="{C3380CC4-5D6E-409C-BE32-E72D297353CC}">
              <c16:uniqueId val="{00000010-B8B5-4059-87B2-2CD93BFF6F19}"/>
            </c:ext>
          </c:extLst>
        </c:ser>
        <c:ser>
          <c:idx val="1"/>
          <c:order val="5"/>
          <c:tx>
            <c:strRef>
              <c:f>'W5'!$D$54</c:f>
              <c:strCache>
                <c:ptCount val="1"/>
                <c:pt idx="0">
                  <c:v>Khấu hao</c:v>
                </c:pt>
              </c:strCache>
              <c:extLst xmlns:c15="http://schemas.microsoft.com/office/drawing/2012/chart"/>
            </c:strRef>
          </c:tx>
          <c:invertIfNegative val="0"/>
          <c:val>
            <c:numRef>
              <c:f>'W5'!$I$54:$J$54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1-B8B5-4059-87B2-2CD93BFF6F19}"/>
            </c:ext>
          </c:extLst>
        </c:ser>
        <c:ser>
          <c:idx val="2"/>
          <c:order val="6"/>
          <c:tx>
            <c:strRef>
              <c:f>'W5'!$D$55</c:f>
              <c:strCache>
                <c:ptCount val="1"/>
                <c:pt idx="0">
                  <c:v>Chi phí quản lý</c:v>
                </c:pt>
              </c:strCache>
              <c:extLst xmlns:c15="http://schemas.microsoft.com/office/drawing/2012/chart"/>
            </c:strRef>
          </c:tx>
          <c:invertIfNegative val="0"/>
          <c:val>
            <c:numRef>
              <c:f>'W5'!$I$55:$J$55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2-B8B5-4059-87B2-2CD93BFF6F19}"/>
            </c:ext>
          </c:extLst>
        </c:ser>
        <c:ser>
          <c:idx val="5"/>
          <c:order val="7"/>
          <c:tx>
            <c:strRef>
              <c:f>'W5'!$D$56</c:f>
              <c:strCache>
                <c:ptCount val="1"/>
                <c:pt idx="0">
                  <c:v>Chi phí gián tiếp</c:v>
                </c:pt>
              </c:strCache>
              <c:extLst xmlns:c15="http://schemas.microsoft.com/office/drawing/2012/chart"/>
            </c:strRef>
          </c:tx>
          <c:invertIfNegative val="0"/>
          <c:val>
            <c:numRef>
              <c:f>'W5'!$I$56:$J$56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3-B8B5-4059-87B2-2CD93BFF6F19}"/>
            </c:ext>
          </c:extLst>
        </c:ser>
        <c:ser>
          <c:idx val="6"/>
          <c:order val="8"/>
          <c:tx>
            <c:strRef>
              <c:f>'W5'!$D$57</c:f>
              <c:strCache>
                <c:ptCount val="1"/>
                <c:pt idx="0">
                  <c:v>Điện</c:v>
                </c:pt>
              </c:strCache>
              <c:extLst xmlns:c15="http://schemas.microsoft.com/office/drawing/2012/chart"/>
            </c:strRef>
          </c:tx>
          <c:invertIfNegative val="0"/>
          <c:val>
            <c:numRef>
              <c:f>'W5'!$I$57:$J$57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4-B8B5-4059-87B2-2CD93BFF6F19}"/>
            </c:ext>
          </c:extLst>
        </c:ser>
        <c:ser>
          <c:idx val="7"/>
          <c:order val="9"/>
          <c:tx>
            <c:strRef>
              <c:f>'W5'!$D$58</c:f>
              <c:strCache>
                <c:ptCount val="1"/>
                <c:pt idx="0">
                  <c:v>Đóng gói</c:v>
                </c:pt>
              </c:strCache>
              <c:extLst xmlns:c15="http://schemas.microsoft.com/office/drawing/2012/chart"/>
            </c:strRef>
          </c:tx>
          <c:invertIfNegative val="0"/>
          <c:val>
            <c:numRef>
              <c:f>'W5'!$I$58:$J$58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5-B8B5-4059-87B2-2CD93BFF6F19}"/>
            </c:ext>
          </c:extLst>
        </c:ser>
        <c:ser>
          <c:idx val="8"/>
          <c:order val="10"/>
          <c:tx>
            <c:strRef>
              <c:f>'W5'!$D$59</c:f>
              <c:strCache>
                <c:ptCount val="1"/>
                <c:pt idx="0">
                  <c:v>Hóa chất</c:v>
                </c:pt>
              </c:strCache>
              <c:extLst xmlns:c15="http://schemas.microsoft.com/office/drawing/2012/chart"/>
            </c:strRef>
          </c:tx>
          <c:invertIfNegative val="0"/>
          <c:val>
            <c:numRef>
              <c:f>'W5'!$I$59:$J$59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6-B8B5-4059-87B2-2CD93BFF6F19}"/>
            </c:ext>
          </c:extLst>
        </c:ser>
        <c:ser>
          <c:idx val="9"/>
          <c:order val="11"/>
          <c:tx>
            <c:strRef>
              <c:f>'W5'!$D$60</c:f>
              <c:strCache>
                <c:ptCount val="1"/>
                <c:pt idx="0">
                  <c:v>Nước</c:v>
                </c:pt>
              </c:strCache>
              <c:extLst xmlns:c15="http://schemas.microsoft.com/office/drawing/2012/chart"/>
            </c:strRef>
          </c:tx>
          <c:invertIfNegative val="0"/>
          <c:val>
            <c:numRef>
              <c:f>'W5'!$I$60:$J$60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7-B8B5-4059-87B2-2CD93BFF6F19}"/>
            </c:ext>
          </c:extLst>
        </c:ser>
        <c:ser>
          <c:idx val="10"/>
          <c:order val="12"/>
          <c:tx>
            <c:strRef>
              <c:f>'W5'!$D$61</c:f>
              <c:strCache>
                <c:ptCount val="1"/>
                <c:pt idx="0">
                  <c:v>Giá thành</c:v>
                </c:pt>
              </c:strCache>
              <c:extLst xmlns:c15="http://schemas.microsoft.com/office/drawing/2012/chart"/>
            </c:strRef>
          </c:tx>
          <c:invertIfNegative val="0"/>
          <c:val>
            <c:numRef>
              <c:f>'W5'!$I$61:$J$61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8-B8B5-4059-87B2-2CD93BFF6F19}"/>
            </c:ext>
          </c:extLst>
        </c:ser>
        <c:ser>
          <c:idx val="11"/>
          <c:order val="13"/>
          <c:tx>
            <c:strRef>
              <c:f>'W5'!$D$62</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val>
            <c:numRef>
              <c:f>'W5'!$I$62:$J$62</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'W5'!$J$62</c15:f>
              </c15:datalabelsRange>
            </c:ext>
            <c:ext xmlns:c16="http://schemas.microsoft.com/office/drawing/2014/chart" uri="{C3380CC4-5D6E-409C-BE32-E72D297353CC}">
              <c16:uniqueId val="{00000008-B8B5-4059-87B2-2CD93BFF6F19}"/>
            </c:ext>
          </c:extLst>
        </c:ser>
        <c:ser>
          <c:idx val="12"/>
          <c:order val="14"/>
          <c:tx>
            <c:strRef>
              <c:f>'W5'!$D$63</c:f>
              <c:strCache>
                <c:ptCount val="1"/>
                <c:pt idx="0">
                  <c:v>Lợi nhuận</c:v>
                </c:pt>
              </c:strCache>
            </c:strRef>
          </c:tx>
          <c:invertIfNegative val="0"/>
          <c:dLbls>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c:ext xmlns:c15="http://schemas.microsoft.com/office/drawing/2012/chart" uri="{CE6537A1-D6FC-4f65-9D91-7224C49458BB}">
                <c15:showDataLabelsRange val="1"/>
                <c15:showLeaderLines val="0"/>
              </c:ext>
            </c:extLst>
          </c:dLbls>
          <c:val>
            <c:numRef>
              <c:f>'W5'!$I$63:$J$63</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'W5'!$J$63</c15:f>
              </c15:datalabelsRange>
            </c:ext>
            <c:ext xmlns:c16="http://schemas.microsoft.com/office/drawing/2014/chart" uri="{C3380CC4-5D6E-409C-BE32-E72D297353CC}">
              <c16:uniqueId val="{0000000B-B8B5-4059-87B2-2CD93BFF6F19}"/>
            </c:ext>
          </c:extLst>
        </c:ser>
        <c:ser>
          <c:idx val="13"/>
          <c:order val="15"/>
          <c:tx>
            <c:strRef>
              <c:f>'W5'!$D$64</c:f>
              <c:strCache>
                <c:ptCount val="1"/>
                <c:pt idx="0">
                  <c:v>Giá bán</c:v>
                </c:pt>
              </c:strCache>
              <c:extLst xmlns:c15="http://schemas.microsoft.com/office/drawing/2012/chart"/>
            </c:strRef>
          </c:tx>
          <c:invertIfNegative val="0"/>
          <c:val>
            <c:numRef>
              <c:f>'W5'!$I$64:$J$64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9-B8B5-4059-87B2-2CD93BFF6F19}"/>
            </c:ext>
          </c:extLst>
        </c:ser>
        <c:ser>
          <c:idx val="16"/>
          <c:order val="16"/>
          <c:tx>
            <c:strRef>
              <c:f>'W5'!$D$65</c:f>
              <c:strCache>
                <c:ptCount val="1"/>
                <c:pt idx="0">
                  <c:v>% Lãi gộp nguyên liệu/Giá bán</c:v>
                </c:pt>
              </c:strCache>
              <c:extLst xmlns:c15="http://schemas.microsoft.com/office/drawing/2012/chart"/>
            </c:strRef>
          </c:tx>
          <c:invertIfNegative val="0"/>
          <c:val>
            <c:numRef>
              <c:f>'W5'!$I$65:$J$65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A-B8B5-4059-87B2-2CD93BFF6F19}"/>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'W5'!$I$71:$J$71</c:f>
            </c:numRef>
          </c:val>
          <c:extLst>
            <c:ext xmlns:c15="http://schemas.microsoft.com/office/drawing/2012/chart" uri="{02D57815-91ED-43cb-92C2-25804820EDAC}">
              <c15:datalabelsRange>
                <c15:f>'W5'!$J$71</c15:f>
              </c15:datalabelsRange>
            </c:ext>
            <c:ext xmlns:c16="http://schemas.microsoft.com/office/drawing/2014/chart" uri="{C3380CC4-5D6E-409C-BE32-E72D297353CC}">
              <c16:uniqueId val="{00000001-CDBB-4257-940A-68043CBAC455}"/>
            </c:ext>
          </c:extLst>
        </c:ser>
        <c:ser>
          <c:idx val="14"/>
          <c:order val="1"/>
          <c:tx>
            <c:strRef>
              <c:f>'W5'!$D$72</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'W5'!$I$72:$J$72</c:f>
            </c:numRef>
          </c:val>
          <c:extLst xmlns:c15="http://schemas.microsoft.com/office/drawing/2012/chart">
            <c:ext xmlns:c15="http://schemas.microsoft.com/office/drawing/2012/chart" uri="{02D57815-91ED-43cb-92C2-25804820EDAC}">
              <c15:datalabelsRange>
                <c15:f>'W5'!$N$73</c15:f>
              </c15:datalabelsRange>
            </c:ext>
            <c:ext xmlns:c16="http://schemas.microsoft.com/office/drawing/2014/chart" uri="{C3380CC4-5D6E-409C-BE32-E72D297353CC}">
              <c16:uniqueId val="{0000000B-CDBB-4257-940A-68043CBAC455}"/>
            </c:ext>
          </c:extLst>
        </c:ser>
        <c:ser>
          <c:idx val="11"/>
          <c:order val="2"/>
          <c:tx>
            <c:strRef>
              <c:f>'W5'!$D$73</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'W5'!$I$73:$J$73</c:f>
            </c:numRef>
          </c:val>
          <c:extLst>
            <c:ext xmlns:c15="http://schemas.microsoft.com/office/drawing/2012/chart" uri="{02D57815-91ED-43cb-92C2-25804820EDAC}">
              <c15:datalabelsRange>
                <c15:f>'W5'!$J$73</c15:f>
              </c15:datalabelsRange>
            </c:ext>
            <c:ext xmlns:c16="http://schemas.microsoft.com/office/drawing/2014/chart" uri="{C3380CC4-5D6E-409C-BE32-E72D297353CC}">
              <c16:uniqueId val="{00000003-CDBB-4257-940A-68043CBAC455}"/>
            </c:ext>
          </c:extLst>
        </c:ser>
        <c:ser>
          <c:idx val="10"/>
          <c:order val="3"/>
          <c:tx>
            <c:strRef>
              <c:f>'W5'!$D$74</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'W5'!$I$70:$J$70</c:f>
            </c:strRef>
          </c:cat>
          <c:val>
            <c:numRef>
              <c:f>'W5'!$I$74:$J$74</c:f>
            </c:numRef>
          </c:val>
          <c:extLst>
            <c:ext xmlns:c15="http://schemas.microsoft.com/office/drawing/2012/chart" uri="{02D57815-91ED-43cb-92C2-25804820EDAC}">
              <c15:datalabelsRange>
                <c15:f>'W5'!$J$74</c15:f>
              </c15:datalabelsRange>
            </c:ext>
            <c:ext xmlns:c16="http://schemas.microsoft.com/office/drawing/2014/chart" uri="{C3380CC4-5D6E-409C-BE32-E72D297353CC}">
              <c16:uniqueId val="{00000005-CDBB-4257-940A-68043CBAC455}"/>
            </c:ext>
          </c:extLst>
        </c:ser>
        <c:ser>
          <c:idx val="13"/>
          <c:order val="4"/>
          <c:tx>
            <c:strRef>
              <c:f>'W5'!$D$75</c:f>
              <c:strCache>
                <c:ptCount val="1"/>
                <c:pt idx="0">
                  <c:v>Chi phí nhân công</c:v>
                </c:pt>
              </c:strCache>
              <c:extLst xmlns:c15="http://schemas.microsoft.com/office/drawing/2012/chart"/>
            </c:strRef>
          </c:tx>
          <c:invertIfNegative val="0"/>
          <c:dLbls>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f>'W5'!$I$70:$J$70</c:f>
            </c:strRef>
          </c:cat>
          <c:val>
            <c:numRef>
              <c:f>'W5'!$I$75:$J$75</c:f>
            </c:numRef>
          </c:val>
          <c:extLst xmlns:c15="http://schemas.microsoft.com/office/drawing/2012/chart">
            <c:ext xmlns:c15="http://schemas.microsoft.com/office/drawing/2012/chart" uri="{02D57815-91ED-43cb-92C2-25804820EDAC}">
              <c15:datalabelsRange>
                <c15:f>'W5'!$N$85</c15:f>
              </c15:datalabelsRange>
            </c:ext>
            <c:ext xmlns:c16="http://schemas.microsoft.com/office/drawing/2014/chart" uri="{C3380CC4-5D6E-409C-BE32-E72D297353CC}">
              <c16:uniqueId val="{0000000D-CDBB-4257-940A-68043CBAC455}"/>
            </c:ext>
          </c:extLst>
        </c:ser>
        <c:ser>
          <c:idx val="1"/>
          <c:order val="5"/>
          <c:tx>
            <c:strRef>
              <c:f>'W5'!$D$76</c:f>
              <c:strCache>
                <c:ptCount val="1"/>
                <c:pt idx="0">
                  <c:v>Khấu hao</c:v>
                </c:pt>
              </c:strCache>
              <c:extLst xmlns:c15="http://schemas.microsoft.com/office/drawing/2012/chart"/>
            </c:strRef>
          </c:tx>
          <c:invertIfNegative val="0"/>
          <c:cat>
            <c:strRef>
              <c:f>'W5'!$I$70:$J$70</c:f>
            </c:strRef>
          </c:cat>
          <c:val>
            <c:numRef>
              <c:f>'W5'!$I$76:$J$76</c:f>
            </c:numRef>
          </c:val>
          <c:extLst xmlns:c15="http://schemas.microsoft.com/office/drawing/2012/chart">
            <c:ext xmlns:c16="http://schemas.microsoft.com/office/drawing/2014/chart" uri="{C3380CC4-5D6E-409C-BE32-E72D297353CC}">
              <c16:uniqueId val="{0000000E-CDBB-4257-940A-68043CBAC455}"/>
            </c:ext>
          </c:extLst>
        </c:ser>
        <c:ser>
          <c:idx val="2"/>
          <c:order val="6"/>
          <c:tx>
            <c:strRef>
              <c:f>'W5'!$D$77</c:f>
              <c:strCache>
                <c:ptCount val="1"/>
                <c:pt idx="0">
                  <c:v>Chi phí gián tiếp</c:v>
                </c:pt>
              </c:strCache>
              <c:extLst xmlns:c15="http://schemas.microsoft.com/office/drawing/2012/chart"/>
            </c:strRef>
          </c:tx>
          <c:invertIfNegative val="0"/>
          <c:cat>
            <c:strRef>
              <c:f>'W5'!$I$70:$J$70</c:f>
            </c:strRef>
          </c:cat>
          <c:val>
            <c:numRef>
              <c:f>'W5'!$I$77:$J$77</c:f>
            </c:numRef>
          </c:val>
          <c:extLst xmlns:c15="http://schemas.microsoft.com/office/drawing/2012/chart">
            <c:ext xmlns:c16="http://schemas.microsoft.com/office/drawing/2014/chart" uri="{C3380CC4-5D6E-409C-BE32-E72D297353CC}">
              <c16:uniqueId val="{0000000F-CDBB-4257-940A-68043CBAC455}"/>
            </c:ext>
          </c:extLst>
        </c:ser>
        <c:ser>
          <c:idx val="3"/>
          <c:order val="7"/>
          <c:tx>
            <c:strRef>
              <c:f>'W5'!$D$78</c:f>
              <c:strCache>
                <c:ptCount val="1"/>
                <c:pt idx="0">
                  <c:v>Điện</c:v>
                </c:pt>
              </c:strCache>
              <c:extLst xmlns:c15="http://schemas.microsoft.com/office/drawing/2012/chart"/>
            </c:strRef>
          </c:tx>
          <c:invertIfNegative val="0"/>
          <c:cat>
            <c:strRef>
              <c:f>'W5'!$I$70:$J$70</c:f>
            </c:strRef>
          </c:cat>
          <c:val>
            <c:numRef>
              <c:f>'W5'!$I$78:$J$78</c:f>
            </c:numRef>
          </c:val>
          <c:extLst xmlns:c15="http://schemas.microsoft.com/office/drawing/2012/chart">
            <c:ext xmlns:c16="http://schemas.microsoft.com/office/drawing/2014/chart" uri="{C3380CC4-5D6E-409C-BE32-E72D297353CC}">
              <c16:uniqueId val="{00000010-CDBB-4257-940A-68043CBAC455}"/>
            </c:ext>
          </c:extLst>
        </c:ser>
        <c:ser>
          <c:idx val="4"/>
          <c:order val="8"/>
          <c:tx>
            <c:strRef>
              <c:f>'W5'!$D$79</c:f>
              <c:strCache>
                <c:ptCount val="1"/>
                <c:pt idx="0">
                  <c:v>Chi phí quản lý</c:v>
                </c:pt>
              </c:strCache>
              <c:extLst xmlns:c15="http://schemas.microsoft.com/office/drawing/2012/chart"/>
            </c:strRef>
          </c:tx>
          <c:invertIfNegative val="0"/>
          <c:cat>
            <c:strRef>
              <c:f>'W5'!$I$70:$J$70</c:f>
            </c:strRef>
          </c:cat>
          <c:val>
            <c:numRef>
              <c:f>'W5'!$I$79:$J$79</c:f>
            </c:numRef>
          </c:val>
          <c:extLst xmlns:c15="http://schemas.microsoft.com/office/drawing/2012/chart">
            <c:ext xmlns:c16="http://schemas.microsoft.com/office/drawing/2014/chart" uri="{C3380CC4-5D6E-409C-BE32-E72D297353CC}">
              <c16:uniqueId val="{00000011-CDBB-4257-940A-68043CBAC455}"/>
            </c:ext>
          </c:extLst>
        </c:ser>
        <c:ser>
          <c:idx val="5"/>
          <c:order val="9"/>
          <c:tx>
            <c:strRef>
              <c:f>'W5'!$D$80</c:f>
              <c:strCache>
                <c:ptCount val="1"/>
                <c:pt idx="0">
                  <c:v>Đóng gói</c:v>
                </c:pt>
              </c:strCache>
              <c:extLst xmlns:c15="http://schemas.microsoft.com/office/drawing/2012/chart"/>
            </c:strRef>
          </c:tx>
          <c:invertIfNegative val="0"/>
          <c:cat>
            <c:strRef>
              <c:f>'W5'!$I$70:$J$70</c:f>
            </c:strRef>
          </c:cat>
          <c:val>
            <c:numRef>
              <c:f>'W5'!$I$80:$J$80</c:f>
            </c:numRef>
          </c:val>
          <c:extLst xmlns:c15="http://schemas.microsoft.com/office/drawing/2012/chart">
            <c:ext xmlns:c16="http://schemas.microsoft.com/office/drawing/2014/chart" uri="{C3380CC4-5D6E-409C-BE32-E72D297353CC}">
              <c16:uniqueId val="{00000012-CDBB-4257-940A-68043CBAC455}"/>
            </c:ext>
          </c:extLst>
        </c:ser>
        <c:ser>
          <c:idx val="6"/>
          <c:order val="10"/>
          <c:tx>
            <c:strRef>
              <c:f>'W5'!$D$81</c:f>
              <c:strCache>
                <c:ptCount val="1"/>
                <c:pt idx="0">
                  <c:v>Hóa chất</c:v>
                </c:pt>
              </c:strCache>
              <c:extLst xmlns:c15="http://schemas.microsoft.com/office/drawing/2012/chart"/>
            </c:strRef>
          </c:tx>
          <c:invertIfNegative val="0"/>
          <c:cat>
            <c:strRef>
              <c:f>'W5'!$I$70:$J$70</c:f>
            </c:strRef>
          </c:cat>
          <c:val>
            <c:numRef>
              <c:f>'W5'!$I$81:$J$81</c:f>
            </c:numRef>
          </c:val>
          <c:extLst xmlns:c15="http://schemas.microsoft.com/office/drawing/2012/chart">
            <c:ext xmlns:c16="http://schemas.microsoft.com/office/drawing/2014/chart" uri="{C3380CC4-5D6E-409C-BE32-E72D297353CC}">
              <c16:uniqueId val="{00000013-CDBB-4257-940A-68043CBAC455}"/>
            </c:ext>
          </c:extLst>
        </c:ser>
        <c:ser>
          <c:idx val="7"/>
          <c:order val="11"/>
          <c:tx>
            <c:strRef>
              <c:f>'W5'!$D$82</c:f>
              <c:strCache>
                <c:ptCount val="1"/>
                <c:pt idx="0">
                  <c:v>Nước</c:v>
                </c:pt>
              </c:strCache>
              <c:extLst xmlns:c15="http://schemas.microsoft.com/office/drawing/2012/chart"/>
            </c:strRef>
          </c:tx>
          <c:invertIfNegative val="0"/>
          <c:cat>
            <c:strRef>
              <c:f>'W5'!$I$70:$J$70</c:f>
            </c:strRef>
          </c:cat>
          <c:val>
            <c:numRef>
              <c:f>'W5'!$I$82:$J$82</c:f>
            </c:numRef>
          </c:val>
          <c:extLst xmlns:c15="http://schemas.microsoft.com/office/drawing/2012/chart">
            <c:ext xmlns:c16="http://schemas.microsoft.com/office/drawing/2014/chart" uri="{C3380CC4-5D6E-409C-BE32-E72D297353CC}">
              <c16:uniqueId val="{00000014-CDBB-4257-940A-68043CBAC455}"/>
            </c:ext>
          </c:extLst>
        </c:ser>
        <c:ser>
          <c:idx val="8"/>
          <c:order val="12"/>
          <c:tx>
            <c:strRef>
              <c:f>'W5'!$D$83</c:f>
              <c:strCache>
                <c:ptCount val="1"/>
                <c:pt idx="0">
                  <c:v>Giá thành</c:v>
                </c:pt>
              </c:strCache>
              <c:extLst xmlns:c15="http://schemas.microsoft.com/office/drawing/2012/chart"/>
            </c:strRef>
          </c:tx>
          <c:invertIfNegative val="0"/>
          <c:cat>
            <c:strRef>
              <c:f>'W5'!$I$70:$J$70</c:f>
            </c:strRef>
          </c:cat>
          <c:val>
            <c:numRef>
              <c:f>'W5'!$I$83:$J$83</c:f>
            </c:numRef>
          </c:val>
          <c:extLst xmlns:c15="http://schemas.microsoft.com/office/drawing/2012/chart">
            <c:ext xmlns:c16="http://schemas.microsoft.com/office/drawing/2014/chart" uri="{C3380CC4-5D6E-409C-BE32-E72D297353CC}">
              <c16:uniqueId val="{00000015-CDBB-4257-940A-68043CBAC455}"/>
            </c:ext>
          </c:extLst>
        </c:ser>
        <c:ser>
          <c:idx val="9"/>
          <c:order val="13"/>
          <c:tx>
            <c:strRef>
              <c:f>'W5'!$D$84</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f>'W5'!$I$70:$J$70</c:f>
            </c:strRef>
          </c:cat>
          <c:val>
            <c:numRef>
              <c:f>'W5'!$I$84:$J$84</c:f>
            </c:numRef>
          </c:val>
          <c:extLst>
            <c:ext xmlns:c15="http://schemas.microsoft.com/office/drawing/2012/chart" uri="{02D57815-91ED-43cb-92C2-25804820EDAC}">
              <c15:datalabelsRange>
                <c15:f>'W5'!$J$84</c15:f>
              </c15:datalabelsRange>
            </c:ext>
            <c:ext xmlns:c16="http://schemas.microsoft.com/office/drawing/2014/chart" uri="{C3380CC4-5D6E-409C-BE32-E72D297353CC}">
              <c16:uniqueId val="{00000007-CDBB-4257-940A-68043CBAC455}"/>
            </c:ext>
          </c:extLst>
        </c:ser>
        <c:ser>
          <c:idx val="12"/>
          <c:order val="14"/>
          <c:tx>
            <c:strRef>
              <c:f>'W5'!$D$85</c:f>
              <c:strCache>
                <c:ptCount val="1"/>
                <c:pt idx="0">
                  <c:v>Lợi nhuận</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'W5'!$I$70:$J$70</c:f>
            </c:strRef>
          </c:cat>
          <c:val>
            <c:numRef>
              <c:f>'W5'!$I$85:$J$85</c:f>
            </c:numRef>
          </c:val>
          <c:extLst>
            <c:ext xmlns:c15="http://schemas.microsoft.com/office/drawing/2012/chart" uri="{02D57815-91ED-43cb-92C2-25804820EDAC}">
              <c15:datalabelsRange>
                <c15:f>'W5'!$J$85</c15:f>
              </c15:datalabelsRange>
            </c:ext>
            <c:ext xmlns:c16="http://schemas.microsoft.com/office/drawing/2014/chart" uri="{C3380CC4-5D6E-409C-BE32-E72D297353CC}">
              <c16:uniqueId val="{00000009-CDBB-4257-940A-68043CBAC455}"/>
            </c:ext>
          </c:extLst>
        </c:ser>
        <c:ser>
          <c:idx val="15"/>
          <c:order val="15"/>
          <c:tx>
            <c:strRef>
              <c:f>'W5'!$D$86</c:f>
              <c:strCache>
                <c:ptCount val="1"/>
                <c:pt idx="0">
                  <c:v>Giá bán</c:v>
                </c:pt>
              </c:strCache>
              <c:extLst xmlns:c15="http://schemas.microsoft.com/office/drawing/2012/chart"/>
            </c:strRef>
          </c:tx>
          <c:invertIfNegative val="0"/>
          <c:cat>
            <c:strRef>
              <c:f>'W5'!$I$70:$J$70</c:f>
            </c:strRef>
          </c:cat>
          <c:val>
            <c:numRef>
              <c:f>'W5'!$I$86:$J$86</c:f>
            </c:numRef>
          </c:val>
          <c:extLst xmlns:c15="http://schemas.microsoft.com/office/drawing/2012/chart">
            <c:ext xmlns:c16="http://schemas.microsoft.com/office/drawing/2014/chart" uri="{C3380CC4-5D6E-409C-BE32-E72D297353CC}">
              <c16:uniqueId val="{00000016-CDBB-4257-940A-68043CBAC455}"/>
            </c:ext>
          </c:extLst>
        </c:ser>
        <c:ser>
          <c:idx val="16"/>
          <c:order val="16"/>
          <c:tx>
            <c:strRef>
              <c:f>'W5'!$D$87</c:f>
              <c:strCache>
                <c:ptCount val="1"/>
                <c:pt idx="0">
                  <c:v>% Lãi gộp nguyên liệu/Giá bán</c:v>
                </c:pt>
              </c:strCache>
              <c:extLst xmlns:c15="http://schemas.microsoft.com/office/drawing/2012/chart"/>
            </c:strRef>
          </c:tx>
          <c:invertIfNegative val="0"/>
          <c:cat>
            <c:strRef>
              <c:f>'W5'!$I$70:$J$70</c:f>
            </c:strRef>
          </c:cat>
          <c:val>
            <c:numRef>
              <c:f>'W5'!$I$87:$J$87</c:f>
            </c:numRef>
          </c:val>
          <c:extLst xmlns:c15="http://schemas.microsoft.com/office/drawing/2012/chart">
            <c:ext xmlns:c16="http://schemas.microsoft.com/office/drawing/2014/chart" uri="{C3380CC4-5D6E-409C-BE32-E72D297353CC}">
              <c16:uniqueId val="{00000017-CDBB-4257-940A-68043CBAC455}"/>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'W5'!$M$49:$N$49</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'W5'!$N$49</c15:f>
              </c15:datalabelsRange>
            </c:ext>
            <c:ext xmlns:c16="http://schemas.microsoft.com/office/drawing/2014/chart" uri="{C3380CC4-5D6E-409C-BE32-E72D297353CC}">
              <c16:uniqueId val="{00000002-A0AC-439F-9D83-D80DDA7FDAE2}"/>
            </c:ext>
          </c:extLst>
        </c:ser>
        <c:ser>
          <c:idx val="3"/>
          <c:order val="1"/>
          <c:tx>
            <c:strRef>
              <c:f>'W5'!$D$50</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'W5'!$M$50:$N$50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'W5'!$J$51</c15:f>
              </c15:datalabelsRange>
            </c:ext>
            <c:ext xmlns:c16="http://schemas.microsoft.com/office/drawing/2014/chart" uri="{C3380CC4-5D6E-409C-BE32-E72D297353CC}">
              <c16:uniqueId val="{0000000D-A0AC-439F-9D83-D80DDA7FDAE2}"/>
            </c:ext>
          </c:extLst>
        </c:ser>
        <c:ser>
          <c:idx val="14"/>
          <c:order val="2"/>
          <c:tx>
            <c:strRef>
              <c:f>'W5'!$D$51</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'W5'!$M$51:$N$51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'W5'!$N$51</c15:f>
              </c15:datalabelsRange>
            </c:ext>
            <c:ext xmlns:c16="http://schemas.microsoft.com/office/drawing/2014/chart" uri="{C3380CC4-5D6E-409C-BE32-E72D297353CC}">
              <c16:uniqueId val="{00000004-A0AC-439F-9D83-D80DDA7FDAE2}"/>
            </c:ext>
          </c:extLst>
        </c:ser>
        <c:ser>
          <c:idx val="11"/>
          <c:order val="3"/>
          <c:tx>
            <c:strRef>
              <c:f>'W5'!$D$52</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val>
            <c:numRef>
              <c:f>'W5'!$M$52:$N$52</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'W5'!$N$52</c15:f>
              </c15:datalabelsRange>
            </c:ext>
            <c:ext xmlns:c16="http://schemas.microsoft.com/office/drawing/2014/chart" uri="{C3380CC4-5D6E-409C-BE32-E72D297353CC}">
              <c16:uniqueId val="{00000007-A0AC-439F-9D83-D80DDA7FDAE2}"/>
            </c:ext>
          </c:extLst>
        </c:ser>
        <c:ser>
          <c:idx val="12"/>
          <c:order val="4"/>
          <c:tx>
            <c:strRef>
              <c:f>'W5'!$D$53</c:f>
              <c:strCache>
                <c:ptCount val="1"/>
                <c:pt idx="0">
                  <c:v>Chi phí nhân công</c:v>
                </c:pt>
              </c:strCache>
              <c:extLst xmlns:c15="http://schemas.microsoft.com/office/drawing/2012/chart"/>
            </c:strRef>
          </c:tx>
          <c:invertIfNegative val="0"/>
          <c:dLbls>
            <c:spPr>
              <a:noFill/>
              <a:ln>
                <a:noFill/>
              </a:ln>
              <a:effectLst/>
            </c:spPr>
            <c:txPr>
              <a:bodyPr wrap="square" lIns="38100" tIns="19050" rIns="38100" bIns="19050" anchor="ctr">
                <a:spAutoFit/>
              </a:bodyPr>
              <a:lstStyle/>
              <a:p>
                <a:pPr>
                  <a:defRPr sz="1300" b="1"/>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f>'W5'!$M$53:$N$53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'W5'!$J$63</c15:f>
              </c15:datalabelsRange>
            </c:ext>
            <c:ext xmlns:c16="http://schemas.microsoft.com/office/drawing/2014/chart" uri="{C3380CC4-5D6E-409C-BE32-E72D297353CC}">
              <c16:uniqueId val="{00000010-A0AC-439F-9D83-D80DDA7FDAE2}"/>
            </c:ext>
          </c:extLst>
        </c:ser>
        <c:ser>
          <c:idx val="1"/>
          <c:order val="5"/>
          <c:tx>
            <c:strRef>
              <c:f>'W5'!$D$54</c:f>
              <c:strCache>
                <c:ptCount val="1"/>
                <c:pt idx="0">
                  <c:v>Khấu hao</c:v>
                </c:pt>
              </c:strCache>
              <c:extLst xmlns:c15="http://schemas.microsoft.com/office/drawing/2012/chart"/>
            </c:strRef>
          </c:tx>
          <c:invertIfNegative val="0"/>
          <c:val>
            <c:numRef>
              <c:f>'W5'!$M$54:$N$54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1-A0AC-439F-9D83-D80DDA7FDAE2}"/>
            </c:ext>
          </c:extLst>
        </c:ser>
        <c:ser>
          <c:idx val="2"/>
          <c:order val="6"/>
          <c:tx>
            <c:strRef>
              <c:f>'W5'!$D$55</c:f>
              <c:strCache>
                <c:ptCount val="1"/>
                <c:pt idx="0">
                  <c:v>Chi phí quản lý</c:v>
                </c:pt>
              </c:strCache>
              <c:extLst xmlns:c15="http://schemas.microsoft.com/office/drawing/2012/chart"/>
            </c:strRef>
          </c:tx>
          <c:invertIfNegative val="0"/>
          <c:val>
            <c:numRef>
              <c:f>'W5'!$M$55:$N$55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4-A0AC-439F-9D83-D80DDA7FDAE2}"/>
            </c:ext>
          </c:extLst>
        </c:ser>
        <c:ser>
          <c:idx val="4"/>
          <c:order val="7"/>
          <c:tx>
            <c:strRef>
              <c:f>'W5'!$D$56</c:f>
              <c:strCache>
                <c:ptCount val="1"/>
                <c:pt idx="0">
                  <c:v>Chi phí gián tiếp</c:v>
                </c:pt>
              </c:strCache>
              <c:extLst xmlns:c15="http://schemas.microsoft.com/office/drawing/2012/chart"/>
            </c:strRef>
          </c:tx>
          <c:invertIfNegative val="0"/>
          <c:val>
            <c:numRef>
              <c:f>'W5'!$M$56:$N$56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5-A0AC-439F-9D83-D80DDA7FDAE2}"/>
            </c:ext>
          </c:extLst>
        </c:ser>
        <c:ser>
          <c:idx val="5"/>
          <c:order val="8"/>
          <c:tx>
            <c:strRef>
              <c:f>'W5'!$D$57</c:f>
              <c:strCache>
                <c:ptCount val="1"/>
                <c:pt idx="0">
                  <c:v>Điện</c:v>
                </c:pt>
              </c:strCache>
              <c:extLst xmlns:c15="http://schemas.microsoft.com/office/drawing/2012/chart"/>
            </c:strRef>
          </c:tx>
          <c:invertIfNegative val="0"/>
          <c:val>
            <c:numRef>
              <c:f>'W5'!$M$57:$N$57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6-A0AC-439F-9D83-D80DDA7FDAE2}"/>
            </c:ext>
          </c:extLst>
        </c:ser>
        <c:ser>
          <c:idx val="6"/>
          <c:order val="9"/>
          <c:tx>
            <c:strRef>
              <c:f>'W5'!$D$58</c:f>
              <c:strCache>
                <c:ptCount val="1"/>
                <c:pt idx="0">
                  <c:v>Đóng gói</c:v>
                </c:pt>
              </c:strCache>
              <c:extLst xmlns:c15="http://schemas.microsoft.com/office/drawing/2012/chart"/>
            </c:strRef>
          </c:tx>
          <c:invertIfNegative val="0"/>
          <c:val>
            <c:numRef>
              <c:f>'W5'!$M$58:$N$58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7-A0AC-439F-9D83-D80DDA7FDAE2}"/>
            </c:ext>
          </c:extLst>
        </c:ser>
        <c:ser>
          <c:idx val="7"/>
          <c:order val="10"/>
          <c:tx>
            <c:strRef>
              <c:f>'W5'!$D$59</c:f>
              <c:strCache>
                <c:ptCount val="1"/>
                <c:pt idx="0">
                  <c:v>Hóa chất</c:v>
                </c:pt>
              </c:strCache>
              <c:extLst xmlns:c15="http://schemas.microsoft.com/office/drawing/2012/chart"/>
            </c:strRef>
          </c:tx>
          <c:invertIfNegative val="0"/>
          <c:val>
            <c:numRef>
              <c:f>'W5'!$M$59:$N$59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8-A0AC-439F-9D83-D80DDA7FDAE2}"/>
            </c:ext>
          </c:extLst>
        </c:ser>
        <c:ser>
          <c:idx val="8"/>
          <c:order val="11"/>
          <c:tx>
            <c:strRef>
              <c:f>'W5'!$D$60</c:f>
              <c:strCache>
                <c:ptCount val="1"/>
                <c:pt idx="0">
                  <c:v>Nước</c:v>
                </c:pt>
              </c:strCache>
              <c:extLst xmlns:c15="http://schemas.microsoft.com/office/drawing/2012/chart"/>
            </c:strRef>
          </c:tx>
          <c:invertIfNegative val="0"/>
          <c:val>
            <c:numRef>
              <c:f>'W5'!$M$60:$N$60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9-A0AC-439F-9D83-D80DDA7FDAE2}"/>
            </c:ext>
          </c:extLst>
        </c:ser>
        <c:ser>
          <c:idx val="9"/>
          <c:order val="12"/>
          <c:tx>
            <c:strRef>
              <c:f>'W5'!$D$61</c:f>
              <c:strCache>
                <c:ptCount val="1"/>
                <c:pt idx="0">
                  <c:v>Giá thành</c:v>
                </c:pt>
              </c:strCache>
              <c:extLst xmlns:c15="http://schemas.microsoft.com/office/drawing/2012/chart"/>
            </c:strRef>
          </c:tx>
          <c:invertIfNegative val="0"/>
          <c:val>
            <c:numRef>
              <c:f>'W5'!$M$61:$N$61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A-A0AC-439F-9D83-D80DDA7FDAE2}"/>
            </c:ext>
          </c:extLst>
        </c:ser>
        <c:ser>
          <c:idx val="10"/>
          <c:order val="13"/>
          <c:tx>
            <c:strRef>
              <c:f>'W5'!$D$62</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'W5'!$M$62:$N$62</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'W5'!$N$62</c15:f>
              </c15:datalabelsRange>
            </c:ext>
            <c:ext xmlns:c16="http://schemas.microsoft.com/office/drawing/2014/chart" uri="{C3380CC4-5D6E-409C-BE32-E72D297353CC}">
              <c16:uniqueId val="{00000009-A0AC-439F-9D83-D80DDA7FDAE2}"/>
            </c:ext>
          </c:extLst>
        </c:ser>
        <c:ser>
          <c:idx val="13"/>
          <c:order val="14"/>
          <c:tx>
            <c:strRef>
              <c:f>'W5'!$D$63</c:f>
              <c:strCache>
                <c:ptCount val="1"/>
                <c:pt idx="0">
                  <c:v>Lợi nhuận</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val>
            <c:numRef>
              <c:f>'W5'!$M$63:$N$63</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'W5'!$N$63</c15:f>
              </c15:datalabelsRange>
            </c:ext>
            <c:ext xmlns:c16="http://schemas.microsoft.com/office/drawing/2014/chart" uri="{C3380CC4-5D6E-409C-BE32-E72D297353CC}">
              <c16:uniqueId val="{0000000B-A0AC-439F-9D83-D80DDA7FDAE2}"/>
            </c:ext>
          </c:extLst>
        </c:ser>
        <c:ser>
          <c:idx val="15"/>
          <c:order val="15"/>
          <c:tx>
            <c:strRef>
              <c:f>'W5'!$D$64</c:f>
              <c:strCache>
                <c:ptCount val="1"/>
                <c:pt idx="0">
                  <c:v>Giá bán</c:v>
                </c:pt>
              </c:strCache>
              <c:extLst xmlns:c15="http://schemas.microsoft.com/office/drawing/2012/chart"/>
            </c:strRef>
          </c:tx>
          <c:invertIfNegative val="0"/>
          <c:val>
            <c:numRef>
              <c:f>'W5'!$M$64:$N$64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B-A0AC-439F-9D83-D80DDA7FDAE2}"/>
            </c:ext>
          </c:extLst>
        </c:ser>
        <c:ser>
          <c:idx val="16"/>
          <c:order val="16"/>
          <c:tx>
            <c:strRef>
              <c:f>'W5'!$D$65</c:f>
              <c:strCache>
                <c:ptCount val="1"/>
                <c:pt idx="0">
                  <c:v>% Lãi gộp nguyên liệu/Giá bán</c:v>
                </c:pt>
              </c:strCache>
              <c:extLst xmlns:c15="http://schemas.microsoft.com/office/drawing/2012/chart"/>
            </c:strRef>
          </c:tx>
          <c:invertIfNegative val="0"/>
          <c:val>
            <c:numRef>
              <c:f>'W5'!$M$65:$N$65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C-A0AC-439F-9D83-D80DDA7FDAE2}"/>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'W5'!$M$71:$N$71</c:f>
            </c:numRef>
          </c:val>
          <c:extLst>
            <c:ext xmlns:c15="http://schemas.microsoft.com/office/drawing/2012/chart" uri="{02D57815-91ED-43cb-92C2-25804820EDAC}">
              <c15:datalabelsRange>
                <c15:f>'W5'!$N$71</c15:f>
              </c15:datalabelsRange>
            </c:ext>
            <c:ext xmlns:c16="http://schemas.microsoft.com/office/drawing/2014/chart" uri="{C3380CC4-5D6E-409C-BE32-E72D297353CC}">
              <c16:uniqueId val="{00000001-E127-4D5C-8C84-0FDAA09AAA17}"/>
            </c:ext>
          </c:extLst>
        </c:ser>
        <c:ser>
          <c:idx val="3"/>
          <c:order val="1"/>
          <c:tx>
            <c:strRef>
              <c:f>'W5'!$D$72</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'W5'!$M$72:$N$72</c:f>
            </c:numRef>
          </c:val>
          <c:extLst xmlns:c15="http://schemas.microsoft.com/office/drawing/2012/chart">
            <c:ext xmlns:c15="http://schemas.microsoft.com/office/drawing/2012/chart" uri="{02D57815-91ED-43cb-92C2-25804820EDAC}">
              <c15:datalabelsRange>
                <c15:f>'W5'!$P$73</c15:f>
              </c15:datalabelsRange>
            </c:ext>
            <c:ext xmlns:c16="http://schemas.microsoft.com/office/drawing/2014/chart" uri="{C3380CC4-5D6E-409C-BE32-E72D297353CC}">
              <c16:uniqueId val="{0000000B-E127-4D5C-8C84-0FDAA09AAA17}"/>
            </c:ext>
          </c:extLst>
        </c:ser>
        <c:ser>
          <c:idx val="14"/>
          <c:order val="2"/>
          <c:tx>
            <c:strRef>
              <c:f>'W5'!$D$73</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'W5'!$M$73:$N$73</c:f>
            </c:numRef>
          </c:val>
          <c:extLst xmlns:c15="http://schemas.microsoft.com/office/drawing/2012/chart">
            <c:ext xmlns:c15="http://schemas.microsoft.com/office/drawing/2012/chart" uri="{02D57815-91ED-43cb-92C2-25804820EDAC}">
              <c15:datalabelsRange>
                <c15:f>'W5'!$N$73</c15:f>
              </c15:datalabelsRange>
            </c:ext>
            <c:ext xmlns:c16="http://schemas.microsoft.com/office/drawing/2014/chart" uri="{C3380CC4-5D6E-409C-BE32-E72D297353CC}">
              <c16:uniqueId val="{00000003-E127-4D5C-8C84-0FDAA09AAA17}"/>
            </c:ext>
          </c:extLst>
        </c:ser>
        <c:ser>
          <c:idx val="11"/>
          <c:order val="3"/>
          <c:tx>
            <c:strRef>
              <c:f>'W5'!$D$74</c:f>
              <c:strCache>
                <c:ptCount val="1"/>
                <c:pt idx="0">
                  <c:v>Chi phí biến đổi</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'W5'!$M$74:$N$74</c:f>
            </c:numRef>
          </c:val>
          <c:extLst>
            <c:ext xmlns:c15="http://schemas.microsoft.com/office/drawing/2012/chart" uri="{02D57815-91ED-43cb-92C2-25804820EDAC}">
              <c15:datalabelsRange>
                <c15:f>'W5'!$N$74</c15:f>
              </c15:datalabelsRange>
            </c:ext>
            <c:ext xmlns:c16="http://schemas.microsoft.com/office/drawing/2014/chart" uri="{C3380CC4-5D6E-409C-BE32-E72D297353CC}">
              <c16:uniqueId val="{00000005-E127-4D5C-8C84-0FDAA09AAA17}"/>
            </c:ext>
          </c:extLst>
        </c:ser>
        <c:ser>
          <c:idx val="12"/>
          <c:order val="4"/>
          <c:tx>
            <c:strRef>
              <c:f>'W5'!$D$75</c:f>
              <c:strCache>
                <c:ptCount val="1"/>
                <c:pt idx="0">
                  <c:v>Chi phí nhân công</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'W5'!$M$75:$N$75</c:f>
            </c:numRef>
          </c:val>
          <c:extLst xmlns:c15="http://schemas.microsoft.com/office/drawing/2012/chart">
            <c:ext xmlns:c15="http://schemas.microsoft.com/office/drawing/2012/chart" uri="{02D57815-91ED-43cb-92C2-25804820EDAC}">
              <c15:datalabelsRange>
                <c15:f>'W5'!$P$85</c15:f>
              </c15:datalabelsRange>
            </c:ext>
            <c:ext xmlns:c16="http://schemas.microsoft.com/office/drawing/2014/chart" uri="{C3380CC4-5D6E-409C-BE32-E72D297353CC}">
              <c16:uniqueId val="{0000000D-E127-4D5C-8C84-0FDAA09AAA17}"/>
            </c:ext>
          </c:extLst>
        </c:ser>
        <c:ser>
          <c:idx val="1"/>
          <c:order val="5"/>
          <c:tx>
            <c:strRef>
              <c:f>'W5'!$D$76</c:f>
              <c:strCache>
                <c:ptCount val="1"/>
                <c:pt idx="0">
                  <c:v>Khấu hao</c:v>
                </c:pt>
              </c:strCache>
              <c:extLst xmlns:c15="http://schemas.microsoft.com/office/drawing/2012/chart"/>
            </c:strRef>
          </c:tx>
          <c:invertIfNegative val="0"/>
          <c:cat>
            <c:strRef>
              <c:f>'W5'!$M$70:$N$70</c:f>
            </c:strRef>
          </c:cat>
          <c:val>
            <c:numRef>
              <c:f>'W5'!$M$76:$N$76</c:f>
            </c:numRef>
          </c:val>
          <c:extLst xmlns:c15="http://schemas.microsoft.com/office/drawing/2012/chart">
            <c:ext xmlns:c16="http://schemas.microsoft.com/office/drawing/2014/chart" uri="{C3380CC4-5D6E-409C-BE32-E72D297353CC}">
              <c16:uniqueId val="{0000000E-E127-4D5C-8C84-0FDAA09AAA17}"/>
            </c:ext>
          </c:extLst>
        </c:ser>
        <c:ser>
          <c:idx val="2"/>
          <c:order val="6"/>
          <c:tx>
            <c:strRef>
              <c:f>'W5'!$D$77</c:f>
              <c:strCache>
                <c:ptCount val="1"/>
                <c:pt idx="0">
                  <c:v>Chi phí gián tiếp</c:v>
                </c:pt>
              </c:strCache>
              <c:extLst xmlns:c15="http://schemas.microsoft.com/office/drawing/2012/chart"/>
            </c:strRef>
          </c:tx>
          <c:invertIfNegative val="0"/>
          <c:cat>
            <c:strRef>
              <c:f>'W5'!$M$70:$N$70</c:f>
            </c:strRef>
          </c:cat>
          <c:val>
            <c:numRef>
              <c:f>'W5'!$M$77:$N$77</c:f>
            </c:numRef>
          </c:val>
          <c:extLst xmlns:c15="http://schemas.microsoft.com/office/drawing/2012/chart">
            <c:ext xmlns:c16="http://schemas.microsoft.com/office/drawing/2014/chart" uri="{C3380CC4-5D6E-409C-BE32-E72D297353CC}">
              <c16:uniqueId val="{0000000F-E127-4D5C-8C84-0FDAA09AAA17}"/>
            </c:ext>
          </c:extLst>
        </c:ser>
        <c:ser>
          <c:idx val="4"/>
          <c:order val="7"/>
          <c:tx>
            <c:strRef>
              <c:f>'W5'!$D$78</c:f>
              <c:strCache>
                <c:ptCount val="1"/>
                <c:pt idx="0">
                  <c:v>Điện</c:v>
                </c:pt>
              </c:strCache>
              <c:extLst xmlns:c15="http://schemas.microsoft.com/office/drawing/2012/chart"/>
            </c:strRef>
          </c:tx>
          <c:invertIfNegative val="0"/>
          <c:cat>
            <c:strRef>
              <c:f>'W5'!$M$70:$N$70</c:f>
            </c:strRef>
          </c:cat>
          <c:val>
            <c:numRef>
              <c:f>'W5'!$M$78:$N$78</c:f>
            </c:numRef>
          </c:val>
          <c:extLst xmlns:c15="http://schemas.microsoft.com/office/drawing/2012/chart">
            <c:ext xmlns:c16="http://schemas.microsoft.com/office/drawing/2014/chart" uri="{C3380CC4-5D6E-409C-BE32-E72D297353CC}">
              <c16:uniqueId val="{00000010-E127-4D5C-8C84-0FDAA09AAA17}"/>
            </c:ext>
          </c:extLst>
        </c:ser>
        <c:ser>
          <c:idx val="5"/>
          <c:order val="8"/>
          <c:tx>
            <c:strRef>
              <c:f>'W5'!$D$79</c:f>
              <c:strCache>
                <c:ptCount val="1"/>
                <c:pt idx="0">
                  <c:v>Chi phí quản lý</c:v>
                </c:pt>
              </c:strCache>
              <c:extLst xmlns:c15="http://schemas.microsoft.com/office/drawing/2012/chart"/>
            </c:strRef>
          </c:tx>
          <c:invertIfNegative val="0"/>
          <c:cat>
            <c:strRef>
              <c:f>'W5'!$M$70:$N$70</c:f>
            </c:strRef>
          </c:cat>
          <c:val>
            <c:numRef>
              <c:f>'W5'!$M$79:$N$79</c:f>
            </c:numRef>
          </c:val>
          <c:extLst xmlns:c15="http://schemas.microsoft.com/office/drawing/2012/chart">
            <c:ext xmlns:c16="http://schemas.microsoft.com/office/drawing/2014/chart" uri="{C3380CC4-5D6E-409C-BE32-E72D297353CC}">
              <c16:uniqueId val="{00000011-E127-4D5C-8C84-0FDAA09AAA17}"/>
            </c:ext>
          </c:extLst>
        </c:ser>
        <c:ser>
          <c:idx val="6"/>
          <c:order val="9"/>
          <c:tx>
            <c:strRef>
              <c:f>'W5'!$D$80</c:f>
              <c:strCache>
                <c:ptCount val="1"/>
                <c:pt idx="0">
                  <c:v>Đóng gói</c:v>
                </c:pt>
              </c:strCache>
              <c:extLst xmlns:c15="http://schemas.microsoft.com/office/drawing/2012/chart"/>
            </c:strRef>
          </c:tx>
          <c:invertIfNegative val="0"/>
          <c:cat>
            <c:strRef>
              <c:f>'W5'!$M$70:$N$70</c:f>
            </c:strRef>
          </c:cat>
          <c:val>
            <c:numRef>
              <c:f>'W5'!$M$80:$N$80</c:f>
            </c:numRef>
          </c:val>
          <c:extLst xmlns:c15="http://schemas.microsoft.com/office/drawing/2012/chart">
            <c:ext xmlns:c16="http://schemas.microsoft.com/office/drawing/2014/chart" uri="{C3380CC4-5D6E-409C-BE32-E72D297353CC}">
              <c16:uniqueId val="{00000012-E127-4D5C-8C84-0FDAA09AAA17}"/>
            </c:ext>
          </c:extLst>
        </c:ser>
        <c:ser>
          <c:idx val="7"/>
          <c:order val="10"/>
          <c:tx>
            <c:strRef>
              <c:f>'W5'!$D$81</c:f>
              <c:strCache>
                <c:ptCount val="1"/>
                <c:pt idx="0">
                  <c:v>Hóa chất</c:v>
                </c:pt>
              </c:strCache>
              <c:extLst xmlns:c15="http://schemas.microsoft.com/office/drawing/2012/chart"/>
            </c:strRef>
          </c:tx>
          <c:invertIfNegative val="0"/>
          <c:cat>
            <c:strRef>
              <c:f>'W5'!$M$70:$N$70</c:f>
            </c:strRef>
          </c:cat>
          <c:val>
            <c:numRef>
              <c:f>'W5'!$M$81:$N$81</c:f>
            </c:numRef>
          </c:val>
          <c:extLst xmlns:c15="http://schemas.microsoft.com/office/drawing/2012/chart">
            <c:ext xmlns:c16="http://schemas.microsoft.com/office/drawing/2014/chart" uri="{C3380CC4-5D6E-409C-BE32-E72D297353CC}">
              <c16:uniqueId val="{00000013-E127-4D5C-8C84-0FDAA09AAA17}"/>
            </c:ext>
          </c:extLst>
        </c:ser>
        <c:ser>
          <c:idx val="8"/>
          <c:order val="11"/>
          <c:tx>
            <c:strRef>
              <c:f>'W5'!$D$82</c:f>
              <c:strCache>
                <c:ptCount val="1"/>
                <c:pt idx="0">
                  <c:v>Nước</c:v>
                </c:pt>
              </c:strCache>
              <c:extLst xmlns:c15="http://schemas.microsoft.com/office/drawing/2012/chart"/>
            </c:strRef>
          </c:tx>
          <c:invertIfNegative val="0"/>
          <c:cat>
            <c:strRef>
              <c:f>'W5'!$M$70:$N$70</c:f>
            </c:strRef>
          </c:cat>
          <c:val>
            <c:numRef>
              <c:f>'W5'!$M$82:$N$82</c:f>
            </c:numRef>
          </c:val>
          <c:extLst xmlns:c15="http://schemas.microsoft.com/office/drawing/2012/chart">
            <c:ext xmlns:c16="http://schemas.microsoft.com/office/drawing/2014/chart" uri="{C3380CC4-5D6E-409C-BE32-E72D297353CC}">
              <c16:uniqueId val="{00000014-E127-4D5C-8C84-0FDAA09AAA17}"/>
            </c:ext>
          </c:extLst>
        </c:ser>
        <c:ser>
          <c:idx val="9"/>
          <c:order val="12"/>
          <c:tx>
            <c:strRef>
              <c:f>'W5'!$D$83</c:f>
              <c:strCache>
                <c:ptCount val="1"/>
                <c:pt idx="0">
                  <c:v>Giá thành</c:v>
                </c:pt>
              </c:strCache>
              <c:extLst xmlns:c15="http://schemas.microsoft.com/office/drawing/2012/chart"/>
            </c:strRef>
          </c:tx>
          <c:invertIfNegative val="0"/>
          <c:cat>
            <c:strRef>
              <c:f>'W5'!$M$70:$N$70</c:f>
            </c:strRef>
          </c:cat>
          <c:val>
            <c:numRef>
              <c:f>'W5'!$M$83:$N$83</c:f>
            </c:numRef>
          </c:val>
          <c:extLst xmlns:c15="http://schemas.microsoft.com/office/drawing/2012/chart">
            <c:ext xmlns:c16="http://schemas.microsoft.com/office/drawing/2014/chart" uri="{C3380CC4-5D6E-409C-BE32-E72D297353CC}">
              <c16:uniqueId val="{00000015-E127-4D5C-8C84-0FDAA09AAA17}"/>
            </c:ext>
          </c:extLst>
        </c:ser>
        <c:ser>
          <c:idx val="10"/>
          <c:order val="13"/>
          <c:tx>
            <c:strRef>
              <c:f>'W5'!$D$84</c:f>
              <c:strCache>
                <c:ptCount val="1"/>
                <c:pt idx="0">
                  <c:v>Thuế thu nhập</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'W5'!$M$70:$N$70</c:f>
            </c:strRef>
          </c:cat>
          <c:val>
            <c:numRef>
              <c:f>'W5'!$M$84:$N$84</c:f>
            </c:numRef>
          </c:val>
          <c:extLst>
            <c:ext xmlns:c15="http://schemas.microsoft.com/office/drawing/2012/chart" uri="{02D57815-91ED-43cb-92C2-25804820EDAC}">
              <c15:datalabelsRange>
                <c15:f>'W5'!$N$84</c15:f>
              </c15:datalabelsRange>
            </c:ext>
            <c:ext xmlns:c16="http://schemas.microsoft.com/office/drawing/2014/chart" uri="{C3380CC4-5D6E-409C-BE32-E72D297353CC}">
              <c16:uniqueId val="{00000007-E127-4D5C-8C84-0FDAA09AAA17}"/>
            </c:ext>
          </c:extLst>
        </c:ser>
        <c:ser>
          <c:idx val="13"/>
          <c:order val="14"/>
          <c:tx>
            <c:strRef>
              <c:f>'W5'!$D$85</c:f>
              <c:strCache>
                <c:ptCount val="1"/>
                <c:pt idx="0">
                  <c:v>Lợi nhuận</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'W5'!$M$70:$N$70</c:f>
            </c:strRef>
          </c:cat>
          <c:val>
            <c:numRef>
              <c:f>'W5'!$M$85:$N$85</c:f>
            </c:numRef>
          </c:val>
          <c:extLst>
            <c:ext xmlns:c15="http://schemas.microsoft.com/office/drawing/2012/chart" uri="{02D57815-91ED-43cb-92C2-25804820EDAC}">
              <c15:datalabelsRange>
                <c15:f>'W5'!$N$85</c15:f>
              </c15:datalabelsRange>
            </c:ext>
            <c:ext xmlns:c16="http://schemas.microsoft.com/office/drawing/2014/chart" uri="{C3380CC4-5D6E-409C-BE32-E72D297353CC}">
              <c16:uniqueId val="{00000009-E127-4D5C-8C84-0FDAA09AAA17}"/>
            </c:ext>
          </c:extLst>
        </c:ser>
        <c:ser>
          <c:idx val="15"/>
          <c:order val="15"/>
          <c:tx>
            <c:strRef>
              <c:f>'W5'!$D$86</c:f>
              <c:strCache>
                <c:ptCount val="1"/>
                <c:pt idx="0">
                  <c:v>Giá bán</c:v>
                </c:pt>
              </c:strCache>
              <c:extLst xmlns:c15="http://schemas.microsoft.com/office/drawing/2012/chart"/>
            </c:strRef>
          </c:tx>
          <c:invertIfNegative val="0"/>
          <c:cat>
            <c:strRef>
              <c:f>'W5'!$M$70:$N$70</c:f>
            </c:strRef>
          </c:cat>
          <c:val>
            <c:numRef>
              <c:f>'W5'!$M$86:$N$86</c:f>
            </c:numRef>
          </c:val>
          <c:extLst xmlns:c15="http://schemas.microsoft.com/office/drawing/2012/chart">
            <c:ext xmlns:c16="http://schemas.microsoft.com/office/drawing/2014/chart" uri="{C3380CC4-5D6E-409C-BE32-E72D297353CC}">
              <c16:uniqueId val="{00000016-E127-4D5C-8C84-0FDAA09AAA17}"/>
            </c:ext>
          </c:extLst>
        </c:ser>
        <c:ser>
          <c:idx val="16"/>
          <c:order val="16"/>
          <c:tx>
            <c:strRef>
              <c:f>'W5'!$D$87</c:f>
              <c:strCache>
                <c:ptCount val="1"/>
                <c:pt idx="0">
                  <c:v>% Lãi gộp nguyên liệu/Giá bán</c:v>
                </c:pt>
              </c:strCache>
              <c:extLst xmlns:c15="http://schemas.microsoft.com/office/drawing/2012/chart"/>
            </c:strRef>
          </c:tx>
          <c:invertIfNegative val="0"/>
          <c:cat>
            <c:strRef>
              <c:f>'W5'!$M$70:$N$70</c:f>
            </c:strRef>
          </c:cat>
          <c:val>
            <c:numRef>
              <c:f>'W5'!$M$87:$N$87</c:f>
            </c:numRef>
          </c:val>
          <c:extLst xmlns:c15="http://schemas.microsoft.com/office/drawing/2012/chart">
            <c:ext xmlns:c16="http://schemas.microsoft.com/office/drawing/2014/chart" uri="{C3380CC4-5D6E-409C-BE32-E72D297353CC}">
              <c16:uniqueId val="{00000017-E127-4D5C-8C84-0FDAA09AAA17}"/>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'W5'!$O$49:$P$49</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'W5'!$P$49</c15:f>
              </c15:datalabelsRange>
            </c:ext>
            <c:ext xmlns:c16="http://schemas.microsoft.com/office/drawing/2014/chart" uri="{C3380CC4-5D6E-409C-BE32-E72D297353CC}">
              <c16:uniqueId val="{00000002-FC37-425D-838B-891E9BCE4FF6}"/>
            </c:ext>
          </c:extLst>
        </c:ser>
        <c:ser>
          <c:idx val="1"/>
          <c:order val="1"/>
          <c:tx>
            <c:strRef>
              <c:f>'W5'!$D$50</c:f>
              <c:strCache>
                <c:ptCount val="1"/>
                <c:pt idx="0">
                  <c:v>Vảy sạch</c:v>
                </c:pt>
              </c:strCache>
              <c:extLst xmlns:c15="http://schemas.microsoft.com/office/drawing/2012/chart"/>
            </c:strRef>
          </c:tx>
          <c:spPr>
            <a:solidFill>
              <a:schemeClr val="accent2"/>
            </a:solidFill>
            <a:ln>
              <a:noFill/>
            </a:ln>
            <a:effectLst/>
          </c:spPr>
          <c:invertIfNegative val="0"/>
          <c:val>
            <c:numRef>
              <c:f>'W5'!$O$50:$P$50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D-FC37-425D-838B-891E9BCE4FF6}"/>
            </c:ext>
          </c:extLst>
        </c:ser>
        <c:ser>
          <c:idx val="4"/>
          <c:order val="2"/>
          <c:tx>
            <c:strRef>
              <c:f>'W5'!$D$51</c:f>
              <c:strCache>
                <c:ptCount val="1"/>
                <c:pt idx="0">
                  <c:v>Hao hụt về tiền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'W5'!$O$51:$P$51</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'W5'!$P$51</c15:f>
              </c15:datalabelsRange>
            </c:ext>
            <c:ext xmlns:c16="http://schemas.microsoft.com/office/drawing/2014/chart" uri="{C3380CC4-5D6E-409C-BE32-E72D297353CC}">
              <c16:uniqueId val="{00000005-FC37-425D-838B-891E9BCE4FF6}"/>
            </c:ext>
          </c:extLst>
        </c:ser>
        <c:ser>
          <c:idx val="3"/>
          <c:order val="3"/>
          <c:tx>
            <c:strRef>
              <c:f>'W5'!$D$52</c:f>
              <c:strCache>
                <c:ptCount val="1"/>
                <c:pt idx="0">
                  <c:v>Chi phí biến đổi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'W5'!$O$52:$P$52</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'W5'!$P$52</c15:f>
              </c15:datalabelsRange>
            </c:ext>
            <c:ext xmlns:c16="http://schemas.microsoft.com/office/drawing/2014/chart" uri="{C3380CC4-5D6E-409C-BE32-E72D297353CC}">
              <c16:uniqueId val="{00000008-FC37-425D-838B-891E9BCE4FF6}"/>
            </c:ext>
          </c:extLst>
        </c:ser>
        <c:ser>
          <c:idx val="5"/>
          <c:order val="4"/>
          <c:tx>
            <c:strRef>
              <c:f>'W5'!$D$53</c:f>
              <c:strCache>
                <c:ptCount val="1"/>
                <c:pt idx="0">
                  <c:v>Chi phí nhân công</c:v>
                </c:pt>
              </c:strCache>
              <c:extLst xmlns:c15="http://schemas.microsoft.com/office/drawing/2012/chart"/>
            </c:strRef>
          </c:tx>
          <c:spPr>
            <a:solidFill>
              <a:schemeClr val="accent6"/>
            </a:solidFill>
            <a:ln>
              <a:noFill/>
            </a:ln>
            <a:effectLst/>
          </c:spPr>
          <c:invertIfNegative val="0"/>
          <c:val>
            <c:numRef>
              <c:f>'W5'!$O$53:$P$53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E-FC37-425D-838B-891E9BCE4FF6}"/>
            </c:ext>
          </c:extLst>
        </c:ser>
        <c:ser>
          <c:idx val="6"/>
          <c:order val="5"/>
          <c:tx>
            <c:strRef>
              <c:f>'W5'!$D$54</c:f>
              <c:strCache>
                <c:ptCount val="1"/>
                <c:pt idx="0">
                  <c:v>Khấu hao</c:v>
                </c:pt>
              </c:strCache>
              <c:extLst xmlns:c15="http://schemas.microsoft.com/office/drawing/2012/chart"/>
            </c:strRef>
          </c:tx>
          <c:spPr>
            <a:solidFill>
              <a:schemeClr val="accent1">
                <a:lumMod val="60000"/>
              </a:schemeClr>
            </a:solidFill>
            <a:ln>
              <a:noFill/>
            </a:ln>
            <a:effectLst/>
          </c:spPr>
          <c:invertIfNegative val="0"/>
          <c:val>
            <c:numRef>
              <c:f>'W5'!$O$54:$P$54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F-FC37-425D-838B-891E9BCE4FF6}"/>
            </c:ext>
          </c:extLst>
        </c:ser>
        <c:ser>
          <c:idx val="7"/>
          <c:order val="6"/>
          <c:tx>
            <c:strRef>
              <c:f>'W5'!$D$55</c:f>
              <c:strCache>
                <c:ptCount val="1"/>
                <c:pt idx="0">
                  <c:v>Chi phí quản lý</c:v>
                </c:pt>
              </c:strCache>
              <c:extLst xmlns:c15="http://schemas.microsoft.com/office/drawing/2012/chart"/>
            </c:strRef>
          </c:tx>
          <c:spPr>
            <a:solidFill>
              <a:schemeClr val="accent2">
                <a:lumMod val="60000"/>
              </a:schemeClr>
            </a:solidFill>
            <a:ln>
              <a:noFill/>
            </a:ln>
            <a:effectLst/>
          </c:spPr>
          <c:invertIfNegative val="0"/>
          <c:val>
            <c:numRef>
              <c:f>'W5'!$O$55:$P$55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0-FC37-425D-838B-891E9BCE4FF6}"/>
            </c:ext>
          </c:extLst>
        </c:ser>
        <c:ser>
          <c:idx val="8"/>
          <c:order val="7"/>
          <c:tx>
            <c:strRef>
              <c:f>'W5'!$D$56</c:f>
              <c:strCache>
                <c:ptCount val="1"/>
                <c:pt idx="0">
                  <c:v>Chi phí gián tiếp</c:v>
                </c:pt>
              </c:strCache>
              <c:extLst xmlns:c15="http://schemas.microsoft.com/office/drawing/2012/chart"/>
            </c:strRef>
          </c:tx>
          <c:spPr>
            <a:solidFill>
              <a:schemeClr val="accent3">
                <a:lumMod val="60000"/>
              </a:schemeClr>
            </a:solidFill>
            <a:ln>
              <a:noFill/>
            </a:ln>
            <a:effectLst/>
          </c:spPr>
          <c:invertIfNegative val="0"/>
          <c:val>
            <c:numRef>
              <c:f>'W5'!$O$56:$P$56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1-FC37-425D-838B-891E9BCE4FF6}"/>
            </c:ext>
          </c:extLst>
        </c:ser>
        <c:ser>
          <c:idx val="9"/>
          <c:order val="8"/>
          <c:tx>
            <c:strRef>
              <c:f>'W5'!$D$57</c:f>
              <c:strCache>
                <c:ptCount val="1"/>
                <c:pt idx="0">
                  <c:v>Điện</c:v>
                </c:pt>
              </c:strCache>
              <c:extLst xmlns:c15="http://schemas.microsoft.com/office/drawing/2012/chart"/>
            </c:strRef>
          </c:tx>
          <c:spPr>
            <a:solidFill>
              <a:schemeClr val="accent4">
                <a:lumMod val="60000"/>
              </a:schemeClr>
            </a:solidFill>
            <a:ln>
              <a:noFill/>
            </a:ln>
            <a:effectLst/>
          </c:spPr>
          <c:invertIfNegative val="0"/>
          <c:val>
            <c:numRef>
              <c:f>'W5'!$O$57:$P$57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2-FC37-425D-838B-891E9BCE4FF6}"/>
            </c:ext>
          </c:extLst>
        </c:ser>
        <c:ser>
          <c:idx val="10"/>
          <c:order val="9"/>
          <c:tx>
            <c:strRef>
              <c:f>'W5'!$D$58</c:f>
              <c:strCache>
                <c:ptCount val="1"/>
                <c:pt idx="0">
                  <c:v>Đóng gói</c:v>
                </c:pt>
              </c:strCache>
              <c:extLst xmlns:c15="http://schemas.microsoft.com/office/drawing/2012/chart"/>
            </c:strRef>
          </c:tx>
          <c:spPr>
            <a:solidFill>
              <a:schemeClr val="accent5">
                <a:lumMod val="60000"/>
              </a:schemeClr>
            </a:solidFill>
            <a:ln>
              <a:noFill/>
            </a:ln>
            <a:effectLst/>
          </c:spPr>
          <c:invertIfNegative val="0"/>
          <c:val>
            <c:numRef>
              <c:f>'W5'!$O$58:$P$58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3-FC37-425D-838B-891E9BCE4FF6}"/>
            </c:ext>
          </c:extLst>
        </c:ser>
        <c:ser>
          <c:idx val="11"/>
          <c:order val="10"/>
          <c:tx>
            <c:strRef>
              <c:f>'W5'!$D$59</c:f>
              <c:strCache>
                <c:ptCount val="1"/>
                <c:pt idx="0">
                  <c:v>Hóa chất</c:v>
                </c:pt>
              </c:strCache>
              <c:extLst xmlns:c15="http://schemas.microsoft.com/office/drawing/2012/chart"/>
            </c:strRef>
          </c:tx>
          <c:spPr>
            <a:solidFill>
              <a:schemeClr val="accent6">
                <a:lumMod val="60000"/>
              </a:schemeClr>
            </a:solidFill>
            <a:ln>
              <a:noFill/>
            </a:ln>
            <a:effectLst/>
          </c:spPr>
          <c:invertIfNegative val="0"/>
          <c:val>
            <c:numRef>
              <c:f>'W5'!$O$59:$P$59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4-FC37-425D-838B-891E9BCE4FF6}"/>
            </c:ext>
          </c:extLst>
        </c:ser>
        <c:ser>
          <c:idx val="12"/>
          <c:order val="11"/>
          <c:tx>
            <c:strRef>
              <c:f>'W5'!$D$60</c:f>
              <c:strCache>
                <c:ptCount val="1"/>
                <c:pt idx="0">
                  <c:v>Nước</c:v>
                </c:pt>
              </c:strCache>
              <c:extLst xmlns:c15="http://schemas.microsoft.com/office/drawing/2012/chart"/>
            </c:strRef>
          </c:tx>
          <c:spPr>
            <a:solidFill>
              <a:schemeClr val="accent1">
                <a:lumMod val="80000"/>
                <a:lumOff val="20000"/>
              </a:schemeClr>
            </a:solidFill>
            <a:ln>
              <a:noFill/>
            </a:ln>
            <a:effectLst/>
          </c:spPr>
          <c:invertIfNegative val="0"/>
          <c:val>
            <c:numRef>
              <c:f>'W5'!$O$60:$P$60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5-FC37-425D-838B-891E9BCE4FF6}"/>
            </c:ext>
          </c:extLst>
        </c:ser>
        <c:ser>
          <c:idx val="13"/>
          <c:order val="12"/>
          <c:tx>
            <c:strRef>
              <c:f>'W5'!$D$61</c:f>
              <c:strCache>
                <c:ptCount val="1"/>
                <c:pt idx="0">
                  <c:v>Giá thành</c:v>
                </c:pt>
              </c:strCache>
              <c:extLst xmlns:c15="http://schemas.microsoft.com/office/drawing/2012/chart"/>
            </c:strRef>
          </c:tx>
          <c:spPr>
            <a:solidFill>
              <a:schemeClr val="accent2">
                <a:lumMod val="80000"/>
                <a:lumOff val="20000"/>
              </a:schemeClr>
            </a:solidFill>
            <a:ln>
              <a:noFill/>
            </a:ln>
            <a:effectLst/>
          </c:spPr>
          <c:invertIfNegative val="0"/>
          <c:val>
            <c:numRef>
              <c:f>'W5'!$O$61:$P$61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6-FC37-425D-838B-891E9BCE4FF6}"/>
            </c:ext>
          </c:extLst>
        </c:ser>
        <c:ser>
          <c:idx val="14"/>
          <c:order val="13"/>
          <c:tx>
            <c:strRef>
              <c:f>'W5'!$D$62</c:f>
              <c:strCache>
                <c:ptCount val="1"/>
                <c:pt idx="0">
                  <c:v>Thuế thu nhập</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'W5'!$O$62:$P$62</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'W5'!$P$62</c15:f>
              </c15:datalabelsRange>
            </c:ext>
            <c:ext xmlns:c16="http://schemas.microsoft.com/office/drawing/2014/chart" uri="{C3380CC4-5D6E-409C-BE32-E72D297353CC}">
              <c16:uniqueId val="{0000000A-FC37-425D-838B-891E9BCE4FF6}"/>
            </c:ext>
          </c:extLst>
        </c:ser>
        <c:ser>
          <c:idx val="15"/>
          <c:order val="14"/>
          <c:tx>
            <c:strRef>
              <c:f>'W5'!$D$63</c:f>
              <c:strCache>
                <c:ptCount val="1"/>
                <c:pt idx="0">
                  <c:v>Lợi nhuận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'W5'!$O$63:$P$63</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'W5'!$P$63</c15:f>
              </c15:datalabelsRange>
            </c:ext>
            <c:ext xmlns:c16="http://schemas.microsoft.com/office/drawing/2014/chart" uri="{C3380CC4-5D6E-409C-BE32-E72D297353CC}">
              <c16:uniqueId val="{0000000C-FC37-425D-838B-891E9BCE4FF6}"/>
            </c:ext>
          </c:extLst>
        </c:ser>
        <c:dLbls>
          <c:showLegendKey val="0"/>
          <c:showVal val="0"/>
          <c:showCatName val="0"/>
          <c:showSerName val="0"/>
          <c:showPercent val="0"/>
          <c:showBubbleSize val="0"/>
        </c:dLbls>
        <c:gapWidth val="50"/>
        <c:overlap val="100"/>
        <c:axId val="336187152"/>
        <c:axId val="336190512"/>
        <c:extLst/>
      </c:barChart>
      <c:lineChart>
        <c:grouping val="standard"/>
        <c:varyColors val="0"/>
        <c:ser>
          <c:idx val="16"/>
          <c:order val="15"/>
          <c:tx>
            <c:strRef>
              <c:f>'W5'!$D$64</c:f>
              <c:strCache>
                <c:ptCount val="1"/>
                <c:pt idx="0">
                  <c:v>Giá bán</c:v>
                </c:pt>
              </c:strCache>
              <c:extLst xmlns:c15="http://schemas.microsoft.com/office/drawing/2012/chart"/>
            </c:strRef>
          </c:tx>
          <c:spPr>
            <a:ln w="28575" cap="rnd">
              <a:solidFill>
                <a:schemeClr val="accent5">
                  <a:lumMod val="80000"/>
                  <a:lumOff val="20000"/>
                </a:schemeClr>
              </a:solidFill>
              <a:round/>
            </a:ln>
            <a:effectLst/>
          </c:spPr>
          <c:marker>
            <c:symbol val="none"/>
          </c:marker>
          <c:val>
            <c:numRef>
              <c:f>'W5'!$O$64:$P$64</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7-FC37-425D-838B-891E9BCE4FF6}"/>
            </c:ext>
          </c:extLst>
        </c:ser>
        <c:ser>
          <c:idx val="2"/>
          <c:order val="16"/>
          <c:tx>
            <c:strRef>
              <c:f>'W5'!$D$65</c:f>
              <c:strCache>
                <c:ptCount val="1"/>
                <c:pt idx="0">
                  <c:v>% Lãi gộp nguyên liệu/Giá bán</c:v>
                </c:pt>
              </c:strCache>
              <c:extLst xmlns:c15="http://schemas.microsoft.com/office/drawing/2012/chart"/>
            </c:strRef>
          </c:tx>
          <c:spPr>
            <a:ln w="28575" cap="rnd">
              <a:solidFill>
                <a:schemeClr val="accent3"/>
              </a:solidFill>
              <a:round/>
            </a:ln>
            <a:effectLst/>
          </c:spPr>
          <c:marker>
            <c:symbol val="none"/>
          </c:marker>
          <c:val>
            <c:numRef>
              <c:f>'W5'!$O$65:$P$65</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8-FC37-425D-838B-891E9BCE4FF6}"/>
            </c:ext>
          </c:extLst>
        </c:ser>
        <c:dLbls>
          <c:showLegendKey val="0"/>
          <c:showVal val="0"/>
          <c:showCatName val="0"/>
          <c:showSerName val="0"/>
          <c:showPercent val="0"/>
          <c:showBubbleSize val="0"/>
        </c:dLbls>
        <c:marker val="1"/>
        <c:smooth val="0"/>
        <c:axId val="336187152"/>
        <c:axId val="336190512"/>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'W5'!$O$71:$P$71</c:f>
            </c:numRef>
          </c:val>
          <c:extLst>
            <c:ext xmlns:c15="http://schemas.microsoft.com/office/drawing/2012/chart" uri="{02D57815-91ED-43cb-92C2-25804820EDAC}">
              <c15:datalabelsRange>
                <c15:f>'W5'!$P$71</c15:f>
              </c15:datalabelsRange>
            </c:ext>
            <c:ext xmlns:c16="http://schemas.microsoft.com/office/drawing/2014/chart" uri="{C3380CC4-5D6E-409C-BE32-E72D297353CC}">
              <c16:uniqueId val="{00000001-32B5-4FBA-9C19-44E60C4505B0}"/>
            </c:ext>
          </c:extLst>
        </c:ser>
        <c:ser>
          <c:idx val="4"/>
          <c:order val="1"/>
          <c:tx>
            <c:strRef>
              <c:f>'W5'!$D$72</c:f>
              <c:strCache>
                <c:ptCount val="1"/>
                <c:pt idx="0">
                  <c:v>Vảy sạch</c:v>
                </c:pt>
              </c:strCache>
              <c:extLst xmlns:c15="http://schemas.microsoft.com/office/drawing/2012/chart"/>
            </c:strRef>
          </c:tx>
          <c:spPr>
            <a:solidFill>
              <a:schemeClr val="accent5"/>
            </a:solidFill>
            <a:ln>
              <a:noFill/>
            </a:ln>
            <a:effectLst/>
          </c:spPr>
          <c:invertIfNegative val="0"/>
          <c:cat>
            <c:strRef>
              <c:f>'W5'!$O$70:$P$70</c:f>
            </c:strRef>
          </c:cat>
          <c:val>
            <c:numRef>
              <c:f>'W5'!$O$72:$P$72</c:f>
            </c:numRef>
          </c:val>
          <c:extLst xmlns:c15="http://schemas.microsoft.com/office/drawing/2012/chart">
            <c:ext xmlns:c16="http://schemas.microsoft.com/office/drawing/2014/chart" uri="{C3380CC4-5D6E-409C-BE32-E72D297353CC}">
              <c16:uniqueId val="{0000000A-32B5-4FBA-9C19-44E60C4505B0}"/>
            </c:ext>
          </c:extLst>
        </c:ser>
        <c:ser>
          <c:idx val="3"/>
          <c:order val="2"/>
          <c:tx>
            <c:strRef>
              <c:f>'W5'!$D$73</c:f>
              <c:strCache>
                <c:ptCount val="1"/>
                <c:pt idx="0">
                  <c:v>Hao hụt về tiền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'W5'!$O$73:$P$73</c:f>
            </c:numRef>
          </c:val>
          <c:extLst>
            <c:ext xmlns:c15="http://schemas.microsoft.com/office/drawing/2012/chart" uri="{02D57815-91ED-43cb-92C2-25804820EDAC}">
              <c15:datalabelsRange>
                <c15:f>'W5'!$P$73</c15:f>
              </c15:datalabelsRange>
            </c:ext>
            <c:ext xmlns:c16="http://schemas.microsoft.com/office/drawing/2014/chart" uri="{C3380CC4-5D6E-409C-BE32-E72D297353CC}">
              <c16:uniqueId val="{00000003-32B5-4FBA-9C19-44E60C4505B0}"/>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'W5'!$O$74:$P$74</c:f>
            </c:numRef>
          </c:val>
          <c:extLst xmlns:c15="http://schemas.microsoft.com/office/drawing/2012/chart">
            <c:ext xmlns:c15="http://schemas.microsoft.com/office/drawing/2012/chart" uri="{02D57815-91ED-43cb-92C2-25804820EDAC}">
              <c15:datalabelsRange>
                <c15:f>'W5'!$P$74</c15:f>
              </c15:datalabelsRange>
            </c:ext>
            <c:ext xmlns:c16="http://schemas.microsoft.com/office/drawing/2014/chart" uri="{C3380CC4-5D6E-409C-BE32-E72D297353CC}">
              <c16:uniqueId val="{00000005-32B5-4FBA-9C19-44E60C4505B0}"/>
            </c:ext>
          </c:extLst>
        </c:ser>
        <c:ser>
          <c:idx val="15"/>
          <c:order val="4"/>
          <c:tx>
            <c:strRef>
              <c:f>'W5'!$D$75</c:f>
              <c:strCache>
                <c:ptCount val="1"/>
                <c:pt idx="0">
                  <c:v>Chi phí nhân công</c:v>
                </c:pt>
              </c:strCache>
              <c:extLst xmlns:c15="http://schemas.microsoft.com/office/drawing/2012/chart"/>
            </c:strRef>
          </c:tx>
          <c:spPr>
            <a:solidFill>
              <a:schemeClr val="accent4">
                <a:lumMod val="80000"/>
                <a:lumOff val="20000"/>
              </a:schemeClr>
            </a:solidFill>
            <a:ln>
              <a:noFill/>
            </a:ln>
            <a:effectLst/>
          </c:spPr>
          <c:invertIfNegative val="0"/>
          <c:cat>
            <c:strRef>
              <c:f>'W5'!$O$70:$P$70</c:f>
            </c:strRef>
          </c:cat>
          <c:val>
            <c:numRef>
              <c:f>'W5'!$O$75:$P$75</c:f>
            </c:numRef>
          </c:val>
          <c:extLst xmlns:c15="http://schemas.microsoft.com/office/drawing/2012/chart">
            <c:ext xmlns:c16="http://schemas.microsoft.com/office/drawing/2014/chart" uri="{C3380CC4-5D6E-409C-BE32-E72D297353CC}">
              <c16:uniqueId val="{0000000B-32B5-4FBA-9C19-44E60C4505B0}"/>
            </c:ext>
          </c:extLst>
        </c:ser>
        <c:ser>
          <c:idx val="1"/>
          <c:order val="5"/>
          <c:tx>
            <c:strRef>
              <c:f>'W5'!$D$76</c:f>
              <c:strCache>
                <c:ptCount val="1"/>
                <c:pt idx="0">
                  <c:v>Khấu hao</c:v>
                </c:pt>
              </c:strCache>
              <c:extLst xmlns:c15="http://schemas.microsoft.com/office/drawing/2012/chart"/>
            </c:strRef>
          </c:tx>
          <c:spPr>
            <a:solidFill>
              <a:schemeClr val="accent2"/>
            </a:solidFill>
            <a:ln>
              <a:noFill/>
            </a:ln>
            <a:effectLst/>
          </c:spPr>
          <c:invertIfNegative val="0"/>
          <c:cat>
            <c:strRef>
              <c:f>'W5'!$O$70:$P$70</c:f>
            </c:strRef>
          </c:cat>
          <c:val>
            <c:numRef>
              <c:f>'W5'!$O$76:$P$76</c:f>
            </c:numRef>
          </c:val>
          <c:extLst xmlns:c15="http://schemas.microsoft.com/office/drawing/2012/chart">
            <c:ext xmlns:c16="http://schemas.microsoft.com/office/drawing/2014/chart" uri="{C3380CC4-5D6E-409C-BE32-E72D297353CC}">
              <c16:uniqueId val="{0000000C-32B5-4FBA-9C19-44E60C4505B0}"/>
            </c:ext>
          </c:extLst>
        </c:ser>
        <c:ser>
          <c:idx val="2"/>
          <c:order val="6"/>
          <c:tx>
            <c:strRef>
              <c:f>'W5'!$D$77</c:f>
              <c:strCache>
                <c:ptCount val="1"/>
                <c:pt idx="0">
                  <c:v>Chi phí gián tiếp</c:v>
                </c:pt>
              </c:strCache>
              <c:extLst xmlns:c15="http://schemas.microsoft.com/office/drawing/2012/chart"/>
            </c:strRef>
          </c:tx>
          <c:spPr>
            <a:solidFill>
              <a:schemeClr val="accent3"/>
            </a:solidFill>
            <a:ln>
              <a:noFill/>
            </a:ln>
            <a:effectLst/>
          </c:spPr>
          <c:invertIfNegative val="0"/>
          <c:cat>
            <c:strRef>
              <c:f>'W5'!$O$70:$P$70</c:f>
            </c:strRef>
          </c:cat>
          <c:val>
            <c:numRef>
              <c:f>'W5'!$O$77:$P$77</c:f>
            </c:numRef>
          </c:val>
          <c:extLst xmlns:c15="http://schemas.microsoft.com/office/drawing/2012/chart">
            <c:ext xmlns:c16="http://schemas.microsoft.com/office/drawing/2014/chart" uri="{C3380CC4-5D6E-409C-BE32-E72D297353CC}">
              <c16:uniqueId val="{0000000D-32B5-4FBA-9C19-44E60C4505B0}"/>
            </c:ext>
          </c:extLst>
        </c:ser>
        <c:ser>
          <c:idx val="5"/>
          <c:order val="7"/>
          <c:tx>
            <c:strRef>
              <c:f>'W5'!$D$78</c:f>
              <c:strCache>
                <c:ptCount val="1"/>
                <c:pt idx="0">
                  <c:v>Điện</c:v>
                </c:pt>
              </c:strCache>
              <c:extLst xmlns:c15="http://schemas.microsoft.com/office/drawing/2012/chart"/>
            </c:strRef>
          </c:tx>
          <c:spPr>
            <a:solidFill>
              <a:schemeClr val="accent6"/>
            </a:solidFill>
            <a:ln>
              <a:noFill/>
            </a:ln>
            <a:effectLst/>
          </c:spPr>
          <c:invertIfNegative val="0"/>
          <c:cat>
            <c:strRef>
              <c:f>'W5'!$O$70:$P$70</c:f>
            </c:strRef>
          </c:cat>
          <c:val>
            <c:numRef>
              <c:f>'W5'!$O$78:$P$78</c:f>
            </c:numRef>
          </c:val>
          <c:extLst xmlns:c15="http://schemas.microsoft.com/office/drawing/2012/chart">
            <c:ext xmlns:c16="http://schemas.microsoft.com/office/drawing/2014/chart" uri="{C3380CC4-5D6E-409C-BE32-E72D297353CC}">
              <c16:uniqueId val="{0000000E-32B5-4FBA-9C19-44E60C4505B0}"/>
            </c:ext>
          </c:extLst>
        </c:ser>
        <c:ser>
          <c:idx val="6"/>
          <c:order val="8"/>
          <c:tx>
            <c:strRef>
              <c:f>'W5'!$D$79</c:f>
              <c:strCache>
                <c:ptCount val="1"/>
                <c:pt idx="0">
                  <c:v>Chi phí quản lý</c:v>
                </c:pt>
              </c:strCache>
              <c:extLst xmlns:c15="http://schemas.microsoft.com/office/drawing/2012/chart"/>
            </c:strRef>
          </c:tx>
          <c:spPr>
            <a:solidFill>
              <a:schemeClr val="accent1">
                <a:lumMod val="60000"/>
              </a:schemeClr>
            </a:solidFill>
            <a:ln>
              <a:noFill/>
            </a:ln>
            <a:effectLst/>
          </c:spPr>
          <c:invertIfNegative val="0"/>
          <c:cat>
            <c:strRef>
              <c:f>'W5'!$O$70:$P$70</c:f>
            </c:strRef>
          </c:cat>
          <c:val>
            <c:numRef>
              <c:f>'W5'!$O$79:$P$79</c:f>
            </c:numRef>
          </c:val>
          <c:extLst xmlns:c15="http://schemas.microsoft.com/office/drawing/2012/chart">
            <c:ext xmlns:c16="http://schemas.microsoft.com/office/drawing/2014/chart" uri="{C3380CC4-5D6E-409C-BE32-E72D297353CC}">
              <c16:uniqueId val="{0000000F-32B5-4FBA-9C19-44E60C4505B0}"/>
            </c:ext>
          </c:extLst>
        </c:ser>
        <c:ser>
          <c:idx val="7"/>
          <c:order val="9"/>
          <c:tx>
            <c:strRef>
              <c:f>'W5'!$D$80</c:f>
              <c:strCache>
                <c:ptCount val="1"/>
                <c:pt idx="0">
                  <c:v>Đóng gói</c:v>
                </c:pt>
              </c:strCache>
              <c:extLst xmlns:c15="http://schemas.microsoft.com/office/drawing/2012/chart"/>
            </c:strRef>
          </c:tx>
          <c:spPr>
            <a:solidFill>
              <a:schemeClr val="accent2">
                <a:lumMod val="60000"/>
              </a:schemeClr>
            </a:solidFill>
            <a:ln>
              <a:noFill/>
            </a:ln>
            <a:effectLst/>
          </c:spPr>
          <c:invertIfNegative val="0"/>
          <c:cat>
            <c:strRef>
              <c:f>'W5'!$O$70:$P$70</c:f>
            </c:strRef>
          </c:cat>
          <c:val>
            <c:numRef>
              <c:f>'W5'!$O$80:$P$80</c:f>
            </c:numRef>
          </c:val>
          <c:extLst xmlns:c15="http://schemas.microsoft.com/office/drawing/2012/chart">
            <c:ext xmlns:c16="http://schemas.microsoft.com/office/drawing/2014/chart" uri="{C3380CC4-5D6E-409C-BE32-E72D297353CC}">
              <c16:uniqueId val="{00000010-32B5-4FBA-9C19-44E60C4505B0}"/>
            </c:ext>
          </c:extLst>
        </c:ser>
        <c:ser>
          <c:idx val="8"/>
          <c:order val="10"/>
          <c:tx>
            <c:strRef>
              <c:f>'W5'!$D$81</c:f>
              <c:strCache>
                <c:ptCount val="1"/>
                <c:pt idx="0">
                  <c:v>Hóa chất</c:v>
                </c:pt>
              </c:strCache>
              <c:extLst xmlns:c15="http://schemas.microsoft.com/office/drawing/2012/chart"/>
            </c:strRef>
          </c:tx>
          <c:spPr>
            <a:solidFill>
              <a:schemeClr val="accent3">
                <a:lumMod val="60000"/>
              </a:schemeClr>
            </a:solidFill>
            <a:ln>
              <a:noFill/>
            </a:ln>
            <a:effectLst/>
          </c:spPr>
          <c:invertIfNegative val="0"/>
          <c:cat>
            <c:strRef>
              <c:f>'W5'!$O$70:$P$70</c:f>
            </c:strRef>
          </c:cat>
          <c:val>
            <c:numRef>
              <c:f>'W5'!$O$81:$P$81</c:f>
            </c:numRef>
          </c:val>
          <c:extLst xmlns:c15="http://schemas.microsoft.com/office/drawing/2012/chart">
            <c:ext xmlns:c16="http://schemas.microsoft.com/office/drawing/2014/chart" uri="{C3380CC4-5D6E-409C-BE32-E72D297353CC}">
              <c16:uniqueId val="{00000011-32B5-4FBA-9C19-44E60C4505B0}"/>
            </c:ext>
          </c:extLst>
        </c:ser>
        <c:ser>
          <c:idx val="9"/>
          <c:order val="11"/>
          <c:tx>
            <c:strRef>
              <c:f>'W5'!$D$82</c:f>
              <c:strCache>
                <c:ptCount val="1"/>
                <c:pt idx="0">
                  <c:v>Nước</c:v>
                </c:pt>
              </c:strCache>
              <c:extLst xmlns:c15="http://schemas.microsoft.com/office/drawing/2012/chart"/>
            </c:strRef>
          </c:tx>
          <c:spPr>
            <a:solidFill>
              <a:schemeClr val="accent4">
                <a:lumMod val="60000"/>
              </a:schemeClr>
            </a:solidFill>
            <a:ln>
              <a:noFill/>
            </a:ln>
            <a:effectLst/>
          </c:spPr>
          <c:invertIfNegative val="0"/>
          <c:cat>
            <c:strRef>
              <c:f>'W5'!$O$70:$P$70</c:f>
            </c:strRef>
          </c:cat>
          <c:val>
            <c:numRef>
              <c:f>'W5'!$O$82:$P$82</c:f>
            </c:numRef>
          </c:val>
          <c:extLst xmlns:c15="http://schemas.microsoft.com/office/drawing/2012/chart">
            <c:ext xmlns:c16="http://schemas.microsoft.com/office/drawing/2014/chart" uri="{C3380CC4-5D6E-409C-BE32-E72D297353CC}">
              <c16:uniqueId val="{00000012-32B5-4FBA-9C19-44E60C4505B0}"/>
            </c:ext>
          </c:extLst>
        </c:ser>
        <c:ser>
          <c:idx val="10"/>
          <c:order val="12"/>
          <c:tx>
            <c:strRef>
              <c:f>'W5'!$D$83</c:f>
              <c:strCache>
                <c:ptCount val="1"/>
                <c:pt idx="0">
                  <c:v>Giá thành</c:v>
                </c:pt>
              </c:strCache>
              <c:extLst xmlns:c15="http://schemas.microsoft.com/office/drawing/2012/chart"/>
            </c:strRef>
          </c:tx>
          <c:spPr>
            <a:solidFill>
              <a:schemeClr val="accent5">
                <a:lumMod val="60000"/>
              </a:schemeClr>
            </a:solidFill>
            <a:ln>
              <a:noFill/>
            </a:ln>
            <a:effectLst/>
          </c:spPr>
          <c:invertIfNegative val="0"/>
          <c:cat>
            <c:strRef>
              <c:f>'W5'!$O$70:$P$70</c:f>
            </c:strRef>
          </c:cat>
          <c:val>
            <c:numRef>
              <c:f>'W5'!$O$83:$P$83</c:f>
            </c:numRef>
          </c:val>
          <c:extLst xmlns:c15="http://schemas.microsoft.com/office/drawing/2012/chart">
            <c:ext xmlns:c16="http://schemas.microsoft.com/office/drawing/2014/chart" uri="{C3380CC4-5D6E-409C-BE32-E72D297353CC}">
              <c16:uniqueId val="{00000013-32B5-4FBA-9C19-44E60C4505B0}"/>
            </c:ext>
          </c:extLst>
        </c:ser>
        <c:ser>
          <c:idx val="11"/>
          <c:order val="13"/>
          <c:tx>
            <c:strRef>
              <c:f>'W5'!$D$84</c:f>
              <c:strCache>
                <c:ptCount val="1"/>
                <c:pt idx="0">
                  <c:v>Thuế thu nhập</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'W5'!$O$84:$P$84</c:f>
            </c:numRef>
          </c:val>
          <c:extLst>
            <c:ext xmlns:c15="http://schemas.microsoft.com/office/drawing/2012/chart" uri="{02D57815-91ED-43cb-92C2-25804820EDAC}">
              <c15:datalabelsRange>
                <c15:f>'W5'!$P$84</c15:f>
              </c15:datalabelsRange>
            </c:ext>
            <c:ext xmlns:c16="http://schemas.microsoft.com/office/drawing/2014/chart" uri="{C3380CC4-5D6E-409C-BE32-E72D297353CC}">
              <c16:uniqueId val="{00000007-32B5-4FBA-9C19-44E60C4505B0}"/>
            </c:ext>
          </c:extLst>
        </c:ser>
        <c:ser>
          <c:idx val="12"/>
          <c:order val="14"/>
          <c:tx>
            <c:strRef>
              <c:f>'W5'!$D$85</c:f>
              <c:strCache>
                <c:ptCount val="1"/>
                <c:pt idx="0">
                  <c:v>Lợi nhuận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'W5'!$O$85:$P$85</c:f>
            </c:numRef>
          </c:val>
          <c:extLst>
            <c:ext xmlns:c15="http://schemas.microsoft.com/office/drawing/2012/chart" uri="{02D57815-91ED-43cb-92C2-25804820EDAC}">
              <c15:datalabelsRange>
                <c15:f>'W5'!$P$85</c15:f>
              </c15:datalabelsRange>
            </c:ext>
            <c:ext xmlns:c16="http://schemas.microsoft.com/office/drawing/2014/chart" uri="{C3380CC4-5D6E-409C-BE32-E72D297353CC}">
              <c16:uniqueId val="{00000009-32B5-4FBA-9C19-44E60C4505B0}"/>
            </c:ext>
          </c:extLst>
        </c:ser>
        <c:ser>
          <c:idx val="13"/>
          <c:order val="15"/>
          <c:tx>
            <c:strRef>
              <c:f>'W5'!$D$86</c:f>
              <c:strCache>
                <c:ptCount val="1"/>
                <c:pt idx="0">
                  <c:v>Giá bán</c:v>
                </c:pt>
              </c:strCache>
              <c:extLst xmlns:c15="http://schemas.microsoft.com/office/drawing/2012/chart"/>
            </c:strRef>
          </c:tx>
          <c:spPr>
            <a:solidFill>
              <a:schemeClr val="accent2">
                <a:lumMod val="80000"/>
                <a:lumOff val="20000"/>
              </a:schemeClr>
            </a:solidFill>
            <a:ln>
              <a:noFill/>
            </a:ln>
            <a:effectLst/>
          </c:spPr>
          <c:invertIfNegative val="0"/>
          <c:cat>
            <c:strRef>
              <c:f>'W5'!$O$70:$P$70</c:f>
            </c:strRef>
          </c:cat>
          <c:val>
            <c:numRef>
              <c:f>'W5'!$O$86:$P$86</c:f>
            </c:numRef>
          </c:val>
          <c:extLst xmlns:c15="http://schemas.microsoft.com/office/drawing/2012/chart">
            <c:ext xmlns:c16="http://schemas.microsoft.com/office/drawing/2014/chart" uri="{C3380CC4-5D6E-409C-BE32-E72D297353CC}">
              <c16:uniqueId val="{00000014-32B5-4FBA-9C19-44E60C4505B0}"/>
            </c:ext>
          </c:extLst>
        </c:ser>
        <c:ser>
          <c:idx val="16"/>
          <c:order val="16"/>
          <c:tx>
            <c:strRef>
              <c:f>'W5'!$D$87</c:f>
              <c:strCache>
                <c:ptCount val="1"/>
                <c:pt idx="0">
                  <c:v>% Lãi gộp nguyên liệu/Giá bán</c:v>
                </c:pt>
              </c:strCache>
              <c:extLst xmlns:c15="http://schemas.microsoft.com/office/drawing/2012/chart"/>
            </c:strRef>
          </c:tx>
          <c:spPr>
            <a:solidFill>
              <a:schemeClr val="accent5">
                <a:lumMod val="80000"/>
                <a:lumOff val="20000"/>
              </a:schemeClr>
            </a:solidFill>
            <a:ln>
              <a:noFill/>
            </a:ln>
            <a:effectLst/>
          </c:spPr>
          <c:invertIfNegative val="0"/>
          <c:cat>
            <c:strRef>
              <c:f>'W5'!$O$70:$P$70</c:f>
            </c:strRef>
          </c:cat>
          <c:val>
            <c:numRef>
              <c:f>'W5'!$O$87:$P$87</c:f>
            </c:numRef>
          </c:val>
          <c:extLst xmlns:c15="http://schemas.microsoft.com/office/drawing/2012/chart">
            <c:ext xmlns:c16="http://schemas.microsoft.com/office/drawing/2014/chart" uri="{C3380CC4-5D6E-409C-BE32-E72D297353CC}">
              <c16:uniqueId val="{00000015-32B5-4FBA-9C19-44E60C4505B0}"/>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E992FADF-A956-4CC2-BA56-4F499088037D}" type="SERIESNAME">
                      <a:rPr lang="en-US" sz="1300" baseline="0"/>
                      <a:pPr>
                        <a:defRPr sz="1300"/>
                      </a:pPr>
                      <a:t>[SERIES NAME]</a:t>
                    </a:fld>
                    <a:r>
                      <a:rPr lang="en-US" sz="1300" baseline="0"/>
                      <a:t>, </a:t>
                    </a:r>
                    <a:fld id="{789B06FC-8ABB-4852-87E5-9A45D99CDC07}"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1A4D-4F56-B6C7-59FDFB1D87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'W5'!$H$49</c15:f>
              </c15:datalabelsRange>
            </c:ext>
            <c:ext xmlns:c16="http://schemas.microsoft.com/office/drawing/2014/chart" uri="{C3380CC4-5D6E-409C-BE32-E72D297353CC}">
              <c16:uniqueId val="{00000001-1A4D-4F56-B6C7-59FDFB1D878D}"/>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F643B8A2-91AA-4C46-B2FC-B7A1429F5AB5}" type="CELLRANGE">
                      <a:rPr lang="en-US" baseline="0"/>
                      <a:pPr/>
                      <a:t>[CELLRANGE]</a:t>
                    </a:fld>
                    <a:r>
                      <a:rPr lang="en-US" baseline="0"/>
                      <a:t>, </a:t>
                    </a:r>
                    <a:fld id="{14F5A5BB-F481-4E0F-9AD3-618A69B231FF}" type="SERIESNAME">
                      <a:rPr lang="en-US" baseline="0"/>
                      <a:pPr/>
                      <a:t>[SERIES NAME]</a:t>
                    </a:fld>
                    <a:r>
                      <a:rPr lang="en-US" baseline="0"/>
                      <a:t>, </a:t>
                    </a:r>
                    <a:fld id="{079567D2-2A3B-45A5-98BC-1792394B1EC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1A4D-4F56-B6C7-59FDFB1D878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1A4D-4F56-B6C7-59FDFB1D878D}"/>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3EECBD6E-F32E-4E33-9FE5-EA6C90E96C78}" type="CELLRANGE">
                      <a:rPr lang="en-US" sz="1300" baseline="0"/>
                      <a:pPr>
                        <a:defRPr sz="1300"/>
                      </a:pPr>
                      <a:t>[CELLRANGE]</a:t>
                    </a:fld>
                    <a:r>
                      <a:rPr lang="en-US" sz="1300" baseline="0"/>
                      <a:t>, </a:t>
                    </a:r>
                    <a:fld id="{E3097670-0068-4482-BD9B-8F219E57E4D3}" type="SERIESNAME">
                      <a:rPr lang="en-US" sz="1300" baseline="0"/>
                      <a:pPr>
                        <a:defRPr sz="1300"/>
                      </a:pPr>
                      <a:t>[SERIES NAME]</a:t>
                    </a:fld>
                    <a:r>
                      <a:rPr lang="en-US" sz="1300" baseline="0"/>
                      <a:t>, </a:t>
                    </a:r>
                    <a:fld id="{9DE8D5A4-2D7F-4546-8D86-3B01EA03392B}"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1A4D-4F56-B6C7-59FDFB1D878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199.88456354781695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29.4%</c:v>
                  </c:pt>
                </c15:dlblRangeCache>
              </c15:datalabelsRange>
            </c:ext>
            <c:ext xmlns:c16="http://schemas.microsoft.com/office/drawing/2014/chart" uri="{C3380CC4-5D6E-409C-BE32-E72D297353CC}">
              <c16:uniqueId val="{00000005-1A4D-4F56-B6C7-59FDFB1D878D}"/>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E1FE8C35-5760-4ED2-B729-2CAC8D27A0CC}" type="CELLRANGE">
                      <a:rPr lang="en-US" baseline="0"/>
                      <a:pPr/>
                      <a:t>[CELLRANGE]</a:t>
                    </a:fld>
                    <a:r>
                      <a:rPr lang="en-US" baseline="0"/>
                      <a:t>, </a:t>
                    </a:r>
                    <a:fld id="{3E0E8302-4A02-48A8-9E6D-C313F5477F04}" type="SERIESNAME">
                      <a:rPr lang="en-US" baseline="0"/>
                      <a:pPr/>
                      <a:t>[SERIES NAME]</a:t>
                    </a:fld>
                    <a:r>
                      <a:rPr lang="en-US" baseline="0"/>
                      <a:t>, </a:t>
                    </a:r>
                    <a:fld id="{7FA5F5CA-D196-4006-8C34-4C7DF7F80373}"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1A4D-4F56-B6C7-59FDFB1D87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13.896635677533368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2.0%</c:v>
                  </c:pt>
                </c15:dlblRangeCache>
              </c15:datalabelsRange>
            </c:ext>
            <c:ext xmlns:c16="http://schemas.microsoft.com/office/drawing/2014/chart" uri="{C3380CC4-5D6E-409C-BE32-E72D297353CC}">
              <c16:uniqueId val="{00000007-1A4D-4F56-B6C7-59FDFB1D878D}"/>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6B25468F-4985-48C9-9816-F800E4C57045}"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6678C11D-ED90-4381-8A9B-12CFA1009A4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BF25E5E-094B-4628-A265-B703FB8C2A0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1A4D-4F56-B6C7-59FDFB1D878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55.586542710133472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8.2%</c:v>
                  </c:pt>
                </c15:dlblRangeCache>
              </c15:datalabelsRange>
            </c:ext>
            <c:ext xmlns:c16="http://schemas.microsoft.com/office/drawing/2014/chart" uri="{C3380CC4-5D6E-409C-BE32-E72D297353CC}">
              <c16:uniqueId val="{00000009-1A4D-4F56-B6C7-59FDFB1D878D}"/>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1A4D-4F56-B6C7-59FDFB1D878D}"/>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1A4D-4F56-B6C7-59FDFB1D878D}"/>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1A4D-4F56-B6C7-59FDFB1D878D}"/>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34.904894027008218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1A4D-4F56-B6C7-59FDFB1D878D}"/>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1A4D-4F56-B6C7-59FDFB1D878D}"/>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1A4D-4F56-B6C7-59FDFB1D878D}"/>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1A4D-4F56-B6C7-59FDFB1D878D}"/>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1A4D-4F56-B6C7-59FDFB1D878D}"/>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1A4D-4F56-B6C7-59FDFB1D878D}"/>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610.51682161233316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1A4D-4F56-B6C7-59FDFB1D878D}"/>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1A4D-4F56-B6C7-59FDFB1D878D}"/>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1A4D-4F56-B6C7-59FDFB1D878D}"/>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65A73D2C-9E3E-4959-B2C6-F48685AD3A12}" type="SERIESNAME">
                      <a:rPr lang="en-US" baseline="0"/>
                      <a:pPr>
                        <a:defRPr sz="1300"/>
                      </a:pPr>
                      <a:t>[SERIES NAME]</a:t>
                    </a:fld>
                    <a:r>
                      <a:rPr lang="en-US" baseline="0"/>
                      <a:t>, </a:t>
                    </a:r>
                    <a:fld id="{D20B2249-0450-45A7-B6AA-674567CCD9FB}"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FE36-47F4-B59F-37F1A92112D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'W5'!$H$71</c15:f>
              </c15:datalabelsRange>
            </c:ext>
            <c:ext xmlns:c16="http://schemas.microsoft.com/office/drawing/2014/chart" uri="{C3380CC4-5D6E-409C-BE32-E72D297353CC}">
              <c16:uniqueId val="{00000001-FE36-47F4-B59F-37F1A92112D4}"/>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706DAD47-2E32-4CBB-A11B-F38A3646AD76}" type="CELLRANGE">
                      <a:rPr lang="en-US" baseline="0"/>
                      <a:pPr>
                        <a:defRPr sz="1100"/>
                      </a:pPr>
                      <a:t>[CELLRANGE]</a:t>
                    </a:fld>
                    <a:r>
                      <a:rPr lang="en-US" baseline="0"/>
                      <a:t>, </a:t>
                    </a:r>
                    <a:fld id="{9DE4A839-20F2-4E73-8FD1-93617C90724B}" type="SERIESNAME">
                      <a:rPr lang="en-US" baseline="0"/>
                      <a:pPr>
                        <a:defRPr sz="1100"/>
                      </a:pPr>
                      <a:t>[SERIES NAME]</a:t>
                    </a:fld>
                    <a:r>
                      <a:rPr lang="en-US" baseline="0"/>
                      <a:t>, </a:t>
                    </a:r>
                    <a:fld id="{3FABF70D-C4CE-42EF-9A86-81562B775B91}"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FE36-47F4-B59F-37F1A92112D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FE36-47F4-B59F-37F1A92112D4}"/>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FE36-47F4-B59F-37F1A92112D4}"/>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A856230E-F21C-45B7-AECC-241375A087A0}" type="CELLRANGE">
                      <a:rPr lang="en-US" baseline="0"/>
                      <a:pPr>
                        <a:defRPr sz="1300"/>
                      </a:pPr>
                      <a:t>[CELLRANGE]</a:t>
                    </a:fld>
                    <a:r>
                      <a:rPr lang="en-US" baseline="0"/>
                      <a:t>, </a:t>
                    </a:r>
                    <a:fld id="{150003E0-154F-4421-B48A-4DAEC50B6688}" type="SERIESNAME">
                      <a:rPr lang="en-US" baseline="0"/>
                      <a:pPr>
                        <a:defRPr sz="1300"/>
                      </a:pPr>
                      <a:t>[SERIES NAME]</a:t>
                    </a:fld>
                    <a:r>
                      <a:rPr lang="en-US" baseline="0"/>
                      <a:t>, </a:t>
                    </a:r>
                    <a:fld id="{95C4A828-9B1C-4F5E-918F-59223957DDE3}"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FE36-47F4-B59F-37F1A92112D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512.52452191747943</c:v>
                </c:pt>
              </c:numCache>
            </c:numRef>
          </c:val>
          <c:extLst xmlns:c15="http://schemas.microsoft.com/office/drawing/2012/chart">
            <c:ext xmlns:c15="http://schemas.microsoft.com/office/drawing/2012/chart" uri="{02D57815-91ED-43cb-92C2-25804820EDAC}">
              <c15:datalabelsRange>
                <c15:f>'W5'!$F$74</c15:f>
                <c15:dlblRangeCache>
                  <c:ptCount val="1"/>
                  <c:pt idx="0">
                    <c:v>29.4%</c:v>
                  </c:pt>
                </c15:dlblRangeCache>
              </c15:datalabelsRange>
            </c:ext>
            <c:ext xmlns:c16="http://schemas.microsoft.com/office/drawing/2014/chart" uri="{C3380CC4-5D6E-409C-BE32-E72D297353CC}">
              <c16:uniqueId val="{00000006-FE36-47F4-B59F-37F1A92112D4}"/>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24FCDC3-CEB9-4F16-B996-4FB0AA2759E6}" type="CELLRANGE">
                      <a:rPr lang="en-US" sz="1100" baseline="0"/>
                      <a:pPr>
                        <a:defRPr sz="1100"/>
                      </a:pPr>
                      <a:t>[CELLRANGE]</a:t>
                    </a:fld>
                    <a:r>
                      <a:rPr lang="en-US" sz="1100" baseline="0"/>
                      <a:t>, </a:t>
                    </a:r>
                    <a:fld id="{0D311E24-C0D0-415F-BBDD-06C79046D3D5}" type="SERIESNAME">
                      <a:rPr lang="en-US" sz="1100" baseline="0"/>
                      <a:pPr>
                        <a:defRPr sz="1100"/>
                      </a:pPr>
                      <a:t>[SERIES NAME]</a:t>
                    </a:fld>
                    <a:r>
                      <a:rPr lang="en-US" sz="1100" baseline="0"/>
                      <a:t>, </a:t>
                    </a:r>
                    <a:fld id="{5C1FD95B-D86D-468A-A277-2851F94207C4}"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FE36-47F4-B59F-37F1A92112D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35.632399173162504</c:v>
                </c:pt>
              </c:numCache>
            </c:numRef>
          </c:val>
          <c:extLst>
            <c:ext xmlns:c15="http://schemas.microsoft.com/office/drawing/2012/chart" uri="{02D57815-91ED-43cb-92C2-25804820EDAC}">
              <c15:datalabelsRange>
                <c15:f>'W5'!$F$84</c15:f>
                <c15:dlblRangeCache>
                  <c:ptCount val="1"/>
                  <c:pt idx="0">
                    <c:v>2.0%</c:v>
                  </c:pt>
                </c15:dlblRangeCache>
              </c15:datalabelsRange>
            </c:ext>
            <c:ext xmlns:c16="http://schemas.microsoft.com/office/drawing/2014/chart" uri="{C3380CC4-5D6E-409C-BE32-E72D297353CC}">
              <c16:uniqueId val="{00000008-FE36-47F4-B59F-37F1A92112D4}"/>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62E80FA-DCC7-4F9B-A0FD-CADC4FB7BEC4}"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5BB49F8D-7509-4B9A-8B84-FAA44BA626F6}"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F465E42F-FD64-4F46-8718-D04BB59DF92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FE36-47F4-B59F-37F1A92112D4}"/>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142.52959669265002</c:v>
                </c:pt>
              </c:numCache>
            </c:numRef>
          </c:val>
          <c:extLst>
            <c:ext xmlns:c15="http://schemas.microsoft.com/office/drawing/2012/chart" uri="{02D57815-91ED-43cb-92C2-25804820EDAC}">
              <c15:datalabelsRange>
                <c15:f>'W5'!$F$85</c15:f>
                <c15:dlblRangeCache>
                  <c:ptCount val="1"/>
                  <c:pt idx="0">
                    <c:v>8.2%</c:v>
                  </c:pt>
                </c15:dlblRangeCache>
              </c15:datalabelsRange>
            </c:ext>
            <c:ext xmlns:c16="http://schemas.microsoft.com/office/drawing/2014/chart" uri="{C3380CC4-5D6E-409C-BE32-E72D297353CC}">
              <c16:uniqueId val="{0000000A-FE36-47F4-B59F-37F1A92112D4}"/>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FE36-47F4-B59F-37F1A92112D4}"/>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FE36-47F4-B59F-37F1A92112D4}"/>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FE36-47F4-B59F-37F1A92112D4}"/>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89.499728274380047</c:v>
                      </c:pt>
                    </c:numCache>
                  </c:numRef>
                </c:val>
                <c:extLst xmlns:c15="http://schemas.microsoft.com/office/drawing/2012/chart">
                  <c:ext xmlns:c16="http://schemas.microsoft.com/office/drawing/2014/chart" uri="{C3380CC4-5D6E-409C-BE32-E72D297353CC}">
                    <c16:uniqueId val="{0000000E-FE36-47F4-B59F-37F1A92112D4}"/>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FE36-47F4-B59F-37F1A92112D4}"/>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FE36-47F4-B59F-37F1A92112D4}"/>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FE36-47F4-B59F-37F1A92112D4}"/>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FE36-47F4-B59F-37F1A92112D4}"/>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FE36-47F4-B59F-37F1A92112D4}"/>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1565.4277477239311</c:v>
                      </c:pt>
                    </c:numCache>
                  </c:numRef>
                </c:val>
                <c:extLst xmlns:c15="http://schemas.microsoft.com/office/drawing/2012/chart">
                  <c:ext xmlns:c16="http://schemas.microsoft.com/office/drawing/2014/chart" uri="{C3380CC4-5D6E-409C-BE32-E72D297353CC}">
                    <c16:uniqueId val="{00000014-FE36-47F4-B59F-37F1A92112D4}"/>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FE36-47F4-B59F-37F1A92112D4}"/>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FE36-47F4-B59F-37F1A92112D4}"/>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A858878-9421-47F3-8161-A697A918551B}" type="CELLRANGE">
                      <a:rPr lang="en-US" sz="1300" baseline="0"/>
                      <a:pPr>
                        <a:defRPr sz="1300"/>
                      </a:pPr>
                      <a:t>[CELLRANGE]</a:t>
                    </a:fld>
                    <a:r>
                      <a:rPr lang="en-US" sz="1300" baseline="0"/>
                      <a:t>, </a:t>
                    </a:r>
                    <a:fld id="{376E9ACF-0E9D-4175-BBF2-B3835425395A}" type="SERIESNAME">
                      <a:rPr lang="en-US" sz="1300" baseline="0"/>
                      <a:pPr>
                        <a:defRPr sz="1300"/>
                      </a:pPr>
                      <a:t>[SERIES NAME]</a:t>
                    </a:fld>
                    <a:r>
                      <a:rPr lang="en-US" sz="1300" baseline="0"/>
                      <a:t>, </a:t>
                    </a:r>
                    <a:fld id="{AF6514CC-D6B3-4051-971D-7E4765A9F257}"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BDC4-4220-9DD5-8BE1428E6261}"/>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5CA40A67-9B19-4047-AC22-89C542860834}" type="CELLRANGE">
                      <a:rPr lang="en-US" baseline="0"/>
                      <a:pPr/>
                      <a:t>[CELLRANGE]</a:t>
                    </a:fld>
                    <a:r>
                      <a:rPr lang="en-US" baseline="0"/>
                      <a:t>, </a:t>
                    </a:r>
                    <a:fld id="{EF29680B-A82C-4221-9C5E-227C7A76DBAF}" type="SERIESNAME">
                      <a:rPr lang="en-US" baseline="0"/>
                      <a:pPr/>
                      <a:t>[SERIES NAME]</a:t>
                    </a:fld>
                    <a:r>
                      <a:rPr lang="en-US" baseline="0"/>
                      <a:t>, </a:t>
                    </a:r>
                    <a:fld id="{6B5BB9F6-8CB8-4A96-B129-DBAE37113E16}"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BDC4-4220-9DD5-8BE1428E626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BDC4-4220-9DD5-8BE1428E6261}"/>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08FDAE21-0C2C-41A2-A986-05B840565421}" type="CELLRANGE">
                      <a:rPr lang="en-US" sz="1300" baseline="0"/>
                      <a:pPr>
                        <a:defRPr sz="1300"/>
                      </a:pPr>
                      <a:t>[CELLRANGE]</a:t>
                    </a:fld>
                    <a:r>
                      <a:rPr lang="en-US" sz="1300" baseline="0"/>
                      <a:t>, </a:t>
                    </a:r>
                    <a:fld id="{A161D8DC-FBFD-4FEB-B1A5-1BFCFD1DC73F}" type="SERIESNAME">
                      <a:rPr lang="en-US" sz="1300" baseline="0"/>
                      <a:pPr>
                        <a:defRPr sz="1300"/>
                      </a:pPr>
                      <a:t>[SERIES NAME]</a:t>
                    </a:fld>
                    <a:r>
                      <a:rPr lang="en-US" sz="1300" baseline="0"/>
                      <a:t>, </a:t>
                    </a:r>
                    <a:fld id="{A47F7AB7-38FE-481F-8BDE-1ECE060D24C1}"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199.88456354781695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29.4%</c:v>
                  </c:pt>
                </c15:dlblRangeCache>
              </c15:datalabelsRange>
            </c:ext>
            <c:ext xmlns:c16="http://schemas.microsoft.com/office/drawing/2014/chart" uri="{C3380CC4-5D6E-409C-BE32-E72D297353CC}">
              <c16:uniqueId val="{00000005-BDC4-4220-9DD5-8BE1428E6261}"/>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4564ADDB-3FCB-4E4F-A1AD-0B648C8A323A}" type="CELLRANGE">
                      <a:rPr lang="en-US" baseline="0"/>
                      <a:pPr/>
                      <a:t>[CELLRANGE]</a:t>
                    </a:fld>
                    <a:r>
                      <a:rPr lang="en-US" baseline="0"/>
                      <a:t>, </a:t>
                    </a:r>
                    <a:fld id="{01E98358-BA1A-4275-BAD0-D67E1B35A917}" type="SERIESNAME">
                      <a:rPr lang="en-US" baseline="0"/>
                      <a:pPr/>
                      <a:t>[SERIES NAME]</a:t>
                    </a:fld>
                    <a:r>
                      <a:rPr lang="en-US" baseline="0"/>
                      <a:t>, </a:t>
                    </a:r>
                    <a:fld id="{3F9CBBF8-5597-4F9B-9822-CF2E08A5603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BDC4-4220-9DD5-8BE1428E62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13.896635677533368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2.0%</c:v>
                  </c:pt>
                </c15:dlblRangeCache>
              </c15:datalabelsRange>
            </c:ext>
            <c:ext xmlns:c16="http://schemas.microsoft.com/office/drawing/2014/chart" uri="{C3380CC4-5D6E-409C-BE32-E72D297353CC}">
              <c16:uniqueId val="{00000007-BDC4-4220-9DD5-8BE1428E6261}"/>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B8B39DC-1382-43EA-A741-7C98D8CE710A}"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3EE79BCE-18D6-4C4B-966B-4C3DFC61A161}"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27CD39A2-76B7-46F3-8761-ACAC086295D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BDC4-4220-9DD5-8BE1428E6261}"/>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55.586542710133472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8.2%</c:v>
                  </c:pt>
                </c15:dlblRangeCache>
              </c15:datalabelsRange>
            </c:ext>
            <c:ext xmlns:c16="http://schemas.microsoft.com/office/drawing/2014/chart" uri="{C3380CC4-5D6E-409C-BE32-E72D297353CC}">
              <c16:uniqueId val="{00000009-BDC4-4220-9DD5-8BE1428E6261}"/>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BDC4-4220-9DD5-8BE1428E6261}"/>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BDC4-4220-9DD5-8BE1428E6261}"/>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BDC4-4220-9DD5-8BE1428E6261}"/>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34.904894027008218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BDC4-4220-9DD5-8BE1428E6261}"/>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BDC4-4220-9DD5-8BE1428E6261}"/>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BDC4-4220-9DD5-8BE1428E6261}"/>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BDC4-4220-9DD5-8BE1428E6261}"/>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BDC4-4220-9DD5-8BE1428E6261}"/>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BDC4-4220-9DD5-8BE1428E6261}"/>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610.51682161233316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BDC4-4220-9DD5-8BE1428E6261}"/>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BDC4-4220-9DD5-8BE1428E6261}"/>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BDC4-4220-9DD5-8BE1428E6261}"/>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C4444731-F3E6-4148-849D-40E6DDFBE2DB}" type="CELLRANGE">
                      <a:rPr lang="en-US" baseline="0"/>
                      <a:pPr>
                        <a:defRPr sz="1300"/>
                      </a:pPr>
                      <a:t>[CELLRANGE]</a:t>
                    </a:fld>
                    <a:r>
                      <a:rPr lang="en-US" baseline="0"/>
                      <a:t>, </a:t>
                    </a:r>
                    <a:fld id="{F52FC6AF-B4E4-44B9-AA8F-3831C5F2F597}" type="SERIESNAME">
                      <a:rPr lang="en-US" baseline="0"/>
                      <a:pPr>
                        <a:defRPr sz="1300"/>
                      </a:pPr>
                      <a:t>[SERIES NAME]</a:t>
                    </a:fld>
                    <a:r>
                      <a:rPr lang="en-US" baseline="0"/>
                      <a:t>, </a:t>
                    </a:r>
                    <a:fld id="{E352A589-B5FD-4A0C-9F44-BCA7CFB07AFE}"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5F7C-4C0D-B5E7-7B8B5A23ECEF}"/>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0ED4D7A-EBDF-4505-A391-5BD096DEEEA4}" type="CELLRANGE">
                      <a:rPr lang="en-US" baseline="0"/>
                      <a:pPr>
                        <a:defRPr sz="1100"/>
                      </a:pPr>
                      <a:t>[CELLRANGE]</a:t>
                    </a:fld>
                    <a:r>
                      <a:rPr lang="en-US" baseline="0"/>
                      <a:t>, </a:t>
                    </a:r>
                    <a:fld id="{40371858-0CCD-4D9F-A937-73A3DD92A699}" type="SERIESNAME">
                      <a:rPr lang="en-US" baseline="0"/>
                      <a:pPr>
                        <a:defRPr sz="1100"/>
                      </a:pPr>
                      <a:t>[SERIES NAME]</a:t>
                    </a:fld>
                    <a:r>
                      <a:rPr lang="en-US" baseline="0"/>
                      <a:t>, </a:t>
                    </a:r>
                    <a:fld id="{ECF40989-7F26-434F-85A2-CA5EE3B16AE4}"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5F7C-4C0D-B5E7-7B8B5A23ECEF}"/>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5F7C-4C0D-B5E7-7B8B5A23ECEF}"/>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D09C477-0EEC-4E7A-A2D2-1469A9F98D23}" type="CELLRANGE">
                      <a:rPr lang="en-US" baseline="0"/>
                      <a:pPr>
                        <a:defRPr sz="1300"/>
                      </a:pPr>
                      <a:t>[CELLRANGE]</a:t>
                    </a:fld>
                    <a:r>
                      <a:rPr lang="en-US" baseline="0"/>
                      <a:t>, </a:t>
                    </a:r>
                    <a:fld id="{F819685C-6505-44B8-8D61-525E0A65CE61}" type="SERIESNAME">
                      <a:rPr lang="en-US" baseline="0"/>
                      <a:pPr>
                        <a:defRPr sz="1300"/>
                      </a:pPr>
                      <a:t>[SERIES NAME]</a:t>
                    </a:fld>
                    <a:r>
                      <a:rPr lang="en-US" baseline="0"/>
                      <a:t>, </a:t>
                    </a:r>
                    <a:fld id="{35FED91C-0D89-404F-8922-822AD135FE8E}"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512.52452191747943</c:v>
                </c:pt>
              </c:numCache>
            </c:numRef>
          </c:val>
          <c:extLst xmlns:c15="http://schemas.microsoft.com/office/drawing/2012/chart">
            <c:ext xmlns:c15="http://schemas.microsoft.com/office/drawing/2012/chart" uri="{02D57815-91ED-43cb-92C2-25804820EDAC}">
              <c15:datalabelsRange>
                <c15:f>'W5'!$F$74</c15:f>
                <c15:dlblRangeCache>
                  <c:ptCount val="1"/>
                  <c:pt idx="0">
                    <c:v>29.4%</c:v>
                  </c:pt>
                </c15:dlblRangeCache>
              </c15:datalabelsRange>
            </c:ext>
            <c:ext xmlns:c16="http://schemas.microsoft.com/office/drawing/2014/chart" uri="{C3380CC4-5D6E-409C-BE32-E72D297353CC}">
              <c16:uniqueId val="{00000006-5F7C-4C0D-B5E7-7B8B5A23ECEF}"/>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15B17A6-1874-4E74-A8A6-8E8C4565B242}" type="CELLRANGE">
                      <a:rPr lang="en-US" sz="1100" baseline="0"/>
                      <a:pPr>
                        <a:defRPr sz="1100"/>
                      </a:pPr>
                      <a:t>[CELLRANGE]</a:t>
                    </a:fld>
                    <a:r>
                      <a:rPr lang="en-US" sz="1100" baseline="0"/>
                      <a:t>, </a:t>
                    </a:r>
                    <a:fld id="{E74EF95D-C5F6-429C-BF8A-05E66B2D41B6}" type="SERIESNAME">
                      <a:rPr lang="en-US" sz="1100" baseline="0"/>
                      <a:pPr>
                        <a:defRPr sz="1100"/>
                      </a:pPr>
                      <a:t>[SERIES NAME]</a:t>
                    </a:fld>
                    <a:r>
                      <a:rPr lang="en-US" sz="1100" baseline="0"/>
                      <a:t>, </a:t>
                    </a:r>
                    <a:fld id="{4772EA04-73AE-4C21-AE3E-A3C7CBEFC9D2}"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5F7C-4C0D-B5E7-7B8B5A23EC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35.632399173162504</c:v>
                </c:pt>
              </c:numCache>
            </c:numRef>
          </c:val>
          <c:extLst>
            <c:ext xmlns:c15="http://schemas.microsoft.com/office/drawing/2012/chart" uri="{02D57815-91ED-43cb-92C2-25804820EDAC}">
              <c15:datalabelsRange>
                <c15:f>'W5'!$F$84</c15:f>
                <c15:dlblRangeCache>
                  <c:ptCount val="1"/>
                  <c:pt idx="0">
                    <c:v>2.0%</c:v>
                  </c:pt>
                </c15:dlblRangeCache>
              </c15:datalabelsRange>
            </c:ext>
            <c:ext xmlns:c16="http://schemas.microsoft.com/office/drawing/2014/chart" uri="{C3380CC4-5D6E-409C-BE32-E72D297353CC}">
              <c16:uniqueId val="{00000008-5F7C-4C0D-B5E7-7B8B5A23ECEF}"/>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E457C9AF-4037-49F4-80C8-7A2D83D725F7}"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5D4543AE-6F0F-4D51-AC72-A09A6820A43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8A06AB2-F90D-42D0-A51E-D5E66ACCA17E}"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5F7C-4C0D-B5E7-7B8B5A23ECEF}"/>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142.52959669265002</c:v>
                </c:pt>
              </c:numCache>
            </c:numRef>
          </c:val>
          <c:extLst>
            <c:ext xmlns:c15="http://schemas.microsoft.com/office/drawing/2012/chart" uri="{02D57815-91ED-43cb-92C2-25804820EDAC}">
              <c15:datalabelsRange>
                <c15:f>'W5'!$F$85</c15:f>
                <c15:dlblRangeCache>
                  <c:ptCount val="1"/>
                  <c:pt idx="0">
                    <c:v>8.2%</c:v>
                  </c:pt>
                </c15:dlblRangeCache>
              </c15:datalabelsRange>
            </c:ext>
            <c:ext xmlns:c16="http://schemas.microsoft.com/office/drawing/2014/chart" uri="{C3380CC4-5D6E-409C-BE32-E72D297353CC}">
              <c16:uniqueId val="{0000000A-5F7C-4C0D-B5E7-7B8B5A23ECE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5F7C-4C0D-B5E7-7B8B5A23ECEF}"/>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5F7C-4C0D-B5E7-7B8B5A23ECEF}"/>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5F7C-4C0D-B5E7-7B8B5A23ECEF}"/>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89.499728274380047</c:v>
                      </c:pt>
                    </c:numCache>
                  </c:numRef>
                </c:val>
                <c:extLst xmlns:c15="http://schemas.microsoft.com/office/drawing/2012/chart">
                  <c:ext xmlns:c16="http://schemas.microsoft.com/office/drawing/2014/chart" uri="{C3380CC4-5D6E-409C-BE32-E72D297353CC}">
                    <c16:uniqueId val="{0000000E-5F7C-4C0D-B5E7-7B8B5A23ECEF}"/>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5F7C-4C0D-B5E7-7B8B5A23ECEF}"/>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5F7C-4C0D-B5E7-7B8B5A23ECEF}"/>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5F7C-4C0D-B5E7-7B8B5A23ECEF}"/>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5F7C-4C0D-B5E7-7B8B5A23ECEF}"/>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5F7C-4C0D-B5E7-7B8B5A23ECEF}"/>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1565.4277477239311</c:v>
                      </c:pt>
                    </c:numCache>
                  </c:numRef>
                </c:val>
                <c:extLst xmlns:c15="http://schemas.microsoft.com/office/drawing/2012/chart">
                  <c:ext xmlns:c16="http://schemas.microsoft.com/office/drawing/2014/chart" uri="{C3380CC4-5D6E-409C-BE32-E72D297353CC}">
                    <c16:uniqueId val="{00000014-5F7C-4C0D-B5E7-7B8B5A23ECEF}"/>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5F7C-4C0D-B5E7-7B8B5A23ECEF}"/>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5F7C-4C0D-B5E7-7B8B5A23ECEF}"/>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userShapes r:id="rId4"/>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569742B0-69D8-454F-A905-41D19BC3EAE8}"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925A3A62-284C-4B9C-B965-67921F53833F}"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88EA12A8-95E1-41DD-B11E-BCB569B3351C}"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42CE-4392-B81C-6A42369A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'W5'!$K$49:$L$49</c15:sqref>
                  </c15:fullRef>
                </c:ext>
              </c:extLst>
              <c:f>'W5'!$K$49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'W5'!$L$49</c15:f>
                <c15:dlblRangeCache>
                  <c:ptCount val="1"/>
                  <c:pt idx="0">
                    <c:v>56.2%</c:v>
                  </c:pt>
                </c15:dlblRangeCache>
              </c15:datalabelsRange>
            </c:ext>
            <c:ext xmlns:c16="http://schemas.microsoft.com/office/drawing/2014/chart" uri="{C3380CC4-5D6E-409C-BE32-E72D297353CC}">
              <c16:uniqueId val="{00000001-42CE-4392-B81C-6A42369A2B04}"/>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853E0500-9D8B-4E16-8C1A-0D09FECE340A}"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9CBC66EC-05F5-45CD-B875-56D7A21E3CE3}"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4000EE08-8CA6-4A1F-B1BC-91B8D487A459}"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42CE-4392-B81C-6A42369A2B0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'W5'!$K$51:$L$51</c15:sqref>
                  </c15:fullRef>
                </c:ext>
              </c:extLst>
              <c:f>'W5'!$K$51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'W5'!$L$51</c15:f>
                <c15:dlblRangeCache>
                  <c:ptCount val="1"/>
                  <c:pt idx="0">
                    <c:v>4.2%</c:v>
                  </c:pt>
                </c15:dlblRangeCache>
              </c15:datalabelsRange>
            </c:ext>
            <c:ext xmlns:c16="http://schemas.microsoft.com/office/drawing/2014/chart" uri="{C3380CC4-5D6E-409C-BE32-E72D297353CC}">
              <c16:uniqueId val="{00000003-42CE-4392-B81C-6A42369A2B04}"/>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8772C093-49C8-4E03-8AC2-F432E14E6088}" type="CELLRANGE">
                      <a:rPr lang="en-US" sz="1300" baseline="0"/>
                      <a:pPr>
                        <a:defRPr sz="1300"/>
                      </a:pPr>
                      <a:t>[CELLRANGE]</a:t>
                    </a:fld>
                    <a:r>
                      <a:rPr lang="en-US" sz="1300" baseline="0"/>
                      <a:t>, </a:t>
                    </a:r>
                    <a:fld id="{9D2C7422-28AF-4CD6-9E80-9F8720CEF1E4}" type="SERIESNAME">
                      <a:rPr lang="en-US" sz="1300" baseline="0"/>
                      <a:pPr>
                        <a:defRPr sz="1300"/>
                      </a:pPr>
                      <a:t>[SERIES NAME]</a:t>
                    </a:fld>
                    <a:r>
                      <a:rPr lang="en-US" sz="1300" baseline="0"/>
                      <a:t>, </a:t>
                    </a:r>
                    <a:fld id="{33119D6D-9F0B-4BB2-9B9E-5424577DA93C}"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233.16001964250498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34.3%</c:v>
                  </c:pt>
                </c15:dlblRangeCache>
              </c15:datalabelsRange>
            </c:ext>
            <c:ext xmlns:c16="http://schemas.microsoft.com/office/drawing/2014/chart" uri="{C3380CC4-5D6E-409C-BE32-E72D297353CC}">
              <c16:uniqueId val="{00000005-42CE-4392-B81C-6A42369A2B04}"/>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32C02562-A7F1-40BA-A3A1-D31861C8FC01}" type="CELLRANGE">
                      <a:rPr lang="en-US" baseline="0"/>
                      <a:pPr>
                        <a:defRPr/>
                      </a:pPr>
                      <a:t>[CELLRANGE]</a:t>
                    </a:fld>
                    <a:r>
                      <a:rPr lang="en-US" baseline="0"/>
                      <a:t>, </a:t>
                    </a:r>
                    <a:fld id="{08E6A9A5-14B1-4E43-9467-1F32ADA8A734}" type="SERIESNAME">
                      <a:rPr lang="en-US" baseline="0"/>
                      <a:pPr>
                        <a:defRPr/>
                      </a:pPr>
                      <a:t>[SERIES NAME]</a:t>
                    </a:fld>
                    <a:r>
                      <a:rPr lang="en-US" baseline="0"/>
                      <a:t>, </a:t>
                    </a:r>
                    <a:fld id="{307ECF69-C015-4DCE-B2ED-1501A3BD6547}"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'W5'!$K$62:$L$62</c15:sqref>
                  </c15:fullRef>
                </c:ext>
              </c:extLst>
              <c:f>'W5'!$K$62</c:f>
              <c:numCache>
                <c:formatCode>0.0%;\-0.0.%;</c:formatCode>
                <c:ptCount val="1"/>
                <c:pt idx="0" formatCode="#,##0_);\(#,##0\);;">
                  <c:v>7.2415444585957633</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'W5'!$L$62</c15:f>
                <c15:dlblRangeCache>
                  <c:ptCount val="1"/>
                  <c:pt idx="0">
                    <c:v>1.1%</c:v>
                  </c:pt>
                </c15:dlblRangeCache>
              </c15:datalabelsRange>
            </c:ext>
            <c:ext xmlns:c16="http://schemas.microsoft.com/office/drawing/2014/chart" uri="{C3380CC4-5D6E-409C-BE32-E72D297353CC}">
              <c16:uniqueId val="{00000007-42CE-4392-B81C-6A42369A2B04}"/>
            </c:ext>
          </c:extLst>
        </c:ser>
        <c:ser>
          <c:idx val="13"/>
          <c:order val="14"/>
          <c:tx>
            <c:strRef>
              <c:f>'W5'!$D$63</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4C2EDCF6-5D41-4626-BCE2-CF0BF48E5ABD}"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95D61582-663C-4CC2-B7AB-DB60D3239EFB}"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23F89274-1184-45C9-A175-B0ACCB6C89F1}"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42CE-4392-B81C-6A42369A2B04}"/>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'W5'!$K$63:$L$63</c15:sqref>
                  </c15:fullRef>
                </c:ext>
              </c:extLst>
              <c:f>'W5'!$K$63</c:f>
              <c:numCache>
                <c:formatCode>0.0%;\-0.0.%;</c:formatCode>
                <c:ptCount val="1"/>
                <c:pt idx="0" formatCode="#,##0_);\(#,##0\);;">
                  <c:v>28.966177834383053</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'W5'!$L$63</c15:f>
                <c15:dlblRangeCache>
                  <c:ptCount val="1"/>
                  <c:pt idx="0">
                    <c:v>4.3%</c:v>
                  </c:pt>
                </c15:dlblRangeCache>
              </c15:datalabelsRange>
            </c:ext>
            <c:ext xmlns:c16="http://schemas.microsoft.com/office/drawing/2014/chart" uri="{C3380CC4-5D6E-409C-BE32-E72D297353CC}">
              <c16:uniqueId val="{00000009-42CE-4392-B81C-6A42369A2B04}"/>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64274FC-2A3E-405C-9739-EFC0874443F6}"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E2A76A4F-8D46-436D-B35D-18F63BC34EFD}"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42CE-4392-B81C-6A42369A2B0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'W5'!$K$50:$L$50</c15:sqref>
                        </c15:fullRef>
                        <c15:formulaRef>
                          <c15:sqref>'W5'!$K$50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uri="{02D57815-91ED-43cb-92C2-25804820EDAC}">
                    <c15:datalabelsRange>
                      <c15:f>'W5'!$H$51</c15:f>
                    </c15:datalabelsRange>
                  </c:ext>
                  <c:ext xmlns:c16="http://schemas.microsoft.com/office/drawing/2014/chart" uri="{C3380CC4-5D6E-409C-BE32-E72D297353CC}">
                    <c16:uniqueId val="{0000000B-42CE-4392-B81C-6A42369A2B04}"/>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6E47AC9F-F049-47AC-909D-499F19F15329}" type="SERIESNAME">
                            <a:rPr lang="en-US" baseline="0"/>
                            <a:pPr>
                              <a:defRPr sz="1300" b="1">
                                <a:solidFill>
                                  <a:srgbClr val="FF0000"/>
                                </a:solidFill>
                              </a:defRPr>
                            </a:pPr>
                            <a:t>[SERIES NAME]</a:t>
                          </a:fld>
                          <a:r>
                            <a:rPr lang="en-US" baseline="0"/>
                            <a:t>, </a:t>
                          </a:r>
                          <a:fld id="{6793A187-5332-455D-9C7C-AD02099C1D5E}"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42CE-4392-B81C-6A42369A2B04}"/>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'W5'!$K$53:$L$53</c15:sqref>
                        </c15:fullRef>
                        <c15:formulaRef>
                          <c15:sqref>'W5'!$K$53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atalabelsRange>
                  </c:ext>
                  <c:ext xmlns:c16="http://schemas.microsoft.com/office/drawing/2014/chart" uri="{C3380CC4-5D6E-409C-BE32-E72D297353CC}">
                    <c16:uniqueId val="{0000000D-42CE-4392-B81C-6A42369A2B04}"/>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'W5'!$K$54:$L$54</c15:sqref>
                        </c15:fullRef>
                        <c15:formulaRef>
                          <c15:sqref>'W5'!$K$54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E-42CE-4392-B81C-6A42369A2B04}"/>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'W5'!$K$55:$L$55</c15:sqref>
                        </c15:fullRef>
                        <c15:formulaRef>
                          <c15:sqref>'W5'!$K$55</c15:sqref>
                        </c15:formulaRef>
                      </c:ext>
                    </c:extLst>
                    <c:numCache>
                      <c:formatCode>0.0%;\-0.0.%;</c:formatCode>
                      <c:ptCount val="1"/>
                      <c:pt idx="0" formatCode="#,##0_);\(#,##0\);;">
                        <c:v>52.313830305772946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F-42CE-4392-B81C-6A42369A2B04}"/>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0-42CE-4392-B81C-6A42369A2B04}"/>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1-42CE-4392-B81C-6A42369A2B04}"/>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2-42CE-4392-B81C-6A42369A2B04}"/>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3-42CE-4392-B81C-6A42369A2B04}"/>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4-42CE-4392-B81C-6A42369A2B04}"/>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643.79227770702119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5-42CE-4392-B81C-6A42369A2B04}"/>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6-42CE-4392-B81C-6A42369A2B04}"/>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'W5'!$K$65:$L$65</c15:sqref>
                        </c15:fullRef>
                        <c15:formulaRef>
                          <c15:sqref>'W5'!$K$65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7-42CE-4392-B81C-6A42369A2B04}"/>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2210802-29AF-4C39-AA14-27301B628901}"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073E58E5-221B-46B5-9B7B-43EAC1A6B012}"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A1EDCC8C-AC2B-4C78-BCD3-1BE69BC7BB1F}"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'W5'!$K$71:$L$71</c15:sqref>
                  </c15:fullRef>
                </c:ext>
              </c:extLst>
              <c:f>'W5'!$K$71</c:f>
              <c:numCache>
                <c:formatCode>0.0%;\-0.0.%;</c:formatCode>
                <c:ptCount val="1"/>
                <c:pt idx="0" formatCode="#,##0_);\(#,##0\);;">
                  <c:v>979.2</c:v>
                </c:pt>
              </c:numCache>
            </c:numRef>
          </c:val>
          <c:extLst>
            <c:ext xmlns:c15="http://schemas.microsoft.com/office/drawing/2012/chart" uri="{02D57815-91ED-43cb-92C2-25804820EDAC}">
              <c15:datalabelsRange>
                <c15:f>'W5'!$L$71</c15:f>
                <c15:dlblRangeCache>
                  <c:ptCount val="1"/>
                  <c:pt idx="0">
                    <c:v>56.2%</c:v>
                  </c:pt>
                </c15:dlblRangeCache>
              </c15:datalabelsRange>
            </c:ext>
            <c:ext xmlns:c16="http://schemas.microsoft.com/office/drawing/2014/chart" uri="{C3380CC4-5D6E-409C-BE32-E72D297353CC}">
              <c16:uniqueId val="{00000001-83E2-43A8-B40E-1F7A6B837C22}"/>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83E2-43A8-B40E-1F7A6B837C22}"/>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AD2DE132-E1B5-427C-B0B1-08BF9A094C02}" type="CELLRANGE">
                      <a:rPr lang="en-US" sz="1100" baseline="0"/>
                      <a:pPr>
                        <a:defRPr sz="1100"/>
                      </a:pPr>
                      <a:t>[CELLRANGE]</a:t>
                    </a:fld>
                    <a:r>
                      <a:rPr lang="en-US" sz="1100" baseline="0"/>
                      <a:t>, </a:t>
                    </a:r>
                    <a:fld id="{E86648BA-2C54-4196-B256-97874ABCA847}" type="SERIESNAME">
                      <a:rPr lang="en-US" sz="1100" baseline="0"/>
                      <a:pPr>
                        <a:defRPr sz="1100"/>
                      </a:pPr>
                      <a:t>[SERIES NAME]</a:t>
                    </a:fld>
                    <a:r>
                      <a:rPr lang="en-US" sz="1100" baseline="0"/>
                      <a:t>, </a:t>
                    </a:r>
                    <a:fld id="{1E8E6B9B-AFF7-457E-A2E5-602F667DF4EE}"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'W5'!$K$73:$L$73</c15:sqref>
                  </c15:fullRef>
                </c:ext>
              </c:extLst>
              <c:f>'W5'!$K$73</c:f>
              <c:numCache>
                <c:formatCode>0.0%;\-0.0.%;</c:formatCode>
                <c:ptCount val="1"/>
                <c:pt idx="0" formatCode="#,##0_);\(#,##0\);;">
                  <c:v>73.703225806451741</c:v>
                </c:pt>
              </c:numCache>
            </c:numRef>
          </c:val>
          <c:extLst>
            <c:ext xmlns:c15="http://schemas.microsoft.com/office/drawing/2012/chart" uri="{02D57815-91ED-43cb-92C2-25804820EDAC}">
              <c15:datalabelsRange>
                <c15:f>'W5'!$L$73</c15:f>
                <c15:dlblRangeCache>
                  <c:ptCount val="1"/>
                  <c:pt idx="0">
                    <c:v>4.2%</c:v>
                  </c:pt>
                </c15:dlblRangeCache>
              </c15:datalabelsRange>
            </c:ext>
            <c:ext xmlns:c16="http://schemas.microsoft.com/office/drawing/2014/chart" uri="{C3380CC4-5D6E-409C-BE32-E72D297353CC}">
              <c16:uniqueId val="{00000003-83E2-43A8-B40E-1F7A6B837C22}"/>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B0F244A1-B671-4930-9339-1B606364511B}" type="CELLRANGE">
                      <a:rPr lang="en-US" sz="1300" baseline="0"/>
                      <a:pPr>
                        <a:defRPr sz="1300"/>
                      </a:pPr>
                      <a:t>[CELLRANGE]</a:t>
                    </a:fld>
                    <a:r>
                      <a:rPr lang="en-US" sz="1300" baseline="0"/>
                      <a:t>, </a:t>
                    </a:r>
                    <a:fld id="{7F10FE47-0896-4A2C-A3CD-86E758723A2B}" type="SERIESNAME">
                      <a:rPr lang="en-US" sz="1300" baseline="0"/>
                      <a:pPr>
                        <a:defRPr sz="1300"/>
                      </a:pPr>
                      <a:t>[SERIES NAME]</a:t>
                    </a:fld>
                    <a:r>
                      <a:rPr lang="en-US" sz="1300" baseline="0"/>
                      <a:t>, </a:t>
                    </a:r>
                    <a:fld id="{537C53FD-5D71-4677-9C29-55C9CCABFF0B}"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83E2-43A8-B40E-1F7A6B837C22}"/>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597.84620421155114</c:v>
                </c:pt>
              </c:numCache>
            </c:numRef>
          </c:val>
          <c:extLst>
            <c:ext xmlns:c15="http://schemas.microsoft.com/office/drawing/2012/chart" uri="{02D57815-91ED-43cb-92C2-25804820EDAC}">
              <c15:datalabelsRange>
                <c15:f>'W5'!$L$74</c15:f>
                <c15:dlblRangeCache>
                  <c:ptCount val="1"/>
                  <c:pt idx="0">
                    <c:v>34.3%</c:v>
                  </c:pt>
                </c15:dlblRangeCache>
              </c15:datalabelsRange>
            </c:ext>
            <c:ext xmlns:c16="http://schemas.microsoft.com/office/drawing/2014/chart" uri="{C3380CC4-5D6E-409C-BE32-E72D297353CC}">
              <c16:uniqueId val="{00000005-83E2-43A8-B40E-1F7A6B837C22}"/>
            </c:ext>
          </c:extLst>
        </c:ser>
        <c:ser>
          <c:idx val="13"/>
          <c:order val="13"/>
          <c:tx>
            <c:strRef>
              <c:f>'W5'!$D$84</c:f>
              <c:strCache>
                <c:ptCount val="1"/>
                <c:pt idx="0">
                  <c:v>Thuế thu nhập</c:v>
                </c:pt>
              </c:strCache>
            </c:strRef>
          </c:tx>
          <c:spPr>
            <a:solidFill>
              <a:srgbClr val="FFFF00"/>
            </a:solidFill>
          </c:spPr>
          <c:invertIfNegative val="0"/>
          <c:dLbls>
            <c:dLbl>
              <c:idx val="0"/>
              <c:tx>
                <c:rich>
                  <a:bodyPr/>
                  <a:lstStyle/>
                  <a:p>
                    <a:fld id="{EBC1C95A-84BE-4C49-A37D-F23A33CB1420}" type="CELLRANGE">
                      <a:rPr lang="en-US" baseline="0"/>
                      <a:pPr/>
                      <a:t>[CELLRANGE]</a:t>
                    </a:fld>
                    <a:r>
                      <a:rPr lang="en-US" baseline="0"/>
                      <a:t>, </a:t>
                    </a:r>
                    <a:fld id="{DD4B45B0-8EBA-44D0-84D8-1A92F99F9723}" type="SERIESNAME">
                      <a:rPr lang="en-US" baseline="0"/>
                      <a:pPr/>
                      <a:t>[SERIES NAME]</a:t>
                    </a:fld>
                    <a:r>
                      <a:rPr lang="en-US" baseline="0"/>
                      <a:t>, </a:t>
                    </a:r>
                    <a:fld id="{87033B10-68FE-4328-9810-C82EB4D2AAAB}"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'W5'!$K$84:$L$84</c15:sqref>
                  </c15:fullRef>
                </c:ext>
              </c:extLst>
              <c:f>'W5'!$K$84</c:f>
              <c:numCache>
                <c:formatCode>0.0%;\-0.0.%;</c:formatCode>
                <c:ptCount val="1"/>
                <c:pt idx="0" formatCode="#,##0_);\(#,##0\);;">
                  <c:v>18.568062714348162</c:v>
                </c:pt>
              </c:numCache>
            </c:numRef>
          </c:val>
          <c:extLst>
            <c:ext xmlns:c15="http://schemas.microsoft.com/office/drawing/2012/chart" uri="{02D57815-91ED-43cb-92C2-25804820EDAC}">
              <c15:datalabelsRange>
                <c15:f>'W5'!$L$84</c15:f>
                <c15:dlblRangeCache>
                  <c:ptCount val="1"/>
                  <c:pt idx="0">
                    <c:v>1.1%</c:v>
                  </c:pt>
                </c15:dlblRangeCache>
              </c15:datalabelsRange>
            </c:ext>
            <c:ext xmlns:c16="http://schemas.microsoft.com/office/drawing/2014/chart" uri="{C3380CC4-5D6E-409C-BE32-E72D297353CC}">
              <c16:uniqueId val="{00000007-83E2-43A8-B40E-1F7A6B837C22}"/>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83E2-43A8-B40E-1F7A6B837C22}"/>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9A72FF3B-EFEB-4DBC-8400-9ABB25CBB7B1}"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E358BFB7-05EC-4438-853B-1726F04FA492}"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AD688201-31C6-46DC-9ECE-8F2E46D764C5}"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83E2-43A8-B40E-1F7A6B837C22}"/>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'W5'!$K$85:$L$85</c15:sqref>
                  </c15:fullRef>
                </c:ext>
              </c:extLst>
              <c:f>'W5'!$K$85</c:f>
              <c:numCache>
                <c:formatCode>0.0%;\-0.0.%;</c:formatCode>
                <c:ptCount val="1"/>
                <c:pt idx="0" formatCode="#,##0_);\(#,##0\);;">
                  <c:v>74.272250857392649</c:v>
                </c:pt>
              </c:numCache>
            </c:numRef>
          </c:val>
          <c:extLst>
            <c:ext xmlns:c15="http://schemas.microsoft.com/office/drawing/2012/chart" uri="{02D57815-91ED-43cb-92C2-25804820EDAC}">
              <c15:datalabelsRange>
                <c15:f>'W5'!$L$85</c15:f>
                <c15:dlblRangeCache>
                  <c:ptCount val="1"/>
                  <c:pt idx="0">
                    <c:v>4.3%</c:v>
                  </c:pt>
                </c15:dlblRangeCache>
              </c15:datalabelsRange>
            </c:ext>
            <c:ext xmlns:c16="http://schemas.microsoft.com/office/drawing/2014/chart" uri="{C3380CC4-5D6E-409C-BE32-E72D297353CC}">
              <c16:uniqueId val="{0000000A-83E2-43A8-B40E-1F7A6B837C22}"/>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0DC5B55E-8ECF-4063-B01F-45AA1CF1AAE4}"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53FABB4F-E83E-435B-87C6-DE3904D8FF2E}"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83E2-43A8-B40E-1F7A6B837C22}"/>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'W5'!$K$70:$L$70</c15:sqref>
                        </c15:fullRef>
                        <c15:formulaRef>
                          <c15:sqref>'W5'!$K$70</c15:sqref>
                        </c15:formulaRef>
                      </c:ext>
                    </c:extLst>
                    <c:strCache>
                      <c:ptCount val="1"/>
                      <c:pt idx="0">
                        <c:v>Chi phí
USD/tấn</c:v>
                      </c:pt>
                    </c:strCache>
                  </c:strRef>
                </c:cat>
                <c:val>
                  <c:numRef>
                    <c:extLst>
                      <c:ext uri="{02D57815-91ED-43cb-92C2-25804820EDAC}">
                        <c15:fullRef>
                          <c15:sqref>'W5'!$K$72:$L$72</c15:sqref>
                        </c15:fullRef>
                        <c15:formulaRef>
                          <c15:sqref>'W5'!$K$72</c15:sqref>
                        </c15:formulaRef>
                      </c:ext>
                    </c:extLst>
                    <c:numCache>
                      <c:formatCode>0.0%;\-0.0.%;</c:formatCode>
                      <c:ptCount val="1"/>
                      <c:pt idx="0" formatCode="#,##0_);\(#,##0\);;">
                        <c:v>979.2</c:v>
                      </c:pt>
                    </c:numCache>
                  </c:numRef>
                </c:val>
                <c:extLst>
                  <c:ext uri="{02D57815-91ED-43cb-92C2-25804820EDAC}">
                    <c15:datalabelsRange>
                      <c15:f>'W5'!$J$73</c15:f>
                    </c15:datalabelsRange>
                  </c:ext>
                  <c:ext xmlns:c16="http://schemas.microsoft.com/office/drawing/2014/chart" uri="{C3380CC4-5D6E-409C-BE32-E72D297353CC}">
                    <c16:uniqueId val="{0000000C-83E2-43A8-B40E-1F7A6B837C22}"/>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A1D07BEE-F8B6-4D49-ADC7-D3FC082145CE}"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C1021C9D-444B-4BDF-B2CD-79F2B9362F22}"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83E2-43A8-B40E-1F7A6B837C22}"/>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'W5'!$K$75:$L$75</c15:sqref>
                        </c15:fullRef>
                        <c15:formulaRef>
                          <c15:sqref>'W5'!$K$75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atalabelsRange>
                  </c:ext>
                  <c:ext xmlns:c16="http://schemas.microsoft.com/office/drawing/2014/chart" uri="{C3380CC4-5D6E-409C-BE32-E72D297353CC}">
                    <c16:uniqueId val="{0000000E-83E2-43A8-B40E-1F7A6B837C22}"/>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'W5'!$K$76:$L$76</c15:sqref>
                        </c15:fullRef>
                        <c15:formulaRef>
                          <c15:sqref>'W5'!$K$76</c15:sqref>
                        </c15:formulaRef>
                      </c:ext>
                    </c:extLst>
                    <c:numCache>
                      <c:formatCode>0.0%;\-0.0.%;</c:formatCode>
                      <c:ptCount val="1"/>
                      <c:pt idx="0" formatCode="#,##0_);\(#,##0\);;">
                        <c:v>192.87651738366029</c:v>
                      </c:pt>
                    </c:numCache>
                  </c:numRef>
                </c:val>
                <c:extLst>
                  <c:ext xmlns:c16="http://schemas.microsoft.com/office/drawing/2014/chart" uri="{C3380CC4-5D6E-409C-BE32-E72D297353CC}">
                    <c16:uniqueId val="{0000000F-83E2-43A8-B40E-1F7A6B837C22}"/>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'W5'!$K$77:$L$77</c15:sqref>
                        </c15:fullRef>
                        <c15:formulaRef>
                          <c15:sqref>'W5'!$K$77</c15:sqref>
                        </c15:formulaRef>
                      </c:ext>
                    </c:extLst>
                    <c:numCache>
                      <c:formatCode>0.0%;\-0.0.%;</c:formatCode>
                      <c:ptCount val="1"/>
                      <c:pt idx="0" formatCode="#,##0_);\(#,##0\);;">
                        <c:v>134.13802642505885</c:v>
                      </c:pt>
                    </c:numCache>
                  </c:numRef>
                </c:val>
                <c:extLst>
                  <c:ext xmlns:c16="http://schemas.microsoft.com/office/drawing/2014/chart" uri="{C3380CC4-5D6E-409C-BE32-E72D297353CC}">
                    <c16:uniqueId val="{00000010-83E2-43A8-B40E-1F7A6B837C22}"/>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135.70318892301805</c:v>
                      </c:pt>
                    </c:numCache>
                  </c:numRef>
                </c:val>
                <c:extLst>
                  <c:ext xmlns:c16="http://schemas.microsoft.com/office/drawing/2014/chart" uri="{C3380CC4-5D6E-409C-BE32-E72D297353CC}">
                    <c16:uniqueId val="{00000011-83E2-43A8-B40E-1F7A6B837C22}"/>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74.974798387096769</c:v>
                      </c:pt>
                    </c:numCache>
                  </c:numRef>
                </c:val>
                <c:extLst>
                  <c:ext xmlns:c16="http://schemas.microsoft.com/office/drawing/2014/chart" uri="{C3380CC4-5D6E-409C-BE32-E72D297353CC}">
                    <c16:uniqueId val="{00000012-83E2-43A8-B40E-1F7A6B837C22}"/>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12.713675213675215</c:v>
                      </c:pt>
                    </c:numCache>
                  </c:numRef>
                </c:val>
                <c:extLst>
                  <c:ext xmlns:c16="http://schemas.microsoft.com/office/drawing/2014/chart" uri="{C3380CC4-5D6E-409C-BE32-E72D297353CC}">
                    <c16:uniqueId val="{00000013-83E2-43A8-B40E-1F7A6B837C22}"/>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8.2466426799007468</c:v>
                      </c:pt>
                    </c:numCache>
                  </c:numRef>
                </c:val>
                <c:extLst>
                  <c:ext xmlns:c16="http://schemas.microsoft.com/office/drawing/2014/chart" uri="{C3380CC4-5D6E-409C-BE32-E72D297353CC}">
                    <c16:uniqueId val="{00000014-83E2-43A8-B40E-1F7A6B837C22}"/>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0</c:v>
                      </c:pt>
                    </c:numCache>
                  </c:numRef>
                </c:val>
                <c:extLst>
                  <c:ext xmlns:c16="http://schemas.microsoft.com/office/drawing/2014/chart" uri="{C3380CC4-5D6E-409C-BE32-E72D297353CC}">
                    <c16:uniqueId val="{00000015-83E2-43A8-B40E-1F7A6B837C22}"/>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1650.7494300180028</c:v>
                      </c:pt>
                    </c:numCache>
                  </c:numRef>
                </c:val>
                <c:extLst>
                  <c:ext xmlns:c16="http://schemas.microsoft.com/office/drawing/2014/chart" uri="{C3380CC4-5D6E-409C-BE32-E72D297353CC}">
                    <c16:uniqueId val="{00000016-83E2-43A8-B40E-1F7A6B837C22}"/>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1743.5897435897436</c:v>
                      </c:pt>
                    </c:numCache>
                  </c:numRef>
                </c:val>
                <c:extLst>
                  <c:ext xmlns:c16="http://schemas.microsoft.com/office/drawing/2014/chart" uri="{C3380CC4-5D6E-409C-BE32-E72D297353CC}">
                    <c16:uniqueId val="{00000017-83E2-43A8-B40E-1F7A6B837C22}"/>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'W5'!$K$87:$L$87</c15:sqref>
                        </c15:fullRef>
                        <c15:formulaRef>
                          <c15:sqref>'W5'!$K$87</c15:sqref>
                        </c15:formulaRef>
                      </c:ext>
                    </c:extLst>
                    <c:numCache>
                      <c:formatCode>0.0%;\-0.0.%;</c:formatCode>
                      <c:ptCount val="1"/>
                    </c:numCache>
                  </c:numRef>
                </c:val>
                <c:extLst>
                  <c:ext xmlns:c16="http://schemas.microsoft.com/office/drawing/2014/chart" uri="{C3380CC4-5D6E-409C-BE32-E72D297353CC}">
                    <c16:uniqueId val="{00000018-83E2-43A8-B40E-1F7A6B837C22}"/>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7.7991131661050261E-2"/>
          <c:w val="0.76338100491563388"/>
          <c:h val="0.91915715831901879"/>
        </c:manualLayout>
      </c:layout>
      <c:barChart>
        <c:barDir val="col"/>
        <c:grouping val="stacked"/>
        <c:varyColors val="0"/>
        <c:ser>
          <c:idx val="0"/>
          <c:order val="0"/>
          <c:tx>
            <c:strRef>
              <c:f>'W5'!$D$49</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'W5'!$O$49:$P$49</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'W5'!$P$49</c15:f>
              </c15:datalabelsRange>
            </c:ext>
            <c:ext xmlns:c16="http://schemas.microsoft.com/office/drawing/2014/chart" uri="{C3380CC4-5D6E-409C-BE32-E72D297353CC}">
              <c16:uniqueId val="{00000001-10AF-4752-B77C-C0673BE2D9E1}"/>
            </c:ext>
          </c:extLst>
        </c:ser>
        <c:ser>
          <c:idx val="1"/>
          <c:order val="1"/>
          <c:tx>
            <c:strRef>
              <c:f>'W5'!$D$50</c:f>
              <c:strCache>
                <c:ptCount val="1"/>
                <c:pt idx="0">
                  <c:v>Vảy sạch</c:v>
                </c:pt>
              </c:strCache>
              <c:extLst xmlns:c15="http://schemas.microsoft.com/office/drawing/2012/chart"/>
            </c:strRef>
          </c:tx>
          <c:spPr>
            <a:solidFill>
              <a:schemeClr val="accent2"/>
            </a:solidFill>
            <a:ln>
              <a:noFill/>
            </a:ln>
            <a:effectLst/>
          </c:spPr>
          <c:invertIfNegative val="0"/>
          <c:val>
            <c:numRef>
              <c:f>'W5'!$O$50:$P$50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C-10AF-4752-B77C-C0673BE2D9E1}"/>
            </c:ext>
          </c:extLst>
        </c:ser>
        <c:ser>
          <c:idx val="4"/>
          <c:order val="2"/>
          <c:tx>
            <c:strRef>
              <c:f>'W5'!$D$51</c:f>
              <c:strCache>
                <c:ptCount val="1"/>
                <c:pt idx="0">
                  <c:v>Hao hụt về tiền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'W5'!$O$51:$P$51</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'W5'!$P$51</c15:f>
              </c15:datalabelsRange>
            </c:ext>
            <c:ext xmlns:c16="http://schemas.microsoft.com/office/drawing/2014/chart" uri="{C3380CC4-5D6E-409C-BE32-E72D297353CC}">
              <c16:uniqueId val="{00000003-10AF-4752-B77C-C0673BE2D9E1}"/>
            </c:ext>
          </c:extLst>
        </c:ser>
        <c:ser>
          <c:idx val="3"/>
          <c:order val="3"/>
          <c:tx>
            <c:strRef>
              <c:f>'W5'!$D$52</c:f>
              <c:strCache>
                <c:ptCount val="1"/>
                <c:pt idx="0">
                  <c:v>Chi phí biến đổi</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'W5'!$O$52:$P$52</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'W5'!$P$52</c15:f>
              </c15:datalabelsRange>
            </c:ext>
            <c:ext xmlns:c16="http://schemas.microsoft.com/office/drawing/2014/chart" uri="{C3380CC4-5D6E-409C-BE32-E72D297353CC}">
              <c16:uniqueId val="{00000005-10AF-4752-B77C-C0673BE2D9E1}"/>
            </c:ext>
          </c:extLst>
        </c:ser>
        <c:ser>
          <c:idx val="5"/>
          <c:order val="4"/>
          <c:tx>
            <c:strRef>
              <c:f>'W5'!$D$53</c:f>
              <c:strCache>
                <c:ptCount val="1"/>
                <c:pt idx="0">
                  <c:v>Chi phí nhân công</c:v>
                </c:pt>
              </c:strCache>
              <c:extLst xmlns:c15="http://schemas.microsoft.com/office/drawing/2012/chart"/>
            </c:strRef>
          </c:tx>
          <c:spPr>
            <a:solidFill>
              <a:schemeClr val="accent6"/>
            </a:solidFill>
            <a:ln>
              <a:noFill/>
            </a:ln>
            <a:effectLst/>
          </c:spPr>
          <c:invertIfNegative val="0"/>
          <c:val>
            <c:numRef>
              <c:f>'W5'!$O$53:$P$53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D-10AF-4752-B77C-C0673BE2D9E1}"/>
            </c:ext>
          </c:extLst>
        </c:ser>
        <c:ser>
          <c:idx val="6"/>
          <c:order val="5"/>
          <c:tx>
            <c:strRef>
              <c:f>'W5'!$D$54</c:f>
              <c:strCache>
                <c:ptCount val="1"/>
                <c:pt idx="0">
                  <c:v>Khấu hao</c:v>
                </c:pt>
              </c:strCache>
              <c:extLst xmlns:c15="http://schemas.microsoft.com/office/drawing/2012/chart"/>
            </c:strRef>
          </c:tx>
          <c:spPr>
            <a:solidFill>
              <a:schemeClr val="accent1">
                <a:lumMod val="60000"/>
              </a:schemeClr>
            </a:solidFill>
            <a:ln>
              <a:noFill/>
            </a:ln>
            <a:effectLst/>
          </c:spPr>
          <c:invertIfNegative val="0"/>
          <c:val>
            <c:numRef>
              <c:f>'W5'!$O$54:$P$54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E-10AF-4752-B77C-C0673BE2D9E1}"/>
            </c:ext>
          </c:extLst>
        </c:ser>
        <c:ser>
          <c:idx val="7"/>
          <c:order val="6"/>
          <c:tx>
            <c:strRef>
              <c:f>'W5'!$D$55</c:f>
              <c:strCache>
                <c:ptCount val="1"/>
                <c:pt idx="0">
                  <c:v>Chi phí quản lý</c:v>
                </c:pt>
              </c:strCache>
              <c:extLst xmlns:c15="http://schemas.microsoft.com/office/drawing/2012/chart"/>
            </c:strRef>
          </c:tx>
          <c:spPr>
            <a:solidFill>
              <a:schemeClr val="accent2">
                <a:lumMod val="60000"/>
              </a:schemeClr>
            </a:solidFill>
            <a:ln>
              <a:noFill/>
            </a:ln>
            <a:effectLst/>
          </c:spPr>
          <c:invertIfNegative val="0"/>
          <c:val>
            <c:numRef>
              <c:f>'W5'!$O$55:$P$55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F-10AF-4752-B77C-C0673BE2D9E1}"/>
            </c:ext>
          </c:extLst>
        </c:ser>
        <c:ser>
          <c:idx val="8"/>
          <c:order val="7"/>
          <c:tx>
            <c:strRef>
              <c:f>'W5'!$D$56</c:f>
              <c:strCache>
                <c:ptCount val="1"/>
                <c:pt idx="0">
                  <c:v>Chi phí gián tiếp</c:v>
                </c:pt>
              </c:strCache>
              <c:extLst xmlns:c15="http://schemas.microsoft.com/office/drawing/2012/chart"/>
            </c:strRef>
          </c:tx>
          <c:spPr>
            <a:solidFill>
              <a:schemeClr val="accent3">
                <a:lumMod val="60000"/>
              </a:schemeClr>
            </a:solidFill>
            <a:ln>
              <a:noFill/>
            </a:ln>
            <a:effectLst/>
          </c:spPr>
          <c:invertIfNegative val="0"/>
          <c:val>
            <c:numRef>
              <c:f>'W5'!$O$56:$P$56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0-10AF-4752-B77C-C0673BE2D9E1}"/>
            </c:ext>
          </c:extLst>
        </c:ser>
        <c:ser>
          <c:idx val="9"/>
          <c:order val="8"/>
          <c:tx>
            <c:strRef>
              <c:f>'W5'!$D$57</c:f>
              <c:strCache>
                <c:ptCount val="1"/>
                <c:pt idx="0">
                  <c:v>Điện</c:v>
                </c:pt>
              </c:strCache>
              <c:extLst xmlns:c15="http://schemas.microsoft.com/office/drawing/2012/chart"/>
            </c:strRef>
          </c:tx>
          <c:spPr>
            <a:solidFill>
              <a:schemeClr val="accent4">
                <a:lumMod val="60000"/>
              </a:schemeClr>
            </a:solidFill>
            <a:ln>
              <a:noFill/>
            </a:ln>
            <a:effectLst/>
          </c:spPr>
          <c:invertIfNegative val="0"/>
          <c:val>
            <c:numRef>
              <c:f>'W5'!$O$57:$P$57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1-10AF-4752-B77C-C0673BE2D9E1}"/>
            </c:ext>
          </c:extLst>
        </c:ser>
        <c:ser>
          <c:idx val="10"/>
          <c:order val="9"/>
          <c:tx>
            <c:strRef>
              <c:f>'W5'!$D$58</c:f>
              <c:strCache>
                <c:ptCount val="1"/>
                <c:pt idx="0">
                  <c:v>Đóng gói</c:v>
                </c:pt>
              </c:strCache>
              <c:extLst xmlns:c15="http://schemas.microsoft.com/office/drawing/2012/chart"/>
            </c:strRef>
          </c:tx>
          <c:spPr>
            <a:solidFill>
              <a:schemeClr val="accent5">
                <a:lumMod val="60000"/>
              </a:schemeClr>
            </a:solidFill>
            <a:ln>
              <a:noFill/>
            </a:ln>
            <a:effectLst/>
          </c:spPr>
          <c:invertIfNegative val="0"/>
          <c:val>
            <c:numRef>
              <c:f>'W5'!$O$58:$P$58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2-10AF-4752-B77C-C0673BE2D9E1}"/>
            </c:ext>
          </c:extLst>
        </c:ser>
        <c:ser>
          <c:idx val="11"/>
          <c:order val="10"/>
          <c:tx>
            <c:strRef>
              <c:f>'W5'!$D$59</c:f>
              <c:strCache>
                <c:ptCount val="1"/>
                <c:pt idx="0">
                  <c:v>Hóa chất</c:v>
                </c:pt>
              </c:strCache>
              <c:extLst xmlns:c15="http://schemas.microsoft.com/office/drawing/2012/chart"/>
            </c:strRef>
          </c:tx>
          <c:spPr>
            <a:solidFill>
              <a:schemeClr val="accent6">
                <a:lumMod val="60000"/>
              </a:schemeClr>
            </a:solidFill>
            <a:ln>
              <a:noFill/>
            </a:ln>
            <a:effectLst/>
          </c:spPr>
          <c:invertIfNegative val="0"/>
          <c:val>
            <c:numRef>
              <c:f>'W5'!$O$59:$P$59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6-10AF-4752-B77C-C0673BE2D9E1}"/>
            </c:ext>
          </c:extLst>
        </c:ser>
        <c:ser>
          <c:idx val="12"/>
          <c:order val="11"/>
          <c:tx>
            <c:strRef>
              <c:f>'W5'!$D$60</c:f>
              <c:strCache>
                <c:ptCount val="1"/>
                <c:pt idx="0">
                  <c:v>Nước</c:v>
                </c:pt>
              </c:strCache>
              <c:extLst xmlns:c15="http://schemas.microsoft.com/office/drawing/2012/chart"/>
            </c:strRef>
          </c:tx>
          <c:spPr>
            <a:solidFill>
              <a:schemeClr val="accent1">
                <a:lumMod val="80000"/>
                <a:lumOff val="20000"/>
              </a:schemeClr>
            </a:solidFill>
            <a:ln>
              <a:noFill/>
            </a:ln>
            <a:effectLst/>
          </c:spPr>
          <c:invertIfNegative val="0"/>
          <c:val>
            <c:numRef>
              <c:f>'W5'!$O$60:$P$60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07-10AF-4752-B77C-C0673BE2D9E1}"/>
            </c:ext>
          </c:extLst>
        </c:ser>
        <c:ser>
          <c:idx val="13"/>
          <c:order val="12"/>
          <c:tx>
            <c:strRef>
              <c:f>'W5'!$D$61</c:f>
              <c:strCache>
                <c:ptCount val="1"/>
                <c:pt idx="0">
                  <c:v>Giá thành</c:v>
                </c:pt>
              </c:strCache>
              <c:extLst xmlns:c15="http://schemas.microsoft.com/office/drawing/2012/chart"/>
            </c:strRef>
          </c:tx>
          <c:spPr>
            <a:solidFill>
              <a:schemeClr val="accent2">
                <a:lumMod val="80000"/>
                <a:lumOff val="20000"/>
              </a:schemeClr>
            </a:solidFill>
            <a:ln>
              <a:noFill/>
            </a:ln>
            <a:effectLst/>
          </c:spPr>
          <c:invertIfNegative val="0"/>
          <c:val>
            <c:numRef>
              <c:f>'W5'!$O$61:$P$61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3-10AF-4752-B77C-C0673BE2D9E1}"/>
            </c:ext>
          </c:extLst>
        </c:ser>
        <c:ser>
          <c:idx val="14"/>
          <c:order val="13"/>
          <c:tx>
            <c:strRef>
              <c:f>'W5'!$D$62</c:f>
              <c:strCache>
                <c:ptCount val="1"/>
                <c:pt idx="0">
                  <c:v>Thuế thu nhập</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'W5'!$O$62:$P$62</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'W5'!$P$62</c15:f>
              </c15:datalabelsRange>
            </c:ext>
            <c:ext xmlns:c16="http://schemas.microsoft.com/office/drawing/2014/chart" uri="{C3380CC4-5D6E-409C-BE32-E72D297353CC}">
              <c16:uniqueId val="{00000009-10AF-4752-B77C-C0673BE2D9E1}"/>
            </c:ext>
          </c:extLst>
        </c:ser>
        <c:ser>
          <c:idx val="15"/>
          <c:order val="14"/>
          <c:tx>
            <c:strRef>
              <c:f>'W5'!$D$63</c:f>
              <c:strCache>
                <c:ptCount val="1"/>
                <c:pt idx="0">
                  <c:v>Lợi nhuận</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'W5'!$O$63:$P$63</c:f>
            </c:numRef>
          </c:val>
          <c:extLs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5="http://schemas.microsoft.com/office/drawing/2012/chart" uri="{02D57815-91ED-43cb-92C2-25804820EDAC}">
              <c15:datalabelsRange>
                <c15:f>'W5'!$P$63</c15:f>
              </c15:datalabelsRange>
            </c:ext>
            <c:ext xmlns:c16="http://schemas.microsoft.com/office/drawing/2014/chart" uri="{C3380CC4-5D6E-409C-BE32-E72D297353CC}">
              <c16:uniqueId val="{0000000B-10AF-4752-B77C-C0673BE2D9E1}"/>
            </c:ext>
          </c:extLst>
        </c:ser>
        <c:dLbls>
          <c:showLegendKey val="0"/>
          <c:showVal val="0"/>
          <c:showCatName val="0"/>
          <c:showSerName val="0"/>
          <c:showPercent val="0"/>
          <c:showBubbleSize val="0"/>
        </c:dLbls>
        <c:gapWidth val="50"/>
        <c:overlap val="100"/>
        <c:axId val="336187152"/>
        <c:axId val="336190512"/>
        <c:extLst/>
      </c:barChart>
      <c:lineChart>
        <c:grouping val="standard"/>
        <c:varyColors val="0"/>
        <c:ser>
          <c:idx val="16"/>
          <c:order val="15"/>
          <c:tx>
            <c:strRef>
              <c:f>'W5'!$D$64</c:f>
              <c:strCache>
                <c:ptCount val="1"/>
                <c:pt idx="0">
                  <c:v>Giá bán</c:v>
                </c:pt>
              </c:strCache>
              <c:extLst xmlns:c15="http://schemas.microsoft.com/office/drawing/2012/chart"/>
            </c:strRef>
          </c:tx>
          <c:spPr>
            <a:ln w="28575" cap="rnd">
              <a:solidFill>
                <a:schemeClr val="accent5">
                  <a:lumMod val="80000"/>
                  <a:lumOff val="20000"/>
                </a:schemeClr>
              </a:solidFill>
              <a:round/>
            </a:ln>
            <a:effectLst/>
          </c:spPr>
          <c:marker>
            <c:symbol val="none"/>
          </c:marker>
          <c:val>
            <c:numRef>
              <c:f>'W5'!$O$64:$P$64</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4-10AF-4752-B77C-C0673BE2D9E1}"/>
            </c:ext>
          </c:extLst>
        </c:ser>
        <c:ser>
          <c:idx val="2"/>
          <c:order val="16"/>
          <c:tx>
            <c:strRef>
              <c:f>'W5'!$D$65</c:f>
              <c:strCache>
                <c:ptCount val="1"/>
                <c:pt idx="0">
                  <c:v>% Lãi gộp nguyên liệu/Giá bán</c:v>
                </c:pt>
              </c:strCache>
              <c:extLst xmlns:c15="http://schemas.microsoft.com/office/drawing/2012/chart"/>
            </c:strRef>
          </c:tx>
          <c:spPr>
            <a:ln w="28575" cap="rnd">
              <a:solidFill>
                <a:schemeClr val="accent3"/>
              </a:solidFill>
              <a:round/>
            </a:ln>
            <a:effectLst/>
          </c:spPr>
          <c:marker>
            <c:symbol val="none"/>
          </c:marker>
          <c:val>
            <c:numRef>
              <c:f>'W5'!$O$65:$P$65</c:f>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'W5'!$O$48:$P$48</c15:sqref>
                        </c15:formulaRef>
                      </c:ext>
                    </c:extLst>
                  </c:strRef>
                </c15:cat>
              </c15:filteredCategoryTitle>
            </c:ext>
            <c:ext xmlns:c16="http://schemas.microsoft.com/office/drawing/2014/chart" uri="{C3380CC4-5D6E-409C-BE32-E72D297353CC}">
              <c16:uniqueId val="{00000015-10AF-4752-B77C-C0673BE2D9E1}"/>
            </c:ext>
          </c:extLst>
        </c:ser>
        <c:dLbls>
          <c:showLegendKey val="0"/>
          <c:showVal val="0"/>
          <c:showCatName val="0"/>
          <c:showSerName val="0"/>
          <c:showPercent val="0"/>
          <c:showBubbleSize val="0"/>
        </c:dLbls>
        <c:marker val="1"/>
        <c:smooth val="0"/>
        <c:axId val="336187152"/>
        <c:axId val="336190512"/>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2.9163021289005542E-2"/>
          <c:w val="0.61549198515721915"/>
          <c:h val="0.9708369787109945"/>
        </c:manualLayout>
      </c:layout>
      <c:barChart>
        <c:barDir val="col"/>
        <c:grouping val="stacked"/>
        <c:varyColors val="0"/>
        <c:ser>
          <c:idx val="0"/>
          <c:order val="0"/>
          <c:tx>
            <c:strRef>
              <c:f>'W5'!$D$71</c:f>
              <c:strCache>
                <c:ptCount val="1"/>
                <c:pt idx="0">
                  <c:v>Chi phí nguyên vật liệu</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'W5'!$O$71:$P$71</c:f>
            </c:numRef>
          </c:val>
          <c:extLst>
            <c:ext xmlns:c15="http://schemas.microsoft.com/office/drawing/2012/chart" uri="{02D57815-91ED-43cb-92C2-25804820EDAC}">
              <c15:datalabelsRange>
                <c15:f>'W5'!$P$71</c15:f>
              </c15:datalabelsRange>
            </c:ext>
            <c:ext xmlns:c16="http://schemas.microsoft.com/office/drawing/2014/chart" uri="{C3380CC4-5D6E-409C-BE32-E72D297353CC}">
              <c16:uniqueId val="{00000001-78FD-4B7A-83A3-EFD07E1588E2}"/>
            </c:ext>
          </c:extLst>
        </c:ser>
        <c:ser>
          <c:idx val="4"/>
          <c:order val="1"/>
          <c:tx>
            <c:strRef>
              <c:f>'W5'!$D$72</c:f>
              <c:strCache>
                <c:ptCount val="1"/>
                <c:pt idx="0">
                  <c:v>Vảy sạch</c:v>
                </c:pt>
              </c:strCache>
              <c:extLst xmlns:c15="http://schemas.microsoft.com/office/drawing/2012/chart"/>
            </c:strRef>
          </c:tx>
          <c:spPr>
            <a:solidFill>
              <a:schemeClr val="accent5"/>
            </a:solidFill>
            <a:ln>
              <a:noFill/>
            </a:ln>
            <a:effectLst/>
          </c:spPr>
          <c:invertIfNegative val="0"/>
          <c:cat>
            <c:strRef>
              <c:f>'W5'!$O$70:$P$70</c:f>
            </c:strRef>
          </c:cat>
          <c:val>
            <c:numRef>
              <c:f>'W5'!$O$72:$P$72</c:f>
            </c:numRef>
          </c:val>
          <c:extLst xmlns:c15="http://schemas.microsoft.com/office/drawing/2012/chart">
            <c:ext xmlns:c16="http://schemas.microsoft.com/office/drawing/2014/chart" uri="{C3380CC4-5D6E-409C-BE32-E72D297353CC}">
              <c16:uniqueId val="{0000000D-78FD-4B7A-83A3-EFD07E1588E2}"/>
            </c:ext>
          </c:extLst>
        </c:ser>
        <c:ser>
          <c:idx val="3"/>
          <c:order val="2"/>
          <c:tx>
            <c:strRef>
              <c:f>'W5'!$D$73</c:f>
              <c:strCache>
                <c:ptCount val="1"/>
                <c:pt idx="0">
                  <c:v>Hao hụt về tiền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'W5'!$O$73:$P$73</c:f>
            </c:numRef>
          </c:val>
          <c:extLst>
            <c:ext xmlns:c15="http://schemas.microsoft.com/office/drawing/2012/chart" uri="{02D57815-91ED-43cb-92C2-25804820EDAC}">
              <c15:datalabelsRange>
                <c15:f>'W5'!$P$73</c15:f>
              </c15:datalabelsRange>
            </c:ext>
            <c:ext xmlns:c16="http://schemas.microsoft.com/office/drawing/2014/chart" uri="{C3380CC4-5D6E-409C-BE32-E72D297353CC}">
              <c16:uniqueId val="{00000003-78FD-4B7A-83A3-EFD07E1588E2}"/>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'W5'!$O$74:$P$74</c:f>
            </c:numRef>
          </c:val>
          <c:extLst xmlns:c15="http://schemas.microsoft.com/office/drawing/2012/chart">
            <c:ext xmlns:c15="http://schemas.microsoft.com/office/drawing/2012/chart" uri="{02D57815-91ED-43cb-92C2-25804820EDAC}">
              <c15:datalabelsRange>
                <c15:f>'W5'!$P$74</c15:f>
              </c15:datalabelsRange>
            </c:ext>
            <c:ext xmlns:c16="http://schemas.microsoft.com/office/drawing/2014/chart" uri="{C3380CC4-5D6E-409C-BE32-E72D297353CC}">
              <c16:uniqueId val="{00000005-78FD-4B7A-83A3-EFD07E1588E2}"/>
            </c:ext>
          </c:extLst>
        </c:ser>
        <c:ser>
          <c:idx val="15"/>
          <c:order val="4"/>
          <c:tx>
            <c:strRef>
              <c:f>'W5'!$D$75</c:f>
              <c:strCache>
                <c:ptCount val="1"/>
                <c:pt idx="0">
                  <c:v>Chi phí nhân công</c:v>
                </c:pt>
              </c:strCache>
              <c:extLst xmlns:c15="http://schemas.microsoft.com/office/drawing/2012/chart"/>
            </c:strRef>
          </c:tx>
          <c:spPr>
            <a:solidFill>
              <a:schemeClr val="accent4">
                <a:lumMod val="80000"/>
                <a:lumOff val="20000"/>
              </a:schemeClr>
            </a:solidFill>
            <a:ln>
              <a:noFill/>
            </a:ln>
            <a:effectLst/>
          </c:spPr>
          <c:invertIfNegative val="0"/>
          <c:cat>
            <c:strRef>
              <c:f>'W5'!$O$70:$P$70</c:f>
            </c:strRef>
          </c:cat>
          <c:val>
            <c:numRef>
              <c:f>'W5'!$O$75:$P$75</c:f>
            </c:numRef>
          </c:val>
          <c:extLst xmlns:c15="http://schemas.microsoft.com/office/drawing/2012/chart">
            <c:ext xmlns:c16="http://schemas.microsoft.com/office/drawing/2014/chart" uri="{C3380CC4-5D6E-409C-BE32-E72D297353CC}">
              <c16:uniqueId val="{0000000F-78FD-4B7A-83A3-EFD07E1588E2}"/>
            </c:ext>
          </c:extLst>
        </c:ser>
        <c:ser>
          <c:idx val="1"/>
          <c:order val="5"/>
          <c:tx>
            <c:strRef>
              <c:f>'W5'!$D$76</c:f>
              <c:strCache>
                <c:ptCount val="1"/>
                <c:pt idx="0">
                  <c:v>Khấu hao</c:v>
                </c:pt>
              </c:strCache>
              <c:extLst xmlns:c15="http://schemas.microsoft.com/office/drawing/2012/chart"/>
            </c:strRef>
          </c:tx>
          <c:spPr>
            <a:solidFill>
              <a:schemeClr val="accent2"/>
            </a:solidFill>
            <a:ln>
              <a:noFill/>
            </a:ln>
            <a:effectLst/>
          </c:spPr>
          <c:invertIfNegative val="0"/>
          <c:cat>
            <c:strRef>
              <c:f>'W5'!$O$70:$P$70</c:f>
            </c:strRef>
          </c:cat>
          <c:val>
            <c:numRef>
              <c:f>'W5'!$O$76:$P$76</c:f>
            </c:numRef>
          </c:val>
          <c:extLst xmlns:c15="http://schemas.microsoft.com/office/drawing/2012/chart">
            <c:ext xmlns:c16="http://schemas.microsoft.com/office/drawing/2014/chart" uri="{C3380CC4-5D6E-409C-BE32-E72D297353CC}">
              <c16:uniqueId val="{00000010-78FD-4B7A-83A3-EFD07E1588E2}"/>
            </c:ext>
          </c:extLst>
        </c:ser>
        <c:ser>
          <c:idx val="2"/>
          <c:order val="6"/>
          <c:tx>
            <c:strRef>
              <c:f>'W5'!$D$77</c:f>
              <c:strCache>
                <c:ptCount val="1"/>
                <c:pt idx="0">
                  <c:v>Chi phí gián tiếp</c:v>
                </c:pt>
              </c:strCache>
              <c:extLst xmlns:c15="http://schemas.microsoft.com/office/drawing/2012/chart"/>
            </c:strRef>
          </c:tx>
          <c:spPr>
            <a:solidFill>
              <a:schemeClr val="accent3"/>
            </a:solidFill>
            <a:ln>
              <a:noFill/>
            </a:ln>
            <a:effectLst/>
          </c:spPr>
          <c:invertIfNegative val="0"/>
          <c:cat>
            <c:strRef>
              <c:f>'W5'!$O$70:$P$70</c:f>
            </c:strRef>
          </c:cat>
          <c:val>
            <c:numRef>
              <c:f>'W5'!$O$77:$P$77</c:f>
            </c:numRef>
          </c:val>
          <c:extLst xmlns:c15="http://schemas.microsoft.com/office/drawing/2012/chart">
            <c:ext xmlns:c16="http://schemas.microsoft.com/office/drawing/2014/chart" uri="{C3380CC4-5D6E-409C-BE32-E72D297353CC}">
              <c16:uniqueId val="{00000011-78FD-4B7A-83A3-EFD07E1588E2}"/>
            </c:ext>
          </c:extLst>
        </c:ser>
        <c:ser>
          <c:idx val="5"/>
          <c:order val="7"/>
          <c:tx>
            <c:strRef>
              <c:f>'W5'!$D$78</c:f>
              <c:strCache>
                <c:ptCount val="1"/>
                <c:pt idx="0">
                  <c:v>Điện</c:v>
                </c:pt>
              </c:strCache>
              <c:extLst xmlns:c15="http://schemas.microsoft.com/office/drawing/2012/chart"/>
            </c:strRef>
          </c:tx>
          <c:spPr>
            <a:solidFill>
              <a:schemeClr val="accent6"/>
            </a:solidFill>
            <a:ln>
              <a:noFill/>
            </a:ln>
            <a:effectLst/>
          </c:spPr>
          <c:invertIfNegative val="0"/>
          <c:cat>
            <c:strRef>
              <c:f>'W5'!$O$70:$P$70</c:f>
            </c:strRef>
          </c:cat>
          <c:val>
            <c:numRef>
              <c:f>'W5'!$O$78:$P$78</c:f>
            </c:numRef>
          </c:val>
          <c:extLst xmlns:c15="http://schemas.microsoft.com/office/drawing/2012/chart">
            <c:ext xmlns:c16="http://schemas.microsoft.com/office/drawing/2014/chart" uri="{C3380CC4-5D6E-409C-BE32-E72D297353CC}">
              <c16:uniqueId val="{00000012-78FD-4B7A-83A3-EFD07E1588E2}"/>
            </c:ext>
          </c:extLst>
        </c:ser>
        <c:ser>
          <c:idx val="6"/>
          <c:order val="8"/>
          <c:tx>
            <c:strRef>
              <c:f>'W5'!$D$79</c:f>
              <c:strCache>
                <c:ptCount val="1"/>
                <c:pt idx="0">
                  <c:v>Chi phí quản lý</c:v>
                </c:pt>
              </c:strCache>
              <c:extLst xmlns:c15="http://schemas.microsoft.com/office/drawing/2012/chart"/>
            </c:strRef>
          </c:tx>
          <c:spPr>
            <a:solidFill>
              <a:schemeClr val="accent1">
                <a:lumMod val="60000"/>
              </a:schemeClr>
            </a:solidFill>
            <a:ln>
              <a:noFill/>
            </a:ln>
            <a:effectLst/>
          </c:spPr>
          <c:invertIfNegative val="0"/>
          <c:cat>
            <c:strRef>
              <c:f>'W5'!$O$70:$P$70</c:f>
            </c:strRef>
          </c:cat>
          <c:val>
            <c:numRef>
              <c:f>'W5'!$O$79:$P$79</c:f>
            </c:numRef>
          </c:val>
          <c:extLst xmlns:c15="http://schemas.microsoft.com/office/drawing/2012/chart">
            <c:ext xmlns:c16="http://schemas.microsoft.com/office/drawing/2014/chart" uri="{C3380CC4-5D6E-409C-BE32-E72D297353CC}">
              <c16:uniqueId val="{00000013-78FD-4B7A-83A3-EFD07E1588E2}"/>
            </c:ext>
          </c:extLst>
        </c:ser>
        <c:ser>
          <c:idx val="7"/>
          <c:order val="9"/>
          <c:tx>
            <c:strRef>
              <c:f>'W5'!$D$80</c:f>
              <c:strCache>
                <c:ptCount val="1"/>
                <c:pt idx="0">
                  <c:v>Đóng gói</c:v>
                </c:pt>
              </c:strCache>
              <c:extLst xmlns:c15="http://schemas.microsoft.com/office/drawing/2012/chart"/>
            </c:strRef>
          </c:tx>
          <c:spPr>
            <a:solidFill>
              <a:schemeClr val="accent2">
                <a:lumMod val="60000"/>
              </a:schemeClr>
            </a:solidFill>
            <a:ln>
              <a:noFill/>
            </a:ln>
            <a:effectLst/>
          </c:spPr>
          <c:invertIfNegative val="0"/>
          <c:cat>
            <c:strRef>
              <c:f>'W5'!$O$70:$P$70</c:f>
            </c:strRef>
          </c:cat>
          <c:val>
            <c:numRef>
              <c:f>'W5'!$O$80:$P$80</c:f>
            </c:numRef>
          </c:val>
          <c:extLst xmlns:c15="http://schemas.microsoft.com/office/drawing/2012/chart">
            <c:ext xmlns:c16="http://schemas.microsoft.com/office/drawing/2014/chart" uri="{C3380CC4-5D6E-409C-BE32-E72D297353CC}">
              <c16:uniqueId val="{00000014-78FD-4B7A-83A3-EFD07E1588E2}"/>
            </c:ext>
          </c:extLst>
        </c:ser>
        <c:ser>
          <c:idx val="8"/>
          <c:order val="10"/>
          <c:tx>
            <c:strRef>
              <c:f>'W5'!$D$81</c:f>
              <c:strCache>
                <c:ptCount val="1"/>
                <c:pt idx="0">
                  <c:v>Hóa chất</c:v>
                </c:pt>
              </c:strCache>
              <c:extLst xmlns:c15="http://schemas.microsoft.com/office/drawing/2012/chart"/>
            </c:strRef>
          </c:tx>
          <c:spPr>
            <a:solidFill>
              <a:schemeClr val="accent3">
                <a:lumMod val="60000"/>
              </a:schemeClr>
            </a:solidFill>
            <a:ln>
              <a:noFill/>
            </a:ln>
            <a:effectLst/>
          </c:spPr>
          <c:invertIfNegative val="0"/>
          <c:cat>
            <c:strRef>
              <c:f>'W5'!$O$70:$P$70</c:f>
            </c:strRef>
          </c:cat>
          <c:val>
            <c:numRef>
              <c:f>'W5'!$O$81:$P$81</c:f>
            </c:numRef>
          </c:val>
          <c:extLst xmlns:c15="http://schemas.microsoft.com/office/drawing/2012/chart">
            <c:ext xmlns:c16="http://schemas.microsoft.com/office/drawing/2014/chart" uri="{C3380CC4-5D6E-409C-BE32-E72D297353CC}">
              <c16:uniqueId val="{00000006-78FD-4B7A-83A3-EFD07E1588E2}"/>
            </c:ext>
          </c:extLst>
        </c:ser>
        <c:ser>
          <c:idx val="9"/>
          <c:order val="11"/>
          <c:tx>
            <c:strRef>
              <c:f>'W5'!$D$82</c:f>
              <c:strCache>
                <c:ptCount val="1"/>
                <c:pt idx="0">
                  <c:v>Nước</c:v>
                </c:pt>
              </c:strCache>
              <c:extLst xmlns:c15="http://schemas.microsoft.com/office/drawing/2012/chart"/>
            </c:strRef>
          </c:tx>
          <c:spPr>
            <a:solidFill>
              <a:schemeClr val="accent4">
                <a:lumMod val="60000"/>
              </a:schemeClr>
            </a:solidFill>
            <a:ln>
              <a:noFill/>
            </a:ln>
            <a:effectLst/>
          </c:spPr>
          <c:invertIfNegative val="0"/>
          <c:cat>
            <c:strRef>
              <c:f>'W5'!$O$70:$P$70</c:f>
            </c:strRef>
          </c:cat>
          <c:val>
            <c:numRef>
              <c:f>'W5'!$O$82:$P$82</c:f>
            </c:numRef>
          </c:val>
          <c:extLst xmlns:c15="http://schemas.microsoft.com/office/drawing/2012/chart">
            <c:ext xmlns:c16="http://schemas.microsoft.com/office/drawing/2014/chart" uri="{C3380CC4-5D6E-409C-BE32-E72D297353CC}">
              <c16:uniqueId val="{00000007-78FD-4B7A-83A3-EFD07E1588E2}"/>
            </c:ext>
          </c:extLst>
        </c:ser>
        <c:ser>
          <c:idx val="10"/>
          <c:order val="12"/>
          <c:tx>
            <c:strRef>
              <c:f>'W5'!$D$83</c:f>
              <c:strCache>
                <c:ptCount val="1"/>
                <c:pt idx="0">
                  <c:v>Giá thành</c:v>
                </c:pt>
              </c:strCache>
              <c:extLst xmlns:c15="http://schemas.microsoft.com/office/drawing/2012/chart"/>
            </c:strRef>
          </c:tx>
          <c:spPr>
            <a:solidFill>
              <a:schemeClr val="accent5">
                <a:lumMod val="60000"/>
              </a:schemeClr>
            </a:solidFill>
            <a:ln>
              <a:noFill/>
            </a:ln>
            <a:effectLst/>
          </c:spPr>
          <c:invertIfNegative val="0"/>
          <c:cat>
            <c:strRef>
              <c:f>'W5'!$O$70:$P$70</c:f>
            </c:strRef>
          </c:cat>
          <c:val>
            <c:numRef>
              <c:f>'W5'!$O$83:$P$83</c:f>
            </c:numRef>
          </c:val>
          <c:extLst xmlns:c15="http://schemas.microsoft.com/office/drawing/2012/chart">
            <c:ext xmlns:c16="http://schemas.microsoft.com/office/drawing/2014/chart" uri="{C3380CC4-5D6E-409C-BE32-E72D297353CC}">
              <c16:uniqueId val="{00000015-78FD-4B7A-83A3-EFD07E1588E2}"/>
            </c:ext>
          </c:extLst>
        </c:ser>
        <c:ser>
          <c:idx val="11"/>
          <c:order val="13"/>
          <c:tx>
            <c:strRef>
              <c:f>'W5'!$D$84</c:f>
              <c:strCache>
                <c:ptCount val="1"/>
                <c:pt idx="0">
                  <c:v>Thuế thu nhập</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'W5'!$O$84:$P$84</c:f>
            </c:numRef>
          </c:val>
          <c:extLst>
            <c:ext xmlns:c15="http://schemas.microsoft.com/office/drawing/2012/chart" uri="{02D57815-91ED-43cb-92C2-25804820EDAC}">
              <c15:datalabelsRange>
                <c15:f>'W5'!$P$84</c15:f>
              </c15:datalabelsRange>
            </c:ext>
            <c:ext xmlns:c16="http://schemas.microsoft.com/office/drawing/2014/chart" uri="{C3380CC4-5D6E-409C-BE32-E72D297353CC}">
              <c16:uniqueId val="{00000009-78FD-4B7A-83A3-EFD07E1588E2}"/>
            </c:ext>
          </c:extLst>
        </c:ser>
        <c:ser>
          <c:idx val="12"/>
          <c:order val="14"/>
          <c:tx>
            <c:strRef>
              <c:f>'W5'!$D$85</c:f>
              <c:strCache>
                <c:ptCount val="1"/>
                <c:pt idx="0">
                  <c:v>Lợi nhuận</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'W5'!$O$70:$P$70</c:f>
            </c:strRef>
          </c:cat>
          <c:val>
            <c:numRef>
              <c:f>'W5'!$O$85:$P$85</c:f>
            </c:numRef>
          </c:val>
          <c:extLst>
            <c:ext xmlns:c15="http://schemas.microsoft.com/office/drawing/2012/chart" uri="{02D57815-91ED-43cb-92C2-25804820EDAC}">
              <c15:datalabelsRange>
                <c15:f>'W5'!$P$85</c15:f>
              </c15:datalabelsRange>
            </c:ext>
            <c:ext xmlns:c16="http://schemas.microsoft.com/office/drawing/2014/chart" uri="{C3380CC4-5D6E-409C-BE32-E72D297353CC}">
              <c16:uniqueId val="{0000000B-78FD-4B7A-83A3-EFD07E1588E2}"/>
            </c:ext>
          </c:extLst>
        </c:ser>
        <c:ser>
          <c:idx val="13"/>
          <c:order val="15"/>
          <c:tx>
            <c:strRef>
              <c:f>'W5'!$D$86</c:f>
              <c:strCache>
                <c:ptCount val="1"/>
                <c:pt idx="0">
                  <c:v>Giá bán</c:v>
                </c:pt>
              </c:strCache>
              <c:extLst xmlns:c15="http://schemas.microsoft.com/office/drawing/2012/chart"/>
            </c:strRef>
          </c:tx>
          <c:spPr>
            <a:solidFill>
              <a:schemeClr val="accent2">
                <a:lumMod val="80000"/>
                <a:lumOff val="20000"/>
              </a:schemeClr>
            </a:solidFill>
            <a:ln>
              <a:noFill/>
            </a:ln>
            <a:effectLst/>
          </c:spPr>
          <c:invertIfNegative val="0"/>
          <c:cat>
            <c:strRef>
              <c:f>'W5'!$O$70:$P$70</c:f>
            </c:strRef>
          </c:cat>
          <c:val>
            <c:numRef>
              <c:f>'W5'!$O$86:$P$86</c:f>
            </c:numRef>
          </c:val>
          <c:extLst xmlns:c15="http://schemas.microsoft.com/office/drawing/2012/chart">
            <c:ext xmlns:c16="http://schemas.microsoft.com/office/drawing/2014/chart" uri="{C3380CC4-5D6E-409C-BE32-E72D297353CC}">
              <c16:uniqueId val="{00000016-78FD-4B7A-83A3-EFD07E1588E2}"/>
            </c:ext>
          </c:extLst>
        </c:ser>
        <c:ser>
          <c:idx val="16"/>
          <c:order val="16"/>
          <c:tx>
            <c:strRef>
              <c:f>'W5'!$D$87</c:f>
              <c:strCache>
                <c:ptCount val="1"/>
                <c:pt idx="0">
                  <c:v>% Lãi gộp nguyên liệu/Giá bán</c:v>
                </c:pt>
              </c:strCache>
              <c:extLst xmlns:c15="http://schemas.microsoft.com/office/drawing/2012/chart"/>
            </c:strRef>
          </c:tx>
          <c:spPr>
            <a:solidFill>
              <a:schemeClr val="accent5">
                <a:lumMod val="80000"/>
                <a:lumOff val="20000"/>
              </a:schemeClr>
            </a:solidFill>
            <a:ln>
              <a:noFill/>
            </a:ln>
            <a:effectLst/>
          </c:spPr>
          <c:invertIfNegative val="0"/>
          <c:cat>
            <c:strRef>
              <c:f>'W5'!$O$70:$P$70</c:f>
            </c:strRef>
          </c:cat>
          <c:val>
            <c:numRef>
              <c:f>'W5'!$O$87:$P$87</c:f>
            </c:numRef>
          </c:val>
          <c:extLst xmlns:c15="http://schemas.microsoft.com/office/drawing/2012/chart">
            <c:ext xmlns:c16="http://schemas.microsoft.com/office/drawing/2014/chart" uri="{C3380CC4-5D6E-409C-BE32-E72D297353CC}">
              <c16:uniqueId val="{00000017-78FD-4B7A-83A3-EFD07E1588E2}"/>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'W5'!$G$49:$H$49</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'W5'!$H$49</c15:f>
              </c15:datalabelsRange>
            </c:ext>
            <c:ext xmlns:c16="http://schemas.microsoft.com/office/drawing/2014/chart" uri="{C3380CC4-5D6E-409C-BE32-E72D297353CC}">
              <c16:uniqueId val="{00000001-2946-4F42-865C-F09368FF3B9A}"/>
            </c:ext>
          </c:extLst>
        </c:ser>
        <c:ser>
          <c:idx val="4"/>
          <c:order val="1"/>
          <c:tx>
            <c:strRef>
              <c:f>'W5'!$D$50</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'W5'!$G$50:$H$50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B-2946-4F42-865C-F09368FF3B9A}"/>
            </c:ext>
          </c:extLst>
        </c:ser>
        <c:ser>
          <c:idx val="3"/>
          <c:order val="2"/>
          <c:tx>
            <c:strRef>
              <c:f>'W5'!$D$51</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'W5'!$G$51:$H$51</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'W5'!$H$51</c15:f>
              </c15:datalabelsRange>
            </c:ext>
            <c:ext xmlns:c16="http://schemas.microsoft.com/office/drawing/2014/chart" uri="{C3380CC4-5D6E-409C-BE32-E72D297353CC}">
              <c16:uniqueId val="{00000003-2946-4F42-865C-F09368FF3B9A}"/>
            </c:ext>
          </c:extLst>
        </c:ser>
        <c:ser>
          <c:idx val="14"/>
          <c:order val="3"/>
          <c:tx>
            <c:strRef>
              <c:f>'W5'!$D$52</c:f>
              <c:strCache>
                <c:ptCount val="1"/>
                <c:pt idx="0">
                  <c:v>Chi phí biến đổi</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'W5'!$G$52:$H$52</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5-2946-4F42-865C-F09368FF3B9A}"/>
            </c:ext>
          </c:extLst>
        </c:ser>
        <c:ser>
          <c:idx val="15"/>
          <c:order val="4"/>
          <c:tx>
            <c:strRef>
              <c:f>'W5'!$D$53</c:f>
              <c:strCache>
                <c:ptCount val="1"/>
                <c:pt idx="0">
                  <c:v>Chi phí nhân công</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'W5'!$G$53:$H$53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D-2946-4F42-865C-F09368FF3B9A}"/>
            </c:ext>
          </c:extLst>
        </c:ser>
        <c:ser>
          <c:idx val="1"/>
          <c:order val="5"/>
          <c:tx>
            <c:strRef>
              <c:f>'W5'!$D$54</c:f>
              <c:strCache>
                <c:ptCount val="1"/>
                <c:pt idx="0">
                  <c:v>Khấu hao</c:v>
                </c:pt>
              </c:strCache>
              <c:extLst xmlns:c15="http://schemas.microsoft.com/office/drawing/2012/chart"/>
            </c:strRef>
          </c:tx>
          <c:invertIfNegative val="0"/>
          <c:val>
            <c:numRef>
              <c:f>'W5'!$G$54:$H$54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E-2946-4F42-865C-F09368FF3B9A}"/>
            </c:ext>
          </c:extLst>
        </c:ser>
        <c:ser>
          <c:idx val="2"/>
          <c:order val="6"/>
          <c:tx>
            <c:strRef>
              <c:f>'W5'!$D$55</c:f>
              <c:strCache>
                <c:ptCount val="1"/>
                <c:pt idx="0">
                  <c:v>Chi phí quản lý</c:v>
                </c:pt>
              </c:strCache>
              <c:extLst xmlns:c15="http://schemas.microsoft.com/office/drawing/2012/chart"/>
            </c:strRef>
          </c:tx>
          <c:invertIfNegative val="0"/>
          <c:val>
            <c:numRef>
              <c:f>'W5'!$G$55:$H$55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0F-2946-4F42-865C-F09368FF3B9A}"/>
            </c:ext>
          </c:extLst>
        </c:ser>
        <c:ser>
          <c:idx val="5"/>
          <c:order val="7"/>
          <c:tx>
            <c:strRef>
              <c:f>'W5'!$D$56</c:f>
              <c:strCache>
                <c:ptCount val="1"/>
                <c:pt idx="0">
                  <c:v>Chi phí gián tiếp</c:v>
                </c:pt>
              </c:strCache>
              <c:extLst xmlns:c15="http://schemas.microsoft.com/office/drawing/2012/chart"/>
            </c:strRef>
          </c:tx>
          <c:invertIfNegative val="0"/>
          <c:val>
            <c:numRef>
              <c:f>'W5'!$G$56:$H$56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0-2946-4F42-865C-F09368FF3B9A}"/>
            </c:ext>
          </c:extLst>
        </c:ser>
        <c:ser>
          <c:idx val="6"/>
          <c:order val="8"/>
          <c:tx>
            <c:strRef>
              <c:f>'W5'!$D$57</c:f>
              <c:strCache>
                <c:ptCount val="1"/>
                <c:pt idx="0">
                  <c:v>Điện</c:v>
                </c:pt>
              </c:strCache>
              <c:extLst xmlns:c15="http://schemas.microsoft.com/office/drawing/2012/chart"/>
            </c:strRef>
          </c:tx>
          <c:invertIfNegative val="0"/>
          <c:val>
            <c:numRef>
              <c:f>'W5'!$G$57:$H$57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1-2946-4F42-865C-F09368FF3B9A}"/>
            </c:ext>
          </c:extLst>
        </c:ser>
        <c:ser>
          <c:idx val="7"/>
          <c:order val="9"/>
          <c:tx>
            <c:strRef>
              <c:f>'W5'!$D$58</c:f>
              <c:strCache>
                <c:ptCount val="1"/>
                <c:pt idx="0">
                  <c:v>Đóng gói</c:v>
                </c:pt>
              </c:strCache>
              <c:extLst xmlns:c15="http://schemas.microsoft.com/office/drawing/2012/chart"/>
            </c:strRef>
          </c:tx>
          <c:invertIfNegative val="0"/>
          <c:val>
            <c:numRef>
              <c:f>'W5'!$G$58:$H$58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2-2946-4F42-865C-F09368FF3B9A}"/>
            </c:ext>
          </c:extLst>
        </c:ser>
        <c:ser>
          <c:idx val="8"/>
          <c:order val="10"/>
          <c:tx>
            <c:strRef>
              <c:f>'W5'!$D$59</c:f>
              <c:strCache>
                <c:ptCount val="1"/>
                <c:pt idx="0">
                  <c:v>Hóa chất</c:v>
                </c:pt>
              </c:strCache>
              <c:extLst xmlns:c15="http://schemas.microsoft.com/office/drawing/2012/chart"/>
            </c:strRef>
          </c:tx>
          <c:invertIfNegative val="0"/>
          <c:val>
            <c:numRef>
              <c:f>'W5'!$G$59:$H$59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3-2946-4F42-865C-F09368FF3B9A}"/>
            </c:ext>
          </c:extLst>
        </c:ser>
        <c:ser>
          <c:idx val="9"/>
          <c:order val="11"/>
          <c:tx>
            <c:strRef>
              <c:f>'W5'!$D$60</c:f>
              <c:strCache>
                <c:ptCount val="1"/>
                <c:pt idx="0">
                  <c:v>Nước</c:v>
                </c:pt>
              </c:strCache>
              <c:extLst xmlns:c15="http://schemas.microsoft.com/office/drawing/2012/chart"/>
            </c:strRef>
          </c:tx>
          <c:invertIfNegative val="0"/>
          <c:val>
            <c:numRef>
              <c:f>'W5'!$G$60:$H$60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4-2946-4F42-865C-F09368FF3B9A}"/>
            </c:ext>
          </c:extLst>
        </c:ser>
        <c:ser>
          <c:idx val="10"/>
          <c:order val="12"/>
          <c:tx>
            <c:strRef>
              <c:f>'W5'!$D$61</c:f>
              <c:strCache>
                <c:ptCount val="1"/>
                <c:pt idx="0">
                  <c:v>Giá thành</c:v>
                </c:pt>
              </c:strCache>
              <c:extLst xmlns:c15="http://schemas.microsoft.com/office/drawing/2012/chart"/>
            </c:strRef>
          </c:tx>
          <c:invertIfNegative val="0"/>
          <c:val>
            <c:numRef>
              <c:f>'W5'!$G$61:$H$61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5-2946-4F42-865C-F09368FF3B9A}"/>
            </c:ext>
          </c:extLst>
        </c:ser>
        <c:ser>
          <c:idx val="11"/>
          <c:order val="13"/>
          <c:tx>
            <c:strRef>
              <c:f>'W5'!$D$62</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'W5'!$G$62:$H$62</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'W5'!$H$62</c15:f>
              </c15:datalabelsRange>
            </c:ext>
            <c:ext xmlns:c16="http://schemas.microsoft.com/office/drawing/2014/chart" uri="{C3380CC4-5D6E-409C-BE32-E72D297353CC}">
              <c16:uniqueId val="{00000007-2946-4F42-865C-F09368FF3B9A}"/>
            </c:ext>
          </c:extLst>
        </c:ser>
        <c:ser>
          <c:idx val="12"/>
          <c:order val="14"/>
          <c:tx>
            <c:strRef>
              <c:f>'W5'!$D$63</c:f>
              <c:strCache>
                <c:ptCount val="1"/>
                <c:pt idx="0">
                  <c:v>Lợi nhuận</c:v>
                </c:pt>
              </c:strCache>
            </c:strRef>
          </c:tx>
          <c:invertIfNegative val="0"/>
          <c:dLbls>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'W5'!$G$63:$H$63</c:f>
            </c:numRef>
          </c:val>
          <c:extLs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5="http://schemas.microsoft.com/office/drawing/2012/chart" uri="{02D57815-91ED-43cb-92C2-25804820EDAC}">
              <c15:datalabelsRange>
                <c15:f>'W5'!$H$63</c15:f>
              </c15:datalabelsRange>
            </c:ext>
            <c:ext xmlns:c16="http://schemas.microsoft.com/office/drawing/2014/chart" uri="{C3380CC4-5D6E-409C-BE32-E72D297353CC}">
              <c16:uniqueId val="{00000009-2946-4F42-865C-F09368FF3B9A}"/>
            </c:ext>
          </c:extLst>
        </c:ser>
        <c:ser>
          <c:idx val="13"/>
          <c:order val="15"/>
          <c:tx>
            <c:strRef>
              <c:f>'W5'!$D$64</c:f>
              <c:strCache>
                <c:ptCount val="1"/>
                <c:pt idx="0">
                  <c:v>Giá bán</c:v>
                </c:pt>
              </c:strCache>
              <c:extLst xmlns:c15="http://schemas.microsoft.com/office/drawing/2012/chart"/>
            </c:strRef>
          </c:tx>
          <c:invertIfNegative val="0"/>
          <c:val>
            <c:numRef>
              <c:f>'W5'!$G$64:$H$64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6-2946-4F42-865C-F09368FF3B9A}"/>
            </c:ext>
          </c:extLst>
        </c:ser>
        <c:ser>
          <c:idx val="16"/>
          <c:order val="16"/>
          <c:tx>
            <c:strRef>
              <c:f>'W5'!$D$65</c:f>
              <c:strCache>
                <c:ptCount val="1"/>
                <c:pt idx="0">
                  <c:v>% Lãi gộp nguyên liệu/Giá bán</c:v>
                </c:pt>
              </c:strCache>
              <c:extLst xmlns:c15="http://schemas.microsoft.com/office/drawing/2012/chart"/>
            </c:strRef>
          </c:tx>
          <c:invertIfNegative val="0"/>
          <c:val>
            <c:numRef>
              <c:f>'W5'!$G$65:$H$65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'W5'!$G$48:$H$48</c15:sqref>
                        </c15:formulaRef>
                      </c:ext>
                    </c:extLst>
                  </c:strRef>
                </c15:cat>
              </c15:filteredCategoryTitle>
            </c:ext>
            <c:ext xmlns:c16="http://schemas.microsoft.com/office/drawing/2014/chart" uri="{C3380CC4-5D6E-409C-BE32-E72D297353CC}">
              <c16:uniqueId val="{00000017-2946-4F42-865C-F09368FF3B9A}"/>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'W5'!$I$49:$J$49</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'W5'!$J$49</c15:f>
              </c15:datalabelsRange>
            </c:ext>
            <c:ext xmlns:c16="http://schemas.microsoft.com/office/drawing/2014/chart" uri="{C3380CC4-5D6E-409C-BE32-E72D297353CC}">
              <c16:uniqueId val="{00000001-FF01-4E59-8B47-ACA044FB8FEC}"/>
            </c:ext>
          </c:extLst>
        </c:ser>
        <c:ser>
          <c:idx val="3"/>
          <c:order val="1"/>
          <c:tx>
            <c:strRef>
              <c:f>'W5'!$D$50</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'W5'!$I$50:$J$50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'W5'!$F$52</c15:f>
                <c15:dlblRangeCache>
                  <c:ptCount val="1"/>
                  <c:pt idx="0">
                    <c:v>29.4%</c:v>
                  </c:pt>
                </c15:dlblRangeCache>
              </c15:datalabelsRange>
            </c:ext>
            <c:ext xmlns:c16="http://schemas.microsoft.com/office/drawing/2014/chart" uri="{C3380CC4-5D6E-409C-BE32-E72D297353CC}">
              <c16:uniqueId val="{0000000B-FF01-4E59-8B47-ACA044FB8FEC}"/>
            </c:ext>
          </c:extLst>
        </c:ser>
        <c:ser>
          <c:idx val="14"/>
          <c:order val="2"/>
          <c:tx>
            <c:strRef>
              <c:f>'W5'!$D$51</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'W5'!$I$51:$J$51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03-FF01-4E59-8B47-ACA044FB8FEC}"/>
            </c:ext>
          </c:extLst>
        </c:ser>
        <c:ser>
          <c:idx val="11"/>
          <c:order val="3"/>
          <c:tx>
            <c:strRef>
              <c:f>'W5'!$D$52</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'W5'!$I$52:$J$52</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'W5'!$J$52</c15:f>
              </c15:datalabelsRange>
            </c:ext>
            <c:ext xmlns:c16="http://schemas.microsoft.com/office/drawing/2014/chart" uri="{C3380CC4-5D6E-409C-BE32-E72D297353CC}">
              <c16:uniqueId val="{00000005-FF01-4E59-8B47-ACA044FB8FEC}"/>
            </c:ext>
          </c:extLst>
        </c:ser>
        <c:ser>
          <c:idx val="12"/>
          <c:order val="4"/>
          <c:tx>
            <c:strRef>
              <c:f>'W5'!$D$53</c:f>
              <c:strCache>
                <c:ptCount val="1"/>
                <c:pt idx="0">
                  <c:v>Chi phí nhân công</c:v>
                </c:pt>
              </c:strCache>
              <c:extLst xmlns:c15="http://schemas.microsoft.com/office/drawing/2012/chart"/>
            </c:strRef>
          </c:tx>
          <c:invertIfNegative val="0"/>
          <c:dLbls>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f>'W5'!$I$53:$J$53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'W5'!$H$63</c15:f>
              </c15:datalabelsRange>
            </c:ext>
            <c:ext xmlns:c16="http://schemas.microsoft.com/office/drawing/2014/chart" uri="{C3380CC4-5D6E-409C-BE32-E72D297353CC}">
              <c16:uniqueId val="{0000000D-FF01-4E59-8B47-ACA044FB8FEC}"/>
            </c:ext>
          </c:extLst>
        </c:ser>
        <c:ser>
          <c:idx val="1"/>
          <c:order val="5"/>
          <c:tx>
            <c:strRef>
              <c:f>'W5'!$D$54</c:f>
              <c:strCache>
                <c:ptCount val="1"/>
                <c:pt idx="0">
                  <c:v>Khấu hao</c:v>
                </c:pt>
              </c:strCache>
              <c:extLst xmlns:c15="http://schemas.microsoft.com/office/drawing/2012/chart"/>
            </c:strRef>
          </c:tx>
          <c:invertIfNegative val="0"/>
          <c:val>
            <c:numRef>
              <c:f>'W5'!$I$54:$J$54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0E-FF01-4E59-8B47-ACA044FB8FEC}"/>
            </c:ext>
          </c:extLst>
        </c:ser>
        <c:ser>
          <c:idx val="2"/>
          <c:order val="6"/>
          <c:tx>
            <c:strRef>
              <c:f>'W5'!$D$55</c:f>
              <c:strCache>
                <c:ptCount val="1"/>
                <c:pt idx="0">
                  <c:v>Chi phí quản lý</c:v>
                </c:pt>
              </c:strCache>
              <c:extLst xmlns:c15="http://schemas.microsoft.com/office/drawing/2012/chart"/>
            </c:strRef>
          </c:tx>
          <c:invertIfNegative val="0"/>
          <c:val>
            <c:numRef>
              <c:f>'W5'!$I$55:$J$55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0F-FF01-4E59-8B47-ACA044FB8FEC}"/>
            </c:ext>
          </c:extLst>
        </c:ser>
        <c:ser>
          <c:idx val="4"/>
          <c:order val="7"/>
          <c:tx>
            <c:strRef>
              <c:f>'W5'!$D$56</c:f>
              <c:strCache>
                <c:ptCount val="1"/>
                <c:pt idx="0">
                  <c:v>Chi phí gián tiếp</c:v>
                </c:pt>
              </c:strCache>
              <c:extLst xmlns:c15="http://schemas.microsoft.com/office/drawing/2012/chart"/>
            </c:strRef>
          </c:tx>
          <c:invertIfNegative val="0"/>
          <c:val>
            <c:numRef>
              <c:f>'W5'!$I$56:$J$56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0-FF01-4E59-8B47-ACA044FB8FEC}"/>
            </c:ext>
          </c:extLst>
        </c:ser>
        <c:ser>
          <c:idx val="5"/>
          <c:order val="8"/>
          <c:tx>
            <c:strRef>
              <c:f>'W5'!$D$57</c:f>
              <c:strCache>
                <c:ptCount val="1"/>
                <c:pt idx="0">
                  <c:v>Điện</c:v>
                </c:pt>
              </c:strCache>
              <c:extLst xmlns:c15="http://schemas.microsoft.com/office/drawing/2012/chart"/>
            </c:strRef>
          </c:tx>
          <c:invertIfNegative val="0"/>
          <c:val>
            <c:numRef>
              <c:f>'W5'!$I$57:$J$57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1-FF01-4E59-8B47-ACA044FB8FEC}"/>
            </c:ext>
          </c:extLst>
        </c:ser>
        <c:ser>
          <c:idx val="6"/>
          <c:order val="9"/>
          <c:tx>
            <c:strRef>
              <c:f>'W5'!$D$58</c:f>
              <c:strCache>
                <c:ptCount val="1"/>
                <c:pt idx="0">
                  <c:v>Đóng gói</c:v>
                </c:pt>
              </c:strCache>
              <c:extLst xmlns:c15="http://schemas.microsoft.com/office/drawing/2012/chart"/>
            </c:strRef>
          </c:tx>
          <c:invertIfNegative val="0"/>
          <c:val>
            <c:numRef>
              <c:f>'W5'!$I$58:$J$58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2-FF01-4E59-8B47-ACA044FB8FEC}"/>
            </c:ext>
          </c:extLst>
        </c:ser>
        <c:ser>
          <c:idx val="7"/>
          <c:order val="10"/>
          <c:tx>
            <c:strRef>
              <c:f>'W5'!$D$59</c:f>
              <c:strCache>
                <c:ptCount val="1"/>
                <c:pt idx="0">
                  <c:v>Hóa chất</c:v>
                </c:pt>
              </c:strCache>
              <c:extLst xmlns:c15="http://schemas.microsoft.com/office/drawing/2012/chart"/>
            </c:strRef>
          </c:tx>
          <c:invertIfNegative val="0"/>
          <c:val>
            <c:numRef>
              <c:f>'W5'!$I$59:$J$59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3-FF01-4E59-8B47-ACA044FB8FEC}"/>
            </c:ext>
          </c:extLst>
        </c:ser>
        <c:ser>
          <c:idx val="8"/>
          <c:order val="11"/>
          <c:tx>
            <c:strRef>
              <c:f>'W5'!$D$60</c:f>
              <c:strCache>
                <c:ptCount val="1"/>
                <c:pt idx="0">
                  <c:v>Nước</c:v>
                </c:pt>
              </c:strCache>
              <c:extLst xmlns:c15="http://schemas.microsoft.com/office/drawing/2012/chart"/>
            </c:strRef>
          </c:tx>
          <c:invertIfNegative val="0"/>
          <c:val>
            <c:numRef>
              <c:f>'W5'!$I$60:$J$60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4-FF01-4E59-8B47-ACA044FB8FEC}"/>
            </c:ext>
          </c:extLst>
        </c:ser>
        <c:ser>
          <c:idx val="9"/>
          <c:order val="12"/>
          <c:tx>
            <c:strRef>
              <c:f>'W5'!$D$61</c:f>
              <c:strCache>
                <c:ptCount val="1"/>
                <c:pt idx="0">
                  <c:v>Giá thành</c:v>
                </c:pt>
              </c:strCache>
              <c:extLst xmlns:c15="http://schemas.microsoft.com/office/drawing/2012/chart"/>
            </c:strRef>
          </c:tx>
          <c:invertIfNegative val="0"/>
          <c:val>
            <c:numRef>
              <c:f>'W5'!$I$61:$J$61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5-FF01-4E59-8B47-ACA044FB8FEC}"/>
            </c:ext>
          </c:extLst>
        </c:ser>
        <c:ser>
          <c:idx val="10"/>
          <c:order val="13"/>
          <c:tx>
            <c:strRef>
              <c:f>'W5'!$D$62</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'W5'!$I$62:$J$62</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'W5'!$J$62</c15:f>
              </c15:datalabelsRange>
            </c:ext>
            <c:ext xmlns:c16="http://schemas.microsoft.com/office/drawing/2014/chart" uri="{C3380CC4-5D6E-409C-BE32-E72D297353CC}">
              <c16:uniqueId val="{00000007-FF01-4E59-8B47-ACA044FB8FEC}"/>
            </c:ext>
          </c:extLst>
        </c:ser>
        <c:ser>
          <c:idx val="13"/>
          <c:order val="14"/>
          <c:tx>
            <c:strRef>
              <c:f>'W5'!$D$63</c:f>
              <c:strCache>
                <c:ptCount val="1"/>
                <c:pt idx="0">
                  <c:v>Lợi nhuận</c:v>
                </c:pt>
              </c:strCache>
            </c:strRef>
          </c:tx>
          <c:invertIfNegative val="0"/>
          <c:dLbls>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'W5'!$I$63:$J$63</c:f>
            </c:numRef>
          </c:val>
          <c:extLs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5="http://schemas.microsoft.com/office/drawing/2012/chart" uri="{02D57815-91ED-43cb-92C2-25804820EDAC}">
              <c15:datalabelsRange>
                <c15:f>'W5'!$J$63</c15:f>
              </c15:datalabelsRange>
            </c:ext>
            <c:ext xmlns:c16="http://schemas.microsoft.com/office/drawing/2014/chart" uri="{C3380CC4-5D6E-409C-BE32-E72D297353CC}">
              <c16:uniqueId val="{00000009-FF01-4E59-8B47-ACA044FB8FEC}"/>
            </c:ext>
          </c:extLst>
        </c:ser>
        <c:ser>
          <c:idx val="15"/>
          <c:order val="15"/>
          <c:tx>
            <c:strRef>
              <c:f>'W5'!$D$64</c:f>
              <c:strCache>
                <c:ptCount val="1"/>
                <c:pt idx="0">
                  <c:v>Giá bán</c:v>
                </c:pt>
              </c:strCache>
              <c:extLst xmlns:c15="http://schemas.microsoft.com/office/drawing/2012/chart"/>
            </c:strRef>
          </c:tx>
          <c:invertIfNegative val="0"/>
          <c:val>
            <c:numRef>
              <c:f>'W5'!$I$64:$J$64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6-FF01-4E59-8B47-ACA044FB8FEC}"/>
            </c:ext>
          </c:extLst>
        </c:ser>
        <c:ser>
          <c:idx val="16"/>
          <c:order val="16"/>
          <c:tx>
            <c:strRef>
              <c:f>'W5'!$D$65</c:f>
              <c:strCache>
                <c:ptCount val="1"/>
                <c:pt idx="0">
                  <c:v>% Lãi gộp nguyên liệu/Giá bán</c:v>
                </c:pt>
              </c:strCache>
              <c:extLst xmlns:c15="http://schemas.microsoft.com/office/drawing/2012/chart"/>
            </c:strRef>
          </c:tx>
          <c:invertIfNegative val="0"/>
          <c:val>
            <c:numRef>
              <c:f>'W5'!$I$65:$J$65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'W5'!$I$48:$J$48</c15:sqref>
                        </c15:formulaRef>
                      </c:ext>
                    </c:extLst>
                  </c:strRef>
                </c15:cat>
              </c15:filteredCategoryTitle>
            </c:ext>
            <c:ext xmlns:c16="http://schemas.microsoft.com/office/drawing/2014/chart" uri="{C3380CC4-5D6E-409C-BE32-E72D297353CC}">
              <c16:uniqueId val="{00000017-FF01-4E59-8B47-ACA044FB8FEC}"/>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6.4473836404172938E-2"/>
          <c:w val="0.59309582231339852"/>
          <c:h val="0.93267454335343525"/>
        </c:manualLayout>
      </c:layout>
      <c:barChart>
        <c:barDir val="col"/>
        <c:grouping val="stacked"/>
        <c:varyColors val="0"/>
        <c:ser>
          <c:idx val="0"/>
          <c:order val="0"/>
          <c:tx>
            <c:strRef>
              <c:f>'W5'!$D$49</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'W5'!$M$49:$N$49</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'W5'!$N$49</c15:f>
              </c15:datalabelsRange>
            </c:ext>
            <c:ext xmlns:c16="http://schemas.microsoft.com/office/drawing/2014/chart" uri="{C3380CC4-5D6E-409C-BE32-E72D297353CC}">
              <c16:uniqueId val="{00000001-4515-4D3F-99A4-43ADB3155FD8}"/>
            </c:ext>
          </c:extLst>
        </c:ser>
        <c:ser>
          <c:idx val="14"/>
          <c:order val="1"/>
          <c:tx>
            <c:strRef>
              <c:f>'W5'!$D$50</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'W5'!$M$50:$N$50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0B-4515-4D3F-99A4-43ADB3155FD8}"/>
            </c:ext>
          </c:extLst>
        </c:ser>
        <c:ser>
          <c:idx val="11"/>
          <c:order val="2"/>
          <c:tx>
            <c:strRef>
              <c:f>'W5'!$D$51</c:f>
              <c:strCache>
                <c:ptCount val="1"/>
                <c:pt idx="0">
                  <c:v>Hao hụt về tiền</c:v>
                </c:pt>
              </c:strCache>
            </c:strRef>
          </c:tx>
          <c:invertIfNegative val="0"/>
          <c:dLbls>
            <c:spPr>
              <a:noFill/>
              <a:ln>
                <a:noFill/>
              </a:ln>
              <a:effectLst/>
            </c:spPr>
            <c:txPr>
              <a:bodyPr wrap="square" lIns="38100" tIns="19050" rIns="38100" bIns="19050" anchor="ctr">
                <a:spAutoFit/>
              </a:bodyPr>
              <a:lstStyle/>
              <a:p>
                <a:pPr>
                  <a:defRPr sz="11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'W5'!$M$51:$N$51</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'W5'!$N$51</c15:f>
              </c15:datalabelsRange>
            </c:ext>
            <c:ext xmlns:c16="http://schemas.microsoft.com/office/drawing/2014/chart" uri="{C3380CC4-5D6E-409C-BE32-E72D297353CC}">
              <c16:uniqueId val="{00000003-4515-4D3F-99A4-43ADB3155FD8}"/>
            </c:ext>
          </c:extLst>
        </c:ser>
        <c:ser>
          <c:idx val="10"/>
          <c:order val="3"/>
          <c:tx>
            <c:strRef>
              <c:f>'W5'!$D$52</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'W5'!$M$52:$N$52</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'W5'!$N$52</c15:f>
              </c15:datalabelsRange>
            </c:ext>
            <c:ext xmlns:c16="http://schemas.microsoft.com/office/drawing/2014/chart" uri="{C3380CC4-5D6E-409C-BE32-E72D297353CC}">
              <c16:uniqueId val="{00000005-4515-4D3F-99A4-43ADB3155FD8}"/>
            </c:ext>
          </c:extLst>
        </c:ser>
        <c:ser>
          <c:idx val="13"/>
          <c:order val="4"/>
          <c:tx>
            <c:strRef>
              <c:f>'W5'!$D$53</c:f>
              <c:strCache>
                <c:ptCount val="1"/>
                <c:pt idx="0">
                  <c:v>Chi phí nhân công</c:v>
                </c:pt>
              </c:strCache>
              <c:extLst xmlns:c15="http://schemas.microsoft.com/office/drawing/2012/chart"/>
            </c:strRef>
          </c:tx>
          <c:invertIfNegative val="0"/>
          <c:dLbls>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f>'W5'!$M$53:$N$53</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'W5'!$J$63</c15:f>
              </c15:datalabelsRange>
            </c:ext>
            <c:ext xmlns:c16="http://schemas.microsoft.com/office/drawing/2014/chart" uri="{C3380CC4-5D6E-409C-BE32-E72D297353CC}">
              <c16:uniqueId val="{0000000D-4515-4D3F-99A4-43ADB3155FD8}"/>
            </c:ext>
          </c:extLst>
        </c:ser>
        <c:ser>
          <c:idx val="1"/>
          <c:order val="5"/>
          <c:tx>
            <c:strRef>
              <c:f>'W5'!$D$54</c:f>
              <c:strCache>
                <c:ptCount val="1"/>
                <c:pt idx="0">
                  <c:v>Khấu hao</c:v>
                </c:pt>
              </c:strCache>
              <c:extLst xmlns:c15="http://schemas.microsoft.com/office/drawing/2012/chart"/>
            </c:strRef>
          </c:tx>
          <c:invertIfNegative val="0"/>
          <c:val>
            <c:numRef>
              <c:f>'W5'!$M$54:$N$54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0E-4515-4D3F-99A4-43ADB3155FD8}"/>
            </c:ext>
          </c:extLst>
        </c:ser>
        <c:ser>
          <c:idx val="2"/>
          <c:order val="6"/>
          <c:tx>
            <c:strRef>
              <c:f>'W5'!$D$55</c:f>
              <c:strCache>
                <c:ptCount val="1"/>
                <c:pt idx="0">
                  <c:v>Chi phí quản lý</c:v>
                </c:pt>
              </c:strCache>
              <c:extLst xmlns:c15="http://schemas.microsoft.com/office/drawing/2012/chart"/>
            </c:strRef>
          </c:tx>
          <c:invertIfNegative val="0"/>
          <c:val>
            <c:numRef>
              <c:f>'W5'!$M$55:$N$55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0F-4515-4D3F-99A4-43ADB3155FD8}"/>
            </c:ext>
          </c:extLst>
        </c:ser>
        <c:ser>
          <c:idx val="3"/>
          <c:order val="7"/>
          <c:tx>
            <c:strRef>
              <c:f>'W5'!$D$56</c:f>
              <c:strCache>
                <c:ptCount val="1"/>
                <c:pt idx="0">
                  <c:v>Chi phí gián tiếp</c:v>
                </c:pt>
              </c:strCache>
              <c:extLst xmlns:c15="http://schemas.microsoft.com/office/drawing/2012/chart"/>
            </c:strRef>
          </c:tx>
          <c:invertIfNegative val="0"/>
          <c:val>
            <c:numRef>
              <c:f>'W5'!$M$56:$N$56</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0-4515-4D3F-99A4-43ADB3155FD8}"/>
            </c:ext>
          </c:extLst>
        </c:ser>
        <c:ser>
          <c:idx val="4"/>
          <c:order val="8"/>
          <c:tx>
            <c:strRef>
              <c:f>'W5'!$D$57</c:f>
              <c:strCache>
                <c:ptCount val="1"/>
                <c:pt idx="0">
                  <c:v>Điện</c:v>
                </c:pt>
              </c:strCache>
              <c:extLst xmlns:c15="http://schemas.microsoft.com/office/drawing/2012/chart"/>
            </c:strRef>
          </c:tx>
          <c:invertIfNegative val="0"/>
          <c:val>
            <c:numRef>
              <c:f>'W5'!$M$57:$N$57</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1-4515-4D3F-99A4-43ADB3155FD8}"/>
            </c:ext>
          </c:extLst>
        </c:ser>
        <c:ser>
          <c:idx val="5"/>
          <c:order val="9"/>
          <c:tx>
            <c:strRef>
              <c:f>'W5'!$D$58</c:f>
              <c:strCache>
                <c:ptCount val="1"/>
                <c:pt idx="0">
                  <c:v>Đóng gói</c:v>
                </c:pt>
              </c:strCache>
              <c:extLst xmlns:c15="http://schemas.microsoft.com/office/drawing/2012/chart"/>
            </c:strRef>
          </c:tx>
          <c:invertIfNegative val="0"/>
          <c:val>
            <c:numRef>
              <c:f>'W5'!$M$58:$N$58</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2-4515-4D3F-99A4-43ADB3155FD8}"/>
            </c:ext>
          </c:extLst>
        </c:ser>
        <c:ser>
          <c:idx val="6"/>
          <c:order val="10"/>
          <c:tx>
            <c:strRef>
              <c:f>'W5'!$D$59</c:f>
              <c:strCache>
                <c:ptCount val="1"/>
                <c:pt idx="0">
                  <c:v>Hóa chất</c:v>
                </c:pt>
              </c:strCache>
              <c:extLst xmlns:c15="http://schemas.microsoft.com/office/drawing/2012/chart"/>
            </c:strRef>
          </c:tx>
          <c:invertIfNegative val="0"/>
          <c:val>
            <c:numRef>
              <c:f>'W5'!$M$59:$N$59</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3-4515-4D3F-99A4-43ADB3155FD8}"/>
            </c:ext>
          </c:extLst>
        </c:ser>
        <c:ser>
          <c:idx val="7"/>
          <c:order val="11"/>
          <c:tx>
            <c:strRef>
              <c:f>'W5'!$D$60</c:f>
              <c:strCache>
                <c:ptCount val="1"/>
                <c:pt idx="0">
                  <c:v>Nước</c:v>
                </c:pt>
              </c:strCache>
              <c:extLst xmlns:c15="http://schemas.microsoft.com/office/drawing/2012/chart"/>
            </c:strRef>
          </c:tx>
          <c:invertIfNegative val="0"/>
          <c:val>
            <c:numRef>
              <c:f>'W5'!$M$60:$N$60</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4-4515-4D3F-99A4-43ADB3155FD8}"/>
            </c:ext>
          </c:extLst>
        </c:ser>
        <c:ser>
          <c:idx val="8"/>
          <c:order val="12"/>
          <c:tx>
            <c:strRef>
              <c:f>'W5'!$D$61</c:f>
              <c:strCache>
                <c:ptCount val="1"/>
                <c:pt idx="0">
                  <c:v>Giá thành</c:v>
                </c:pt>
              </c:strCache>
              <c:extLst xmlns:c15="http://schemas.microsoft.com/office/drawing/2012/chart"/>
            </c:strRef>
          </c:tx>
          <c:invertIfNegative val="0"/>
          <c:val>
            <c:numRef>
              <c:f>'W5'!$M$61:$N$61</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5-4515-4D3F-99A4-43ADB3155FD8}"/>
            </c:ext>
          </c:extLst>
        </c:ser>
        <c:ser>
          <c:idx val="9"/>
          <c:order val="13"/>
          <c:tx>
            <c:strRef>
              <c:f>'W5'!$D$62</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'W5'!$M$62:$N$62</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'W5'!$N$62</c15:f>
              </c15:datalabelsRange>
            </c:ext>
            <c:ext xmlns:c16="http://schemas.microsoft.com/office/drawing/2014/chart" uri="{C3380CC4-5D6E-409C-BE32-E72D297353CC}">
              <c16:uniqueId val="{00000007-4515-4D3F-99A4-43ADB3155FD8}"/>
            </c:ext>
          </c:extLst>
        </c:ser>
        <c:ser>
          <c:idx val="12"/>
          <c:order val="14"/>
          <c:tx>
            <c:strRef>
              <c:f>'W5'!$D$63</c:f>
              <c:strCache>
                <c:ptCount val="1"/>
                <c:pt idx="0">
                  <c:v>Lợi nhuận</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val>
            <c:numRef>
              <c:f>'W5'!$M$63:$N$63</c:f>
            </c:numRef>
          </c:val>
          <c:extLs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5="http://schemas.microsoft.com/office/drawing/2012/chart" uri="{02D57815-91ED-43cb-92C2-25804820EDAC}">
              <c15:datalabelsRange>
                <c15:f>'W5'!$N$63</c15:f>
              </c15:datalabelsRange>
            </c:ext>
            <c:ext xmlns:c16="http://schemas.microsoft.com/office/drawing/2014/chart" uri="{C3380CC4-5D6E-409C-BE32-E72D297353CC}">
              <c16:uniqueId val="{00000009-4515-4D3F-99A4-43ADB3155FD8}"/>
            </c:ext>
          </c:extLst>
        </c:ser>
        <c:ser>
          <c:idx val="15"/>
          <c:order val="15"/>
          <c:tx>
            <c:strRef>
              <c:f>'W5'!$D$64</c:f>
              <c:strCache>
                <c:ptCount val="1"/>
                <c:pt idx="0">
                  <c:v>Giá bán</c:v>
                </c:pt>
              </c:strCache>
              <c:extLst xmlns:c15="http://schemas.microsoft.com/office/drawing/2012/chart"/>
            </c:strRef>
          </c:tx>
          <c:invertIfNegative val="0"/>
          <c:val>
            <c:numRef>
              <c:f>'W5'!$M$64:$N$64</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6-4515-4D3F-99A4-43ADB3155FD8}"/>
            </c:ext>
          </c:extLst>
        </c:ser>
        <c:ser>
          <c:idx val="16"/>
          <c:order val="16"/>
          <c:tx>
            <c:strRef>
              <c:f>'W5'!$D$65</c:f>
              <c:strCache>
                <c:ptCount val="1"/>
                <c:pt idx="0">
                  <c:v>% Lãi gộp nguyên liệu/Giá bán</c:v>
                </c:pt>
              </c:strCache>
              <c:extLst xmlns:c15="http://schemas.microsoft.com/office/drawing/2012/chart"/>
            </c:strRef>
          </c:tx>
          <c:invertIfNegative val="0"/>
          <c:val>
            <c:numRef>
              <c:f>'W5'!$M$65:$N$65</c:f>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'W5'!$M$48:$N$48</c15:sqref>
                        </c15:formulaRef>
                      </c:ext>
                    </c:extLst>
                  </c:strRef>
                </c15:cat>
              </c15:filteredCategoryTitle>
            </c:ext>
            <c:ext xmlns:c16="http://schemas.microsoft.com/office/drawing/2014/chart" uri="{C3380CC4-5D6E-409C-BE32-E72D297353CC}">
              <c16:uniqueId val="{00000017-4515-4D3F-99A4-43ADB3155FD8}"/>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a:t>
            </a:r>
            <a:r>
              <a:rPr lang="en-US" sz="1500" b="1" baseline="0">
                <a:solidFill>
                  <a:srgbClr val="0070C0"/>
                </a:solidFill>
              </a:rPr>
              <a:t> BÁN</a:t>
            </a:r>
            <a:endParaRPr lang="en-US" sz="1500" b="1">
              <a:solidFill>
                <a:srgbClr val="0070C0"/>
              </a:solidFill>
            </a:endParaRPr>
          </a:p>
        </c:rich>
      </c:tx>
      <c:layout>
        <c:manualLayout>
          <c:xMode val="edge"/>
          <c:yMode val="edge"/>
          <c:x val="3.5632599496491509E-2"/>
          <c:y val="2.1595270481700735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23370864347718959"/>
          <c:y val="9.8165813622631451E-2"/>
          <c:w val="0.76338100491563388"/>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8BAA1FA4-87D8-4542-99ED-77A577CD9775}" type="CELLRANGE">
                      <a:rPr lang="en-US" sz="1300" baseline="0"/>
                      <a:pPr>
                        <a:defRPr sz="1300"/>
                      </a:pPr>
                      <a:t>[CELLRANGE]</a:t>
                    </a:fld>
                    <a:r>
                      <a:rPr lang="en-US" sz="1300" baseline="0"/>
                      <a:t>, </a:t>
                    </a:r>
                    <a:fld id="{B5377EF1-8519-4843-A369-EE7C8EFA1804}" type="SERIESNAME">
                      <a:rPr lang="en-US" sz="1300" baseline="0"/>
                      <a:pPr>
                        <a:defRPr sz="1300"/>
                      </a:pPr>
                      <a:t>[SERIES NAME]</a:t>
                    </a:fld>
                    <a:r>
                      <a:rPr lang="en-US" sz="1300" baseline="0"/>
                      <a:t>, </a:t>
                    </a:r>
                    <a:fld id="{70A86FCA-1C88-469C-9533-ABFF89F15180}"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'W5'!$E$49:$F$49</c15:sqref>
                  </c15:fullRef>
                </c:ext>
              </c:extLst>
              <c:f>'W5'!$E$49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'W5'!$F$49</c15:f>
                <c15:dlblRangeCache>
                  <c:ptCount val="1"/>
                  <c:pt idx="0">
                    <c:v>56.2%</c:v>
                  </c:pt>
                </c15:dlblRangeCache>
              </c15:datalabelsRange>
            </c:ext>
            <c:ext xmlns:c16="http://schemas.microsoft.com/office/drawing/2014/chart" uri="{C3380CC4-5D6E-409C-BE32-E72D297353CC}">
              <c16:uniqueId val="{00000001-8B28-48F8-9510-FB30B864065F}"/>
            </c:ext>
          </c:extLst>
        </c:ser>
        <c:ser>
          <c:idx val="4"/>
          <c:order val="2"/>
          <c:tx>
            <c:strRef>
              <c:f>'W5'!$D$51</c:f>
              <c:strCache>
                <c:ptCount val="1"/>
                <c:pt idx="0">
                  <c:v>Hao hụt về tiền</c:v>
                </c:pt>
              </c:strCache>
            </c:strRef>
          </c:tx>
          <c:spPr>
            <a:solidFill>
              <a:srgbClr val="FFC000"/>
            </a:solidFill>
            <a:ln>
              <a:noFill/>
            </a:ln>
            <a:effectLst/>
          </c:spPr>
          <c:invertIfNegative val="0"/>
          <c:dLbls>
            <c:dLbl>
              <c:idx val="0"/>
              <c:tx>
                <c:rich>
                  <a:bodyPr/>
                  <a:lstStyle/>
                  <a:p>
                    <a:fld id="{9A0986FC-9078-46C4-B99E-2B94D5DAE72E}" type="CELLRANGE">
                      <a:rPr lang="en-US" baseline="0"/>
                      <a:pPr/>
                      <a:t>[CELLRANGE]</a:t>
                    </a:fld>
                    <a:r>
                      <a:rPr lang="en-US" baseline="0"/>
                      <a:t>, </a:t>
                    </a:r>
                    <a:fld id="{E6C52556-4E9F-4AB7-907E-A4E2CBC6C667}" type="SERIESNAME">
                      <a:rPr lang="en-US" baseline="0"/>
                      <a:pPr/>
                      <a:t>[SERIES NAME]</a:t>
                    </a:fld>
                    <a:r>
                      <a:rPr lang="en-US" baseline="0"/>
                      <a:t>, </a:t>
                    </a:r>
                    <a:fld id="{240402B7-0E93-4573-9038-F006DB0EABD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42914424395895"/>
                      <c:h val="0.12134677328701579"/>
                    </c:manualLayout>
                  </c15:layout>
                  <c15:dlblFieldTable/>
                  <c15:showDataLabelsRange val="1"/>
                </c:ext>
                <c:ext xmlns:c16="http://schemas.microsoft.com/office/drawing/2014/chart" uri="{C3380CC4-5D6E-409C-BE32-E72D297353CC}">
                  <c16:uniqueId val="{00000002-8B28-48F8-9510-FB30B864065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'W5'!$E$51:$F$51</c15:sqref>
                  </c15:fullRef>
                </c:ext>
              </c:extLst>
              <c:f>'W5'!$E$51</c:f>
              <c:numCache>
                <c:formatCode>0.0%;\-0.0.%;</c:formatCode>
                <c:ptCount val="1"/>
                <c:pt idx="0" formatCode="#,##0_);\(#,##0\);;">
                  <c:v>28.744258064516178</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'W5'!$F$51</c15:f>
                <c15:dlblRangeCache>
                  <c:ptCount val="1"/>
                  <c:pt idx="0">
                    <c:v>4.2%</c:v>
                  </c:pt>
                </c15:dlblRangeCache>
              </c15:datalabelsRange>
            </c:ext>
            <c:ext xmlns:c16="http://schemas.microsoft.com/office/drawing/2014/chart" uri="{C3380CC4-5D6E-409C-BE32-E72D297353CC}">
              <c16:uniqueId val="{00000003-8B28-48F8-9510-FB30B864065F}"/>
            </c:ext>
          </c:extLst>
        </c:ser>
        <c:ser>
          <c:idx val="3"/>
          <c:order val="3"/>
          <c:tx>
            <c:strRef>
              <c:f>'W5'!$D$52</c:f>
              <c:strCache>
                <c:ptCount val="1"/>
                <c:pt idx="0">
                  <c:v>Chi phí biến đổi</c:v>
                </c:pt>
              </c:strCache>
            </c:strRef>
          </c:tx>
          <c:spPr>
            <a:solidFill>
              <a:schemeClr val="bg2">
                <a:lumMod val="9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E026CAE-4BE3-4F78-98FC-4BA9C08EACF6}" type="CELLRANGE">
                      <a:rPr lang="en-US" sz="1300" baseline="0"/>
                      <a:pPr>
                        <a:defRPr sz="1300"/>
                      </a:pPr>
                      <a:t>[CELLRANGE]</a:t>
                    </a:fld>
                    <a:r>
                      <a:rPr lang="en-US" sz="1300" baseline="0"/>
                      <a:t>, </a:t>
                    </a:r>
                    <a:fld id="{C786A99B-2433-4C3F-9376-0A8BA34BDB18}" type="SERIESNAME">
                      <a:rPr lang="en-US" sz="1300" baseline="0"/>
                      <a:pPr>
                        <a:defRPr sz="1300"/>
                      </a:pPr>
                      <a:t>[SERIES NAME]</a:t>
                    </a:fld>
                    <a:r>
                      <a:rPr lang="en-US" sz="1300" baseline="0"/>
                      <a:t>, </a:t>
                    </a:r>
                    <a:fld id="{E9125B5F-E2D5-4038-B18D-0DEF4B9D2640}" type="VALUE">
                      <a:rPr lang="en-US" sz="1300" baseline="0"/>
                      <a:pPr>
                        <a:defRPr sz="1300"/>
                      </a:pPr>
                      <a:t>[VALUE]</a:t>
                    </a:fld>
                    <a:endParaRPr lang="en-US" sz="1300"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4-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'W5'!$E$52:$F$52</c15:sqref>
                  </c15:fullRef>
                </c:ext>
              </c:extLst>
              <c:f>'W5'!$E$52</c:f>
              <c:numCache>
                <c:formatCode>0.0%;\-0.0.%;</c:formatCode>
                <c:ptCount val="1"/>
                <c:pt idx="0" formatCode="#,##0_);\(#,##0\);;">
                  <c:v>199.88456354781695</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'W5'!$F$52</c15:f>
                <c15:dlblRangeCache>
                  <c:ptCount val="1"/>
                  <c:pt idx="0">
                    <c:v>29.4%</c:v>
                  </c:pt>
                </c15:dlblRangeCache>
              </c15:datalabelsRange>
            </c:ext>
            <c:ext xmlns:c16="http://schemas.microsoft.com/office/drawing/2014/chart" uri="{C3380CC4-5D6E-409C-BE32-E72D297353CC}">
              <c16:uniqueId val="{00000005-8B28-48F8-9510-FB30B864065F}"/>
            </c:ext>
          </c:extLst>
        </c:ser>
        <c:ser>
          <c:idx val="14"/>
          <c:order val="13"/>
          <c:tx>
            <c:strRef>
              <c:f>'W5'!$D$62</c:f>
              <c:strCache>
                <c:ptCount val="1"/>
                <c:pt idx="0">
                  <c:v>Thuế thu nhập</c:v>
                </c:pt>
              </c:strCache>
            </c:strRef>
          </c:tx>
          <c:spPr>
            <a:solidFill>
              <a:srgbClr val="FFFF00"/>
            </a:solidFill>
            <a:ln>
              <a:noFill/>
            </a:ln>
            <a:effectLst/>
          </c:spPr>
          <c:invertIfNegative val="0"/>
          <c:dLbls>
            <c:dLbl>
              <c:idx val="0"/>
              <c:tx>
                <c:rich>
                  <a:bodyPr/>
                  <a:lstStyle/>
                  <a:p>
                    <a:fld id="{EBC75F7B-74CB-4198-B0DD-7AD74A25485D}" type="CELLRANGE">
                      <a:rPr lang="en-US" baseline="0"/>
                      <a:pPr/>
                      <a:t>[CELLRANGE]</a:t>
                    </a:fld>
                    <a:r>
                      <a:rPr lang="en-US" baseline="0"/>
                      <a:t>, </a:t>
                    </a:r>
                    <a:fld id="{B32C0FC9-DFAD-40DE-ABF4-B6955F6B62E3}" type="SERIESNAME">
                      <a:rPr lang="en-US" baseline="0"/>
                      <a:pPr/>
                      <a:t>[SERIES NAME]</a:t>
                    </a:fld>
                    <a:r>
                      <a:rPr lang="en-US" baseline="0"/>
                      <a:t>, </a:t>
                    </a:r>
                    <a:fld id="{666BE6AD-1693-4FB2-AE1E-770DB13FD84E}"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55358953255249543"/>
                      <c:h val="8.4272718986321854E-2"/>
                    </c:manualLayout>
                  </c15:layout>
                  <c15:dlblFieldTable/>
                  <c15:showDataLabelsRange val="1"/>
                </c:ext>
                <c:ext xmlns:c16="http://schemas.microsoft.com/office/drawing/2014/chart" uri="{C3380CC4-5D6E-409C-BE32-E72D297353CC}">
                  <c16:uniqueId val="{00000006-8B28-48F8-9510-FB30B86406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'W5'!$E$62:$F$62</c15:sqref>
                  </c15:fullRef>
                </c:ext>
              </c:extLst>
              <c:f>'W5'!$E$62</c:f>
              <c:numCache>
                <c:formatCode>0.0%;\-0.0.%;</c:formatCode>
                <c:ptCount val="1"/>
                <c:pt idx="0" formatCode="#,##0_);\(#,##0\);;">
                  <c:v>13.896635677533368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'W5'!$F$62</c15:f>
                <c15:dlblRangeCache>
                  <c:ptCount val="1"/>
                  <c:pt idx="0">
                    <c:v>2.0%</c:v>
                  </c:pt>
                </c15:dlblRangeCache>
              </c15:datalabelsRange>
            </c:ext>
            <c:ext xmlns:c16="http://schemas.microsoft.com/office/drawing/2014/chart" uri="{C3380CC4-5D6E-409C-BE32-E72D297353CC}">
              <c16:uniqueId val="{00000007-8B28-48F8-9510-FB30B864065F}"/>
            </c:ext>
          </c:extLst>
        </c:ser>
        <c:ser>
          <c:idx val="15"/>
          <c:order val="14"/>
          <c:tx>
            <c:strRef>
              <c:f>'W5'!$D$63</c:f>
              <c:strCache>
                <c:ptCount val="1"/>
                <c:pt idx="0">
                  <c:v>Lợi nhuận</c:v>
                </c:pt>
              </c:strCache>
            </c:strRef>
          </c:tx>
          <c:spPr>
            <a:solidFill>
              <a:srgbClr val="92D050"/>
            </a:solidFill>
            <a:ln>
              <a:noFill/>
            </a:ln>
            <a:effectLst/>
          </c:spPr>
          <c:invertIfNegative val="0"/>
          <c:dLbls>
            <c:dLbl>
              <c:idx val="0"/>
              <c:layout>
                <c:manualLayout>
                  <c:x val="-2.7212620027434842E-2"/>
                  <c:y val="-6.4171147097134451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4291A9C1-94E8-4375-B9DE-4A8B90DC5CAB}"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26343682-571B-49B5-9B66-8CC3368CD749}"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6F7FBDA9-7243-4CBD-B789-2D8820486758}"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63065527065527061"/>
                      <c:h val="7.0671635385405648E-2"/>
                    </c:manualLayout>
                  </c15:layout>
                  <c15:dlblFieldTable/>
                  <c15:showDataLabelsRange val="1"/>
                </c:ext>
                <c:ext xmlns:c16="http://schemas.microsoft.com/office/drawing/2014/chart" uri="{C3380CC4-5D6E-409C-BE32-E72D297353CC}">
                  <c16:uniqueId val="{00000008-8B28-48F8-9510-FB30B864065F}"/>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 </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'W5'!$E$63:$F$63</c15:sqref>
                  </c15:fullRef>
                </c:ext>
              </c:extLst>
              <c:f>'W5'!$E$63</c:f>
              <c:numCache>
                <c:formatCode>0.0%;\-0.0.%;</c:formatCode>
                <c:ptCount val="1"/>
                <c:pt idx="0" formatCode="#,##0_);\(#,##0\);;">
                  <c:v>55.586542710133472</c:v>
                </c:pt>
              </c:numCache>
            </c:numRef>
          </c:val>
          <c:extLs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5="http://schemas.microsoft.com/office/drawing/2012/chart" uri="{02D57815-91ED-43cb-92C2-25804820EDAC}">
              <c15:datalabelsRange>
                <c15:f>'W5'!$F$63</c15:f>
                <c15:dlblRangeCache>
                  <c:ptCount val="1"/>
                  <c:pt idx="0">
                    <c:v>8.2%</c:v>
                  </c:pt>
                </c15:dlblRangeCache>
              </c15:datalabelsRange>
            </c:ext>
            <c:ext xmlns:c16="http://schemas.microsoft.com/office/drawing/2014/chart" uri="{C3380CC4-5D6E-409C-BE32-E72D297353CC}">
              <c16:uniqueId val="{00000009-8B28-48F8-9510-FB30B864065F}"/>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
                <c:order val="1"/>
                <c:tx>
                  <c:strRef>
                    <c:extLst>
                      <c:ext uri="{02D57815-91ED-43cb-92C2-25804820EDAC}">
                        <c15:formulaRef>
                          <c15:sqref>'W5'!$D$50</c15:sqref>
                        </c15:formulaRef>
                      </c:ext>
                    </c:extLst>
                    <c:strCache>
                      <c:ptCount val="1"/>
                      <c:pt idx="0">
                        <c:v>Vảy sạch</c:v>
                      </c:pt>
                    </c:strCache>
                  </c:strRef>
                </c:tx>
                <c:spPr>
                  <a:solidFill>
                    <a:schemeClr val="accent2"/>
                  </a:solidFill>
                  <a:ln>
                    <a:noFill/>
                  </a:ln>
                  <a:effectLst/>
                </c:spPr>
                <c:invertIfNegative val="0"/>
                <c:val>
                  <c:numRef>
                    <c:extLst>
                      <c:ext uri="{02D57815-91ED-43cb-92C2-25804820EDAC}">
                        <c15:fullRef>
                          <c15:sqref>'W5'!$E$50:$F$50</c15:sqref>
                        </c15:fullRef>
                        <c15:formulaRef>
                          <c15:sqref>'W5'!$E$50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A-8B28-48F8-9510-FB30B864065F}"/>
                  </c:ext>
                </c:extLst>
              </c15:ser>
            </c15:filteredBarSeries>
            <c15:filteredBarSeries>
              <c15:ser>
                <c:idx val="5"/>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chemeClr val="accent6"/>
                  </a:solidFill>
                  <a:ln>
                    <a:noFill/>
                  </a:ln>
                  <a:effectLst/>
                </c:spPr>
                <c:invertIfNegative val="0"/>
                <c:val>
                  <c:numRef>
                    <c:extLst>
                      <c:ext xmlns:c15="http://schemas.microsoft.com/office/drawing/2012/chart" uri="{02D57815-91ED-43cb-92C2-25804820EDAC}">
                        <c15:fullRef>
                          <c15:sqref>'W5'!$E$53:$F$53</c15:sqref>
                        </c15:fullRef>
                        <c15:formulaRef>
                          <c15:sqref>'W5'!$E$53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B-8B28-48F8-9510-FB30B864065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spPr>
                  <a:solidFill>
                    <a:schemeClr val="accent1">
                      <a:lumMod val="60000"/>
                    </a:schemeClr>
                  </a:solidFill>
                  <a:ln>
                    <a:noFill/>
                  </a:ln>
                  <a:effectLst/>
                </c:spPr>
                <c:invertIfNegative val="0"/>
                <c:val>
                  <c:numRef>
                    <c:extLst>
                      <c:ext xmlns:c15="http://schemas.microsoft.com/office/drawing/2012/chart" uri="{02D57815-91ED-43cb-92C2-25804820EDAC}">
                        <c15:fullRef>
                          <c15:sqref>'W5'!$E$54:$F$54</c15:sqref>
                        </c15:fullRef>
                        <c15:formulaRef>
                          <c15:sqref>'W5'!$E$54</c15:sqref>
                        </c15:formulaRef>
                      </c:ext>
                    </c:extLst>
                    <c:numCache>
                      <c:formatCode>0.0%;\-0.0.%;</c:formatCode>
                      <c:ptCount val="1"/>
                      <c:pt idx="0" formatCode="#,##0_);\(#,##0\);;">
                        <c:v>60.692061728415723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C-8B28-48F8-9510-FB30B864065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spPr>
                  <a:solidFill>
                    <a:schemeClr val="accent2">
                      <a:lumMod val="60000"/>
                    </a:schemeClr>
                  </a:solidFill>
                  <a:ln>
                    <a:noFill/>
                  </a:ln>
                  <a:effectLst/>
                </c:spPr>
                <c:invertIfNegative val="0"/>
                <c:val>
                  <c:numRef>
                    <c:extLst>
                      <c:ext xmlns:c15="http://schemas.microsoft.com/office/drawing/2012/chart" uri="{02D57815-91ED-43cb-92C2-25804820EDAC}">
                        <c15:fullRef>
                          <c15:sqref>'W5'!$E$55:$F$55</c15:sqref>
                        </c15:fullRef>
                        <c15:formulaRef>
                          <c15:sqref>'W5'!$E$55</c15:sqref>
                        </c15:formulaRef>
                      </c:ext>
                    </c:extLst>
                    <c:numCache>
                      <c:formatCode>0.0%;\-0.0.%;</c:formatCode>
                      <c:ptCount val="1"/>
                      <c:pt idx="0" formatCode="#,##0_);\(#,##0\);;">
                        <c:v>34.904894027008218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D-8B28-48F8-9510-FB30B864065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spPr>
                  <a:solidFill>
                    <a:schemeClr val="accent3">
                      <a:lumMod val="60000"/>
                    </a:schemeClr>
                  </a:solidFill>
                  <a:ln>
                    <a:noFill/>
                  </a:ln>
                  <a:effectLst/>
                </c:spPr>
                <c:invertIfNegative val="0"/>
                <c:val>
                  <c:numRef>
                    <c:extLst>
                      <c:ext xmlns:c15="http://schemas.microsoft.com/office/drawing/2012/chart" uri="{02D57815-91ED-43cb-92C2-25804820EDAC}">
                        <c15:fullRef>
                          <c15:sqref>'W5'!$E$56:$F$56</c15:sqref>
                        </c15:fullRef>
                        <c15:formulaRef>
                          <c15:sqref>'W5'!$E$56</c15:sqref>
                        </c15:formulaRef>
                      </c:ext>
                    </c:extLst>
                    <c:numCache>
                      <c:formatCode>0.0%;\-0.0.%;</c:formatCode>
                      <c:ptCount val="1"/>
                      <c:pt idx="0" formatCode="#,##0_);\(#,##0\);;">
                        <c:v>51.587503915265557</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E-8B28-48F8-9510-FB30B864065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spPr>
                  <a:solidFill>
                    <a:schemeClr val="accent4">
                      <a:lumMod val="60000"/>
                    </a:schemeClr>
                  </a:solidFill>
                  <a:ln>
                    <a:noFill/>
                  </a:ln>
                  <a:effectLst/>
                </c:spPr>
                <c:invertIfNegative val="0"/>
                <c:val>
                  <c:numRef>
                    <c:extLst>
                      <c:ext xmlns:c15="http://schemas.microsoft.com/office/drawing/2012/chart" uri="{02D57815-91ED-43cb-92C2-25804820EDAC}">
                        <c15:fullRef>
                          <c15:sqref>'W5'!$E$57:$F$57</c15:sqref>
                        </c15:fullRef>
                        <c15:formulaRef>
                          <c15:sqref>'W5'!$E$57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0F-8B28-48F8-9510-FB30B864065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spPr>
                  <a:solidFill>
                    <a:schemeClr val="accent5">
                      <a:lumMod val="60000"/>
                    </a:schemeClr>
                  </a:solidFill>
                  <a:ln>
                    <a:noFill/>
                  </a:ln>
                  <a:effectLst/>
                </c:spPr>
                <c:invertIfNegative val="0"/>
                <c:val>
                  <c:numRef>
                    <c:extLst>
                      <c:ext xmlns:c15="http://schemas.microsoft.com/office/drawing/2012/chart" uri="{02D57815-91ED-43cb-92C2-25804820EDAC}">
                        <c15:fullRef>
                          <c15:sqref>'W5'!$E$58:$F$58</c15:sqref>
                        </c15:fullRef>
                        <c15:formulaRef>
                          <c15:sqref>'W5'!$E$58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0-8B28-48F8-9510-FB30B864065F}"/>
                  </c:ext>
                </c:extLst>
              </c15:ser>
            </c15:filteredBarSeries>
            <c15:filteredBarSeries>
              <c15:ser>
                <c:idx val="11"/>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spPr>
                  <a:solidFill>
                    <a:schemeClr val="accent6">
                      <a:lumMod val="60000"/>
                    </a:schemeClr>
                  </a:solidFill>
                  <a:ln>
                    <a:noFill/>
                  </a:ln>
                  <a:effectLst/>
                </c:spPr>
                <c:invertIfNegative val="0"/>
                <c:val>
                  <c:numRef>
                    <c:extLst>
                      <c:ext xmlns:c15="http://schemas.microsoft.com/office/drawing/2012/chart" uri="{02D57815-91ED-43cb-92C2-25804820EDAC}">
                        <c15:fullRef>
                          <c15:sqref>'W5'!$E$59:$F$59</c15:sqref>
                        </c15:fullRef>
                        <c15:formulaRef>
                          <c15:sqref>'W5'!$E$59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1-8B28-48F8-9510-FB30B864065F}"/>
                  </c:ext>
                </c:extLst>
              </c15:ser>
            </c15:filteredBarSeries>
            <c15:filteredBarSeries>
              <c15:ser>
                <c:idx val="12"/>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spPr>
                  <a:solidFill>
                    <a:schemeClr val="accent1">
                      <a:lumMod val="80000"/>
                      <a:lumOff val="20000"/>
                    </a:schemeClr>
                  </a:solidFill>
                  <a:ln>
                    <a:noFill/>
                  </a:ln>
                  <a:effectLst/>
                </c:spPr>
                <c:invertIfNegative val="0"/>
                <c:val>
                  <c:numRef>
                    <c:extLst>
                      <c:ext xmlns:c15="http://schemas.microsoft.com/office/drawing/2012/chart" uri="{02D57815-91ED-43cb-92C2-25804820EDAC}">
                        <c15:fullRef>
                          <c15:sqref>'W5'!$E$60:$F$60</c15:sqref>
                        </c15:fullRef>
                        <c15:formulaRef>
                          <c15:sqref>'W5'!$E$60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2-8B28-48F8-9510-FB30B864065F}"/>
                  </c:ext>
                </c:extLst>
              </c15:ser>
            </c15:filteredBarSeries>
            <c15:filteredBarSeries>
              <c15:ser>
                <c:idx val="13"/>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spPr>
                  <a:solidFill>
                    <a:schemeClr val="accent2">
                      <a:lumMod val="80000"/>
                      <a:lumOff val="20000"/>
                    </a:schemeClr>
                  </a:solidFill>
                  <a:ln>
                    <a:noFill/>
                  </a:ln>
                  <a:effectLst/>
                </c:spPr>
                <c:invertIfNegative val="0"/>
                <c:val>
                  <c:numRef>
                    <c:extLst>
                      <c:ext xmlns:c15="http://schemas.microsoft.com/office/drawing/2012/chart" uri="{02D57815-91ED-43cb-92C2-25804820EDAC}">
                        <c15:fullRef>
                          <c15:sqref>'W5'!$E$61:$F$61</c15:sqref>
                        </c15:fullRef>
                        <c15:formulaRef>
                          <c15:sqref>'W5'!$E$61</c15:sqref>
                        </c15:formulaRef>
                      </c:ext>
                    </c:extLst>
                    <c:numCache>
                      <c:formatCode>0.0%;\-0.0.%;</c:formatCode>
                      <c:ptCount val="1"/>
                      <c:pt idx="0" formatCode="#,##0_);\(#,##0\);;">
                        <c:v>610.51682161233316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3-8B28-48F8-9510-FB30B864065F}"/>
                  </c:ext>
                </c:extLst>
              </c15:ser>
            </c15:filteredBarSeries>
          </c:ext>
        </c:extLst>
      </c:barChart>
      <c:lineChart>
        <c:grouping val="standard"/>
        <c:varyColors val="0"/>
        <c:dLbls>
          <c:showLegendKey val="0"/>
          <c:showVal val="0"/>
          <c:showCatName val="0"/>
          <c:showSerName val="0"/>
          <c:showPercent val="0"/>
          <c:showBubbleSize val="0"/>
        </c:dLbls>
        <c:marker val="1"/>
        <c:smooth val="0"/>
        <c:axId val="336187152"/>
        <c:axId val="336190512"/>
        <c:extLst>
          <c:ext xmlns:c15="http://schemas.microsoft.com/office/drawing/2012/chart" uri="{02D57815-91ED-43cb-92C2-25804820EDAC}">
            <c15:filteredLineSeries>
              <c15:ser>
                <c:idx val="16"/>
                <c:order val="15"/>
                <c:tx>
                  <c:strRef>
                    <c:extLst>
                      <c:ext uri="{02D57815-91ED-43cb-92C2-25804820EDAC}">
                        <c15:formulaRef>
                          <c15:sqref>'W5'!$D$64</c15:sqref>
                        </c15:formulaRef>
                      </c:ext>
                    </c:extLst>
                    <c:strCache>
                      <c:ptCount val="1"/>
                      <c:pt idx="0">
                        <c:v>Giá bán</c:v>
                      </c:pt>
                    </c:strCache>
                  </c:strRef>
                </c:tx>
                <c:spPr>
                  <a:ln w="28575" cap="rnd">
                    <a:solidFill>
                      <a:schemeClr val="accent5">
                        <a:lumMod val="80000"/>
                        <a:lumOff val="20000"/>
                      </a:schemeClr>
                    </a:solidFill>
                    <a:round/>
                  </a:ln>
                  <a:effectLst/>
                </c:spPr>
                <c:marker>
                  <c:symbol val="none"/>
                </c:marker>
                <c:val>
                  <c:numRef>
                    <c:extLst>
                      <c:ext uri="{02D57815-91ED-43cb-92C2-25804820EDAC}">
                        <c15:fullRef>
                          <c15:sqref>'W5'!$E$64:$F$64</c15:sqref>
                        </c15:fullRef>
                        <c15:formulaRef>
                          <c15:sqref>'W5'!$E$64</c15:sqref>
                        </c15:formulaRef>
                      </c:ext>
                    </c:extLst>
                    <c:numCache>
                      <c:formatCode>0.0%;\-0.0.%;</c:formatCode>
                      <c:ptCount val="1"/>
                      <c:pt idx="0" formatCode="#,##0_);\(#,##0\);;">
                        <c:v>680</c:v>
                      </c:pt>
                    </c:numCache>
                  </c:numRef>
                </c:val>
                <c:smooth val="0"/>
                <c:extLst>
                  <c:ex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4-8B28-48F8-9510-FB30B864065F}"/>
                  </c:ext>
                </c:extLst>
              </c15:ser>
            </c15:filteredLineSeries>
            <c15:filteredLineSeries>
              <c15:ser>
                <c:idx val="2"/>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spPr>
                  <a:ln w="28575" cap="rnd">
                    <a:solidFill>
                      <a:schemeClr val="accent3"/>
                    </a:solidFill>
                    <a:round/>
                  </a:ln>
                  <a:effectLst/>
                </c:spPr>
                <c:marker>
                  <c:symbol val="none"/>
                </c:marker>
                <c:val>
                  <c:numRef>
                    <c:extLst>
                      <c:ext xmlns:c15="http://schemas.microsoft.com/office/drawing/2012/chart" uri="{02D57815-91ED-43cb-92C2-25804820EDAC}">
                        <c15:fullRef>
                          <c15:sqref>'W5'!$E$65:$F$65</c15:sqref>
                        </c15:fullRef>
                        <c15:formulaRef>
                          <c15:sqref>'W5'!$E$65</c15:sqref>
                        </c15:formulaRef>
                      </c:ext>
                    </c:extLst>
                    <c:numCache>
                      <c:formatCode>0.0%;\-0.0.%;</c:formatCode>
                      <c:ptCount val="1"/>
                    </c:numCache>
                  </c:numRef>
                </c:val>
                <c:smooth val="0"/>
                <c:extLst xmlns:c15="http://schemas.microsoft.com/office/drawing/2012/chart">
                  <c:ext xmlns:c15="http://schemas.microsoft.com/office/drawing/2012/chart" uri="{02D57815-91ED-43cb-92C2-25804820EDAC}">
                    <c15:filteredCategoryTitle>
                      <c15:cat>
                        <c:strRef>
                          <c:extLst>
                            <c:ext uri="{02D57815-91ED-43cb-92C2-25804820EDAC}">
                              <c15:formulaRef>
                                <c15:sqref>'W5'!$E$48:$F$48</c15:sqref>
                              </c15:formulaRef>
                            </c:ext>
                          </c:extLst>
                          <c:strCache>
                            <c:ptCount val="1"/>
                            <c:pt idx="0">
                              <c:v>Chi phí
VNĐ / Phôi</c:v>
                            </c:pt>
                          </c:strCache>
                        </c:strRef>
                      </c15:cat>
                    </c15:filteredCategoryTitle>
                  </c:ext>
                  <c:ext xmlns:c16="http://schemas.microsoft.com/office/drawing/2014/chart" uri="{C3380CC4-5D6E-409C-BE32-E72D297353CC}">
                    <c16:uniqueId val="{00000015-8B28-48F8-9510-FB30B864065F}"/>
                  </c:ext>
                </c:extLst>
              </c15:ser>
            </c15:filteredLineSeries>
          </c:ext>
        </c:extLst>
      </c:line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a:t>
            </a:r>
            <a:r>
              <a:rPr lang="en-US" baseline="0"/>
              <a:t> BÁN</a:t>
            </a:r>
            <a:endParaRPr lang="en-US"/>
          </a:p>
        </c:rich>
      </c:tx>
      <c:layout>
        <c:manualLayout>
          <c:xMode val="edge"/>
          <c:yMode val="edge"/>
          <c:x val="1.368489042222828E-2"/>
          <c:y val="3.4658494634642691E-2"/>
        </c:manualLayout>
      </c:layout>
      <c:overlay val="0"/>
      <c:spPr>
        <a:noFill/>
        <a:ln>
          <a:noFill/>
        </a:ln>
        <a:effectLst/>
      </c:spPr>
      <c:txPr>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endParaRPr lang="en-US"/>
        </a:p>
      </c:txPr>
    </c:title>
    <c:autoTitleDeleted val="0"/>
    <c:plotArea>
      <c:layout>
        <c:manualLayout>
          <c:layoutTarget val="inner"/>
          <c:xMode val="edge"/>
          <c:yMode val="edge"/>
          <c:x val="0.38450801484278091"/>
          <c:y val="0.10736304473362035"/>
          <c:w val="0.61549198515721915"/>
          <c:h val="0.8926369552663796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94A763C4-614E-4641-8548-E1FAB24AEECA}" type="CELLRANGE">
                      <a:rPr lang="en-US" baseline="0"/>
                      <a:pPr>
                        <a:defRPr sz="1300"/>
                      </a:pPr>
                      <a:t>[CELLRANGE]</a:t>
                    </a:fld>
                    <a:r>
                      <a:rPr lang="en-US" baseline="0"/>
                      <a:t>, </a:t>
                    </a:r>
                    <a:fld id="{71167D26-B3D9-4563-94B6-507BC74D9D68}" type="SERIESNAME">
                      <a:rPr lang="en-US" baseline="0"/>
                      <a:pPr>
                        <a:defRPr sz="1300"/>
                      </a:pPr>
                      <a:t>[SERIES NAME]</a:t>
                    </a:fld>
                    <a:r>
                      <a:rPr lang="en-US" baseline="0"/>
                      <a:t>, </a:t>
                    </a:r>
                    <a:fld id="{B070FC27-7208-4F5B-BF16-6551D027E532}"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6943226626543529"/>
                      <c:h val="0.2523939065954558"/>
                    </c:manualLayout>
                  </c15:layout>
                  <c15:dlblFieldTable/>
                  <c15:showDataLabelsRange val="1"/>
                </c:ext>
                <c:ext xmlns:c16="http://schemas.microsoft.com/office/drawing/2014/chart" uri="{C3380CC4-5D6E-409C-BE32-E72D297353CC}">
                  <c16:uniqueId val="{00000000-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'W5'!$E$71:$F$71</c15:sqref>
                  </c15:fullRef>
                </c:ext>
              </c:extLst>
              <c:f>'W5'!$E$71</c:f>
              <c:numCache>
                <c:formatCode>0.0%;\-0.0.%;</c:formatCode>
                <c:ptCount val="1"/>
                <c:pt idx="0" formatCode="#,##0_);\(#,##0\);;">
                  <c:v>979.2</c:v>
                </c:pt>
              </c:numCache>
            </c:numRef>
          </c:val>
          <c:extLst>
            <c:ext xmlns:c15="http://schemas.microsoft.com/office/drawing/2012/chart" uri="{02D57815-91ED-43cb-92C2-25804820EDAC}">
              <c15:datalabelsRange>
                <c15:f>'W5'!$F$71</c15:f>
                <c15:dlblRangeCache>
                  <c:ptCount val="1"/>
                  <c:pt idx="0">
                    <c:v>56.2%</c:v>
                  </c:pt>
                </c15:dlblRangeCache>
              </c15:datalabelsRange>
            </c:ext>
            <c:ext xmlns:c16="http://schemas.microsoft.com/office/drawing/2014/chart" uri="{C3380CC4-5D6E-409C-BE32-E72D297353CC}">
              <c16:uniqueId val="{00000001-F83D-43DE-88A5-68B8920BABD6}"/>
            </c:ext>
          </c:extLst>
        </c:ser>
        <c:ser>
          <c:idx val="3"/>
          <c:order val="2"/>
          <c:tx>
            <c:strRef>
              <c:f>'W5'!$D$73</c:f>
              <c:strCache>
                <c:ptCount val="1"/>
                <c:pt idx="0">
                  <c:v>Hao hụt về tiền</c:v>
                </c:pt>
              </c:strCache>
            </c:strRef>
          </c:tx>
          <c:spPr>
            <a:solidFill>
              <a:srgbClr val="FFC0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A2AF18CB-EEF4-4930-9D7A-7B7E8DD1BAB8}" type="CELLRANGE">
                      <a:rPr lang="en-US" baseline="0"/>
                      <a:pPr>
                        <a:defRPr sz="1100"/>
                      </a:pPr>
                      <a:t>[CELLRANGE]</a:t>
                    </a:fld>
                    <a:r>
                      <a:rPr lang="en-US" baseline="0"/>
                      <a:t>, </a:t>
                    </a:r>
                    <a:fld id="{967FAC25-49AA-4330-9E2F-96A6F0A7947D}" type="SERIESNAME">
                      <a:rPr lang="en-US" baseline="0"/>
                      <a:pPr>
                        <a:defRPr sz="1100"/>
                      </a:pPr>
                      <a:t>[SERIES NAME]</a:t>
                    </a:fld>
                    <a:r>
                      <a:rPr lang="en-US" baseline="0"/>
                      <a:t>, </a:t>
                    </a:r>
                    <a:fld id="{2C454ADA-765E-4B74-BACB-880584A2F754}" type="VALUE">
                      <a:rPr lang="en-US" baseline="0"/>
                      <a:pPr>
                        <a:defRPr sz="11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37705101431980909"/>
                      <c:h val="0.10217243866235731"/>
                    </c:manualLayout>
                  </c15:layout>
                  <c15:dlblFieldTable/>
                  <c15:showDataLabelsRange val="1"/>
                </c:ext>
                <c:ext xmlns:c16="http://schemas.microsoft.com/office/drawing/2014/chart" uri="{C3380CC4-5D6E-409C-BE32-E72D297353CC}">
                  <c16:uniqueId val="{00000002-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'W5'!$E$73:$F$73</c15:sqref>
                  </c15:fullRef>
                </c:ext>
              </c:extLst>
              <c:f>'W5'!$E$73</c:f>
              <c:numCache>
                <c:formatCode>0.0%;\-0.0.%;</c:formatCode>
                <c:ptCount val="1"/>
                <c:pt idx="0" formatCode="#,##0_);\(#,##0\);;">
                  <c:v>73.703225806451741</c:v>
                </c:pt>
              </c:numCache>
            </c:numRef>
          </c:val>
          <c:extLst>
            <c:ext xmlns:c15="http://schemas.microsoft.com/office/drawing/2012/chart" uri="{02D57815-91ED-43cb-92C2-25804820EDAC}">
              <c15:datalabelsRange>
                <c15:f>'W5'!$F$73</c15:f>
                <c15:dlblRangeCache>
                  <c:ptCount val="1"/>
                  <c:pt idx="0">
                    <c:v>4.2%</c:v>
                  </c:pt>
                </c15:dlblRangeCache>
              </c15:datalabelsRange>
            </c:ext>
            <c:ext xmlns:c16="http://schemas.microsoft.com/office/drawing/2014/chart" uri="{C3380CC4-5D6E-409C-BE32-E72D297353CC}">
              <c16:uniqueId val="{00000003-F83D-43DE-88A5-68B8920BABD6}"/>
            </c:ext>
          </c:extLst>
        </c:ser>
        <c:ser>
          <c:idx val="14"/>
          <c:order val="3"/>
          <c:tx>
            <c:strRef>
              <c:f>'W5'!$D$74</c:f>
              <c:strCache>
                <c:ptCount val="1"/>
                <c:pt idx="0">
                  <c:v>Chi phí biến đổi</c:v>
                </c:pt>
              </c:strCache>
            </c:strRef>
          </c:tx>
          <c:spPr>
            <a:solidFill>
              <a:schemeClr val="accent3">
                <a:lumMod val="80000"/>
                <a:lumOff val="20000"/>
              </a:schemeClr>
            </a:solidFill>
            <a:ln>
              <a:noFill/>
            </a:ln>
            <a:effectLst/>
          </c:spPr>
          <c:invertIfNegative val="0"/>
          <c:dPt>
            <c:idx val="0"/>
            <c:invertIfNegative val="0"/>
            <c:bubble3D val="0"/>
            <c:spPr>
              <a:solidFill>
                <a:srgbClr val="E8E8E8">
                  <a:lumMod val="90000"/>
                </a:srgbClr>
              </a:solidFill>
              <a:ln>
                <a:noFill/>
              </a:ln>
              <a:effectLst/>
            </c:spPr>
            <c:extLst>
              <c:ext xmlns:c16="http://schemas.microsoft.com/office/drawing/2014/chart" uri="{C3380CC4-5D6E-409C-BE32-E72D297353CC}">
                <c16:uniqueId val="{00000005-F83D-43DE-88A5-68B8920BABD6}"/>
              </c:ext>
            </c:extLst>
          </c:dPt>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B2781BD3-C9F7-4021-927F-BC8B6B8D3B03}" type="CELLRANGE">
                      <a:rPr lang="en-US" baseline="0"/>
                      <a:pPr>
                        <a:defRPr sz="1300"/>
                      </a:pPr>
                      <a:t>[CELLRANGE]</a:t>
                    </a:fld>
                    <a:r>
                      <a:rPr lang="en-US" baseline="0"/>
                      <a:t>, </a:t>
                    </a:r>
                    <a:fld id="{993D7EA7-111B-4ECB-915A-BB1E1660C6F1}" type="SERIESNAME">
                      <a:rPr lang="en-US" baseline="0"/>
                      <a:pPr>
                        <a:defRPr sz="1300"/>
                      </a:pPr>
                      <a:t>[SERIES NAME]</a:t>
                    </a:fld>
                    <a:r>
                      <a:rPr lang="en-US" baseline="0"/>
                      <a:t>, </a:t>
                    </a:r>
                    <a:fld id="{D8C7FFFA-AF54-4E6D-92BD-A36468424433}" type="VALUE">
                      <a:rPr lang="en-US" baseline="0"/>
                      <a:pPr>
                        <a:defRPr sz="1300"/>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42469372600394306"/>
                      <c:h val="0.1752356287679375"/>
                    </c:manualLayout>
                  </c15:layout>
                  <c15:dlblFieldTable/>
                  <c15:showDataLabelsRange val="1"/>
                </c:ext>
                <c:ext xmlns:c16="http://schemas.microsoft.com/office/drawing/2014/chart" uri="{C3380CC4-5D6E-409C-BE32-E72D297353CC}">
                  <c16:uniqueId val="{00000005-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'W5'!$E$74:$F$74</c15:sqref>
                  </c15:fullRef>
                </c:ext>
              </c:extLst>
              <c:f>'W5'!$E$74</c:f>
              <c:numCache>
                <c:formatCode>0.0%;\-0.0.%;</c:formatCode>
                <c:ptCount val="1"/>
                <c:pt idx="0" formatCode="#,##0_);\(#,##0\);;">
                  <c:v>512.52452191747943</c:v>
                </c:pt>
              </c:numCache>
            </c:numRef>
          </c:val>
          <c:extLst xmlns:c15="http://schemas.microsoft.com/office/drawing/2012/chart">
            <c:ext xmlns:c15="http://schemas.microsoft.com/office/drawing/2012/chart" uri="{02D57815-91ED-43cb-92C2-25804820EDAC}">
              <c15:datalabelsRange>
                <c15:f>'W5'!$F$74</c15:f>
                <c15:dlblRangeCache>
                  <c:ptCount val="1"/>
                  <c:pt idx="0">
                    <c:v>29.4%</c:v>
                  </c:pt>
                </c15:dlblRangeCache>
              </c15:datalabelsRange>
            </c:ext>
            <c:ext xmlns:c16="http://schemas.microsoft.com/office/drawing/2014/chart" uri="{C3380CC4-5D6E-409C-BE32-E72D297353CC}">
              <c16:uniqueId val="{00000006-F83D-43DE-88A5-68B8920BABD6}"/>
            </c:ext>
          </c:extLst>
        </c:ser>
        <c:ser>
          <c:idx val="11"/>
          <c:order val="13"/>
          <c:tx>
            <c:strRef>
              <c:f>'W5'!$D$84</c:f>
              <c:strCache>
                <c:ptCount val="1"/>
                <c:pt idx="0">
                  <c:v>Thuế thu nhập</c:v>
                </c:pt>
              </c:strCache>
            </c:strRef>
          </c:tx>
          <c:spPr>
            <a:solidFill>
              <a:srgbClr val="FFFF00"/>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9F4216E2-CBE0-4AAC-BAA6-1804206D12D9}" type="CELLRANGE">
                      <a:rPr lang="en-US" sz="1100" baseline="0"/>
                      <a:pPr>
                        <a:defRPr sz="1100"/>
                      </a:pPr>
                      <a:t>[CELLRANGE]</a:t>
                    </a:fld>
                    <a:r>
                      <a:rPr lang="en-US" sz="1100" baseline="0"/>
                      <a:t>, </a:t>
                    </a:r>
                    <a:fld id="{1F04507A-DC87-4D3C-B70E-A1FFD7D15344}" type="SERIESNAME">
                      <a:rPr lang="en-US" sz="1100" baseline="0"/>
                      <a:pPr>
                        <a:defRPr sz="1100"/>
                      </a:pPr>
                      <a:t>[SERIES NAME]</a:t>
                    </a:fld>
                    <a:r>
                      <a:rPr lang="en-US" sz="1100" baseline="0"/>
                      <a:t>, </a:t>
                    </a:r>
                    <a:fld id="{A097EF8D-19DF-43E6-AFCD-BABBCF49E69E}" type="VALUE">
                      <a:rPr lang="en-US" sz="1100" baseline="0"/>
                      <a:pPr>
                        <a:defRPr sz="1100"/>
                      </a:pPr>
                      <a:t>[VALUE]</a:t>
                    </a:fld>
                    <a:endParaRPr lang="en-US" sz="11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59452865583169034"/>
                      <c:h val="6.8098030596001849E-2"/>
                    </c:manualLayout>
                  </c15:layout>
                  <c15:dlblFieldTable/>
                  <c15:showDataLabelsRange val="1"/>
                </c:ext>
                <c:ext xmlns:c16="http://schemas.microsoft.com/office/drawing/2014/chart" uri="{C3380CC4-5D6E-409C-BE32-E72D297353CC}">
                  <c16:uniqueId val="{00000007-F83D-43DE-88A5-68B8920BAB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'W5'!$E$84:$F$84</c15:sqref>
                  </c15:fullRef>
                </c:ext>
              </c:extLst>
              <c:f>'W5'!$E$84</c:f>
              <c:numCache>
                <c:formatCode>0.0%;\-0.0.%;</c:formatCode>
                <c:ptCount val="1"/>
                <c:pt idx="0" formatCode="#,##0_);\(#,##0\);;">
                  <c:v>35.632399173162504</c:v>
                </c:pt>
              </c:numCache>
            </c:numRef>
          </c:val>
          <c:extLst>
            <c:ext xmlns:c15="http://schemas.microsoft.com/office/drawing/2012/chart" uri="{02D57815-91ED-43cb-92C2-25804820EDAC}">
              <c15:datalabelsRange>
                <c15:f>'W5'!$F$84</c15:f>
                <c15:dlblRangeCache>
                  <c:ptCount val="1"/>
                  <c:pt idx="0">
                    <c:v>2.0%</c:v>
                  </c:pt>
                </c15:dlblRangeCache>
              </c15:datalabelsRange>
            </c:ext>
            <c:ext xmlns:c16="http://schemas.microsoft.com/office/drawing/2014/chart" uri="{C3380CC4-5D6E-409C-BE32-E72D297353CC}">
              <c16:uniqueId val="{00000008-F83D-43DE-88A5-68B8920BABD6}"/>
            </c:ext>
          </c:extLst>
        </c:ser>
        <c:ser>
          <c:idx val="12"/>
          <c:order val="14"/>
          <c:tx>
            <c:strRef>
              <c:f>'W5'!$D$85</c:f>
              <c:strCache>
                <c:ptCount val="1"/>
                <c:pt idx="0">
                  <c:v>Lợi nhuận</c:v>
                </c:pt>
              </c:strCache>
            </c:strRef>
          </c:tx>
          <c:spPr>
            <a:solidFill>
              <a:srgbClr val="92D050"/>
            </a:solidFill>
            <a:ln>
              <a:noFill/>
            </a:ln>
            <a:effectLst/>
          </c:spPr>
          <c:invertIfNegative val="0"/>
          <c:dLbls>
            <c:dLbl>
              <c:idx val="0"/>
              <c:layout>
                <c:manualLayout>
                  <c:x val="-4.4155582001660738E-3"/>
                  <c:y val="-6.3182795226821839E-2"/>
                </c:manualLayout>
              </c:layout>
              <c:tx>
                <c:rich>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fld id="{111EA569-7033-4F13-A02A-AECDE47729A2}"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7EE0BB11-4A42-471E-A5D9-3EE238CF89FA}"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87CC8769-628A-444A-A027-71E9160FA0AC}"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txPr>
                <a:bodyPr rot="0" spcFirstLastPara="1" vertOverflow="ellipsis" vert="horz" wrap="square" lIns="38100" tIns="19050" rIns="38100" bIns="19050" anchor="ctr" anchorCtr="1">
                  <a:noAutofit/>
                </a:bodyPr>
                <a:lstStyle/>
                <a:p>
                  <a:pPr>
                    <a:defRPr sz="1300" b="1"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72727913899553798"/>
                      <c:h val="6.1221561442975629E-2"/>
                    </c:manualLayout>
                  </c15:layout>
                  <c15:dlblFieldTable/>
                  <c15:showDataLabelsRange val="1"/>
                </c:ext>
                <c:ext xmlns:c16="http://schemas.microsoft.com/office/drawing/2014/chart" uri="{C3380CC4-5D6E-409C-BE32-E72D297353CC}">
                  <c16:uniqueId val="{00000009-F83D-43DE-88A5-68B8920BABD6}"/>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'W5'!$E$70:$F$70</c15:sqref>
                  </c15:fullRef>
                </c:ext>
              </c:extLst>
              <c:f>'W5'!$E$70</c:f>
              <c:strCache>
                <c:ptCount val="1"/>
                <c:pt idx="0">
                  <c:v>Chi phí
USD/tấn</c:v>
                </c:pt>
              </c:strCache>
            </c:strRef>
          </c:cat>
          <c:val>
            <c:numRef>
              <c:extLst>
                <c:ext xmlns:c15="http://schemas.microsoft.com/office/drawing/2012/chart" uri="{02D57815-91ED-43cb-92C2-25804820EDAC}">
                  <c15:fullRef>
                    <c15:sqref>'W5'!$E$85:$F$85</c15:sqref>
                  </c15:fullRef>
                </c:ext>
              </c:extLst>
              <c:f>'W5'!$E$85</c:f>
              <c:numCache>
                <c:formatCode>0.0%;\-0.0.%;</c:formatCode>
                <c:ptCount val="1"/>
                <c:pt idx="0" formatCode="#,##0_);\(#,##0\);;">
                  <c:v>142.52959669265002</c:v>
                </c:pt>
              </c:numCache>
            </c:numRef>
          </c:val>
          <c:extLst>
            <c:ext xmlns:c15="http://schemas.microsoft.com/office/drawing/2012/chart" uri="{02D57815-91ED-43cb-92C2-25804820EDAC}">
              <c15:datalabelsRange>
                <c15:f>'W5'!$F$85</c15:f>
                <c15:dlblRangeCache>
                  <c:ptCount val="1"/>
                  <c:pt idx="0">
                    <c:v>8.2%</c:v>
                  </c:pt>
                </c15:dlblRangeCache>
              </c15:datalabelsRange>
            </c:ext>
            <c:ext xmlns:c16="http://schemas.microsoft.com/office/drawing/2014/chart" uri="{C3380CC4-5D6E-409C-BE32-E72D297353CC}">
              <c16:uniqueId val="{0000000A-F83D-43DE-88A5-68B8920BABD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4"/>
                <c:order val="1"/>
                <c:tx>
                  <c:strRef>
                    <c:extLst>
                      <c:ext uri="{02D57815-91ED-43cb-92C2-25804820EDAC}">
                        <c15:formulaRef>
                          <c15:sqref>'W5'!$D$72</c15:sqref>
                        </c15:formulaRef>
                      </c:ext>
                    </c:extLst>
                    <c:strCache>
                      <c:ptCount val="1"/>
                      <c:pt idx="0">
                        <c:v>Vảy sạch</c:v>
                      </c:pt>
                    </c:strCache>
                  </c:strRef>
                </c:tx>
                <c:spPr>
                  <a:solidFill>
                    <a:schemeClr val="accent5"/>
                  </a:solidFill>
                  <a:ln>
                    <a:noFill/>
                  </a:ln>
                  <a:effectLst/>
                </c:spPr>
                <c:invertIfNegative val="0"/>
                <c:cat>
                  <c:strRef>
                    <c:extLst>
                      <c:ext uri="{02D57815-91ED-43cb-92C2-25804820EDAC}">
                        <c15:fullRef>
                          <c15:sqref>'W5'!$E$70:$F$70</c15:sqref>
                        </c15:fullRef>
                        <c15:formulaRef>
                          <c15:sqref>'W5'!$E$70</c15:sqref>
                        </c15:formulaRef>
                      </c:ext>
                    </c:extLst>
                    <c:strCache>
                      <c:ptCount val="1"/>
                      <c:pt idx="0">
                        <c:v>Chi phí
USD/tấn</c:v>
                      </c:pt>
                    </c:strCache>
                  </c:strRef>
                </c:cat>
                <c:val>
                  <c:numRef>
                    <c:extLst>
                      <c:ext uri="{02D57815-91ED-43cb-92C2-25804820EDAC}">
                        <c15:fullRef>
                          <c15:sqref>'W5'!$E$72:$F$72</c15:sqref>
                        </c15:fullRef>
                        <c15:formulaRef>
                          <c15:sqref>'W5'!$E$72</c15:sqref>
                        </c15:formulaRef>
                      </c:ext>
                    </c:extLst>
                    <c:numCache>
                      <c:formatCode>0.0%;\-0.0.%;</c:formatCode>
                      <c:ptCount val="1"/>
                      <c:pt idx="0" formatCode="#,##0_);\(#,##0\);;">
                        <c:v>979.2</c:v>
                      </c:pt>
                    </c:numCache>
                  </c:numRef>
                </c:val>
                <c:extLst>
                  <c:ext xmlns:c16="http://schemas.microsoft.com/office/drawing/2014/chart" uri="{C3380CC4-5D6E-409C-BE32-E72D297353CC}">
                    <c16:uniqueId val="{0000000B-F83D-43DE-88A5-68B8920BABD6}"/>
                  </c:ext>
                </c:extLst>
              </c15:ser>
            </c15:filteredBarSeries>
            <c15:filteredBarSeries>
              <c15:ser>
                <c:idx val="15"/>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chemeClr val="accent4">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'W5'!$E$75:$F$75</c15:sqref>
                        </c15:fullRef>
                        <c15:formulaRef>
                          <c15:sqref>'W5'!$E$75</c15:sqref>
                        </c15:formulaRef>
                      </c:ext>
                    </c:extLst>
                    <c:numCache>
                      <c:formatCode>0.0%;\-0.0.%;</c:formatCode>
                      <c:ptCount val="1"/>
                      <c:pt idx="0" formatCode="#,##0_);\(#,##0\);;">
                        <c:v>39.193355199141216</c:v>
                      </c:pt>
                    </c:numCache>
                  </c:numRef>
                </c:val>
                <c:extLst xmlns:c15="http://schemas.microsoft.com/office/drawing/2012/chart">
                  <c:ext xmlns:c16="http://schemas.microsoft.com/office/drawing/2014/chart" uri="{C3380CC4-5D6E-409C-BE32-E72D297353CC}">
                    <c16:uniqueId val="{0000000C-F83D-43DE-88A5-68B8920BABD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spPr>
                  <a:solidFill>
                    <a:schemeClr val="accent2"/>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'W5'!$E$76:$F$76</c15:sqref>
                        </c15:fullRef>
                        <c15:formulaRef>
                          <c15:sqref>'W5'!$E$76</c15:sqref>
                        </c15:formulaRef>
                      </c:ext>
                    </c:extLst>
                    <c:numCache>
                      <c:formatCode>0.0%;\-0.0.%;</c:formatCode>
                      <c:ptCount val="1"/>
                      <c:pt idx="0" formatCode="#,##0_);\(#,##0\);;">
                        <c:v>155.62067109850187</c:v>
                      </c:pt>
                    </c:numCache>
                  </c:numRef>
                </c:val>
                <c:extLst xmlns:c15="http://schemas.microsoft.com/office/drawing/2012/chart">
                  <c:ext xmlns:c16="http://schemas.microsoft.com/office/drawing/2014/chart" uri="{C3380CC4-5D6E-409C-BE32-E72D297353CC}">
                    <c16:uniqueId val="{0000000D-F83D-43DE-88A5-68B8920BABD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spPr>
                  <a:solidFill>
                    <a:schemeClr val="accent3"/>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'W5'!$E$77:$F$77</c15:sqref>
                        </c15:fullRef>
                        <c15:formulaRef>
                          <c15:sqref>'W5'!$E$77</c15:sqref>
                        </c15:formulaRef>
                      </c:ext>
                    </c:extLst>
                    <c:numCache>
                      <c:formatCode>0.0%;\-0.0.%;</c:formatCode>
                      <c:ptCount val="1"/>
                      <c:pt idx="0" formatCode="#,##0_);\(#,##0\);;">
                        <c:v>89.499728274380047</c:v>
                      </c:pt>
                    </c:numCache>
                  </c:numRef>
                </c:val>
                <c:extLst xmlns:c15="http://schemas.microsoft.com/office/drawing/2012/chart">
                  <c:ext xmlns:c16="http://schemas.microsoft.com/office/drawing/2014/chart" uri="{C3380CC4-5D6E-409C-BE32-E72D297353CC}">
                    <c16:uniqueId val="{0000000E-F83D-43DE-88A5-68B8920BABD6}"/>
                  </c:ext>
                </c:extLst>
              </c15:ser>
            </c15:filteredBarSeries>
            <c15:filteredBarSeries>
              <c15:ser>
                <c:idx val="5"/>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spPr>
                  <a:solidFill>
                    <a:schemeClr val="accent6"/>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'W5'!$E$78:$F$78</c15:sqref>
                        </c15:fullRef>
                        <c15:formulaRef>
                          <c15:sqref>'W5'!$E$78</c15:sqref>
                        </c15:formulaRef>
                      </c:ext>
                    </c:extLst>
                    <c:numCache>
                      <c:formatCode>0.0%;\-0.0.%;</c:formatCode>
                      <c:ptCount val="1"/>
                      <c:pt idx="0" formatCode="#,##0_);\(#,##0\);;">
                        <c:v>132.27565106478349</c:v>
                      </c:pt>
                    </c:numCache>
                  </c:numRef>
                </c:val>
                <c:extLst xmlns:c15="http://schemas.microsoft.com/office/drawing/2012/chart">
                  <c:ext xmlns:c16="http://schemas.microsoft.com/office/drawing/2014/chart" uri="{C3380CC4-5D6E-409C-BE32-E72D297353CC}">
                    <c16:uniqueId val="{0000000F-F83D-43DE-88A5-68B8920BABD6}"/>
                  </c:ext>
                </c:extLst>
              </c15:ser>
            </c15:filteredBarSeries>
            <c15:filteredBarSeries>
              <c15:ser>
                <c:idx val="6"/>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'W5'!$E$79:$F$79</c15:sqref>
                        </c15:fullRef>
                        <c15:formulaRef>
                          <c15:sqref>'W5'!$E$79</c15:sqref>
                        </c15:formulaRef>
                      </c:ext>
                    </c:extLst>
                    <c:numCache>
                      <c:formatCode>0.0%;\-0.0.%;</c:formatCode>
                      <c:ptCount val="1"/>
                      <c:pt idx="0" formatCode="#,##0_);\(#,##0\);;">
                        <c:v>74.974798387096769</c:v>
                      </c:pt>
                    </c:numCache>
                  </c:numRef>
                </c:val>
                <c:extLst xmlns:c15="http://schemas.microsoft.com/office/drawing/2012/chart">
                  <c:ext xmlns:c16="http://schemas.microsoft.com/office/drawing/2014/chart" uri="{C3380CC4-5D6E-409C-BE32-E72D297353CC}">
                    <c16:uniqueId val="{00000010-F83D-43DE-88A5-68B8920BABD6}"/>
                  </c:ext>
                </c:extLst>
              </c15:ser>
            </c15:filteredBarSeries>
            <c15:filteredBarSeries>
              <c15:ser>
                <c:idx val="7"/>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'W5'!$E$80:$F$80</c15:sqref>
                        </c15:fullRef>
                        <c15:formulaRef>
                          <c15:sqref>'W5'!$E$80</c15:sqref>
                        </c15:formulaRef>
                      </c:ext>
                    </c:extLst>
                    <c:numCache>
                      <c:formatCode>0.0%;\-0.0.%;</c:formatCode>
                      <c:ptCount val="1"/>
                      <c:pt idx="0" formatCode="#,##0_);\(#,##0\);;">
                        <c:v>12.713675213675215</c:v>
                      </c:pt>
                    </c:numCache>
                  </c:numRef>
                </c:val>
                <c:extLst xmlns:c15="http://schemas.microsoft.com/office/drawing/2012/chart">
                  <c:ext xmlns:c16="http://schemas.microsoft.com/office/drawing/2014/chart" uri="{C3380CC4-5D6E-409C-BE32-E72D297353CC}">
                    <c16:uniqueId val="{00000011-F83D-43DE-88A5-68B8920BABD6}"/>
                  </c:ext>
                </c:extLst>
              </c15:ser>
            </c15:filteredBarSeries>
            <c15:filteredBarSeries>
              <c15:ser>
                <c:idx val="8"/>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'W5'!$E$81:$F$81</c15:sqref>
                        </c15:fullRef>
                        <c15:formulaRef>
                          <c15:sqref>'W5'!$E$81</c15:sqref>
                        </c15:formulaRef>
                      </c:ext>
                    </c:extLst>
                    <c:numCache>
                      <c:formatCode>0.0%;\-0.0.%;</c:formatCode>
                      <c:ptCount val="1"/>
                      <c:pt idx="0" formatCode="#,##0_);\(#,##0\);;">
                        <c:v>8.2466426799007468</c:v>
                      </c:pt>
                    </c:numCache>
                  </c:numRef>
                </c:val>
                <c:extLst xmlns:c15="http://schemas.microsoft.com/office/drawing/2012/chart">
                  <c:ext xmlns:c16="http://schemas.microsoft.com/office/drawing/2014/chart" uri="{C3380CC4-5D6E-409C-BE32-E72D297353CC}">
                    <c16:uniqueId val="{00000012-F83D-43DE-88A5-68B8920BABD6}"/>
                  </c:ext>
                </c:extLst>
              </c15:ser>
            </c15:filteredBarSeries>
            <c15:filteredBarSeries>
              <c15:ser>
                <c:idx val="9"/>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spPr>
                  <a:solidFill>
                    <a:schemeClr val="accent4">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'W5'!$E$82:$F$82</c15:sqref>
                        </c15:fullRef>
                        <c15:formulaRef>
                          <c15:sqref>'W5'!$E$82</c15:sqref>
                        </c15:formulaRef>
                      </c:ext>
                    </c:extLst>
                    <c:numCache>
                      <c:formatCode>0.0%;\-0.0.%;</c:formatCode>
                      <c:ptCount val="1"/>
                      <c:pt idx="0" formatCode="#,##0_);\(#,##0\);;">
                        <c:v>0</c:v>
                      </c:pt>
                    </c:numCache>
                  </c:numRef>
                </c:val>
                <c:extLst xmlns:c15="http://schemas.microsoft.com/office/drawing/2012/chart">
                  <c:ext xmlns:c16="http://schemas.microsoft.com/office/drawing/2014/chart" uri="{C3380CC4-5D6E-409C-BE32-E72D297353CC}">
                    <c16:uniqueId val="{00000013-F83D-43DE-88A5-68B8920BABD6}"/>
                  </c:ext>
                </c:extLst>
              </c15:ser>
            </c15:filteredBarSeries>
            <c15:filteredBarSeries>
              <c15:ser>
                <c:idx val="10"/>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'W5'!$E$83:$F$83</c15:sqref>
                        </c15:fullRef>
                        <c15:formulaRef>
                          <c15:sqref>'W5'!$E$83</c15:sqref>
                        </c15:formulaRef>
                      </c:ext>
                    </c:extLst>
                    <c:numCache>
                      <c:formatCode>0.0%;\-0.0.%;</c:formatCode>
                      <c:ptCount val="1"/>
                      <c:pt idx="0" formatCode="#,##0_);\(#,##0\);;">
                        <c:v>1565.4277477239311</c:v>
                      </c:pt>
                    </c:numCache>
                  </c:numRef>
                </c:val>
                <c:extLst xmlns:c15="http://schemas.microsoft.com/office/drawing/2012/chart">
                  <c:ext xmlns:c16="http://schemas.microsoft.com/office/drawing/2014/chart" uri="{C3380CC4-5D6E-409C-BE32-E72D297353CC}">
                    <c16:uniqueId val="{00000014-F83D-43DE-88A5-68B8920BABD6}"/>
                  </c:ext>
                </c:extLst>
              </c15:ser>
            </c15:filteredBarSeries>
            <c15:filteredBarSeries>
              <c15:ser>
                <c:idx val="13"/>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'W5'!$E$86:$F$86</c15:sqref>
                        </c15:fullRef>
                        <c15:formulaRef>
                          <c15:sqref>'W5'!$E$86</c15:sqref>
                        </c15:formulaRef>
                      </c:ext>
                    </c:extLst>
                    <c:numCache>
                      <c:formatCode>0.0%;\-0.0.%;</c:formatCode>
                      <c:ptCount val="1"/>
                      <c:pt idx="0" formatCode="#,##0_);\(#,##0\);;">
                        <c:v>1743.5897435897436</c:v>
                      </c:pt>
                    </c:numCache>
                  </c:numRef>
                </c:val>
                <c:extLst xmlns:c15="http://schemas.microsoft.com/office/drawing/2012/chart">
                  <c:ext xmlns:c16="http://schemas.microsoft.com/office/drawing/2014/chart" uri="{C3380CC4-5D6E-409C-BE32-E72D297353CC}">
                    <c16:uniqueId val="{00000015-F83D-43DE-88A5-68B8920BABD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'W5'!$E$70:$F$70</c15:sqref>
                        </c15:fullRef>
                        <c15:formulaRef>
                          <c15:sqref>'W5'!$E$70</c15:sqref>
                        </c15:formulaRef>
                      </c:ext>
                    </c:extLst>
                    <c:strCache>
                      <c:ptCount val="1"/>
                      <c:pt idx="0">
                        <c:v>Chi phí
USD/tấn</c:v>
                      </c:pt>
                    </c:strCache>
                  </c:strRef>
                </c:cat>
                <c:val>
                  <c:numRef>
                    <c:extLst>
                      <c:ext xmlns:c15="http://schemas.microsoft.com/office/drawing/2012/chart" uri="{02D57815-91ED-43cb-92C2-25804820EDAC}">
                        <c15:fullRef>
                          <c15:sqref>'W5'!$E$87:$F$87</c15:sqref>
                        </c15:fullRef>
                        <c15:formulaRef>
                          <c15:sqref>'W5'!$E$87</c15:sqref>
                        </c15:formulaRef>
                      </c:ext>
                    </c:extLst>
                    <c:numCache>
                      <c:formatCode>0.0%;\-0.0.%;</c:formatCode>
                      <c:ptCount val="1"/>
                    </c:numCache>
                  </c:numRef>
                </c:val>
                <c:extLst xmlns:c15="http://schemas.microsoft.com/office/drawing/2012/chart">
                  <c:ext xmlns:c16="http://schemas.microsoft.com/office/drawing/2014/chart" uri="{C3380CC4-5D6E-409C-BE32-E72D297353CC}">
                    <c16:uniqueId val="{00000016-F83D-43DE-88A5-68B8920BABD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'W5'!$G$71:$H$71</c:f>
            </c:numRef>
          </c:val>
          <c:extLst>
            <c:ext xmlns:c15="http://schemas.microsoft.com/office/drawing/2012/chart" uri="{02D57815-91ED-43cb-92C2-25804820EDAC}">
              <c15:datalabelsRange>
                <c15:f>'W5'!$H$71</c15:f>
              </c15:datalabelsRange>
            </c:ext>
            <c:ext xmlns:c16="http://schemas.microsoft.com/office/drawing/2014/chart" uri="{C3380CC4-5D6E-409C-BE32-E72D297353CC}">
              <c16:uniqueId val="{00000001-60E2-44EF-A6D9-FC4CAA8EE37E}"/>
            </c:ext>
          </c:extLst>
        </c:ser>
        <c:ser>
          <c:idx val="3"/>
          <c:order val="1"/>
          <c:tx>
            <c:strRef>
              <c:f>'W5'!$D$72</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'W5'!$G$72:$H$72</c:f>
            </c:numRef>
          </c:val>
          <c:extLst xmlns:c15="http://schemas.microsoft.com/office/drawing/2012/chart">
            <c:ext xmlns:c15="http://schemas.microsoft.com/office/drawing/2012/chart" uri="{02D57815-91ED-43cb-92C2-25804820EDAC}">
              <c15:datalabelsRange>
                <c15:f>'W5'!$P$73</c15:f>
              </c15:datalabelsRange>
            </c:ext>
            <c:ext xmlns:c16="http://schemas.microsoft.com/office/drawing/2014/chart" uri="{C3380CC4-5D6E-409C-BE32-E72D297353CC}">
              <c16:uniqueId val="{0000000C-60E2-44EF-A6D9-FC4CAA8EE37E}"/>
            </c:ext>
          </c:extLst>
        </c:ser>
        <c:ser>
          <c:idx val="14"/>
          <c:order val="2"/>
          <c:tx>
            <c:strRef>
              <c:f>'W5'!$D$73</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'W5'!$G$73:$H$73</c:f>
            </c:numRef>
          </c:val>
          <c:extLst xmlns:c15="http://schemas.microsoft.com/office/drawing/2012/chart">
            <c:ext xmlns:c15="http://schemas.microsoft.com/office/drawing/2012/chart" uri="{02D57815-91ED-43cb-92C2-25804820EDAC}">
              <c15:datalabelsRange>
                <c15:f>'W5'!$H$73</c15:f>
              </c15:datalabelsRange>
            </c:ext>
            <c:ext xmlns:c16="http://schemas.microsoft.com/office/drawing/2014/chart" uri="{C3380CC4-5D6E-409C-BE32-E72D297353CC}">
              <c16:uniqueId val="{00000003-60E2-44EF-A6D9-FC4CAA8EE37E}"/>
            </c:ext>
          </c:extLst>
        </c:ser>
        <c:ser>
          <c:idx val="11"/>
          <c:order val="3"/>
          <c:tx>
            <c:strRef>
              <c:f>'W5'!$D$74</c:f>
              <c:strCache>
                <c:ptCount val="1"/>
                <c:pt idx="0">
                  <c:v>Chi phí biến đổi</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'W5'!$G$74:$H$74</c:f>
            </c:numRef>
          </c:val>
          <c:extLst>
            <c:ext xmlns:c15="http://schemas.microsoft.com/office/drawing/2012/chart" uri="{02D57815-91ED-43cb-92C2-25804820EDAC}">
              <c15:datalabelsRange>
                <c15:f>'W5'!$H$74</c15:f>
              </c15:datalabelsRange>
            </c:ext>
            <c:ext xmlns:c16="http://schemas.microsoft.com/office/drawing/2014/chart" uri="{C3380CC4-5D6E-409C-BE32-E72D297353CC}">
              <c16:uniqueId val="{00000005-60E2-44EF-A6D9-FC4CAA8EE37E}"/>
            </c:ext>
          </c:extLst>
        </c:ser>
        <c:ser>
          <c:idx val="12"/>
          <c:order val="4"/>
          <c:tx>
            <c:strRef>
              <c:f>'W5'!$D$75</c:f>
              <c:strCache>
                <c:ptCount val="1"/>
                <c:pt idx="0">
                  <c:v>Chi phí nhân công</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rgbClr val="FF0000"/>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'W5'!$G$70:$H$70</c:f>
            </c:strRef>
          </c:cat>
          <c:val>
            <c:numRef>
              <c:f>'W5'!$G$75:$H$75</c:f>
            </c:numRef>
          </c:val>
          <c:extLst xmlns:c15="http://schemas.microsoft.com/office/drawing/2012/chart">
            <c:ext xmlns:c15="http://schemas.microsoft.com/office/drawing/2012/chart" uri="{02D57815-91ED-43cb-92C2-25804820EDAC}">
              <c15:datalabelsRange>
                <c15:f>'W5'!$P$85</c15:f>
              </c15:datalabelsRange>
            </c:ext>
            <c:ext xmlns:c16="http://schemas.microsoft.com/office/drawing/2014/chart" uri="{C3380CC4-5D6E-409C-BE32-E72D297353CC}">
              <c16:uniqueId val="{0000000E-60E2-44EF-A6D9-FC4CAA8EE37E}"/>
            </c:ext>
          </c:extLst>
        </c:ser>
        <c:ser>
          <c:idx val="1"/>
          <c:order val="5"/>
          <c:tx>
            <c:strRef>
              <c:f>'W5'!$D$76</c:f>
              <c:strCache>
                <c:ptCount val="1"/>
                <c:pt idx="0">
                  <c:v>Khấu hao</c:v>
                </c:pt>
              </c:strCache>
              <c:extLst xmlns:c15="http://schemas.microsoft.com/office/drawing/2012/chart"/>
            </c:strRef>
          </c:tx>
          <c:invertIfNegative val="0"/>
          <c:cat>
            <c:strRef>
              <c:f>'W5'!$G$70:$H$70</c:f>
            </c:strRef>
          </c:cat>
          <c:val>
            <c:numRef>
              <c:f>'W5'!$G$76:$H$76</c:f>
            </c:numRef>
          </c:val>
          <c:extLst xmlns:c15="http://schemas.microsoft.com/office/drawing/2012/chart">
            <c:ext xmlns:c16="http://schemas.microsoft.com/office/drawing/2014/chart" uri="{C3380CC4-5D6E-409C-BE32-E72D297353CC}">
              <c16:uniqueId val="{0000000F-60E2-44EF-A6D9-FC4CAA8EE37E}"/>
            </c:ext>
          </c:extLst>
        </c:ser>
        <c:ser>
          <c:idx val="2"/>
          <c:order val="6"/>
          <c:tx>
            <c:strRef>
              <c:f>'W5'!$D$77</c:f>
              <c:strCache>
                <c:ptCount val="1"/>
                <c:pt idx="0">
                  <c:v>Chi phí gián tiếp</c:v>
                </c:pt>
              </c:strCache>
              <c:extLst xmlns:c15="http://schemas.microsoft.com/office/drawing/2012/chart"/>
            </c:strRef>
          </c:tx>
          <c:invertIfNegative val="0"/>
          <c:cat>
            <c:strRef>
              <c:f>'W5'!$G$70:$H$70</c:f>
            </c:strRef>
          </c:cat>
          <c:val>
            <c:numRef>
              <c:f>'W5'!$G$77:$H$77</c:f>
            </c:numRef>
          </c:val>
          <c:extLst xmlns:c15="http://schemas.microsoft.com/office/drawing/2012/chart">
            <c:ext xmlns:c16="http://schemas.microsoft.com/office/drawing/2014/chart" uri="{C3380CC4-5D6E-409C-BE32-E72D297353CC}">
              <c16:uniqueId val="{00000010-60E2-44EF-A6D9-FC4CAA8EE37E}"/>
            </c:ext>
          </c:extLst>
        </c:ser>
        <c:ser>
          <c:idx val="4"/>
          <c:order val="7"/>
          <c:tx>
            <c:strRef>
              <c:f>'W5'!$D$78</c:f>
              <c:strCache>
                <c:ptCount val="1"/>
                <c:pt idx="0">
                  <c:v>Điện</c:v>
                </c:pt>
              </c:strCache>
              <c:extLst xmlns:c15="http://schemas.microsoft.com/office/drawing/2012/chart"/>
            </c:strRef>
          </c:tx>
          <c:invertIfNegative val="0"/>
          <c:cat>
            <c:strRef>
              <c:f>'W5'!$G$70:$H$70</c:f>
            </c:strRef>
          </c:cat>
          <c:val>
            <c:numRef>
              <c:f>'W5'!$G$78:$H$78</c:f>
            </c:numRef>
          </c:val>
          <c:extLst xmlns:c15="http://schemas.microsoft.com/office/drawing/2012/chart">
            <c:ext xmlns:c16="http://schemas.microsoft.com/office/drawing/2014/chart" uri="{C3380CC4-5D6E-409C-BE32-E72D297353CC}">
              <c16:uniqueId val="{00000011-60E2-44EF-A6D9-FC4CAA8EE37E}"/>
            </c:ext>
          </c:extLst>
        </c:ser>
        <c:ser>
          <c:idx val="5"/>
          <c:order val="8"/>
          <c:tx>
            <c:strRef>
              <c:f>'W5'!$D$79</c:f>
              <c:strCache>
                <c:ptCount val="1"/>
                <c:pt idx="0">
                  <c:v>Chi phí quản lý</c:v>
                </c:pt>
              </c:strCache>
              <c:extLst xmlns:c15="http://schemas.microsoft.com/office/drawing/2012/chart"/>
            </c:strRef>
          </c:tx>
          <c:invertIfNegative val="0"/>
          <c:cat>
            <c:strRef>
              <c:f>'W5'!$G$70:$H$70</c:f>
            </c:strRef>
          </c:cat>
          <c:val>
            <c:numRef>
              <c:f>'W5'!$G$79:$H$79</c:f>
            </c:numRef>
          </c:val>
          <c:extLst xmlns:c15="http://schemas.microsoft.com/office/drawing/2012/chart">
            <c:ext xmlns:c16="http://schemas.microsoft.com/office/drawing/2014/chart" uri="{C3380CC4-5D6E-409C-BE32-E72D297353CC}">
              <c16:uniqueId val="{00000012-60E2-44EF-A6D9-FC4CAA8EE37E}"/>
            </c:ext>
          </c:extLst>
        </c:ser>
        <c:ser>
          <c:idx val="6"/>
          <c:order val="9"/>
          <c:tx>
            <c:strRef>
              <c:f>'W5'!$D$80</c:f>
              <c:strCache>
                <c:ptCount val="1"/>
                <c:pt idx="0">
                  <c:v>Đóng gói</c:v>
                </c:pt>
              </c:strCache>
              <c:extLst xmlns:c15="http://schemas.microsoft.com/office/drawing/2012/chart"/>
            </c:strRef>
          </c:tx>
          <c:invertIfNegative val="0"/>
          <c:cat>
            <c:strRef>
              <c:f>'W5'!$G$70:$H$70</c:f>
            </c:strRef>
          </c:cat>
          <c:val>
            <c:numRef>
              <c:f>'W5'!$G$80:$H$80</c:f>
            </c:numRef>
          </c:val>
          <c:extLst xmlns:c15="http://schemas.microsoft.com/office/drawing/2012/chart">
            <c:ext xmlns:c16="http://schemas.microsoft.com/office/drawing/2014/chart" uri="{C3380CC4-5D6E-409C-BE32-E72D297353CC}">
              <c16:uniqueId val="{00000013-60E2-44EF-A6D9-FC4CAA8EE37E}"/>
            </c:ext>
          </c:extLst>
        </c:ser>
        <c:ser>
          <c:idx val="7"/>
          <c:order val="10"/>
          <c:tx>
            <c:strRef>
              <c:f>'W5'!$D$81</c:f>
              <c:strCache>
                <c:ptCount val="1"/>
                <c:pt idx="0">
                  <c:v>Hóa chất</c:v>
                </c:pt>
              </c:strCache>
              <c:extLst xmlns:c15="http://schemas.microsoft.com/office/drawing/2012/chart"/>
            </c:strRef>
          </c:tx>
          <c:invertIfNegative val="0"/>
          <c:cat>
            <c:strRef>
              <c:f>'W5'!$G$70:$H$70</c:f>
            </c:strRef>
          </c:cat>
          <c:val>
            <c:numRef>
              <c:f>'W5'!$G$81:$H$81</c:f>
            </c:numRef>
          </c:val>
          <c:extLst xmlns:c15="http://schemas.microsoft.com/office/drawing/2012/chart">
            <c:ext xmlns:c16="http://schemas.microsoft.com/office/drawing/2014/chart" uri="{C3380CC4-5D6E-409C-BE32-E72D297353CC}">
              <c16:uniqueId val="{00000014-60E2-44EF-A6D9-FC4CAA8EE37E}"/>
            </c:ext>
          </c:extLst>
        </c:ser>
        <c:ser>
          <c:idx val="8"/>
          <c:order val="11"/>
          <c:tx>
            <c:strRef>
              <c:f>'W5'!$D$82</c:f>
              <c:strCache>
                <c:ptCount val="1"/>
                <c:pt idx="0">
                  <c:v>Nước</c:v>
                </c:pt>
              </c:strCache>
              <c:extLst xmlns:c15="http://schemas.microsoft.com/office/drawing/2012/chart"/>
            </c:strRef>
          </c:tx>
          <c:invertIfNegative val="0"/>
          <c:cat>
            <c:strRef>
              <c:f>'W5'!$G$70:$H$70</c:f>
            </c:strRef>
          </c:cat>
          <c:val>
            <c:numRef>
              <c:f>'W5'!$G$82:$H$82</c:f>
            </c:numRef>
          </c:val>
          <c:extLst xmlns:c15="http://schemas.microsoft.com/office/drawing/2012/chart">
            <c:ext xmlns:c16="http://schemas.microsoft.com/office/drawing/2014/chart" uri="{C3380CC4-5D6E-409C-BE32-E72D297353CC}">
              <c16:uniqueId val="{00000015-60E2-44EF-A6D9-FC4CAA8EE37E}"/>
            </c:ext>
          </c:extLst>
        </c:ser>
        <c:ser>
          <c:idx val="9"/>
          <c:order val="12"/>
          <c:tx>
            <c:strRef>
              <c:f>'W5'!$D$83</c:f>
              <c:strCache>
                <c:ptCount val="1"/>
                <c:pt idx="0">
                  <c:v>Giá thành</c:v>
                </c:pt>
              </c:strCache>
              <c:extLst xmlns:c15="http://schemas.microsoft.com/office/drawing/2012/chart"/>
            </c:strRef>
          </c:tx>
          <c:invertIfNegative val="0"/>
          <c:cat>
            <c:strRef>
              <c:f>'W5'!$G$70:$H$70</c:f>
            </c:strRef>
          </c:cat>
          <c:val>
            <c:numRef>
              <c:f>'W5'!$G$83:$H$83</c:f>
            </c:numRef>
          </c:val>
          <c:extLst xmlns:c15="http://schemas.microsoft.com/office/drawing/2012/chart">
            <c:ext xmlns:c16="http://schemas.microsoft.com/office/drawing/2014/chart" uri="{C3380CC4-5D6E-409C-BE32-E72D297353CC}">
              <c16:uniqueId val="{00000016-60E2-44EF-A6D9-FC4CAA8EE37E}"/>
            </c:ext>
          </c:extLst>
        </c:ser>
        <c:ser>
          <c:idx val="10"/>
          <c:order val="13"/>
          <c:tx>
            <c:strRef>
              <c:f>'W5'!$D$84</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'W5'!$G$70:$H$70</c:f>
            </c:strRef>
          </c:cat>
          <c:val>
            <c:numRef>
              <c:f>'W5'!$G$84:$H$84</c:f>
            </c:numRef>
          </c:val>
          <c:extLst>
            <c:ext xmlns:c15="http://schemas.microsoft.com/office/drawing/2012/chart" uri="{02D57815-91ED-43cb-92C2-25804820EDAC}">
              <c15:datalabelsRange>
                <c15:f>'W5'!$H$84</c15:f>
              </c15:datalabelsRange>
            </c:ext>
            <c:ext xmlns:c16="http://schemas.microsoft.com/office/drawing/2014/chart" uri="{C3380CC4-5D6E-409C-BE32-E72D297353CC}">
              <c16:uniqueId val="{00000008-60E2-44EF-A6D9-FC4CAA8EE37E}"/>
            </c:ext>
          </c:extLst>
        </c:ser>
        <c:ser>
          <c:idx val="13"/>
          <c:order val="14"/>
          <c:tx>
            <c:strRef>
              <c:f>'W5'!$D$85</c:f>
              <c:strCache>
                <c:ptCount val="1"/>
                <c:pt idx="0">
                  <c:v>Lợi nhuận</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'W5'!$G$70:$H$70</c:f>
            </c:strRef>
          </c:cat>
          <c:val>
            <c:numRef>
              <c:f>'W5'!$G$85:$H$85</c:f>
            </c:numRef>
          </c:val>
          <c:extLst>
            <c:ext xmlns:c15="http://schemas.microsoft.com/office/drawing/2012/chart" uri="{02D57815-91ED-43cb-92C2-25804820EDAC}">
              <c15:datalabelsRange>
                <c15:f>'W5'!$H$85</c15:f>
              </c15:datalabelsRange>
            </c:ext>
            <c:ext xmlns:c16="http://schemas.microsoft.com/office/drawing/2014/chart" uri="{C3380CC4-5D6E-409C-BE32-E72D297353CC}">
              <c16:uniqueId val="{0000000A-60E2-44EF-A6D9-FC4CAA8EE37E}"/>
            </c:ext>
          </c:extLst>
        </c:ser>
        <c:ser>
          <c:idx val="15"/>
          <c:order val="15"/>
          <c:tx>
            <c:strRef>
              <c:f>'W5'!$D$86</c:f>
              <c:strCache>
                <c:ptCount val="1"/>
                <c:pt idx="0">
                  <c:v>Giá bán</c:v>
                </c:pt>
              </c:strCache>
              <c:extLst xmlns:c15="http://schemas.microsoft.com/office/drawing/2012/chart"/>
            </c:strRef>
          </c:tx>
          <c:invertIfNegative val="0"/>
          <c:cat>
            <c:strRef>
              <c:f>'W5'!$G$70:$H$70</c:f>
            </c:strRef>
          </c:cat>
          <c:val>
            <c:numRef>
              <c:f>'W5'!$G$86:$H$86</c:f>
            </c:numRef>
          </c:val>
          <c:extLst xmlns:c15="http://schemas.microsoft.com/office/drawing/2012/chart">
            <c:ext xmlns:c16="http://schemas.microsoft.com/office/drawing/2014/chart" uri="{C3380CC4-5D6E-409C-BE32-E72D297353CC}">
              <c16:uniqueId val="{00000017-60E2-44EF-A6D9-FC4CAA8EE37E}"/>
            </c:ext>
          </c:extLst>
        </c:ser>
        <c:ser>
          <c:idx val="16"/>
          <c:order val="16"/>
          <c:tx>
            <c:strRef>
              <c:f>'W5'!$D$87</c:f>
              <c:strCache>
                <c:ptCount val="1"/>
                <c:pt idx="0">
                  <c:v>% Lãi gộp nguyên liệu/Giá bán</c:v>
                </c:pt>
              </c:strCache>
              <c:extLst xmlns:c15="http://schemas.microsoft.com/office/drawing/2012/chart"/>
            </c:strRef>
          </c:tx>
          <c:invertIfNegative val="0"/>
          <c:cat>
            <c:strRef>
              <c:f>'W5'!$G$70:$H$70</c:f>
            </c:strRef>
          </c:cat>
          <c:val>
            <c:numRef>
              <c:f>'W5'!$G$87:$H$87</c:f>
            </c:numRef>
          </c:val>
          <c:extLst xmlns:c15="http://schemas.microsoft.com/office/drawing/2012/chart">
            <c:ext xmlns:c16="http://schemas.microsoft.com/office/drawing/2014/chart" uri="{C3380CC4-5D6E-409C-BE32-E72D297353CC}">
              <c16:uniqueId val="{00000018-60E2-44EF-A6D9-FC4CAA8EE37E}"/>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'W5'!$I$71:$J$71</c:f>
            </c:numRef>
          </c:val>
          <c:extLst>
            <c:ext xmlns:c15="http://schemas.microsoft.com/office/drawing/2012/chart" uri="{02D57815-91ED-43cb-92C2-25804820EDAC}">
              <c15:datalabelsRange>
                <c15:f>'W5'!$J$71</c15:f>
              </c15:datalabelsRange>
            </c:ext>
            <c:ext xmlns:c16="http://schemas.microsoft.com/office/drawing/2014/chart" uri="{C3380CC4-5D6E-409C-BE32-E72D297353CC}">
              <c16:uniqueId val="{00000001-9108-4B8B-8F3B-CEE6836500FD}"/>
            </c:ext>
          </c:extLst>
        </c:ser>
        <c:ser>
          <c:idx val="14"/>
          <c:order val="1"/>
          <c:tx>
            <c:strRef>
              <c:f>'W5'!$D$72</c:f>
              <c:strCache>
                <c:ptCount val="1"/>
                <c:pt idx="0">
                  <c:v>Vảy sạch</c:v>
                </c:pt>
              </c:strCache>
              <c:extLst xmlns:c15="http://schemas.microsoft.com/office/drawing/2012/chart"/>
            </c:strRef>
          </c:tx>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'W5'!$I$72:$J$72</c:f>
            </c:numRef>
          </c:val>
          <c:extLst xmlns:c15="http://schemas.microsoft.com/office/drawing/2012/chart">
            <c:ext xmlns:c15="http://schemas.microsoft.com/office/drawing/2012/chart" uri="{02D57815-91ED-43cb-92C2-25804820EDAC}">
              <c15:datalabelsRange>
                <c15:f>'W5'!$H$73</c15:f>
              </c15:datalabelsRange>
            </c:ext>
            <c:ext xmlns:c16="http://schemas.microsoft.com/office/drawing/2014/chart" uri="{C3380CC4-5D6E-409C-BE32-E72D297353CC}">
              <c16:uniqueId val="{0000000B-9108-4B8B-8F3B-CEE6836500FD}"/>
            </c:ext>
          </c:extLst>
        </c:ser>
        <c:ser>
          <c:idx val="11"/>
          <c:order val="2"/>
          <c:tx>
            <c:strRef>
              <c:f>'W5'!$D$73</c:f>
              <c:strCache>
                <c:ptCount val="1"/>
                <c:pt idx="0">
                  <c:v>Hao hụt về tiền</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'W5'!$I$70:$J$70</c:f>
            </c:strRef>
          </c:cat>
          <c:val>
            <c:numRef>
              <c:f>'W5'!$I$73:$J$73</c:f>
            </c:numRef>
          </c:val>
          <c:extLst>
            <c:ext xmlns:c15="http://schemas.microsoft.com/office/drawing/2012/chart" uri="{02D57815-91ED-43cb-92C2-25804820EDAC}">
              <c15:datalabelsRange>
                <c15:f>'W5'!$J$73</c15:f>
              </c15:datalabelsRange>
            </c:ext>
            <c:ext xmlns:c16="http://schemas.microsoft.com/office/drawing/2014/chart" uri="{C3380CC4-5D6E-409C-BE32-E72D297353CC}">
              <c16:uniqueId val="{00000003-9108-4B8B-8F3B-CEE6836500FD}"/>
            </c:ext>
          </c:extLst>
        </c:ser>
        <c:ser>
          <c:idx val="10"/>
          <c:order val="3"/>
          <c:tx>
            <c:strRef>
              <c:f>'W5'!$D$74</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'W5'!$I$70:$J$70</c:f>
            </c:strRef>
          </c:cat>
          <c:val>
            <c:numRef>
              <c:f>'W5'!$I$74:$J$74</c:f>
            </c:numRef>
          </c:val>
          <c:extLst>
            <c:ext xmlns:c15="http://schemas.microsoft.com/office/drawing/2012/chart" uri="{02D57815-91ED-43cb-92C2-25804820EDAC}">
              <c15:datalabelsRange>
                <c15:f>'W5'!$J$74</c15:f>
              </c15:datalabelsRange>
            </c:ext>
            <c:ext xmlns:c16="http://schemas.microsoft.com/office/drawing/2014/chart" uri="{C3380CC4-5D6E-409C-BE32-E72D297353CC}">
              <c16:uniqueId val="{00000005-9108-4B8B-8F3B-CEE6836500FD}"/>
            </c:ext>
          </c:extLst>
        </c:ser>
        <c:ser>
          <c:idx val="13"/>
          <c:order val="4"/>
          <c:tx>
            <c:strRef>
              <c:f>'W5'!$D$75</c:f>
              <c:strCache>
                <c:ptCount val="1"/>
                <c:pt idx="0">
                  <c:v>Chi phí nhân công</c:v>
                </c:pt>
              </c:strCache>
              <c:extLst xmlns:c15="http://schemas.microsoft.com/office/drawing/2012/chart"/>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f>'W5'!$I$70:$J$70</c:f>
            </c:strRef>
          </c:cat>
          <c:val>
            <c:numRef>
              <c:f>'W5'!$I$75:$J$75</c:f>
            </c:numRef>
          </c:val>
          <c:extLst xmlns:c15="http://schemas.microsoft.com/office/drawing/2012/chart">
            <c:ext xmlns:c15="http://schemas.microsoft.com/office/drawing/2012/chart" uri="{02D57815-91ED-43cb-92C2-25804820EDAC}">
              <c15:datalabelsRange>
                <c15:f>'W5'!$H$85</c15:f>
              </c15:datalabelsRange>
            </c:ext>
            <c:ext xmlns:c16="http://schemas.microsoft.com/office/drawing/2014/chart" uri="{C3380CC4-5D6E-409C-BE32-E72D297353CC}">
              <c16:uniqueId val="{0000000D-9108-4B8B-8F3B-CEE6836500FD}"/>
            </c:ext>
          </c:extLst>
        </c:ser>
        <c:ser>
          <c:idx val="1"/>
          <c:order val="5"/>
          <c:tx>
            <c:strRef>
              <c:f>'W5'!$D$76</c:f>
              <c:strCache>
                <c:ptCount val="1"/>
                <c:pt idx="0">
                  <c:v>Khấu hao</c:v>
                </c:pt>
              </c:strCache>
              <c:extLst xmlns:c15="http://schemas.microsoft.com/office/drawing/2012/chart"/>
            </c:strRef>
          </c:tx>
          <c:invertIfNegative val="0"/>
          <c:cat>
            <c:strRef>
              <c:f>'W5'!$I$70:$J$70</c:f>
            </c:strRef>
          </c:cat>
          <c:val>
            <c:numRef>
              <c:f>'W5'!$I$76:$J$76</c:f>
            </c:numRef>
          </c:val>
          <c:extLst>
            <c:ext xmlns:c16="http://schemas.microsoft.com/office/drawing/2014/chart" uri="{C3380CC4-5D6E-409C-BE32-E72D297353CC}">
              <c16:uniqueId val="{0000000E-9108-4B8B-8F3B-CEE6836500FD}"/>
            </c:ext>
          </c:extLst>
        </c:ser>
        <c:ser>
          <c:idx val="2"/>
          <c:order val="6"/>
          <c:tx>
            <c:strRef>
              <c:f>'W5'!$D$77</c:f>
              <c:strCache>
                <c:ptCount val="1"/>
                <c:pt idx="0">
                  <c:v>Chi phí gián tiếp</c:v>
                </c:pt>
              </c:strCache>
              <c:extLst xmlns:c15="http://schemas.microsoft.com/office/drawing/2012/chart"/>
            </c:strRef>
          </c:tx>
          <c:invertIfNegative val="0"/>
          <c:cat>
            <c:strRef>
              <c:f>'W5'!$I$70:$J$70</c:f>
            </c:strRef>
          </c:cat>
          <c:val>
            <c:numRef>
              <c:f>'W5'!$I$77:$J$77</c:f>
            </c:numRef>
          </c:val>
          <c:extLst>
            <c:ext xmlns:c16="http://schemas.microsoft.com/office/drawing/2014/chart" uri="{C3380CC4-5D6E-409C-BE32-E72D297353CC}">
              <c16:uniqueId val="{0000000F-9108-4B8B-8F3B-CEE6836500FD}"/>
            </c:ext>
          </c:extLst>
        </c:ser>
        <c:ser>
          <c:idx val="3"/>
          <c:order val="7"/>
          <c:tx>
            <c:strRef>
              <c:f>'W5'!$D$78</c:f>
              <c:strCache>
                <c:ptCount val="1"/>
                <c:pt idx="0">
                  <c:v>Điện</c:v>
                </c:pt>
              </c:strCache>
              <c:extLst xmlns:c15="http://schemas.microsoft.com/office/drawing/2012/chart"/>
            </c:strRef>
          </c:tx>
          <c:invertIfNegative val="0"/>
          <c:cat>
            <c:strRef>
              <c:f>'W5'!$I$70:$J$70</c:f>
            </c:strRef>
          </c:cat>
          <c:val>
            <c:numRef>
              <c:f>'W5'!$I$78:$J$78</c:f>
            </c:numRef>
          </c:val>
          <c:extLst>
            <c:ext xmlns:c16="http://schemas.microsoft.com/office/drawing/2014/chart" uri="{C3380CC4-5D6E-409C-BE32-E72D297353CC}">
              <c16:uniqueId val="{00000010-9108-4B8B-8F3B-CEE6836500FD}"/>
            </c:ext>
          </c:extLst>
        </c:ser>
        <c:ser>
          <c:idx val="4"/>
          <c:order val="8"/>
          <c:tx>
            <c:strRef>
              <c:f>'W5'!$D$79</c:f>
              <c:strCache>
                <c:ptCount val="1"/>
                <c:pt idx="0">
                  <c:v>Chi phí quản lý</c:v>
                </c:pt>
              </c:strCache>
              <c:extLst xmlns:c15="http://schemas.microsoft.com/office/drawing/2012/chart"/>
            </c:strRef>
          </c:tx>
          <c:invertIfNegative val="0"/>
          <c:cat>
            <c:strRef>
              <c:f>'W5'!$I$70:$J$70</c:f>
            </c:strRef>
          </c:cat>
          <c:val>
            <c:numRef>
              <c:f>'W5'!$I$79:$J$79</c:f>
            </c:numRef>
          </c:val>
          <c:extLst>
            <c:ext xmlns:c16="http://schemas.microsoft.com/office/drawing/2014/chart" uri="{C3380CC4-5D6E-409C-BE32-E72D297353CC}">
              <c16:uniqueId val="{00000011-9108-4B8B-8F3B-CEE6836500FD}"/>
            </c:ext>
          </c:extLst>
        </c:ser>
        <c:ser>
          <c:idx val="5"/>
          <c:order val="9"/>
          <c:tx>
            <c:strRef>
              <c:f>'W5'!$D$80</c:f>
              <c:strCache>
                <c:ptCount val="1"/>
                <c:pt idx="0">
                  <c:v>Đóng gói</c:v>
                </c:pt>
              </c:strCache>
              <c:extLst xmlns:c15="http://schemas.microsoft.com/office/drawing/2012/chart"/>
            </c:strRef>
          </c:tx>
          <c:invertIfNegative val="0"/>
          <c:cat>
            <c:strRef>
              <c:f>'W5'!$I$70:$J$70</c:f>
            </c:strRef>
          </c:cat>
          <c:val>
            <c:numRef>
              <c:f>'W5'!$I$80:$J$80</c:f>
            </c:numRef>
          </c:val>
          <c:extLst>
            <c:ext xmlns:c16="http://schemas.microsoft.com/office/drawing/2014/chart" uri="{C3380CC4-5D6E-409C-BE32-E72D297353CC}">
              <c16:uniqueId val="{00000012-9108-4B8B-8F3B-CEE6836500FD}"/>
            </c:ext>
          </c:extLst>
        </c:ser>
        <c:ser>
          <c:idx val="6"/>
          <c:order val="10"/>
          <c:tx>
            <c:strRef>
              <c:f>'W5'!$D$81</c:f>
              <c:strCache>
                <c:ptCount val="1"/>
                <c:pt idx="0">
                  <c:v>Hóa chất</c:v>
                </c:pt>
              </c:strCache>
              <c:extLst xmlns:c15="http://schemas.microsoft.com/office/drawing/2012/chart"/>
            </c:strRef>
          </c:tx>
          <c:invertIfNegative val="0"/>
          <c:cat>
            <c:strRef>
              <c:f>'W5'!$I$70:$J$70</c:f>
            </c:strRef>
          </c:cat>
          <c:val>
            <c:numRef>
              <c:f>'W5'!$I$81:$J$81</c:f>
            </c:numRef>
          </c:val>
          <c:extLst>
            <c:ext xmlns:c16="http://schemas.microsoft.com/office/drawing/2014/chart" uri="{C3380CC4-5D6E-409C-BE32-E72D297353CC}">
              <c16:uniqueId val="{00000013-9108-4B8B-8F3B-CEE6836500FD}"/>
            </c:ext>
          </c:extLst>
        </c:ser>
        <c:ser>
          <c:idx val="7"/>
          <c:order val="11"/>
          <c:tx>
            <c:strRef>
              <c:f>'W5'!$D$82</c:f>
              <c:strCache>
                <c:ptCount val="1"/>
                <c:pt idx="0">
                  <c:v>Nước</c:v>
                </c:pt>
              </c:strCache>
              <c:extLst xmlns:c15="http://schemas.microsoft.com/office/drawing/2012/chart"/>
            </c:strRef>
          </c:tx>
          <c:invertIfNegative val="0"/>
          <c:cat>
            <c:strRef>
              <c:f>'W5'!$I$70:$J$70</c:f>
            </c:strRef>
          </c:cat>
          <c:val>
            <c:numRef>
              <c:f>'W5'!$I$82:$J$82</c:f>
            </c:numRef>
          </c:val>
          <c:extLst>
            <c:ext xmlns:c16="http://schemas.microsoft.com/office/drawing/2014/chart" uri="{C3380CC4-5D6E-409C-BE32-E72D297353CC}">
              <c16:uniqueId val="{00000014-9108-4B8B-8F3B-CEE6836500FD}"/>
            </c:ext>
          </c:extLst>
        </c:ser>
        <c:ser>
          <c:idx val="8"/>
          <c:order val="12"/>
          <c:tx>
            <c:strRef>
              <c:f>'W5'!$D$83</c:f>
              <c:strCache>
                <c:ptCount val="1"/>
                <c:pt idx="0">
                  <c:v>Giá thành</c:v>
                </c:pt>
              </c:strCache>
              <c:extLst xmlns:c15="http://schemas.microsoft.com/office/drawing/2012/chart"/>
            </c:strRef>
          </c:tx>
          <c:invertIfNegative val="0"/>
          <c:cat>
            <c:strRef>
              <c:f>'W5'!$I$70:$J$70</c:f>
            </c:strRef>
          </c:cat>
          <c:val>
            <c:numRef>
              <c:f>'W5'!$I$83:$J$83</c:f>
            </c:numRef>
          </c:val>
          <c:extLst>
            <c:ext xmlns:c16="http://schemas.microsoft.com/office/drawing/2014/chart" uri="{C3380CC4-5D6E-409C-BE32-E72D297353CC}">
              <c16:uniqueId val="{00000015-9108-4B8B-8F3B-CEE6836500FD}"/>
            </c:ext>
          </c:extLst>
        </c:ser>
        <c:ser>
          <c:idx val="9"/>
          <c:order val="13"/>
          <c:tx>
            <c:strRef>
              <c:f>'W5'!$D$84</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'W5'!$I$70:$J$70</c:f>
            </c:strRef>
          </c:cat>
          <c:val>
            <c:numRef>
              <c:f>'W5'!$I$84:$J$84</c:f>
            </c:numRef>
          </c:val>
          <c:extLst>
            <c:ext xmlns:c15="http://schemas.microsoft.com/office/drawing/2012/chart" uri="{02D57815-91ED-43cb-92C2-25804820EDAC}">
              <c15:datalabelsRange>
                <c15:f>'W5'!$J$84</c15:f>
              </c15:datalabelsRange>
            </c:ext>
            <c:ext xmlns:c16="http://schemas.microsoft.com/office/drawing/2014/chart" uri="{C3380CC4-5D6E-409C-BE32-E72D297353CC}">
              <c16:uniqueId val="{00000007-9108-4B8B-8F3B-CEE6836500FD}"/>
            </c:ext>
          </c:extLst>
        </c:ser>
        <c:ser>
          <c:idx val="12"/>
          <c:order val="14"/>
          <c:tx>
            <c:strRef>
              <c:f>'W5'!$D$85</c:f>
              <c:strCache>
                <c:ptCount val="1"/>
                <c:pt idx="0">
                  <c:v>Lợi nhuận</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'W5'!$I$70:$J$70</c:f>
            </c:strRef>
          </c:cat>
          <c:val>
            <c:numRef>
              <c:f>'W5'!$I$85:$J$85</c:f>
            </c:numRef>
          </c:val>
          <c:extLst>
            <c:ext xmlns:c15="http://schemas.microsoft.com/office/drawing/2012/chart" uri="{02D57815-91ED-43cb-92C2-25804820EDAC}">
              <c15:datalabelsRange>
                <c15:f>'W5'!$J$85</c15:f>
              </c15:datalabelsRange>
            </c:ext>
            <c:ext xmlns:c16="http://schemas.microsoft.com/office/drawing/2014/chart" uri="{C3380CC4-5D6E-409C-BE32-E72D297353CC}">
              <c16:uniqueId val="{00000009-9108-4B8B-8F3B-CEE6836500FD}"/>
            </c:ext>
          </c:extLst>
        </c:ser>
        <c:ser>
          <c:idx val="15"/>
          <c:order val="15"/>
          <c:tx>
            <c:strRef>
              <c:f>'W5'!$D$86</c:f>
              <c:strCache>
                <c:ptCount val="1"/>
                <c:pt idx="0">
                  <c:v>Giá bán</c:v>
                </c:pt>
              </c:strCache>
              <c:extLst xmlns:c15="http://schemas.microsoft.com/office/drawing/2012/chart"/>
            </c:strRef>
          </c:tx>
          <c:invertIfNegative val="0"/>
          <c:cat>
            <c:strRef>
              <c:f>'W5'!$I$70:$J$70</c:f>
            </c:strRef>
          </c:cat>
          <c:val>
            <c:numRef>
              <c:f>'W5'!$I$86:$J$86</c:f>
            </c:numRef>
          </c:val>
          <c:extLst>
            <c:ext xmlns:c16="http://schemas.microsoft.com/office/drawing/2014/chart" uri="{C3380CC4-5D6E-409C-BE32-E72D297353CC}">
              <c16:uniqueId val="{00000016-9108-4B8B-8F3B-CEE6836500FD}"/>
            </c:ext>
          </c:extLst>
        </c:ser>
        <c:ser>
          <c:idx val="16"/>
          <c:order val="16"/>
          <c:tx>
            <c:strRef>
              <c:f>'W5'!$D$87</c:f>
              <c:strCache>
                <c:ptCount val="1"/>
                <c:pt idx="0">
                  <c:v>% Lãi gộp nguyên liệu/Giá bán</c:v>
                </c:pt>
              </c:strCache>
              <c:extLst xmlns:c15="http://schemas.microsoft.com/office/drawing/2012/chart"/>
            </c:strRef>
          </c:tx>
          <c:invertIfNegative val="0"/>
          <c:cat>
            <c:strRef>
              <c:f>'W5'!$I$70:$J$70</c:f>
            </c:strRef>
          </c:cat>
          <c:val>
            <c:numRef>
              <c:f>'W5'!$I$87:$J$87</c:f>
            </c:numRef>
          </c:val>
          <c:extLst>
            <c:ext xmlns:c16="http://schemas.microsoft.com/office/drawing/2014/chart" uri="{C3380CC4-5D6E-409C-BE32-E72D297353CC}">
              <c16:uniqueId val="{00000017-9108-4B8B-8F3B-CEE6836500FD}"/>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'W5'!$M$71:$N$71</c:f>
            </c:numRef>
          </c:val>
          <c:extLst>
            <c:ext xmlns:c15="http://schemas.microsoft.com/office/drawing/2012/chart" uri="{02D57815-91ED-43cb-92C2-25804820EDAC}">
              <c15:datalabelsRange>
                <c15:f>'W5'!$N$71</c15:f>
              </c15:datalabelsRange>
            </c:ext>
            <c:ext xmlns:c16="http://schemas.microsoft.com/office/drawing/2014/chart" uri="{C3380CC4-5D6E-409C-BE32-E72D297353CC}">
              <c16:uniqueId val="{00000002-8BFC-4045-8786-C2D37EC213DC}"/>
            </c:ext>
          </c:extLst>
        </c:ser>
        <c:ser>
          <c:idx val="11"/>
          <c:order val="1"/>
          <c:tx>
            <c:strRef>
              <c:f>'W5'!$D$72</c:f>
              <c:strCache>
                <c:ptCount val="1"/>
                <c:pt idx="0">
                  <c:v>Vảy sạch</c:v>
                </c:pt>
              </c:strCache>
            </c:strRef>
          </c:tx>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'W5'!$M$70:$N$70</c:f>
            </c:strRef>
          </c:cat>
          <c:val>
            <c:numRef>
              <c:f>'W5'!$M$72:$N$72</c:f>
            </c:numRef>
          </c:val>
          <c:extLst>
            <c:ext xmlns:c15="http://schemas.microsoft.com/office/drawing/2012/chart" uri="{02D57815-91ED-43cb-92C2-25804820EDAC}">
              <c15:datalabelsRange>
                <c15:f>'W5'!$J$73</c15:f>
              </c15:datalabelsRange>
            </c:ext>
            <c:ext xmlns:c16="http://schemas.microsoft.com/office/drawing/2014/chart" uri="{C3380CC4-5D6E-409C-BE32-E72D297353CC}">
              <c16:uniqueId val="{00000005-8BFC-4045-8786-C2D37EC213DC}"/>
            </c:ext>
          </c:extLst>
        </c:ser>
        <c:ser>
          <c:idx val="10"/>
          <c:order val="2"/>
          <c:tx>
            <c:strRef>
              <c:f>'W5'!$D$73</c:f>
              <c:strCache>
                <c:ptCount val="1"/>
                <c:pt idx="0">
                  <c:v>Hao hụt về tiền</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'W5'!$M$70:$N$70</c:f>
            </c:strRef>
          </c:cat>
          <c:val>
            <c:numRef>
              <c:f>'W5'!$M$73:$N$73</c:f>
            </c:numRef>
          </c:val>
          <c:extLst>
            <c:ext xmlns:c15="http://schemas.microsoft.com/office/drawing/2012/chart" uri="{02D57815-91ED-43cb-92C2-25804820EDAC}">
              <c15:datalabelsRange>
                <c15:f>'W5'!$N$73</c15:f>
              </c15:datalabelsRange>
            </c:ext>
            <c:ext xmlns:c16="http://schemas.microsoft.com/office/drawing/2014/chart" uri="{C3380CC4-5D6E-409C-BE32-E72D297353CC}">
              <c16:uniqueId val="{00000008-8BFC-4045-8786-C2D37EC213DC}"/>
            </c:ext>
          </c:extLst>
        </c:ser>
        <c:ser>
          <c:idx val="9"/>
          <c:order val="3"/>
          <c:tx>
            <c:strRef>
              <c:f>'W5'!$D$74</c:f>
              <c:strCache>
                <c:ptCount val="1"/>
                <c:pt idx="0">
                  <c:v>Chi phí biến đổi</c:v>
                </c:pt>
              </c:strCache>
            </c:strRef>
          </c:tx>
          <c:invertIfNegative val="0"/>
          <c:dLbls>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'W5'!$M$70:$N$70</c:f>
            </c:strRef>
          </c:cat>
          <c:val>
            <c:numRef>
              <c:f>'W5'!$M$74:$N$74</c:f>
            </c:numRef>
          </c:val>
          <c:extLst>
            <c:ext xmlns:c15="http://schemas.microsoft.com/office/drawing/2012/chart" uri="{02D57815-91ED-43cb-92C2-25804820EDAC}">
              <c15:datalabelsRange>
                <c15:f>'W5'!$N$74</c15:f>
              </c15:datalabelsRange>
            </c:ext>
            <c:ext xmlns:c16="http://schemas.microsoft.com/office/drawing/2014/chart" uri="{C3380CC4-5D6E-409C-BE32-E72D297353CC}">
              <c16:uniqueId val="{0000000B-8BFC-4045-8786-C2D37EC213DC}"/>
            </c:ext>
          </c:extLst>
        </c:ser>
        <c:ser>
          <c:idx val="12"/>
          <c:order val="4"/>
          <c:tx>
            <c:strRef>
              <c:f>'W5'!$D$75</c:f>
              <c:strCache>
                <c:ptCount val="1"/>
                <c:pt idx="0">
                  <c:v>Chi phí nhân công</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'W5'!$M$70:$N$70</c:f>
            </c:strRef>
          </c:cat>
          <c:val>
            <c:numRef>
              <c:f>'W5'!$M$75:$N$75</c:f>
            </c:numRef>
          </c:val>
          <c:extLst>
            <c:ext xmlns:c15="http://schemas.microsoft.com/office/drawing/2012/chart" uri="{02D57815-91ED-43cb-92C2-25804820EDAC}">
              <c15:datalabelsRange>
                <c15:f>'W5'!$J$85</c15:f>
              </c15:datalabelsRange>
            </c:ext>
            <c:ext xmlns:c16="http://schemas.microsoft.com/office/drawing/2014/chart" uri="{C3380CC4-5D6E-409C-BE32-E72D297353CC}">
              <c16:uniqueId val="{0000000E-8BFC-4045-8786-C2D37EC213DC}"/>
            </c:ext>
          </c:extLst>
        </c:ser>
        <c:ser>
          <c:idx val="1"/>
          <c:order val="5"/>
          <c:tx>
            <c:strRef>
              <c:f>'W5'!$D$76</c:f>
              <c:strCache>
                <c:ptCount val="1"/>
                <c:pt idx="0">
                  <c:v>Khấu hao</c:v>
                </c:pt>
              </c:strCache>
            </c:strRef>
          </c:tx>
          <c:invertIfNegative val="0"/>
          <c:cat>
            <c:strRef>
              <c:f>'W5'!$M$70:$N$70</c:f>
            </c:strRef>
          </c:cat>
          <c:val>
            <c:numRef>
              <c:f>'W5'!$M$76:$N$76</c:f>
            </c:numRef>
          </c:val>
          <c:extLst>
            <c:ext xmlns:c16="http://schemas.microsoft.com/office/drawing/2014/chart" uri="{C3380CC4-5D6E-409C-BE32-E72D297353CC}">
              <c16:uniqueId val="{0000000F-8BFC-4045-8786-C2D37EC213DC}"/>
            </c:ext>
          </c:extLst>
        </c:ser>
        <c:ser>
          <c:idx val="2"/>
          <c:order val="6"/>
          <c:tx>
            <c:strRef>
              <c:f>'W5'!$D$77</c:f>
              <c:strCache>
                <c:ptCount val="1"/>
                <c:pt idx="0">
                  <c:v>Chi phí gián tiếp</c:v>
                </c:pt>
              </c:strCache>
            </c:strRef>
          </c:tx>
          <c:invertIfNegative val="0"/>
          <c:cat>
            <c:strRef>
              <c:f>'W5'!$M$70:$N$70</c:f>
            </c:strRef>
          </c:cat>
          <c:val>
            <c:numRef>
              <c:f>'W5'!$M$77:$N$77</c:f>
            </c:numRef>
          </c:val>
          <c:extLst>
            <c:ext xmlns:c16="http://schemas.microsoft.com/office/drawing/2014/chart" uri="{C3380CC4-5D6E-409C-BE32-E72D297353CC}">
              <c16:uniqueId val="{00000010-8BFC-4045-8786-C2D37EC213DC}"/>
            </c:ext>
          </c:extLst>
        </c:ser>
        <c:ser>
          <c:idx val="3"/>
          <c:order val="7"/>
          <c:tx>
            <c:strRef>
              <c:f>'W5'!$D$78</c:f>
              <c:strCache>
                <c:ptCount val="1"/>
                <c:pt idx="0">
                  <c:v>Điện</c:v>
                </c:pt>
              </c:strCache>
            </c:strRef>
          </c:tx>
          <c:invertIfNegative val="0"/>
          <c:cat>
            <c:strRef>
              <c:f>'W5'!$M$70:$N$70</c:f>
            </c:strRef>
          </c:cat>
          <c:val>
            <c:numRef>
              <c:f>'W5'!$M$78:$N$78</c:f>
            </c:numRef>
          </c:val>
          <c:extLst>
            <c:ext xmlns:c16="http://schemas.microsoft.com/office/drawing/2014/chart" uri="{C3380CC4-5D6E-409C-BE32-E72D297353CC}">
              <c16:uniqueId val="{00000011-8BFC-4045-8786-C2D37EC213DC}"/>
            </c:ext>
          </c:extLst>
        </c:ser>
        <c:ser>
          <c:idx val="4"/>
          <c:order val="8"/>
          <c:tx>
            <c:strRef>
              <c:f>'W5'!$D$79</c:f>
              <c:strCache>
                <c:ptCount val="1"/>
                <c:pt idx="0">
                  <c:v>Chi phí quản lý</c:v>
                </c:pt>
              </c:strCache>
            </c:strRef>
          </c:tx>
          <c:invertIfNegative val="0"/>
          <c:cat>
            <c:strRef>
              <c:f>'W5'!$M$70:$N$70</c:f>
            </c:strRef>
          </c:cat>
          <c:val>
            <c:numRef>
              <c:f>'W5'!$M$79:$N$79</c:f>
            </c:numRef>
          </c:val>
          <c:extLst>
            <c:ext xmlns:c16="http://schemas.microsoft.com/office/drawing/2014/chart" uri="{C3380CC4-5D6E-409C-BE32-E72D297353CC}">
              <c16:uniqueId val="{00000012-8BFC-4045-8786-C2D37EC213DC}"/>
            </c:ext>
          </c:extLst>
        </c:ser>
        <c:ser>
          <c:idx val="5"/>
          <c:order val="9"/>
          <c:tx>
            <c:strRef>
              <c:f>'W5'!$D$80</c:f>
              <c:strCache>
                <c:ptCount val="1"/>
                <c:pt idx="0">
                  <c:v>Đóng gói</c:v>
                </c:pt>
              </c:strCache>
            </c:strRef>
          </c:tx>
          <c:invertIfNegative val="0"/>
          <c:cat>
            <c:strRef>
              <c:f>'W5'!$M$70:$N$70</c:f>
            </c:strRef>
          </c:cat>
          <c:val>
            <c:numRef>
              <c:f>'W5'!$M$80:$N$80</c:f>
            </c:numRef>
          </c:val>
          <c:extLst>
            <c:ext xmlns:c16="http://schemas.microsoft.com/office/drawing/2014/chart" uri="{C3380CC4-5D6E-409C-BE32-E72D297353CC}">
              <c16:uniqueId val="{00000013-8BFC-4045-8786-C2D37EC213DC}"/>
            </c:ext>
          </c:extLst>
        </c:ser>
        <c:ser>
          <c:idx val="6"/>
          <c:order val="10"/>
          <c:tx>
            <c:strRef>
              <c:f>'W5'!$D$81</c:f>
              <c:strCache>
                <c:ptCount val="1"/>
                <c:pt idx="0">
                  <c:v>Hóa chất</c:v>
                </c:pt>
              </c:strCache>
            </c:strRef>
          </c:tx>
          <c:invertIfNegative val="0"/>
          <c:cat>
            <c:strRef>
              <c:f>'W5'!$M$70:$N$70</c:f>
            </c:strRef>
          </c:cat>
          <c:val>
            <c:numRef>
              <c:f>'W5'!$M$81:$N$81</c:f>
            </c:numRef>
          </c:val>
          <c:extLst>
            <c:ext xmlns:c16="http://schemas.microsoft.com/office/drawing/2014/chart" uri="{C3380CC4-5D6E-409C-BE32-E72D297353CC}">
              <c16:uniqueId val="{00000014-8BFC-4045-8786-C2D37EC213DC}"/>
            </c:ext>
          </c:extLst>
        </c:ser>
        <c:ser>
          <c:idx val="7"/>
          <c:order val="11"/>
          <c:tx>
            <c:strRef>
              <c:f>'W5'!$D$82</c:f>
              <c:strCache>
                <c:ptCount val="1"/>
                <c:pt idx="0">
                  <c:v>Nước</c:v>
                </c:pt>
              </c:strCache>
            </c:strRef>
          </c:tx>
          <c:invertIfNegative val="0"/>
          <c:cat>
            <c:strRef>
              <c:f>'W5'!$M$70:$N$70</c:f>
            </c:strRef>
          </c:cat>
          <c:val>
            <c:numRef>
              <c:f>'W5'!$M$82:$N$82</c:f>
            </c:numRef>
          </c:val>
          <c:extLst>
            <c:ext xmlns:c16="http://schemas.microsoft.com/office/drawing/2014/chart" uri="{C3380CC4-5D6E-409C-BE32-E72D297353CC}">
              <c16:uniqueId val="{00000015-8BFC-4045-8786-C2D37EC213DC}"/>
            </c:ext>
          </c:extLst>
        </c:ser>
        <c:ser>
          <c:idx val="8"/>
          <c:order val="12"/>
          <c:tx>
            <c:strRef>
              <c:f>'W5'!$D$83</c:f>
              <c:strCache>
                <c:ptCount val="1"/>
                <c:pt idx="0">
                  <c:v>Giá thành</c:v>
                </c:pt>
              </c:strCache>
            </c:strRef>
          </c:tx>
          <c:invertIfNegative val="0"/>
          <c:cat>
            <c:strRef>
              <c:f>'W5'!$M$70:$N$70</c:f>
            </c:strRef>
          </c:cat>
          <c:val>
            <c:numRef>
              <c:f>'W5'!$M$83:$N$83</c:f>
            </c:numRef>
          </c:val>
          <c:extLst>
            <c:ext xmlns:c16="http://schemas.microsoft.com/office/drawing/2014/chart" uri="{C3380CC4-5D6E-409C-BE32-E72D297353CC}">
              <c16:uniqueId val="{00000016-8BFC-4045-8786-C2D37EC213DC}"/>
            </c:ext>
          </c:extLst>
        </c:ser>
        <c:ser>
          <c:idx val="13"/>
          <c:order val="13"/>
          <c:tx>
            <c:strRef>
              <c:f>'W5'!$D$84</c:f>
              <c:strCache>
                <c:ptCount val="1"/>
                <c:pt idx="0">
                  <c:v>Thuế thu nhập</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f>'W5'!$M$70:$N$70</c:f>
            </c:strRef>
          </c:cat>
          <c:val>
            <c:numRef>
              <c:f>'W5'!$M$84:$N$84</c:f>
            </c:numRef>
          </c:val>
          <c:extLst>
            <c:ext xmlns:c15="http://schemas.microsoft.com/office/drawing/2012/chart" uri="{02D57815-91ED-43cb-92C2-25804820EDAC}">
              <c15:datalabelsRange>
                <c15:f>'W5'!$N$84</c15:f>
              </c15:datalabelsRange>
            </c:ext>
            <c:ext xmlns:c16="http://schemas.microsoft.com/office/drawing/2014/chart" uri="{C3380CC4-5D6E-409C-BE32-E72D297353CC}">
              <c16:uniqueId val="{00000017-8BFC-4045-8786-C2D37EC213DC}"/>
            </c:ext>
          </c:extLst>
        </c:ser>
        <c:ser>
          <c:idx val="14"/>
          <c:order val="14"/>
          <c:tx>
            <c:strRef>
              <c:f>'W5'!$D$85</c:f>
              <c:strCache>
                <c:ptCount val="1"/>
                <c:pt idx="0">
                  <c:v>Lợi nhuận</c:v>
                </c:pt>
              </c:strCache>
            </c:strRef>
          </c:tx>
          <c:invertIfNegative val="0"/>
          <c:dLbls>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f>'W5'!$M$70:$N$70</c:f>
            </c:strRef>
          </c:cat>
          <c:val>
            <c:numRef>
              <c:f>'W5'!$M$85:$N$85</c:f>
            </c:numRef>
          </c:val>
          <c:extLst>
            <c:ext xmlns:c15="http://schemas.microsoft.com/office/drawing/2012/chart" uri="{02D57815-91ED-43cb-92C2-25804820EDAC}">
              <c15:datalabelsRange>
                <c15:f>'W5'!$N$85</c15:f>
              </c15:datalabelsRange>
            </c:ext>
            <c:ext xmlns:c16="http://schemas.microsoft.com/office/drawing/2014/chart" uri="{C3380CC4-5D6E-409C-BE32-E72D297353CC}">
              <c16:uniqueId val="{00000018-8BFC-4045-8786-C2D37EC213DC}"/>
            </c:ext>
          </c:extLst>
        </c:ser>
        <c:ser>
          <c:idx val="15"/>
          <c:order val="15"/>
          <c:tx>
            <c:strRef>
              <c:f>'W5'!$D$86</c:f>
              <c:strCache>
                <c:ptCount val="1"/>
                <c:pt idx="0">
                  <c:v>Giá bán</c:v>
                </c:pt>
              </c:strCache>
            </c:strRef>
          </c:tx>
          <c:invertIfNegative val="0"/>
          <c:cat>
            <c:strRef>
              <c:f>'W5'!$M$70:$N$70</c:f>
            </c:strRef>
          </c:cat>
          <c:val>
            <c:numRef>
              <c:f>'W5'!$M$86:$N$86</c:f>
            </c:numRef>
          </c:val>
          <c:extLst>
            <c:ext xmlns:c16="http://schemas.microsoft.com/office/drawing/2014/chart" uri="{C3380CC4-5D6E-409C-BE32-E72D297353CC}">
              <c16:uniqueId val="{00000019-8BFC-4045-8786-C2D37EC213DC}"/>
            </c:ext>
          </c:extLst>
        </c:ser>
        <c:ser>
          <c:idx val="16"/>
          <c:order val="16"/>
          <c:tx>
            <c:strRef>
              <c:f>'W5'!$D$87</c:f>
              <c:strCache>
                <c:ptCount val="1"/>
                <c:pt idx="0">
                  <c:v>% Lãi gộp nguyên liệu/Giá bán</c:v>
                </c:pt>
              </c:strCache>
            </c:strRef>
          </c:tx>
          <c:invertIfNegative val="0"/>
          <c:cat>
            <c:strRef>
              <c:f>'W5'!$M$70:$N$70</c:f>
            </c:strRef>
          </c:cat>
          <c:val>
            <c:numRef>
              <c:f>'W5'!$M$87:$N$87</c:f>
            </c:numRef>
          </c:val>
          <c:extLst>
            <c:ext xmlns:c16="http://schemas.microsoft.com/office/drawing/2014/chart" uri="{C3380CC4-5D6E-409C-BE32-E72D297353CC}">
              <c16:uniqueId val="{0000001A-8BFC-4045-8786-C2D37EC213DC}"/>
            </c:ext>
          </c:extLst>
        </c:ser>
        <c:dLbls>
          <c:showLegendKey val="0"/>
          <c:showVal val="0"/>
          <c:showCatName val="0"/>
          <c:showSerName val="0"/>
          <c:showPercent val="0"/>
          <c:showBubbleSize val="0"/>
        </c:dLbls>
        <c:gapWidth val="50"/>
        <c:overlap val="100"/>
        <c:axId val="336187152"/>
        <c:axId val="336190512"/>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sz="1500" b="1">
                <a:solidFill>
                  <a:srgbClr val="0070C0"/>
                </a:solidFill>
              </a:rPr>
              <a:t>GIÁ BÁN</a:t>
            </a:r>
          </a:p>
        </c:rich>
      </c:tx>
      <c:layout>
        <c:manualLayout>
          <c:xMode val="edge"/>
          <c:yMode val="edge"/>
          <c:x val="3.5632599496491509E-2"/>
          <c:y val="2.1595270481700735E-2"/>
        </c:manualLayout>
      </c:layout>
      <c:overlay val="0"/>
      <c:spPr>
        <a:noFill/>
        <a:ln>
          <a:noFill/>
        </a:ln>
        <a:effectLst/>
      </c:spPr>
    </c:title>
    <c:autoTitleDeleted val="0"/>
    <c:plotArea>
      <c:layout>
        <c:manualLayout>
          <c:layoutTarget val="inner"/>
          <c:xMode val="edge"/>
          <c:yMode val="edge"/>
          <c:x val="0.40399374168267282"/>
          <c:y val="9.8165813622631451E-2"/>
          <c:w val="0.59309582231339852"/>
          <c:h val="0.89898258203109516"/>
        </c:manualLayout>
      </c:layout>
      <c:barChart>
        <c:barDir val="col"/>
        <c:grouping val="stacked"/>
        <c:varyColors val="0"/>
        <c:ser>
          <c:idx val="0"/>
          <c:order val="0"/>
          <c:tx>
            <c:strRef>
              <c:f>'W5'!$D$49</c:f>
              <c:strCache>
                <c:ptCount val="1"/>
                <c:pt idx="0">
                  <c:v>Chi phí nguyên vật liệu</c:v>
                </c:pt>
              </c:strCache>
            </c:strRef>
          </c:tx>
          <c:spPr>
            <a:solidFill>
              <a:schemeClr val="accent4">
                <a:lumMod val="60000"/>
                <a:lumOff val="40000"/>
              </a:scheme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FE332945-D461-4037-84D0-93986A4BA221}" type="CELLRANGE">
                      <a:rPr lang="en-US" sz="1300" baseline="0"/>
                      <a:pPr>
                        <a:defRPr sz="1300" b="0" i="0" u="none" strike="noStrike" kern="1200" baseline="0">
                          <a:solidFill>
                            <a:schemeClr val="tx1">
                              <a:lumMod val="75000"/>
                              <a:lumOff val="25000"/>
                            </a:schemeClr>
                          </a:solidFill>
                          <a:latin typeface="+mn-lt"/>
                          <a:ea typeface="+mn-ea"/>
                          <a:cs typeface="+mn-cs"/>
                        </a:defRPr>
                      </a:pPr>
                      <a:t>[CELLRANGE]</a:t>
                    </a:fld>
                    <a:r>
                      <a:rPr lang="en-US" sz="1300" baseline="0"/>
                      <a:t>, </a:t>
                    </a:r>
                    <a:fld id="{F6BFA7AD-C712-43D0-AF4F-663DBA802965}" type="SERIESNAME">
                      <a:rPr lang="en-US" sz="1300" baseline="0"/>
                      <a:pPr>
                        <a:defRPr sz="1300" b="0" i="0" u="none" strike="noStrike" kern="1200" baseline="0">
                          <a:solidFill>
                            <a:schemeClr val="tx1">
                              <a:lumMod val="75000"/>
                              <a:lumOff val="25000"/>
                            </a:schemeClr>
                          </a:solidFill>
                          <a:latin typeface="+mn-lt"/>
                          <a:ea typeface="+mn-ea"/>
                          <a:cs typeface="+mn-cs"/>
                        </a:defRPr>
                      </a:pPr>
                      <a:t>[SERIES NAME]</a:t>
                    </a:fld>
                    <a:r>
                      <a:rPr lang="en-US" sz="1300" baseline="0"/>
                      <a:t>, </a:t>
                    </a:r>
                    <a:fld id="{B76368F9-9D53-418E-847D-542A2B226AEB}" type="VALUE">
                      <a:rPr lang="en-US" sz="1300" baseline="0"/>
                      <a:pPr>
                        <a:defRPr sz="1300" b="0" i="0" u="none" strike="noStrike" kern="1200" baseline="0">
                          <a:solidFill>
                            <a:schemeClr val="tx1">
                              <a:lumMod val="75000"/>
                              <a:lumOff val="25000"/>
                            </a:schemeClr>
                          </a:solidFill>
                          <a:latin typeface="+mn-lt"/>
                          <a:ea typeface="+mn-ea"/>
                          <a:cs typeface="+mn-cs"/>
                        </a:defRPr>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918923710034821"/>
                      <c:h val="0.24623698747465123"/>
                    </c:manualLayout>
                  </c15:layout>
                  <c15:dlblFieldTable/>
                  <c15:showDataLabelsRange val="1"/>
                </c:ext>
                <c:ext xmlns:c16="http://schemas.microsoft.com/office/drawing/2014/chart" uri="{C3380CC4-5D6E-409C-BE32-E72D297353CC}">
                  <c16:uniqueId val="{00000000-C8D5-4687-A9AE-744C99B4C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'W5'!$K$49:$L$49</c15:sqref>
                  </c15:fullRef>
                </c:ext>
              </c:extLst>
              <c:f>'W5'!$K$49</c:f>
              <c:numCache>
                <c:formatCode>0.0%;\-0.0.%;</c:formatCode>
                <c:ptCount val="1"/>
                <c:pt idx="0" formatCode="#,##0_);\(#,##0\);;">
                  <c:v>381.88799999999998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'W5'!$L$49</c15:f>
                <c15:dlblRangeCache>
                  <c:ptCount val="1"/>
                  <c:pt idx="0">
                    <c:v>56.2%</c:v>
                  </c:pt>
                </c15:dlblRangeCache>
              </c15:datalabelsRange>
            </c:ext>
            <c:ext xmlns:c16="http://schemas.microsoft.com/office/drawing/2014/chart" uri="{C3380CC4-5D6E-409C-BE32-E72D297353CC}">
              <c16:uniqueId val="{00000001-C8D5-4687-A9AE-744C99B4C136}"/>
            </c:ext>
          </c:extLst>
        </c:ser>
        <c:ser>
          <c:idx val="14"/>
          <c:order val="2"/>
          <c:tx>
            <c:strRef>
              <c:f>'W5'!$D$51</c:f>
              <c:strCache>
                <c:ptCount val="1"/>
                <c:pt idx="0">
                  <c:v>Hao hụt về tiền</c:v>
                </c:pt>
              </c:strCache>
            </c:strRef>
          </c:tx>
          <c:spPr>
            <a:solidFill>
              <a:srgbClr val="FFC000"/>
            </a:solidFill>
            <a:ln>
              <a:noFill/>
            </a:ln>
            <a:effectLst/>
          </c:spPr>
          <c:invertIfNegative val="0"/>
          <c:dLbls>
            <c:dLbl>
              <c:idx val="0"/>
              <c:layout>
                <c:manualLayout>
                  <c:x val="-1.3485188769027651E-7"/>
                  <c:y val="1.0120262931738663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8E39150-0449-4EF4-BE14-A9F1A147475F}" type="CELLRANGE">
                      <a:rPr lang="en-US" sz="1100" baseline="0"/>
                      <a:pPr>
                        <a:defRPr sz="1100" b="0" i="0" u="none" strike="noStrike" kern="1200" baseline="0">
                          <a:solidFill>
                            <a:schemeClr val="tx1">
                              <a:lumMod val="75000"/>
                              <a:lumOff val="25000"/>
                            </a:schemeClr>
                          </a:solidFill>
                          <a:latin typeface="+mn-lt"/>
                          <a:ea typeface="+mn-ea"/>
                          <a:cs typeface="+mn-cs"/>
                        </a:defRPr>
                      </a:pPr>
                      <a:t>[CELLRANGE]</a:t>
                    </a:fld>
                    <a:r>
                      <a:rPr lang="en-US" sz="1100" baseline="0"/>
                      <a:t>, </a:t>
                    </a:r>
                    <a:fld id="{7BB0F152-72C3-426D-9F5C-07629993C480}"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5D0D10CB-B03F-43BE-9945-6C19107D47F4}"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70180951204282183"/>
                      <c:h val="0.10783874934026985"/>
                    </c:manualLayout>
                  </c15:layout>
                  <c15:dlblFieldTable/>
                  <c15:showDataLabelsRange val="1"/>
                </c:ext>
                <c:ext xmlns:c16="http://schemas.microsoft.com/office/drawing/2014/chart" uri="{C3380CC4-5D6E-409C-BE32-E72D297353CC}">
                  <c16:uniqueId val="{00000002-C8D5-4687-A9AE-744C99B4C13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'W5'!$K$51:$L$51</c15:sqref>
                  </c15:fullRef>
                </c:ext>
              </c:extLst>
              <c:f>'W5'!$K$51</c:f>
              <c:numCache>
                <c:formatCode>0.0%;\-0.0.%;</c:formatCode>
                <c:ptCount val="1"/>
                <c:pt idx="0" formatCode="#,##0_);\(#,##0\);;">
                  <c:v>28.744258064516178</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'W5'!$L$51</c15:f>
                <c15:dlblRangeCache>
                  <c:ptCount val="1"/>
                  <c:pt idx="0">
                    <c:v>4.2%</c:v>
                  </c:pt>
                </c15:dlblRangeCache>
              </c15:datalabelsRange>
            </c:ext>
            <c:ext xmlns:c16="http://schemas.microsoft.com/office/drawing/2014/chart" uri="{C3380CC4-5D6E-409C-BE32-E72D297353CC}">
              <c16:uniqueId val="{00000003-C8D5-4687-A9AE-744C99B4C136}"/>
            </c:ext>
          </c:extLst>
        </c:ser>
        <c:ser>
          <c:idx val="11"/>
          <c:order val="3"/>
          <c:tx>
            <c:strRef>
              <c:f>'W5'!$D$52</c:f>
              <c:strCache>
                <c:ptCount val="1"/>
                <c:pt idx="0">
                  <c:v>Chi phí biến đổi</c:v>
                </c:pt>
              </c:strCache>
            </c:strRef>
          </c:tx>
          <c:spPr>
            <a:solidFill>
              <a:schemeClr val="bg2">
                <a:lumMod val="90000"/>
              </a:schemeClr>
            </a:solidFill>
          </c:spPr>
          <c:invertIfNegative val="0"/>
          <c:dLbls>
            <c:dLbl>
              <c:idx val="0"/>
              <c:layout>
                <c:manualLayout>
                  <c:x val="-1.5903144857800155E-2"/>
                  <c:y val="-5.0597681627987468E-3"/>
                </c:manualLayout>
              </c:layout>
              <c:tx>
                <c:rich>
                  <a:bodyPr wrap="square" lIns="38100" tIns="19050" rIns="38100" bIns="19050" anchor="ctr">
                    <a:noAutofit/>
                  </a:bodyPr>
                  <a:lstStyle/>
                  <a:p>
                    <a:pPr>
                      <a:defRPr sz="1300"/>
                    </a:pPr>
                    <a:fld id="{AD13A8F8-5315-4434-82C6-35BC677E8DA4}" type="CELLRANGE">
                      <a:rPr lang="en-US" sz="1300" baseline="0"/>
                      <a:pPr>
                        <a:defRPr sz="1300"/>
                      </a:pPr>
                      <a:t>[CELLRANGE]</a:t>
                    </a:fld>
                    <a:r>
                      <a:rPr lang="en-US" sz="1300" baseline="0"/>
                      <a:t>, </a:t>
                    </a:r>
                    <a:fld id="{F3FDA8B9-8C1F-4F4D-94A8-3440E2F807DD}" type="SERIESNAME">
                      <a:rPr lang="en-US" sz="1300" baseline="0"/>
                      <a:pPr>
                        <a:defRPr sz="1300"/>
                      </a:pPr>
                      <a:t>[SERIES NAME]</a:t>
                    </a:fld>
                    <a:r>
                      <a:rPr lang="en-US" sz="1300" baseline="0"/>
                      <a:t>, </a:t>
                    </a:r>
                    <a:fld id="{145C9B5B-1FC1-48B6-9305-9BE9F8ADBA57}"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9468382792438712"/>
                      <c:h val="0.12342604395402992"/>
                    </c:manualLayout>
                  </c15:layout>
                  <c15:dlblFieldTable/>
                  <c15:showDataLabelsRange val="1"/>
                </c:ext>
                <c:ext xmlns:c16="http://schemas.microsoft.com/office/drawing/2014/chart" uri="{C3380CC4-5D6E-409C-BE32-E72D297353CC}">
                  <c16:uniqueId val="{00000004-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'W5'!$K$52:$L$52</c15:sqref>
                  </c15:fullRef>
                </c:ext>
              </c:extLst>
              <c:f>'W5'!$K$52</c:f>
              <c:numCache>
                <c:formatCode>0.0%;\-0.0.%;</c:formatCode>
                <c:ptCount val="1"/>
                <c:pt idx="0" formatCode="#,##0_);\(#,##0\);;">
                  <c:v>233.16001964250498</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'W5'!$L$52</c15:f>
                <c15:dlblRangeCache>
                  <c:ptCount val="1"/>
                  <c:pt idx="0">
                    <c:v>34.3%</c:v>
                  </c:pt>
                </c15:dlblRangeCache>
              </c15:datalabelsRange>
            </c:ext>
            <c:ext xmlns:c16="http://schemas.microsoft.com/office/drawing/2014/chart" uri="{C3380CC4-5D6E-409C-BE32-E72D297353CC}">
              <c16:uniqueId val="{00000005-C8D5-4687-A9AE-744C99B4C136}"/>
            </c:ext>
          </c:extLst>
        </c:ser>
        <c:ser>
          <c:idx val="10"/>
          <c:order val="13"/>
          <c:tx>
            <c:strRef>
              <c:f>'W5'!$D$62</c:f>
              <c:strCache>
                <c:ptCount val="1"/>
                <c:pt idx="0">
                  <c:v>Thuế thu nhập</c:v>
                </c:pt>
              </c:strCache>
            </c:strRef>
          </c:tx>
          <c:spPr>
            <a:solidFill>
              <a:srgbClr val="FFFF00"/>
            </a:solidFill>
          </c:spPr>
          <c:invertIfNegative val="0"/>
          <c:dLbls>
            <c:dLbl>
              <c:idx val="0"/>
              <c:tx>
                <c:rich>
                  <a:bodyPr wrap="square" lIns="38100" tIns="19050" rIns="38100" bIns="19050" anchor="ctr">
                    <a:noAutofit/>
                  </a:bodyPr>
                  <a:lstStyle/>
                  <a:p>
                    <a:pPr>
                      <a:defRPr/>
                    </a:pPr>
                    <a:fld id="{D004EDB9-E6E5-4017-955E-4B6F303111F2}" type="CELLRANGE">
                      <a:rPr lang="en-US" baseline="0"/>
                      <a:pPr>
                        <a:defRPr/>
                      </a:pPr>
                      <a:t>[CELLRANGE]</a:t>
                    </a:fld>
                    <a:r>
                      <a:rPr lang="en-US" baseline="0"/>
                      <a:t>, </a:t>
                    </a:r>
                    <a:fld id="{2CB4B7AC-DF12-475E-8980-6F994D15B77E}" type="SERIESNAME">
                      <a:rPr lang="en-US" baseline="0"/>
                      <a:pPr>
                        <a:defRPr/>
                      </a:pPr>
                      <a:t>[SERIES NAME]</a:t>
                    </a:fld>
                    <a:r>
                      <a:rPr lang="en-US" baseline="0"/>
                      <a:t>, </a:t>
                    </a:r>
                    <a:fld id="{769CA5FA-ADFD-49B0-9377-3E262779EDDB}" type="VALUE">
                      <a:rPr lang="en-US" baseline="0"/>
                      <a:pPr>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46034283558117095"/>
                      <c:h val="0.13095367426185264"/>
                    </c:manualLayout>
                  </c15:layout>
                  <c15:dlblFieldTable/>
                  <c15:showDataLabelsRange val="1"/>
                </c:ext>
                <c:ext xmlns:c16="http://schemas.microsoft.com/office/drawing/2014/chart" uri="{C3380CC4-5D6E-409C-BE32-E72D297353CC}">
                  <c16:uniqueId val="{00000006-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'W5'!$K$62:$L$62</c15:sqref>
                  </c15:fullRef>
                </c:ext>
              </c:extLst>
              <c:f>'W5'!$K$62</c:f>
              <c:numCache>
                <c:formatCode>0.0%;\-0.0.%;</c:formatCode>
                <c:ptCount val="1"/>
                <c:pt idx="0" formatCode="#,##0_);\(#,##0\);;">
                  <c:v>7.2415444585957633</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'W5'!$L$62</c15:f>
                <c15:dlblRangeCache>
                  <c:ptCount val="1"/>
                  <c:pt idx="0">
                    <c:v>1.1%</c:v>
                  </c:pt>
                </c15:dlblRangeCache>
              </c15:datalabelsRange>
            </c:ext>
            <c:ext xmlns:c16="http://schemas.microsoft.com/office/drawing/2014/chart" uri="{C3380CC4-5D6E-409C-BE32-E72D297353CC}">
              <c16:uniqueId val="{00000007-C8D5-4687-A9AE-744C99B4C136}"/>
            </c:ext>
          </c:extLst>
        </c:ser>
        <c:ser>
          <c:idx val="13"/>
          <c:order val="14"/>
          <c:tx>
            <c:strRef>
              <c:f>'W5'!$D$63</c:f>
              <c:strCache>
                <c:ptCount val="1"/>
                <c:pt idx="0">
                  <c:v>Lợi nhuận</c:v>
                </c:pt>
              </c:strCache>
            </c:strRef>
          </c:tx>
          <c:spPr>
            <a:solidFill>
              <a:srgbClr val="92D050"/>
            </a:solidFill>
          </c:spPr>
          <c:invertIfNegative val="0"/>
          <c:dLbls>
            <c:dLbl>
              <c:idx val="0"/>
              <c:layout>
                <c:manualLayout>
                  <c:x val="-1.8139782217428624E-2"/>
                  <c:y val="-6.5780439157808512E-2"/>
                </c:manualLayout>
              </c:layout>
              <c:tx>
                <c:rich>
                  <a:bodyPr wrap="square" lIns="38100" tIns="19050" rIns="38100" bIns="19050" anchor="ctr">
                    <a:noAutofit/>
                  </a:bodyPr>
                  <a:lstStyle/>
                  <a:p>
                    <a:pPr>
                      <a:defRPr sz="1300" b="1">
                        <a:solidFill>
                          <a:srgbClr val="FF0000"/>
                        </a:solidFill>
                      </a:defRPr>
                    </a:pPr>
                    <a:fld id="{14BFA44E-7BC4-4D97-AE85-26BA34863530}"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BAEA172E-E887-4BE6-A48D-E7E1D71FC760}"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EEFDC1A7-CC07-4160-9554-DD67A52102E6}"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63519582733668811"/>
                      <c:h val="0.10396682742787991"/>
                    </c:manualLayout>
                  </c15:layout>
                  <c15:dlblFieldTable/>
                  <c15:showDataLabelsRange val="1"/>
                </c:ext>
                <c:ext xmlns:c16="http://schemas.microsoft.com/office/drawing/2014/chart" uri="{C3380CC4-5D6E-409C-BE32-E72D297353CC}">
                  <c16:uniqueId val="{00000008-C8D5-4687-A9AE-744C99B4C136}"/>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Lit>
              <c:ptCount val="1"/>
              <c:pt idx="0">
                <c:v>1</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'W5'!$K$63:$L$63</c15:sqref>
                  </c15:fullRef>
                </c:ext>
              </c:extLst>
              <c:f>'W5'!$K$63</c:f>
              <c:numCache>
                <c:formatCode>0.0%;\-0.0.%;</c:formatCode>
                <c:ptCount val="1"/>
                <c:pt idx="0" formatCode="#,##0_);\(#,##0\);;">
                  <c:v>28.966177834383053</c:v>
                </c:pt>
              </c:numCache>
            </c:numRef>
          </c:val>
          <c:extLs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'W5'!$L$63</c15:f>
                <c15:dlblRangeCache>
                  <c:ptCount val="1"/>
                  <c:pt idx="0">
                    <c:v>4.3%</c:v>
                  </c:pt>
                </c15:dlblRangeCache>
              </c15:datalabelsRange>
            </c:ext>
            <c:ext xmlns:c16="http://schemas.microsoft.com/office/drawing/2014/chart" uri="{C3380CC4-5D6E-409C-BE32-E72D297353CC}">
              <c16:uniqueId val="{00000009-C8D5-4687-A9AE-744C99B4C136}"/>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3"/>
                <c:order val="1"/>
                <c:tx>
                  <c:strRef>
                    <c:extLst>
                      <c:ext uri="{02D57815-91ED-43cb-92C2-25804820EDAC}">
                        <c15:formulaRef>
                          <c15:sqref>'W5'!$D$50</c15:sqref>
                        </c15:formulaRef>
                      </c:ext>
                    </c:extLst>
                    <c:strCache>
                      <c:ptCount val="1"/>
                      <c:pt idx="0">
                        <c:v>Vảy sạch</c:v>
                      </c:pt>
                    </c:strCache>
                  </c:strRef>
                </c:tx>
                <c:spPr>
                  <a:solidFill>
                    <a:srgbClr val="FFC000"/>
                  </a:solidFill>
                  <a:ln>
                    <a:noFill/>
                  </a:ln>
                  <a:effectLst/>
                </c:spPr>
                <c:invertIfNegative val="0"/>
                <c:dLbls>
                  <c:dLbl>
                    <c:idx val="0"/>
                    <c:layout>
                      <c:manualLayout>
                        <c:x val="-1.2762065418334941E-2"/>
                        <c:y val="1.3468599515400317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50230A1B-E386-4945-A8A1-C4C3D2331DCC}" type="SERIESNAME">
                            <a:rPr lang="en-US" sz="1100" baseline="0"/>
                            <a:pPr>
                              <a:defRPr sz="1100" b="0" i="0" u="none" strike="noStrike" kern="1200" baseline="0">
                                <a:solidFill>
                                  <a:schemeClr val="tx1">
                                    <a:lumMod val="75000"/>
                                    <a:lumOff val="25000"/>
                                  </a:schemeClr>
                                </a:solidFill>
                                <a:latin typeface="+mn-lt"/>
                                <a:ea typeface="+mn-ea"/>
                                <a:cs typeface="+mn-cs"/>
                              </a:defRPr>
                            </a:pPr>
                            <a:t>[SERIES NAME]</a:t>
                          </a:fld>
                          <a:r>
                            <a:rPr lang="en-US" sz="1100" baseline="0"/>
                            <a:t>, </a:t>
                          </a:r>
                          <a:fld id="{352C53D8-D915-4A8A-BC34-0BA129126A27}" type="VALUE">
                            <a:rPr lang="en-US" sz="1100" baseline="0"/>
                            <a:pPr>
                              <a:defRPr sz="1100" b="0" i="0" u="none" strike="noStrike" kern="1200" baseline="0">
                                <a:solidFill>
                                  <a:schemeClr val="tx1">
                                    <a:lumMod val="75000"/>
                                    <a:lumOff val="25000"/>
                                  </a:schemeClr>
                                </a:solidFill>
                                <a:latin typeface="+mn-lt"/>
                                <a:ea typeface="+mn-ea"/>
                                <a:cs typeface="+mn-cs"/>
                              </a:defRPr>
                            </a:pPr>
                            <a:t>[VALUE]</a:t>
                          </a:fld>
                          <a:endParaRPr lang="en-US" sz="1100" baseline="0"/>
                        </a:p>
                      </c:rich>
                    </c:tx>
                    <c:spPr>
                      <a:noFill/>
                      <a:ln>
                        <a:noFill/>
                      </a:ln>
                      <a:effectLst/>
                    </c:spPr>
                    <c:showLegendKey val="0"/>
                    <c:showVal val="1"/>
                    <c:showCatName val="0"/>
                    <c:showSerName val="1"/>
                    <c:showPercent val="0"/>
                    <c:showBubbleSize val="0"/>
                    <c:extLst>
                      <c:ext uri="{CE6537A1-D6FC-4f65-9D91-7224C49458BB}">
                        <c15:layout>
                          <c:manualLayout>
                            <c:w val="0.54557602616861878"/>
                            <c:h val="0.13142089216369132"/>
                          </c:manualLayout>
                        </c15:layout>
                        <c15:dlblFieldTable/>
                        <c15:showDataLabelsRange val="1"/>
                      </c:ext>
                      <c:ext xmlns:c16="http://schemas.microsoft.com/office/drawing/2014/chart" uri="{C3380CC4-5D6E-409C-BE32-E72D297353CC}">
                        <c16:uniqueId val="{0000000A-C8D5-4687-A9AE-744C99B4C13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ullRef>
                          <c15:sqref>'W5'!$K$50:$L$50</c15:sqref>
                        </c15:fullRef>
                        <c15:formulaRef>
                          <c15:sqref>'W5'!$K$50</c15:sqref>
                        </c15:formulaRef>
                      </c:ext>
                    </c:extLst>
                    <c:numCache>
                      <c:formatCode>0.0%;\-0.0.%;</c:formatCode>
                      <c:ptCount val="1"/>
                      <c:pt idx="0" formatCode="#,##0_);\(#,##0\);;">
                        <c:v>381.88799999999998</c:v>
                      </c:pt>
                    </c:numCache>
                  </c:numRef>
                </c:val>
                <c:extLst>
                  <c:ex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uri="{02D57815-91ED-43cb-92C2-25804820EDAC}">
                    <c15:datalabelsRange>
                      <c15:f>'W5'!$H$51</c15:f>
                    </c15:datalabelsRange>
                  </c:ext>
                  <c:ext xmlns:c16="http://schemas.microsoft.com/office/drawing/2014/chart" uri="{C3380CC4-5D6E-409C-BE32-E72D297353CC}">
                    <c16:uniqueId val="{0000000B-C8D5-4687-A9AE-744C99B4C136}"/>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'W5'!$D$53</c15:sqref>
                        </c15:formulaRef>
                      </c:ext>
                    </c:extLst>
                    <c:strCache>
                      <c:ptCount val="1"/>
                      <c:pt idx="0">
                        <c:v>Chi phí nhân công</c:v>
                      </c:pt>
                    </c:strCache>
                  </c:strRef>
                </c:tx>
                <c:spPr>
                  <a:solidFill>
                    <a:srgbClr val="92D050"/>
                  </a:solidFill>
                </c:spPr>
                <c:invertIfNegative val="0"/>
                <c:dLbls>
                  <c:dLbl>
                    <c:idx val="0"/>
                    <c:layout>
                      <c:manualLayout>
                        <c:x val="5.2828645461462913E-3"/>
                        <c:y val="-4.0397464728316727E-2"/>
                      </c:manualLayout>
                    </c:layout>
                    <c:tx>
                      <c:rich>
                        <a:bodyPr wrap="square" lIns="38100" tIns="19050" rIns="38100" bIns="19050" anchor="ctr">
                          <a:noAutofit/>
                        </a:bodyPr>
                        <a:lstStyle/>
                        <a:p>
                          <a:pPr>
                            <a:defRPr sz="1300" b="1">
                              <a:solidFill>
                                <a:srgbClr val="FF0000"/>
                              </a:solidFill>
                            </a:defRPr>
                          </a:pPr>
                          <a:fld id="{5B720E6E-7671-47FD-826A-4EF710AFDA42}" type="SERIESNAME">
                            <a:rPr lang="en-US" baseline="0"/>
                            <a:pPr>
                              <a:defRPr sz="1300" b="1">
                                <a:solidFill>
                                  <a:srgbClr val="FF0000"/>
                                </a:solidFill>
                              </a:defRPr>
                            </a:pPr>
                            <a:t>[SERIES NAME]</a:t>
                          </a:fld>
                          <a:r>
                            <a:rPr lang="en-US" baseline="0"/>
                            <a:t>, </a:t>
                          </a:r>
                          <a:fld id="{7FD70E4F-CF03-4103-BE44-E680DF8BADED}" type="VALUE">
                            <a:rPr lang="en-US" baseline="0"/>
                            <a:pPr>
                              <a:defRPr sz="1300" b="1">
                                <a:solidFill>
                                  <a:srgbClr val="FF0000"/>
                                </a:solidFill>
                              </a:defRPr>
                            </a:pPr>
                            <a:t>[VALUE]</a:t>
                          </a:fld>
                          <a:endParaRPr lang="en-US" baseline="0"/>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63092269117701283"/>
                            <c:h val="9.9034912808229056E-2"/>
                          </c:manualLayout>
                        </c15:layout>
                        <c15:dlblFieldTable/>
                        <c15:showDataLabelsRange val="1"/>
                      </c:ext>
                      <c:ext xmlns:c16="http://schemas.microsoft.com/office/drawing/2014/chart" uri="{C3380CC4-5D6E-409C-BE32-E72D297353CC}">
                        <c16:uniqueId val="{0000000C-C8D5-4687-A9AE-744C99B4C136}"/>
                      </c:ext>
                    </c:extLst>
                  </c:dLbl>
                  <c:spPr>
                    <a:noFill/>
                    <a:ln>
                      <a:noFill/>
                    </a:ln>
                    <a:effectLst/>
                  </c:spPr>
                  <c:txPr>
                    <a:bodyPr wrap="square" lIns="38100" tIns="19050" rIns="38100" bIns="19050" anchor="ctr">
                      <a:spAutoFit/>
                    </a:bodyPr>
                    <a:lstStyle/>
                    <a:p>
                      <a:pPr>
                        <a:defRPr sz="1300" b="1">
                          <a:solidFill>
                            <a:srgbClr val="FF0000"/>
                          </a:solidFill>
                        </a:defRPr>
                      </a:pPr>
                      <a:endParaRPr lang="en-US"/>
                    </a:p>
                  </c:tx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val>
                  <c:numRef>
                    <c:extLst>
                      <c:ext xmlns:c15="http://schemas.microsoft.com/office/drawing/2012/chart" uri="{02D57815-91ED-43cb-92C2-25804820EDAC}">
                        <c15:fullRef>
                          <c15:sqref>'W5'!$K$53:$L$53</c15:sqref>
                        </c15:fullRef>
                        <c15:formulaRef>
                          <c15:sqref>'W5'!$K$53</c15:sqref>
                        </c15:formulaRef>
                      </c:ext>
                    </c:extLst>
                    <c:numCache>
                      <c:formatCode>0.0%;\-0.0.%;</c:formatCode>
                      <c:ptCount val="1"/>
                      <c:pt idx="0" formatCode="#,##0_);\(#,##0\);;">
                        <c:v>15.285408527665071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5="http://schemas.microsoft.com/office/drawing/2012/chart" uri="{02D57815-91ED-43cb-92C2-25804820EDAC}">
                    <c15:datalabelsRange>
                      <c15:f>'W5'!$H$63</c15:f>
                    </c15:datalabelsRange>
                  </c:ext>
                  <c:ext xmlns:c16="http://schemas.microsoft.com/office/drawing/2014/chart" uri="{C3380CC4-5D6E-409C-BE32-E72D297353CC}">
                    <c16:uniqueId val="{0000000D-C8D5-4687-A9AE-744C99B4C136}"/>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'W5'!$D$54</c15:sqref>
                        </c15:formulaRef>
                      </c:ext>
                    </c:extLst>
                    <c:strCache>
                      <c:ptCount val="1"/>
                      <c:pt idx="0">
                        <c:v>Khấu hao</c:v>
                      </c:pt>
                    </c:strCache>
                  </c:strRef>
                </c:tx>
                <c:invertIfNegative val="0"/>
                <c:val>
                  <c:numRef>
                    <c:extLst>
                      <c:ext xmlns:c15="http://schemas.microsoft.com/office/drawing/2012/chart" uri="{02D57815-91ED-43cb-92C2-25804820EDAC}">
                        <c15:fullRef>
                          <c15:sqref>'W5'!$K$54:$L$54</c15:sqref>
                        </c15:fullRef>
                        <c15:formulaRef>
                          <c15:sqref>'W5'!$K$54</c15:sqref>
                        </c15:formulaRef>
                      </c:ext>
                    </c:extLst>
                    <c:numCache>
                      <c:formatCode>0.0%;\-0.0.%;</c:formatCode>
                      <c:ptCount val="1"/>
                      <c:pt idx="0" formatCode="#,##0_);\(#,##0\);;">
                        <c:v>75.221841779627511</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E-C8D5-4687-A9AE-744C99B4C136}"/>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'W5'!$D$55</c15:sqref>
                        </c15:formulaRef>
                      </c:ext>
                    </c:extLst>
                    <c:strCache>
                      <c:ptCount val="1"/>
                      <c:pt idx="0">
                        <c:v>Chi phí quản lý</c:v>
                      </c:pt>
                    </c:strCache>
                  </c:strRef>
                </c:tx>
                <c:invertIfNegative val="0"/>
                <c:val>
                  <c:numRef>
                    <c:extLst>
                      <c:ext xmlns:c15="http://schemas.microsoft.com/office/drawing/2012/chart" uri="{02D57815-91ED-43cb-92C2-25804820EDAC}">
                        <c15:fullRef>
                          <c15:sqref>'W5'!$K$55:$L$55</c15:sqref>
                        </c15:fullRef>
                        <c15:formulaRef>
                          <c15:sqref>'W5'!$K$55</c15:sqref>
                        </c15:formulaRef>
                      </c:ext>
                    </c:extLst>
                    <c:numCache>
                      <c:formatCode>0.0%;\-0.0.%;</c:formatCode>
                      <c:ptCount val="1"/>
                      <c:pt idx="0" formatCode="#,##0_);\(#,##0\);;">
                        <c:v>52.313830305772946</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0F-C8D5-4687-A9AE-744C99B4C136}"/>
                  </c:ext>
                </c:extLst>
              </c15:ser>
            </c15:filteredBarSeries>
            <c15:filteredBarSeries>
              <c15:ser>
                <c:idx val="4"/>
                <c:order val="7"/>
                <c:tx>
                  <c:strRef>
                    <c:extLst xmlns:c15="http://schemas.microsoft.com/office/drawing/2012/chart">
                      <c:ext xmlns:c15="http://schemas.microsoft.com/office/drawing/2012/chart" uri="{02D57815-91ED-43cb-92C2-25804820EDAC}">
                        <c15:formulaRef>
                          <c15:sqref>'W5'!$D$56</c15:sqref>
                        </c15:formulaRef>
                      </c:ext>
                    </c:extLst>
                    <c:strCache>
                      <c:ptCount val="1"/>
                      <c:pt idx="0">
                        <c:v>Chi phí gián tiếp</c:v>
                      </c:pt>
                    </c:strCache>
                  </c:strRef>
                </c:tx>
                <c:invertIfNegative val="0"/>
                <c:val>
                  <c:numRef>
                    <c:extLst>
                      <c:ext xmlns:c15="http://schemas.microsoft.com/office/drawing/2012/chart" uri="{02D57815-91ED-43cb-92C2-25804820EDAC}">
                        <c15:fullRef>
                          <c15:sqref>'W5'!$K$56:$L$56</c15:sqref>
                        </c15:fullRef>
                        <c15:formulaRef>
                          <c15:sqref>'W5'!$K$56</c15:sqref>
                        </c15:formulaRef>
                      </c:ext>
                    </c:extLst>
                    <c:numCache>
                      <c:formatCode>0.0%;\-0.0.%;</c:formatCode>
                      <c:ptCount val="1"/>
                      <c:pt idx="0" formatCode="#,##0_);\(#,##0\);;">
                        <c:v>52.924243679977039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0-C8D5-4687-A9AE-744C99B4C136}"/>
                  </c:ext>
                </c:extLst>
              </c15:ser>
            </c15:filteredBarSeries>
            <c15:filteredBarSeries>
              <c15:ser>
                <c:idx val="5"/>
                <c:order val="8"/>
                <c:tx>
                  <c:strRef>
                    <c:extLst xmlns:c15="http://schemas.microsoft.com/office/drawing/2012/chart">
                      <c:ext xmlns:c15="http://schemas.microsoft.com/office/drawing/2012/chart" uri="{02D57815-91ED-43cb-92C2-25804820EDAC}">
                        <c15:formulaRef>
                          <c15:sqref>'W5'!$D$57</c15:sqref>
                        </c15:formulaRef>
                      </c:ext>
                    </c:extLst>
                    <c:strCache>
                      <c:ptCount val="1"/>
                      <c:pt idx="0">
                        <c:v>Điện</c:v>
                      </c:pt>
                    </c:strCache>
                  </c:strRef>
                </c:tx>
                <c:invertIfNegative val="0"/>
                <c:val>
                  <c:numRef>
                    <c:extLst>
                      <c:ext xmlns:c15="http://schemas.microsoft.com/office/drawing/2012/chart" uri="{02D57815-91ED-43cb-92C2-25804820EDAC}">
                        <c15:fullRef>
                          <c15:sqref>'W5'!$K$57:$L$57</c15:sqref>
                        </c15:fullRef>
                        <c15:formulaRef>
                          <c15:sqref>'W5'!$K$57</c15:sqref>
                        </c15:formulaRef>
                      </c:ext>
                    </c:extLst>
                    <c:numCache>
                      <c:formatCode>0.0%;\-0.0.%;</c:formatCode>
                      <c:ptCount val="1"/>
                      <c:pt idx="0" formatCode="#,##0_);\(#,##0\);;">
                        <c:v>29.24017137096774</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1-C8D5-4687-A9AE-744C99B4C136}"/>
                  </c:ext>
                </c:extLst>
              </c15:ser>
            </c15:filteredBarSeries>
            <c15:filteredBarSeries>
              <c15:ser>
                <c:idx val="6"/>
                <c:order val="9"/>
                <c:tx>
                  <c:strRef>
                    <c:extLst xmlns:c15="http://schemas.microsoft.com/office/drawing/2012/chart">
                      <c:ext xmlns:c15="http://schemas.microsoft.com/office/drawing/2012/chart" uri="{02D57815-91ED-43cb-92C2-25804820EDAC}">
                        <c15:formulaRef>
                          <c15:sqref>'W5'!$D$58</c15:sqref>
                        </c15:formulaRef>
                      </c:ext>
                    </c:extLst>
                    <c:strCache>
                      <c:ptCount val="1"/>
                      <c:pt idx="0">
                        <c:v>Đóng gói</c:v>
                      </c:pt>
                    </c:strCache>
                  </c:strRef>
                </c:tx>
                <c:invertIfNegative val="0"/>
                <c:val>
                  <c:numRef>
                    <c:extLst>
                      <c:ext xmlns:c15="http://schemas.microsoft.com/office/drawing/2012/chart" uri="{02D57815-91ED-43cb-92C2-25804820EDAC}">
                        <c15:fullRef>
                          <c15:sqref>'W5'!$K$58:$L$58</c15:sqref>
                        </c15:fullRef>
                        <c15:formulaRef>
                          <c15:sqref>'W5'!$K$58</c15:sqref>
                        </c15:formulaRef>
                      </c:ext>
                    </c:extLst>
                    <c:numCache>
                      <c:formatCode>0.0%;\-0.0.%;</c:formatCode>
                      <c:ptCount val="1"/>
                      <c:pt idx="0" formatCode="#,##0_);\(#,##0\);;">
                        <c:v>4.958333333333333</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2-C8D5-4687-A9AE-744C99B4C136}"/>
                  </c:ext>
                </c:extLst>
              </c15:ser>
            </c15:filteredBarSeries>
            <c15:filteredBarSeries>
              <c15:ser>
                <c:idx val="7"/>
                <c:order val="10"/>
                <c:tx>
                  <c:strRef>
                    <c:extLst xmlns:c15="http://schemas.microsoft.com/office/drawing/2012/chart">
                      <c:ext xmlns:c15="http://schemas.microsoft.com/office/drawing/2012/chart" uri="{02D57815-91ED-43cb-92C2-25804820EDAC}">
                        <c15:formulaRef>
                          <c15:sqref>'W5'!$D$59</c15:sqref>
                        </c15:formulaRef>
                      </c:ext>
                    </c:extLst>
                    <c:strCache>
                      <c:ptCount val="1"/>
                      <c:pt idx="0">
                        <c:v>Hóa chất</c:v>
                      </c:pt>
                    </c:strCache>
                  </c:strRef>
                </c:tx>
                <c:invertIfNegative val="0"/>
                <c:val>
                  <c:numRef>
                    <c:extLst>
                      <c:ext xmlns:c15="http://schemas.microsoft.com/office/drawing/2012/chart" uri="{02D57815-91ED-43cb-92C2-25804820EDAC}">
                        <c15:fullRef>
                          <c15:sqref>'W5'!$K$59:$L$59</c15:sqref>
                        </c15:fullRef>
                        <c15:formulaRef>
                          <c15:sqref>'W5'!$K$59</c15:sqref>
                        </c15:formulaRef>
                      </c:ext>
                    </c:extLst>
                    <c:numCache>
                      <c:formatCode>0.0%;\-0.0.%;</c:formatCode>
                      <c:ptCount val="1"/>
                      <c:pt idx="0" formatCode="#,##0_);\(#,##0\);;">
                        <c:v>3.2161906451612912</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3-C8D5-4687-A9AE-744C99B4C136}"/>
                  </c:ext>
                </c:extLst>
              </c15:ser>
            </c15:filteredBarSeries>
            <c15:filteredBarSeries>
              <c15:ser>
                <c:idx val="8"/>
                <c:order val="11"/>
                <c:tx>
                  <c:strRef>
                    <c:extLst xmlns:c15="http://schemas.microsoft.com/office/drawing/2012/chart">
                      <c:ext xmlns:c15="http://schemas.microsoft.com/office/drawing/2012/chart" uri="{02D57815-91ED-43cb-92C2-25804820EDAC}">
                        <c15:formulaRef>
                          <c15:sqref>'W5'!$D$60</c15:sqref>
                        </c15:formulaRef>
                      </c:ext>
                    </c:extLst>
                    <c:strCache>
                      <c:ptCount val="1"/>
                      <c:pt idx="0">
                        <c:v>Nước</c:v>
                      </c:pt>
                    </c:strCache>
                  </c:strRef>
                </c:tx>
                <c:invertIfNegative val="0"/>
                <c:val>
                  <c:numRef>
                    <c:extLst>
                      <c:ext xmlns:c15="http://schemas.microsoft.com/office/drawing/2012/chart" uri="{02D57815-91ED-43cb-92C2-25804820EDAC}">
                        <c15:fullRef>
                          <c15:sqref>'W5'!$K$60:$L$60</c15:sqref>
                        </c15:fullRef>
                        <c15:formulaRef>
                          <c15:sqref>'W5'!$K$60</c15:sqref>
                        </c15:formulaRef>
                      </c:ext>
                    </c:extLst>
                    <c:numCache>
                      <c:formatCode>0.0%;\-0.0.%;</c:formatCode>
                      <c:ptCount val="1"/>
                      <c:pt idx="0" formatCode="#,##0_);\(#,##0\);;">
                        <c:v>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4-C8D5-4687-A9AE-744C99B4C136}"/>
                  </c:ext>
                </c:extLst>
              </c15:ser>
            </c15:filteredBarSeries>
            <c15:filteredBarSeries>
              <c15:ser>
                <c:idx val="9"/>
                <c:order val="12"/>
                <c:tx>
                  <c:strRef>
                    <c:extLst xmlns:c15="http://schemas.microsoft.com/office/drawing/2012/chart">
                      <c:ext xmlns:c15="http://schemas.microsoft.com/office/drawing/2012/chart" uri="{02D57815-91ED-43cb-92C2-25804820EDAC}">
                        <c15:formulaRef>
                          <c15:sqref>'W5'!$D$61</c15:sqref>
                        </c15:formulaRef>
                      </c:ext>
                    </c:extLst>
                    <c:strCache>
                      <c:ptCount val="1"/>
                      <c:pt idx="0">
                        <c:v>Giá thành</c:v>
                      </c:pt>
                    </c:strCache>
                  </c:strRef>
                </c:tx>
                <c:invertIfNegative val="0"/>
                <c:val>
                  <c:numRef>
                    <c:extLst>
                      <c:ext xmlns:c15="http://schemas.microsoft.com/office/drawing/2012/chart" uri="{02D57815-91ED-43cb-92C2-25804820EDAC}">
                        <c15:fullRef>
                          <c15:sqref>'W5'!$K$61:$L$61</c15:sqref>
                        </c15:fullRef>
                        <c15:formulaRef>
                          <c15:sqref>'W5'!$K$61</c15:sqref>
                        </c15:formulaRef>
                      </c:ext>
                    </c:extLst>
                    <c:numCache>
                      <c:formatCode>0.0%;\-0.0.%;</c:formatCode>
                      <c:ptCount val="1"/>
                      <c:pt idx="0" formatCode="#,##0_);\(#,##0\);;">
                        <c:v>643.79227770702119</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5-C8D5-4687-A9AE-744C99B4C136}"/>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'W5'!$D$64</c15:sqref>
                        </c15:formulaRef>
                      </c:ext>
                    </c:extLst>
                    <c:strCache>
                      <c:ptCount val="1"/>
                      <c:pt idx="0">
                        <c:v>Giá bán</c:v>
                      </c:pt>
                    </c:strCache>
                  </c:strRef>
                </c:tx>
                <c:invertIfNegative val="0"/>
                <c:val>
                  <c:numRef>
                    <c:extLst>
                      <c:ext xmlns:c15="http://schemas.microsoft.com/office/drawing/2012/chart" uri="{02D57815-91ED-43cb-92C2-25804820EDAC}">
                        <c15:fullRef>
                          <c15:sqref>'W5'!$K$64:$L$64</c15:sqref>
                        </c15:fullRef>
                        <c15:formulaRef>
                          <c15:sqref>'W5'!$K$64</c15:sqref>
                        </c15:formulaRef>
                      </c:ext>
                    </c:extLst>
                    <c:numCache>
                      <c:formatCode>0.0%;\-0.0.%;</c:formatCode>
                      <c:ptCount val="1"/>
                      <c:pt idx="0" formatCode="#,##0_);\(#,##0\);;">
                        <c:v>680</c:v>
                      </c:pt>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6-C8D5-4687-A9AE-744C99B4C136}"/>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'W5'!$D$65</c15:sqref>
                        </c15:formulaRef>
                      </c:ext>
                    </c:extLst>
                    <c:strCache>
                      <c:ptCount val="1"/>
                      <c:pt idx="0">
                        <c:v>% Lãi gộp nguyên liệu/Giá bán</c:v>
                      </c:pt>
                    </c:strCache>
                  </c:strRef>
                </c:tx>
                <c:invertIfNegative val="0"/>
                <c:val>
                  <c:numRef>
                    <c:extLst>
                      <c:ext xmlns:c15="http://schemas.microsoft.com/office/drawing/2012/chart" uri="{02D57815-91ED-43cb-92C2-25804820EDAC}">
                        <c15:fullRef>
                          <c15:sqref>'W5'!$K$65:$L$65</c15:sqref>
                        </c15:fullRef>
                        <c15:formulaRef>
                          <c15:sqref>'W5'!$K$65</c15:sqref>
                        </c15:formulaRef>
                      </c:ext>
                    </c:extLst>
                    <c:numCache>
                      <c:formatCode>0.0%;\-0.0.%;</c:formatCode>
                      <c:ptCount val="1"/>
                    </c:numCache>
                  </c:numRef>
                </c:val>
                <c:extLst xmlns:c15="http://schemas.microsoft.com/office/drawing/2012/chart">
                  <c:ext xmlns:c15="http://schemas.microsoft.com/office/drawing/2012/chart" uri="{02D57815-91ED-43cb-92C2-25804820EDAC}">
                    <c15:filteredCategoryTitle>
                      <c15:cat>
                        <c:strRef>
                          <c:extLst>
                            <c:ext uri="{02D57815-91ED-43cb-92C2-25804820EDAC}">
                              <c15:formulaRef>
                                <c15:sqref>'W5'!$K$48:$L$48</c15:sqref>
                              </c15:formulaRef>
                            </c:ext>
                          </c:extLst>
                          <c:strCache>
                            <c:ptCount val="1"/>
                            <c:pt idx="0">
                              <c:v>Chi phí
VNĐ / Phôi</c:v>
                            </c:pt>
                          </c:strCache>
                        </c:strRef>
                      </c15:cat>
                    </c15:filteredCategoryTitle>
                  </c:ext>
                  <c:ext xmlns:c16="http://schemas.microsoft.com/office/drawing/2014/chart" uri="{C3380CC4-5D6E-409C-BE32-E72D297353CC}">
                    <c16:uniqueId val="{00000017-C8D5-4687-A9AE-744C99B4C136}"/>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500" b="1" i="0" u="none" strike="noStrike" kern="1200" spc="0" baseline="0">
                <a:solidFill>
                  <a:srgbClr val="0070C0"/>
                </a:solidFill>
                <a:latin typeface="+mn-lt"/>
                <a:ea typeface="+mn-ea"/>
                <a:cs typeface="+mn-cs"/>
              </a:defRPr>
            </a:pPr>
            <a:r>
              <a:rPr lang="en-US"/>
              <a:t>GIÁ BÁN</a:t>
            </a:r>
          </a:p>
        </c:rich>
      </c:tx>
      <c:layout>
        <c:manualLayout>
          <c:xMode val="edge"/>
          <c:yMode val="edge"/>
          <c:x val="1.368489042222828E-2"/>
          <c:y val="3.4658494634642691E-2"/>
        </c:manualLayout>
      </c:layout>
      <c:overlay val="0"/>
      <c:spPr>
        <a:noFill/>
        <a:ln>
          <a:noFill/>
        </a:ln>
        <a:effectLst/>
      </c:spPr>
    </c:title>
    <c:autoTitleDeleted val="0"/>
    <c:plotArea>
      <c:layout>
        <c:manualLayout>
          <c:layoutTarget val="inner"/>
          <c:xMode val="edge"/>
          <c:yMode val="edge"/>
          <c:x val="0.38450801484278091"/>
          <c:y val="0.11768492194024109"/>
          <c:w val="0.61549198515721915"/>
          <c:h val="0.88231507805975895"/>
        </c:manualLayout>
      </c:layout>
      <c:barChart>
        <c:barDir val="col"/>
        <c:grouping val="stacked"/>
        <c:varyColors val="0"/>
        <c:ser>
          <c:idx val="0"/>
          <c:order val="0"/>
          <c:tx>
            <c:strRef>
              <c:f>'W5'!$D$71</c:f>
              <c:strCache>
                <c:ptCount val="1"/>
                <c:pt idx="0">
                  <c:v>Chi phí nguyên vật liệu</c:v>
                </c:pt>
              </c:strCache>
            </c:strRef>
          </c:tx>
          <c:spPr>
            <a:solidFill>
              <a:srgbClr val="0F9ED5">
                <a:lumMod val="60000"/>
                <a:lumOff val="40000"/>
              </a:srgbClr>
            </a:solidFill>
            <a:ln>
              <a:noFill/>
            </a:ln>
            <a:effectLst/>
          </c:spPr>
          <c:invertIfNegative val="0"/>
          <c:dLbls>
            <c:dLbl>
              <c:idx val="0"/>
              <c:tx>
                <c:rich>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fld id="{7F42FE27-8969-4414-89C4-03C08D403931}" type="CELLRANGE">
                      <a:rPr lang="en-US" baseline="0"/>
                      <a:pPr>
                        <a:defRPr sz="1300" b="0" i="0" u="none" strike="noStrike" kern="1200" baseline="0">
                          <a:solidFill>
                            <a:schemeClr val="tx1">
                              <a:lumMod val="75000"/>
                              <a:lumOff val="25000"/>
                            </a:schemeClr>
                          </a:solidFill>
                          <a:latin typeface="+mn-lt"/>
                          <a:ea typeface="+mn-ea"/>
                          <a:cs typeface="+mn-cs"/>
                        </a:defRPr>
                      </a:pPr>
                      <a:t>[CELLRANGE]</a:t>
                    </a:fld>
                    <a:r>
                      <a:rPr lang="en-US" baseline="0"/>
                      <a:t>, </a:t>
                    </a:r>
                    <a:fld id="{D9B067B4-B591-433D-B794-2FDBFAD1774D}" type="SERIESNAME">
                      <a:rPr lang="en-US" baseline="0"/>
                      <a:pPr>
                        <a:defRPr sz="1300" b="0" i="0" u="none" strike="noStrike" kern="1200" baseline="0">
                          <a:solidFill>
                            <a:schemeClr val="tx1">
                              <a:lumMod val="75000"/>
                              <a:lumOff val="25000"/>
                            </a:schemeClr>
                          </a:solidFill>
                          <a:latin typeface="+mn-lt"/>
                          <a:ea typeface="+mn-ea"/>
                          <a:cs typeface="+mn-cs"/>
                        </a:defRPr>
                      </a:pPr>
                      <a:t>[SERIES NAME]</a:t>
                    </a:fld>
                    <a:r>
                      <a:rPr lang="en-US" baseline="0"/>
                      <a:t>, </a:t>
                    </a:r>
                    <a:fld id="{3C791D42-3FDA-4B2D-AC02-496789E1A6BB}" type="VALUE">
                      <a:rPr lang="en-US" baseline="0"/>
                      <a:pPr>
                        <a:defRPr sz="13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37972787174431877"/>
                      <c:h val="0.34112080723744947"/>
                    </c:manualLayout>
                  </c15:layout>
                  <c15:dlblFieldTable/>
                  <c15:showDataLabelsRange val="1"/>
                </c:ext>
                <c:ext xmlns:c16="http://schemas.microsoft.com/office/drawing/2014/chart" uri="{C3380CC4-5D6E-409C-BE32-E72D297353CC}">
                  <c16:uniqueId val="{00000000-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'W5'!$K$71:$L$71</c15:sqref>
                  </c15:fullRef>
                </c:ext>
              </c:extLst>
              <c:f>'W5'!$K$71</c:f>
              <c:numCache>
                <c:formatCode>0.0%;\-0.0.%;</c:formatCode>
                <c:ptCount val="1"/>
                <c:pt idx="0" formatCode="#,##0_);\(#,##0\);;">
                  <c:v>979.2</c:v>
                </c:pt>
              </c:numCache>
            </c:numRef>
          </c:val>
          <c:extLst>
            <c:ext xmlns:c15="http://schemas.microsoft.com/office/drawing/2012/chart" uri="{02D57815-91ED-43cb-92C2-25804820EDAC}">
              <c15:datalabelsRange>
                <c15:f>'W5'!$L$71</c15:f>
                <c15:dlblRangeCache>
                  <c:ptCount val="1"/>
                  <c:pt idx="0">
                    <c:v>56.2%</c:v>
                  </c:pt>
                </c15:dlblRangeCache>
              </c15:datalabelsRange>
            </c:ext>
            <c:ext xmlns:c16="http://schemas.microsoft.com/office/drawing/2014/chart" uri="{C3380CC4-5D6E-409C-BE32-E72D297353CC}">
              <c16:uniqueId val="{00000001-22D5-4C8E-9BB2-045B2FBEA940}"/>
            </c:ext>
          </c:extLst>
        </c:ser>
        <c:ser>
          <c:idx val="10"/>
          <c:order val="2"/>
          <c:tx>
            <c:strRef>
              <c:f>'W5'!$D$73</c:f>
              <c:strCache>
                <c:ptCount val="1"/>
                <c:pt idx="0">
                  <c:v>Hao hụt về tiền</c:v>
                </c:pt>
              </c:strCache>
            </c:strRef>
          </c:tx>
          <c:spPr>
            <a:solidFill>
              <a:srgbClr val="FFC000"/>
            </a:solidFill>
          </c:spPr>
          <c:invertIfNegative val="0"/>
          <c:dPt>
            <c:idx val="0"/>
            <c:invertIfNegative val="0"/>
            <c:bubble3D val="0"/>
            <c:extLst>
              <c:ext xmlns:c16="http://schemas.microsoft.com/office/drawing/2014/chart" uri="{C3380CC4-5D6E-409C-BE32-E72D297353CC}">
                <c16:uniqueId val="{00000002-22D5-4C8E-9BB2-045B2FBEA940}"/>
              </c:ext>
            </c:extLst>
          </c:dPt>
          <c:dLbls>
            <c:dLbl>
              <c:idx val="0"/>
              <c:layout>
                <c:manualLayout>
                  <c:x val="-9.1416791105074242E-3"/>
                  <c:y val="-1.0227993284335027E-2"/>
                </c:manualLayout>
              </c:layout>
              <c:tx>
                <c:rich>
                  <a:bodyPr wrap="square" lIns="38100" tIns="19050" rIns="38100" bIns="19050" anchor="ctr">
                    <a:noAutofit/>
                  </a:bodyPr>
                  <a:lstStyle/>
                  <a:p>
                    <a:pPr>
                      <a:defRPr sz="1100"/>
                    </a:pPr>
                    <a:fld id="{2744D051-81A8-45A1-B4C2-397C385385FD}" type="CELLRANGE">
                      <a:rPr lang="en-US" sz="1100" baseline="0"/>
                      <a:pPr>
                        <a:defRPr sz="1100"/>
                      </a:pPr>
                      <a:t>[CELLRANGE]</a:t>
                    </a:fld>
                    <a:r>
                      <a:rPr lang="en-US" sz="1100" baseline="0"/>
                      <a:t>, </a:t>
                    </a:r>
                    <a:fld id="{F1F73DCB-7808-4990-9BE2-AFB3C853E6BA}" type="SERIESNAME">
                      <a:rPr lang="en-US" sz="1100" baseline="0"/>
                      <a:pPr>
                        <a:defRPr sz="1100"/>
                      </a:pPr>
                      <a:t>[SERIES NAME]</a:t>
                    </a:fld>
                    <a:r>
                      <a:rPr lang="en-US" sz="1100" baseline="0"/>
                      <a:t>, </a:t>
                    </a:r>
                    <a:fld id="{407B8964-0C6D-467C-BD65-3DB21AABEF71}" type="VALUE">
                      <a:rPr lang="en-US" sz="1100" baseline="0"/>
                      <a:pPr>
                        <a:defRPr sz="1100"/>
                      </a:pPr>
                      <a:t>[VALUE]</a:t>
                    </a:fld>
                    <a:endParaRPr lang="en-US" sz="11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33560579640041"/>
                      <c:h val="0.13158928994244865"/>
                    </c:manualLayout>
                  </c15:layout>
                  <c15:dlblFieldTable/>
                  <c15:showDataLabelsRange val="1"/>
                </c:ext>
                <c:ext xmlns:c16="http://schemas.microsoft.com/office/drawing/2014/chart" uri="{C3380CC4-5D6E-409C-BE32-E72D297353CC}">
                  <c16:uniqueId val="{00000002-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'W5'!$K$73:$L$73</c15:sqref>
                  </c15:fullRef>
                </c:ext>
              </c:extLst>
              <c:f>'W5'!$K$73</c:f>
              <c:numCache>
                <c:formatCode>0.0%;\-0.0.%;</c:formatCode>
                <c:ptCount val="1"/>
                <c:pt idx="0" formatCode="#,##0_);\(#,##0\);;">
                  <c:v>73.703225806451741</c:v>
                </c:pt>
              </c:numCache>
            </c:numRef>
          </c:val>
          <c:extLst>
            <c:ext xmlns:c15="http://schemas.microsoft.com/office/drawing/2012/chart" uri="{02D57815-91ED-43cb-92C2-25804820EDAC}">
              <c15:datalabelsRange>
                <c15:f>'W5'!$L$73</c15:f>
                <c15:dlblRangeCache>
                  <c:ptCount val="1"/>
                  <c:pt idx="0">
                    <c:v>4.2%</c:v>
                  </c:pt>
                </c15:dlblRangeCache>
              </c15:datalabelsRange>
            </c:ext>
            <c:ext xmlns:c16="http://schemas.microsoft.com/office/drawing/2014/chart" uri="{C3380CC4-5D6E-409C-BE32-E72D297353CC}">
              <c16:uniqueId val="{00000003-22D5-4C8E-9BB2-045B2FBEA940}"/>
            </c:ext>
          </c:extLst>
        </c:ser>
        <c:ser>
          <c:idx val="9"/>
          <c:order val="3"/>
          <c:tx>
            <c:strRef>
              <c:f>'W5'!$D$74</c:f>
              <c:strCache>
                <c:ptCount val="1"/>
                <c:pt idx="0">
                  <c:v>Chi phí biến đổi</c:v>
                </c:pt>
              </c:strCache>
            </c:strRef>
          </c:tx>
          <c:spPr>
            <a:solidFill>
              <a:srgbClr val="E8E8E8">
                <a:lumMod val="90000"/>
              </a:srgbClr>
            </a:solidFill>
          </c:spPr>
          <c:invertIfNegative val="0"/>
          <c:dLbls>
            <c:dLbl>
              <c:idx val="0"/>
              <c:tx>
                <c:rich>
                  <a:bodyPr wrap="square" lIns="38100" tIns="19050" rIns="38100" bIns="19050" anchor="ctr">
                    <a:noAutofit/>
                  </a:bodyPr>
                  <a:lstStyle/>
                  <a:p>
                    <a:pPr>
                      <a:defRPr sz="1300"/>
                    </a:pPr>
                    <a:fld id="{805D44DB-293A-42C0-A8BC-EF0C6A1ACE4C}" type="CELLRANGE">
                      <a:rPr lang="en-US" sz="1300" baseline="0"/>
                      <a:pPr>
                        <a:defRPr sz="1300"/>
                      </a:pPr>
                      <a:t>[CELLRANGE]</a:t>
                    </a:fld>
                    <a:r>
                      <a:rPr lang="en-US" sz="1300" baseline="0"/>
                      <a:t>, </a:t>
                    </a:r>
                    <a:fld id="{03CE2BCF-5AB7-4B56-A2AB-AB724995F97D}" type="SERIESNAME">
                      <a:rPr lang="en-US" sz="1300" baseline="0"/>
                      <a:pPr>
                        <a:defRPr sz="1300"/>
                      </a:pPr>
                      <a:t>[SERIES NAME]</a:t>
                    </a:fld>
                    <a:r>
                      <a:rPr lang="en-US" sz="1300" baseline="0"/>
                      <a:t>, </a:t>
                    </a:r>
                    <a:fld id="{71DF4C9F-612E-43FB-A0A6-385312F05571}" type="VALUE">
                      <a:rPr lang="en-US" sz="1300" baseline="0"/>
                      <a:pPr>
                        <a:defRPr sz="1300"/>
                      </a:pPr>
                      <a:t>[VALUE]</a:t>
                    </a:fld>
                    <a:endParaRPr lang="en-US" sz="1300" baseline="0"/>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8413242046109337"/>
                      <c:h val="0.15551881304325182"/>
                    </c:manualLayout>
                  </c15:layout>
                  <c15:dlblFieldTable/>
                  <c15:showDataLabelsRange val="1"/>
                </c:ext>
                <c:ext xmlns:c16="http://schemas.microsoft.com/office/drawing/2014/chart" uri="{C3380CC4-5D6E-409C-BE32-E72D297353CC}">
                  <c16:uniqueId val="{00000004-22D5-4C8E-9BB2-045B2FBEA940}"/>
                </c:ext>
              </c:extLst>
            </c:dLbl>
            <c:spPr>
              <a:noFill/>
              <a:ln>
                <a:noFill/>
              </a:ln>
              <a:effectLst/>
            </c:spPr>
            <c:txPr>
              <a:bodyPr wrap="square" lIns="38100" tIns="19050" rIns="38100" bIns="19050" anchor="ctr">
                <a:spAutoFit/>
              </a:bodyPr>
              <a:lstStyle/>
              <a:p>
                <a:pPr>
                  <a:defRPr sz="1300"/>
                </a:pPr>
                <a:endParaRPr lang="en-US"/>
              </a:p>
            </c:tx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'W5'!$K$74:$L$74</c15:sqref>
                  </c15:fullRef>
                </c:ext>
              </c:extLst>
              <c:f>'W5'!$K$74</c:f>
              <c:numCache>
                <c:formatCode>0.0%;\-0.0.%;</c:formatCode>
                <c:ptCount val="1"/>
                <c:pt idx="0" formatCode="#,##0_);\(#,##0\);;">
                  <c:v>597.84620421155114</c:v>
                </c:pt>
              </c:numCache>
            </c:numRef>
          </c:val>
          <c:extLst>
            <c:ext xmlns:c15="http://schemas.microsoft.com/office/drawing/2012/chart" uri="{02D57815-91ED-43cb-92C2-25804820EDAC}">
              <c15:datalabelsRange>
                <c15:f>'W5'!$L$74</c15:f>
                <c15:dlblRangeCache>
                  <c:ptCount val="1"/>
                  <c:pt idx="0">
                    <c:v>34.3%</c:v>
                  </c:pt>
                </c15:dlblRangeCache>
              </c15:datalabelsRange>
            </c:ext>
            <c:ext xmlns:c16="http://schemas.microsoft.com/office/drawing/2014/chart" uri="{C3380CC4-5D6E-409C-BE32-E72D297353CC}">
              <c16:uniqueId val="{00000005-22D5-4C8E-9BB2-045B2FBEA940}"/>
            </c:ext>
          </c:extLst>
        </c:ser>
        <c:ser>
          <c:idx val="13"/>
          <c:order val="13"/>
          <c:tx>
            <c:strRef>
              <c:f>'W5'!$D$84</c:f>
              <c:strCache>
                <c:ptCount val="1"/>
                <c:pt idx="0">
                  <c:v>Thuế thu nhập</c:v>
                </c:pt>
              </c:strCache>
            </c:strRef>
          </c:tx>
          <c:spPr>
            <a:solidFill>
              <a:srgbClr val="FFFF00"/>
            </a:solidFill>
          </c:spPr>
          <c:invertIfNegative val="0"/>
          <c:dLbls>
            <c:dLbl>
              <c:idx val="0"/>
              <c:tx>
                <c:rich>
                  <a:bodyPr/>
                  <a:lstStyle/>
                  <a:p>
                    <a:fld id="{9D1964C2-EC16-41E9-9486-31C3686BCACA}" type="CELLRANGE">
                      <a:rPr lang="en-US" baseline="0"/>
                      <a:pPr/>
                      <a:t>[CELLRANGE]</a:t>
                    </a:fld>
                    <a:r>
                      <a:rPr lang="en-US" baseline="0"/>
                      <a:t>, </a:t>
                    </a:r>
                    <a:fld id="{70071DB9-2478-4CF8-888D-B9976F25EB83}" type="SERIESNAME">
                      <a:rPr lang="en-US" baseline="0"/>
                      <a:pPr/>
                      <a:t>[SERIES NAME]</a:t>
                    </a:fld>
                    <a:r>
                      <a:rPr lang="en-US" baseline="0"/>
                      <a:t>, </a:t>
                    </a:r>
                    <a:fld id="{4E88FD14-DE8A-4F14-AEA5-2359A7BC6810}"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32804915488055891"/>
                      <c:h val="0.13506255801979156"/>
                    </c:manualLayout>
                  </c15:layout>
                  <c15:dlblFieldTable/>
                  <c15:showDataLabelsRange val="1"/>
                </c:ext>
                <c:ext xmlns:c16="http://schemas.microsoft.com/office/drawing/2014/chart" uri="{C3380CC4-5D6E-409C-BE32-E72D297353CC}">
                  <c16:uniqueId val="{00000006-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1"/>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'W5'!$K$84:$L$84</c15:sqref>
                  </c15:fullRef>
                </c:ext>
              </c:extLst>
              <c:f>'W5'!$K$84</c:f>
              <c:numCache>
                <c:formatCode>0.0%;\-0.0.%;</c:formatCode>
                <c:ptCount val="1"/>
                <c:pt idx="0" formatCode="#,##0_);\(#,##0\);;">
                  <c:v>18.568062714348162</c:v>
                </c:pt>
              </c:numCache>
            </c:numRef>
          </c:val>
          <c:extLst>
            <c:ext xmlns:c15="http://schemas.microsoft.com/office/drawing/2012/chart" uri="{02D57815-91ED-43cb-92C2-25804820EDAC}">
              <c15:datalabelsRange>
                <c15:f>'W5'!$L$84</c15:f>
                <c15:dlblRangeCache>
                  <c:ptCount val="1"/>
                  <c:pt idx="0">
                    <c:v>1.1%</c:v>
                  </c:pt>
                </c15:dlblRangeCache>
              </c15:datalabelsRange>
            </c:ext>
            <c:ext xmlns:c16="http://schemas.microsoft.com/office/drawing/2014/chart" uri="{C3380CC4-5D6E-409C-BE32-E72D297353CC}">
              <c16:uniqueId val="{00000007-22D5-4C8E-9BB2-045B2FBEA940}"/>
            </c:ext>
          </c:extLst>
        </c:ser>
        <c:ser>
          <c:idx val="14"/>
          <c:order val="14"/>
          <c:tx>
            <c:strRef>
              <c:f>'W5'!$D$85</c:f>
              <c:strCache>
                <c:ptCount val="1"/>
                <c:pt idx="0">
                  <c:v>Lợi nhuận</c:v>
                </c:pt>
              </c:strCache>
            </c:strRef>
          </c:tx>
          <c:invertIfNegative val="0"/>
          <c:dPt>
            <c:idx val="0"/>
            <c:invertIfNegative val="0"/>
            <c:bubble3D val="0"/>
            <c:spPr>
              <a:solidFill>
                <a:srgbClr val="92D050"/>
              </a:solidFill>
            </c:spPr>
            <c:extLst>
              <c:ext xmlns:c16="http://schemas.microsoft.com/office/drawing/2014/chart" uri="{C3380CC4-5D6E-409C-BE32-E72D297353CC}">
                <c16:uniqueId val="{00000009-22D5-4C8E-9BB2-045B2FBEA940}"/>
              </c:ext>
            </c:extLst>
          </c:dPt>
          <c:dLbls>
            <c:dLbl>
              <c:idx val="0"/>
              <c:layout>
                <c:manualLayout>
                  <c:x val="3.8751361804265135E-3"/>
                  <c:y val="-5.4550147623289233E-2"/>
                </c:manualLayout>
              </c:layout>
              <c:tx>
                <c:rich>
                  <a:bodyPr wrap="square" lIns="38100" tIns="19050" rIns="38100" bIns="19050" anchor="ctr">
                    <a:noAutofit/>
                  </a:bodyPr>
                  <a:lstStyle/>
                  <a:p>
                    <a:pPr>
                      <a:defRPr sz="1300" b="1">
                        <a:solidFill>
                          <a:srgbClr val="FF0000"/>
                        </a:solidFill>
                      </a:defRPr>
                    </a:pPr>
                    <a:fld id="{6834DDA7-BB21-4988-B146-DD879C81767E}" type="CELLRANGE">
                      <a:rPr lang="en-US" sz="1300" b="1" baseline="0">
                        <a:solidFill>
                          <a:srgbClr val="FF0000"/>
                        </a:solidFill>
                      </a:rPr>
                      <a:pPr>
                        <a:defRPr sz="1300" b="1">
                          <a:solidFill>
                            <a:srgbClr val="FF0000"/>
                          </a:solidFill>
                        </a:defRPr>
                      </a:pPr>
                      <a:t>[CELLRANGE]</a:t>
                    </a:fld>
                    <a:r>
                      <a:rPr lang="en-US" sz="1300" b="1" baseline="0">
                        <a:solidFill>
                          <a:srgbClr val="FF0000"/>
                        </a:solidFill>
                      </a:rPr>
                      <a:t>, </a:t>
                    </a:r>
                    <a:fld id="{0088BDEF-4C50-45CF-AB8A-6A70DAE1381C}"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D9ED5610-3C2E-44D4-A1B5-98F5B2CBCA53}"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c:ext xmlns:c15="http://schemas.microsoft.com/office/drawing/2012/chart" uri="{CE6537A1-D6FC-4f65-9D91-7224C49458BB}">
                  <c15:layout>
                    <c:manualLayout>
                      <c:w val="0.54374995276199278"/>
                      <c:h val="6.9824017146744355E-2"/>
                    </c:manualLayout>
                  </c15:layout>
                  <c15:dlblFieldTable/>
                  <c15:showDataLabelsRange val="1"/>
                </c:ext>
                <c:ext xmlns:c16="http://schemas.microsoft.com/office/drawing/2014/chart" uri="{C3380CC4-5D6E-409C-BE32-E72D297353CC}">
                  <c16:uniqueId val="{00000009-22D5-4C8E-9BB2-045B2FBEA940}"/>
                </c:ext>
              </c:extLst>
            </c:dLbl>
            <c:spPr>
              <a:noFill/>
              <a:ln>
                <a:noFill/>
              </a:ln>
              <a:effectLst/>
            </c:spPr>
            <c:showLegendKey val="0"/>
            <c:showVal val="1"/>
            <c:showCatName val="0"/>
            <c:showSerName val="1"/>
            <c:showPercent val="0"/>
            <c:showBubbleSize val="0"/>
            <c:showLeaderLines val="0"/>
            <c:extLs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ext>
              </c:extLst>
              <c:f>'W5'!$K$70</c:f>
              <c:strCache>
                <c:ptCount val="1"/>
                <c:pt idx="0">
                  <c:v>Chi phí
USD/tấn</c:v>
                </c:pt>
              </c:strCache>
            </c:strRef>
          </c:cat>
          <c:val>
            <c:numRef>
              <c:extLst>
                <c:ext xmlns:c15="http://schemas.microsoft.com/office/drawing/2012/chart" uri="{02D57815-91ED-43cb-92C2-25804820EDAC}">
                  <c15:fullRef>
                    <c15:sqref>'W5'!$K$85:$L$85</c15:sqref>
                  </c15:fullRef>
                </c:ext>
              </c:extLst>
              <c:f>'W5'!$K$85</c:f>
              <c:numCache>
                <c:formatCode>0.0%;\-0.0.%;</c:formatCode>
                <c:ptCount val="1"/>
                <c:pt idx="0" formatCode="#,##0_);\(#,##0\);;">
                  <c:v>74.272250857392649</c:v>
                </c:pt>
              </c:numCache>
            </c:numRef>
          </c:val>
          <c:extLst>
            <c:ext xmlns:c15="http://schemas.microsoft.com/office/drawing/2012/chart" uri="{02D57815-91ED-43cb-92C2-25804820EDAC}">
              <c15:datalabelsRange>
                <c15:f>'W5'!$L$85</c15:f>
                <c15:dlblRangeCache>
                  <c:ptCount val="1"/>
                  <c:pt idx="0">
                    <c:v>4.3%</c:v>
                  </c:pt>
                </c15:dlblRangeCache>
              </c15:datalabelsRange>
            </c:ext>
            <c:ext xmlns:c16="http://schemas.microsoft.com/office/drawing/2014/chart" uri="{C3380CC4-5D6E-409C-BE32-E72D297353CC}">
              <c16:uniqueId val="{0000000A-22D5-4C8E-9BB2-045B2FBEA940}"/>
            </c:ext>
          </c:extLst>
        </c:ser>
        <c:dLbls>
          <c:showLegendKey val="0"/>
          <c:showVal val="0"/>
          <c:showCatName val="0"/>
          <c:showSerName val="0"/>
          <c:showPercent val="0"/>
          <c:showBubbleSize val="0"/>
        </c:dLbls>
        <c:gapWidth val="50"/>
        <c:overlap val="100"/>
        <c:axId val="336187152"/>
        <c:axId val="336190512"/>
        <c:extLst>
          <c:ext xmlns:c15="http://schemas.microsoft.com/office/drawing/2012/chart" uri="{02D57815-91ED-43cb-92C2-25804820EDAC}">
            <c15:filteredBarSeries>
              <c15:ser>
                <c:idx val="11"/>
                <c:order val="1"/>
                <c:tx>
                  <c:strRef>
                    <c:extLst>
                      <c:ext uri="{02D57815-91ED-43cb-92C2-25804820EDAC}">
                        <c15:formulaRef>
                          <c15:sqref>'W5'!$D$72</c15:sqref>
                        </c15:formulaRef>
                      </c:ext>
                    </c:extLst>
                    <c:strCache>
                      <c:ptCount val="1"/>
                      <c:pt idx="0">
                        <c:v>Vảy sạch</c:v>
                      </c:pt>
                    </c:strCache>
                  </c:strRef>
                </c:tx>
                <c:spPr>
                  <a:solidFill>
                    <a:srgbClr val="FFC000"/>
                  </a:solidFill>
                  <a:ln>
                    <a:noFill/>
                  </a:ln>
                  <a:effectLst/>
                </c:spPr>
                <c:invertIfNegative val="0"/>
                <c:dLbls>
                  <c:dLbl>
                    <c:idx val="0"/>
                    <c:layout>
                      <c:manualLayout>
                        <c:x val="4.7466549192491008E-3"/>
                        <c:y val="-1.763076835519423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6A97116D-E81D-4B84-8E93-0E5C0328B73B}" type="SERIESNAME">
                            <a:rPr lang="en-US" sz="1000" baseline="0"/>
                            <a:pPr>
                              <a:defRPr sz="1000" b="0" i="0" u="none" strike="noStrike" kern="1200" baseline="0">
                                <a:solidFill>
                                  <a:schemeClr val="tx1">
                                    <a:lumMod val="75000"/>
                                    <a:lumOff val="25000"/>
                                  </a:schemeClr>
                                </a:solidFill>
                                <a:latin typeface="+mn-lt"/>
                                <a:ea typeface="+mn-ea"/>
                                <a:cs typeface="+mn-cs"/>
                              </a:defRPr>
                            </a:pPr>
                            <a:t>[SERIES NAME]</a:t>
                          </a:fld>
                          <a:r>
                            <a:rPr lang="en-US" sz="1000" baseline="0"/>
                            <a:t>, </a:t>
                          </a:r>
                          <a:fld id="{FACD5E46-039E-4B54-BE6B-63B2D107525C}" type="VALUE">
                            <a:rPr lang="en-US" sz="1000" baseline="0"/>
                            <a:pPr>
                              <a:defRPr sz="1000" b="0" i="0" u="none" strike="noStrike" kern="1200" baseline="0">
                                <a:solidFill>
                                  <a:schemeClr val="tx1">
                                    <a:lumMod val="75000"/>
                                    <a:lumOff val="25000"/>
                                  </a:schemeClr>
                                </a:solidFill>
                                <a:latin typeface="+mn-lt"/>
                                <a:ea typeface="+mn-ea"/>
                                <a:cs typeface="+mn-cs"/>
                              </a:defRPr>
                            </a:pPr>
                            <a:t>[VALUE]</a:t>
                          </a:fld>
                          <a:endParaRPr lang="en-US" sz="1000" baseline="0"/>
                        </a:p>
                      </c:rich>
                    </c:tx>
                    <c:spPr>
                      <a:noFill/>
                      <a:ln>
                        <a:noFill/>
                      </a:ln>
                      <a:effectLst/>
                    </c:spPr>
                    <c:showLegendKey val="0"/>
                    <c:showVal val="1"/>
                    <c:showCatName val="0"/>
                    <c:showSerName val="1"/>
                    <c:showPercent val="0"/>
                    <c:showBubbleSize val="0"/>
                    <c:extLst>
                      <c:ext uri="{CE6537A1-D6FC-4f65-9D91-7224C49458BB}">
                        <c15:layout>
                          <c:manualLayout>
                            <c:w val="0.58763670164825144"/>
                            <c:h val="0.13956497786285021"/>
                          </c:manualLayout>
                        </c15:layout>
                        <c15:dlblFieldTable/>
                        <c15:showDataLabelsRange val="1"/>
                      </c:ext>
                      <c:ext xmlns:c16="http://schemas.microsoft.com/office/drawing/2014/chart" uri="{C3380CC4-5D6E-409C-BE32-E72D297353CC}">
                        <c16:uniqueId val="{0000000B-22D5-4C8E-9BB2-045B2FBEA940}"/>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'W5'!$K$70:$L$70</c15:sqref>
                        </c15:fullRef>
                        <c15:formulaRef>
                          <c15:sqref>'W5'!$K$70</c15:sqref>
                        </c15:formulaRef>
                      </c:ext>
                    </c:extLst>
                    <c:strCache>
                      <c:ptCount val="1"/>
                      <c:pt idx="0">
                        <c:v>Chi phí
USD/tấn</c:v>
                      </c:pt>
                    </c:strCache>
                  </c:strRef>
                </c:cat>
                <c:val>
                  <c:numRef>
                    <c:extLst>
                      <c:ext uri="{02D57815-91ED-43cb-92C2-25804820EDAC}">
                        <c15:fullRef>
                          <c15:sqref>'W5'!$K$72:$L$72</c15:sqref>
                        </c15:fullRef>
                        <c15:formulaRef>
                          <c15:sqref>'W5'!$K$72</c15:sqref>
                        </c15:formulaRef>
                      </c:ext>
                    </c:extLst>
                    <c:numCache>
                      <c:formatCode>0.0%;\-0.0.%;</c:formatCode>
                      <c:ptCount val="1"/>
                      <c:pt idx="0" formatCode="#,##0_);\(#,##0\);;">
                        <c:v>979.2</c:v>
                      </c:pt>
                    </c:numCache>
                  </c:numRef>
                </c:val>
                <c:extLst>
                  <c:ext uri="{02D57815-91ED-43cb-92C2-25804820EDAC}">
                    <c15:datalabelsRange>
                      <c15:f>'W5'!$J$73</c15:f>
                    </c15:datalabelsRange>
                  </c:ext>
                  <c:ext xmlns:c16="http://schemas.microsoft.com/office/drawing/2014/chart" uri="{C3380CC4-5D6E-409C-BE32-E72D297353CC}">
                    <c16:uniqueId val="{0000000C-22D5-4C8E-9BB2-045B2FBEA940}"/>
                  </c:ext>
                </c:extLst>
              </c15:ser>
            </c15:filteredBarSeries>
            <c15:filteredBarSeries>
              <c15:ser>
                <c:idx val="12"/>
                <c:order val="4"/>
                <c:tx>
                  <c:strRef>
                    <c:extLst xmlns:c15="http://schemas.microsoft.com/office/drawing/2012/chart">
                      <c:ext xmlns:c15="http://schemas.microsoft.com/office/drawing/2012/chart" uri="{02D57815-91ED-43cb-92C2-25804820EDAC}">
                        <c15:formulaRef>
                          <c15:sqref>'W5'!$D$75</c15:sqref>
                        </c15:formulaRef>
                      </c:ext>
                    </c:extLst>
                    <c:strCache>
                      <c:ptCount val="1"/>
                      <c:pt idx="0">
                        <c:v>Chi phí nhân công</c:v>
                      </c:pt>
                    </c:strCache>
                  </c:strRef>
                </c:tx>
                <c:spPr>
                  <a:solidFill>
                    <a:srgbClr val="92D050"/>
                  </a:solidFill>
                </c:spPr>
                <c:invertIfNegative val="0"/>
                <c:dLbls>
                  <c:dLbl>
                    <c:idx val="0"/>
                    <c:layout>
                      <c:manualLayout>
                        <c:x val="1.5997938443387955E-2"/>
                        <c:y val="-5.6254701314515723E-2"/>
                      </c:manualLayout>
                    </c:layout>
                    <c:tx>
                      <c:rich>
                        <a:bodyPr wrap="square" lIns="38100" tIns="19050" rIns="38100" bIns="19050" anchor="ctr">
                          <a:noAutofit/>
                        </a:bodyPr>
                        <a:lstStyle/>
                        <a:p>
                          <a:pPr>
                            <a:defRPr sz="1300" b="1">
                              <a:solidFill>
                                <a:srgbClr val="FF0000"/>
                              </a:solidFill>
                            </a:defRPr>
                          </a:pPr>
                          <a:fld id="{2CEEF355-D6B2-48BA-9DEC-FEA009764599}" type="SERIESNAME">
                            <a:rPr lang="en-US" sz="1300" b="1" baseline="0">
                              <a:solidFill>
                                <a:srgbClr val="FF0000"/>
                              </a:solidFill>
                            </a:rPr>
                            <a:pPr>
                              <a:defRPr sz="1300" b="1">
                                <a:solidFill>
                                  <a:srgbClr val="FF0000"/>
                                </a:solidFill>
                              </a:defRPr>
                            </a:pPr>
                            <a:t>[SERIES NAME]</a:t>
                          </a:fld>
                          <a:r>
                            <a:rPr lang="en-US" sz="1300" b="1" baseline="0">
                              <a:solidFill>
                                <a:srgbClr val="FF0000"/>
                              </a:solidFill>
                            </a:rPr>
                            <a:t>, </a:t>
                          </a:r>
                          <a:fld id="{0EE3C32E-005F-465B-998B-51B265CA5874}" type="VALUE">
                            <a:rPr lang="en-US" sz="1300" b="1" baseline="0">
                              <a:solidFill>
                                <a:srgbClr val="FF0000"/>
                              </a:solidFill>
                            </a:rPr>
                            <a:pPr>
                              <a:defRPr sz="1300" b="1">
                                <a:solidFill>
                                  <a:srgbClr val="FF0000"/>
                                </a:solidFill>
                              </a:defRPr>
                            </a:pPr>
                            <a:t>[VALUE]</a:t>
                          </a:fld>
                          <a:endParaRPr lang="en-US" sz="1300" b="1" baseline="0">
                            <a:solidFill>
                              <a:srgbClr val="FF0000"/>
                            </a:solidFill>
                          </a:endParaRPr>
                        </a:p>
                      </c:rich>
                    </c:tx>
                    <c:spPr>
                      <a:noFill/>
                      <a:ln>
                        <a:noFill/>
                      </a:ln>
                      <a:effectLst/>
                    </c:spPr>
                    <c:showLegendKey val="0"/>
                    <c:showVal val="1"/>
                    <c:showCatName val="0"/>
                    <c:showSerName val="1"/>
                    <c:showPercent val="0"/>
                    <c:showBubbleSize val="0"/>
                    <c:extLst xmlns:c15="http://schemas.microsoft.com/office/drawing/2012/chart">
                      <c:ext xmlns:c15="http://schemas.microsoft.com/office/drawing/2012/chart" uri="{CE6537A1-D6FC-4f65-9D91-7224C49458BB}">
                        <c15:layout>
                          <c:manualLayout>
                            <c:w val="0.50178676637575248"/>
                            <c:h val="9.7559423810114412E-2"/>
                          </c:manualLayout>
                        </c15:layout>
                        <c15:dlblFieldTable/>
                        <c15:showDataLabelsRange val="1"/>
                      </c:ext>
                      <c:ext xmlns:c16="http://schemas.microsoft.com/office/drawing/2014/chart" uri="{C3380CC4-5D6E-409C-BE32-E72D297353CC}">
                        <c16:uniqueId val="{0000000D-22D5-4C8E-9BB2-045B2FBEA940}"/>
                      </c:ext>
                    </c:extLst>
                  </c:dLbl>
                  <c:spPr>
                    <a:noFill/>
                    <a:ln>
                      <a:noFill/>
                    </a:ln>
                    <a:effectLst/>
                  </c:spPr>
                  <c:showLegendKey val="0"/>
                  <c:showVal val="1"/>
                  <c:showCatName val="0"/>
                  <c:showSerName val="1"/>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'W5'!$K$75:$L$75</c15:sqref>
                        </c15:fullRef>
                        <c15:formulaRef>
                          <c15:sqref>'W5'!$K$75</c15:sqref>
                        </c15:formulaRef>
                      </c:ext>
                    </c:extLst>
                    <c:numCache>
                      <c:formatCode>0.0%;\-0.0.%;</c:formatCode>
                      <c:ptCount val="1"/>
                      <c:pt idx="0" formatCode="#,##0_);\(#,##0\);;">
                        <c:v>39.193355199141216</c:v>
                      </c:pt>
                    </c:numCache>
                  </c:numRef>
                </c:val>
                <c:extLst xmlns:c15="http://schemas.microsoft.com/office/drawing/2012/chart">
                  <c:ext xmlns:c15="http://schemas.microsoft.com/office/drawing/2012/chart" uri="{02D57815-91ED-43cb-92C2-25804820EDAC}">
                    <c15:datalabelsRange>
                      <c15:f>'W5'!$J$85</c15:f>
                    </c15:datalabelsRange>
                  </c:ext>
                  <c:ext xmlns:c16="http://schemas.microsoft.com/office/drawing/2014/chart" uri="{C3380CC4-5D6E-409C-BE32-E72D297353CC}">
                    <c16:uniqueId val="{0000000E-22D5-4C8E-9BB2-045B2FBEA940}"/>
                  </c:ext>
                </c:extLst>
              </c15:ser>
            </c15:filteredBarSeries>
            <c15:filteredBarSeries>
              <c15:ser>
                <c:idx val="1"/>
                <c:order val="5"/>
                <c:tx>
                  <c:strRef>
                    <c:extLst xmlns:c15="http://schemas.microsoft.com/office/drawing/2012/chart">
                      <c:ext xmlns:c15="http://schemas.microsoft.com/office/drawing/2012/chart" uri="{02D57815-91ED-43cb-92C2-25804820EDAC}">
                        <c15:formulaRef>
                          <c15:sqref>'W5'!$D$76</c15:sqref>
                        </c15:formulaRef>
                      </c:ext>
                    </c:extLst>
                    <c:strCache>
                      <c:ptCount val="1"/>
                      <c:pt idx="0">
                        <c:v>Khấu hao</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'W5'!$K$76:$L$76</c15:sqref>
                        </c15:fullRef>
                        <c15:formulaRef>
                          <c15:sqref>'W5'!$K$76</c15:sqref>
                        </c15:formulaRef>
                      </c:ext>
                    </c:extLst>
                    <c:numCache>
                      <c:formatCode>0.0%;\-0.0.%;</c:formatCode>
                      <c:ptCount val="1"/>
                      <c:pt idx="0" formatCode="#,##0_);\(#,##0\);;">
                        <c:v>192.87651738366029</c:v>
                      </c:pt>
                    </c:numCache>
                  </c:numRef>
                </c:val>
                <c:extLst>
                  <c:ext xmlns:c16="http://schemas.microsoft.com/office/drawing/2014/chart" uri="{C3380CC4-5D6E-409C-BE32-E72D297353CC}">
                    <c16:uniqueId val="{0000000F-22D5-4C8E-9BB2-045B2FBEA940}"/>
                  </c:ext>
                </c:extLst>
              </c15:ser>
            </c15:filteredBarSeries>
            <c15:filteredBarSeries>
              <c15:ser>
                <c:idx val="2"/>
                <c:order val="6"/>
                <c:tx>
                  <c:strRef>
                    <c:extLst xmlns:c15="http://schemas.microsoft.com/office/drawing/2012/chart">
                      <c:ext xmlns:c15="http://schemas.microsoft.com/office/drawing/2012/chart" uri="{02D57815-91ED-43cb-92C2-25804820EDAC}">
                        <c15:formulaRef>
                          <c15:sqref>'W5'!$D$77</c15:sqref>
                        </c15:formulaRef>
                      </c:ext>
                    </c:extLst>
                    <c:strCache>
                      <c:ptCount val="1"/>
                      <c:pt idx="0">
                        <c:v>Chi phí gián tiếp</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'W5'!$K$77:$L$77</c15:sqref>
                        </c15:fullRef>
                        <c15:formulaRef>
                          <c15:sqref>'W5'!$K$77</c15:sqref>
                        </c15:formulaRef>
                      </c:ext>
                    </c:extLst>
                    <c:numCache>
                      <c:formatCode>0.0%;\-0.0.%;</c:formatCode>
                      <c:ptCount val="1"/>
                      <c:pt idx="0" formatCode="#,##0_);\(#,##0\);;">
                        <c:v>134.13802642505885</c:v>
                      </c:pt>
                    </c:numCache>
                  </c:numRef>
                </c:val>
                <c:extLst>
                  <c:ext xmlns:c16="http://schemas.microsoft.com/office/drawing/2014/chart" uri="{C3380CC4-5D6E-409C-BE32-E72D297353CC}">
                    <c16:uniqueId val="{00000010-22D5-4C8E-9BB2-045B2FBEA940}"/>
                  </c:ext>
                </c:extLst>
              </c15:ser>
            </c15:filteredBarSeries>
            <c15:filteredBarSeries>
              <c15:ser>
                <c:idx val="3"/>
                <c:order val="7"/>
                <c:tx>
                  <c:strRef>
                    <c:extLst xmlns:c15="http://schemas.microsoft.com/office/drawing/2012/chart">
                      <c:ext xmlns:c15="http://schemas.microsoft.com/office/drawing/2012/chart" uri="{02D57815-91ED-43cb-92C2-25804820EDAC}">
                        <c15:formulaRef>
                          <c15:sqref>'W5'!$D$78</c15:sqref>
                        </c15:formulaRef>
                      </c:ext>
                    </c:extLst>
                    <c:strCache>
                      <c:ptCount val="1"/>
                      <c:pt idx="0">
                        <c:v>Điện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'W5'!$K$78:$L$78</c15:sqref>
                        </c15:fullRef>
                        <c15:formulaRef>
                          <c15:sqref>'W5'!$K$78</c15:sqref>
                        </c15:formulaRef>
                      </c:ext>
                    </c:extLst>
                    <c:numCache>
                      <c:formatCode>0.0%;\-0.0.%;</c:formatCode>
                      <c:ptCount val="1"/>
                      <c:pt idx="0" formatCode="#,##0_);\(#,##0\);;">
                        <c:v>135.70318892301805</c:v>
                      </c:pt>
                    </c:numCache>
                  </c:numRef>
                </c:val>
                <c:extLst>
                  <c:ext xmlns:c16="http://schemas.microsoft.com/office/drawing/2014/chart" uri="{C3380CC4-5D6E-409C-BE32-E72D297353CC}">
                    <c16:uniqueId val="{00000011-22D5-4C8E-9BB2-045B2FBEA940}"/>
                  </c:ext>
                </c:extLst>
              </c15:ser>
            </c15:filteredBarSeries>
            <c15:filteredBarSeries>
              <c15:ser>
                <c:idx val="4"/>
                <c:order val="8"/>
                <c:tx>
                  <c:strRef>
                    <c:extLst xmlns:c15="http://schemas.microsoft.com/office/drawing/2012/chart">
                      <c:ext xmlns:c15="http://schemas.microsoft.com/office/drawing/2012/chart" uri="{02D57815-91ED-43cb-92C2-25804820EDAC}">
                        <c15:formulaRef>
                          <c15:sqref>'W5'!$D$79</c15:sqref>
                        </c15:formulaRef>
                      </c:ext>
                    </c:extLst>
                    <c:strCache>
                      <c:ptCount val="1"/>
                      <c:pt idx="0">
                        <c:v>Chi phí quản lý</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'W5'!$K$79:$L$79</c15:sqref>
                        </c15:fullRef>
                        <c15:formulaRef>
                          <c15:sqref>'W5'!$K$79</c15:sqref>
                        </c15:formulaRef>
                      </c:ext>
                    </c:extLst>
                    <c:numCache>
                      <c:formatCode>0.0%;\-0.0.%;</c:formatCode>
                      <c:ptCount val="1"/>
                      <c:pt idx="0" formatCode="#,##0_);\(#,##0\);;">
                        <c:v>74.974798387096769</c:v>
                      </c:pt>
                    </c:numCache>
                  </c:numRef>
                </c:val>
                <c:extLst>
                  <c:ext xmlns:c16="http://schemas.microsoft.com/office/drawing/2014/chart" uri="{C3380CC4-5D6E-409C-BE32-E72D297353CC}">
                    <c16:uniqueId val="{00000012-22D5-4C8E-9BB2-045B2FBEA940}"/>
                  </c:ext>
                </c:extLst>
              </c15:ser>
            </c15:filteredBarSeries>
            <c15:filteredBarSeries>
              <c15:ser>
                <c:idx val="5"/>
                <c:order val="9"/>
                <c:tx>
                  <c:strRef>
                    <c:extLst xmlns:c15="http://schemas.microsoft.com/office/drawing/2012/chart">
                      <c:ext xmlns:c15="http://schemas.microsoft.com/office/drawing/2012/chart" uri="{02D57815-91ED-43cb-92C2-25804820EDAC}">
                        <c15:formulaRef>
                          <c15:sqref>'W5'!$D$80</c15:sqref>
                        </c15:formulaRef>
                      </c:ext>
                    </c:extLst>
                    <c:strCache>
                      <c:ptCount val="1"/>
                      <c:pt idx="0">
                        <c:v>Đóng gói</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'W5'!$K$80:$L$80</c15:sqref>
                        </c15:fullRef>
                        <c15:formulaRef>
                          <c15:sqref>'W5'!$K$80</c15:sqref>
                        </c15:formulaRef>
                      </c:ext>
                    </c:extLst>
                    <c:numCache>
                      <c:formatCode>0.0%;\-0.0.%;</c:formatCode>
                      <c:ptCount val="1"/>
                      <c:pt idx="0" formatCode="#,##0_);\(#,##0\);;">
                        <c:v>12.713675213675215</c:v>
                      </c:pt>
                    </c:numCache>
                  </c:numRef>
                </c:val>
                <c:extLst>
                  <c:ext xmlns:c16="http://schemas.microsoft.com/office/drawing/2014/chart" uri="{C3380CC4-5D6E-409C-BE32-E72D297353CC}">
                    <c16:uniqueId val="{00000013-22D5-4C8E-9BB2-045B2FBEA940}"/>
                  </c:ext>
                </c:extLst>
              </c15:ser>
            </c15:filteredBarSeries>
            <c15:filteredBarSeries>
              <c15:ser>
                <c:idx val="6"/>
                <c:order val="10"/>
                <c:tx>
                  <c:strRef>
                    <c:extLst xmlns:c15="http://schemas.microsoft.com/office/drawing/2012/chart">
                      <c:ext xmlns:c15="http://schemas.microsoft.com/office/drawing/2012/chart" uri="{02D57815-91ED-43cb-92C2-25804820EDAC}">
                        <c15:formulaRef>
                          <c15:sqref>'W5'!$D$81</c15:sqref>
                        </c15:formulaRef>
                      </c:ext>
                    </c:extLst>
                    <c:strCache>
                      <c:ptCount val="1"/>
                      <c:pt idx="0">
                        <c:v>Hóa chất</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'W5'!$K$81:$L$81</c15:sqref>
                        </c15:fullRef>
                        <c15:formulaRef>
                          <c15:sqref>'W5'!$K$81</c15:sqref>
                        </c15:formulaRef>
                      </c:ext>
                    </c:extLst>
                    <c:numCache>
                      <c:formatCode>0.0%;\-0.0.%;</c:formatCode>
                      <c:ptCount val="1"/>
                      <c:pt idx="0" formatCode="#,##0_);\(#,##0\);;">
                        <c:v>8.2466426799007468</c:v>
                      </c:pt>
                    </c:numCache>
                  </c:numRef>
                </c:val>
                <c:extLst>
                  <c:ext xmlns:c16="http://schemas.microsoft.com/office/drawing/2014/chart" uri="{C3380CC4-5D6E-409C-BE32-E72D297353CC}">
                    <c16:uniqueId val="{00000014-22D5-4C8E-9BB2-045B2FBEA940}"/>
                  </c:ext>
                </c:extLst>
              </c15:ser>
            </c15:filteredBarSeries>
            <c15:filteredBarSeries>
              <c15:ser>
                <c:idx val="7"/>
                <c:order val="11"/>
                <c:tx>
                  <c:strRef>
                    <c:extLst xmlns:c15="http://schemas.microsoft.com/office/drawing/2012/chart">
                      <c:ext xmlns:c15="http://schemas.microsoft.com/office/drawing/2012/chart" uri="{02D57815-91ED-43cb-92C2-25804820EDAC}">
                        <c15:formulaRef>
                          <c15:sqref>'W5'!$D$82</c15:sqref>
                        </c15:formulaRef>
                      </c:ext>
                    </c:extLst>
                    <c:strCache>
                      <c:ptCount val="1"/>
                      <c:pt idx="0">
                        <c:v>Nước</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'W5'!$K$82:$L$82</c15:sqref>
                        </c15:fullRef>
                        <c15:formulaRef>
                          <c15:sqref>'W5'!$K$82</c15:sqref>
                        </c15:formulaRef>
                      </c:ext>
                    </c:extLst>
                    <c:numCache>
                      <c:formatCode>0.0%;\-0.0.%;</c:formatCode>
                      <c:ptCount val="1"/>
                      <c:pt idx="0" formatCode="#,##0_);\(#,##0\);;">
                        <c:v>0</c:v>
                      </c:pt>
                    </c:numCache>
                  </c:numRef>
                </c:val>
                <c:extLst>
                  <c:ext xmlns:c16="http://schemas.microsoft.com/office/drawing/2014/chart" uri="{C3380CC4-5D6E-409C-BE32-E72D297353CC}">
                    <c16:uniqueId val="{00000015-22D5-4C8E-9BB2-045B2FBEA940}"/>
                  </c:ext>
                </c:extLst>
              </c15:ser>
            </c15:filteredBarSeries>
            <c15:filteredBarSeries>
              <c15:ser>
                <c:idx val="8"/>
                <c:order val="12"/>
                <c:tx>
                  <c:strRef>
                    <c:extLst xmlns:c15="http://schemas.microsoft.com/office/drawing/2012/chart">
                      <c:ext xmlns:c15="http://schemas.microsoft.com/office/drawing/2012/chart" uri="{02D57815-91ED-43cb-92C2-25804820EDAC}">
                        <c15:formulaRef>
                          <c15:sqref>'W5'!$D$83</c15:sqref>
                        </c15:formulaRef>
                      </c:ext>
                    </c:extLst>
                    <c:strCache>
                      <c:ptCount val="1"/>
                      <c:pt idx="0">
                        <c:v>Giá thành</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'W5'!$K$83:$L$83</c15:sqref>
                        </c15:fullRef>
                        <c15:formulaRef>
                          <c15:sqref>'W5'!$K$83</c15:sqref>
                        </c15:formulaRef>
                      </c:ext>
                    </c:extLst>
                    <c:numCache>
                      <c:formatCode>0.0%;\-0.0.%;</c:formatCode>
                      <c:ptCount val="1"/>
                      <c:pt idx="0" formatCode="#,##0_);\(#,##0\);;">
                        <c:v>1650.7494300180028</c:v>
                      </c:pt>
                    </c:numCache>
                  </c:numRef>
                </c:val>
                <c:extLst>
                  <c:ext xmlns:c16="http://schemas.microsoft.com/office/drawing/2014/chart" uri="{C3380CC4-5D6E-409C-BE32-E72D297353CC}">
                    <c16:uniqueId val="{00000016-22D5-4C8E-9BB2-045B2FBEA940}"/>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'W5'!$D$86</c15:sqref>
                        </c15:formulaRef>
                      </c:ext>
                    </c:extLst>
                    <c:strCache>
                      <c:ptCount val="1"/>
                      <c:pt idx="0">
                        <c:v>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'W5'!$K$86:$L$86</c15:sqref>
                        </c15:fullRef>
                        <c15:formulaRef>
                          <c15:sqref>'W5'!$K$86</c15:sqref>
                        </c15:formulaRef>
                      </c:ext>
                    </c:extLst>
                    <c:numCache>
                      <c:formatCode>0.0%;\-0.0.%;</c:formatCode>
                      <c:ptCount val="1"/>
                      <c:pt idx="0" formatCode="#,##0_);\(#,##0\);;">
                        <c:v>1743.5897435897436</c:v>
                      </c:pt>
                    </c:numCache>
                  </c:numRef>
                </c:val>
                <c:extLst>
                  <c:ext xmlns:c16="http://schemas.microsoft.com/office/drawing/2014/chart" uri="{C3380CC4-5D6E-409C-BE32-E72D297353CC}">
                    <c16:uniqueId val="{00000017-22D5-4C8E-9BB2-045B2FBEA940}"/>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'W5'!$D$87</c15:sqref>
                        </c15:formulaRef>
                      </c:ext>
                    </c:extLst>
                    <c:strCache>
                      <c:ptCount val="1"/>
                      <c:pt idx="0">
                        <c:v>% Lãi gộp nguyên liệu/Giá bán</c:v>
                      </c:pt>
                    </c:strCache>
                  </c:strRef>
                </c:tx>
                <c:invertIfNegative val="0"/>
                <c:cat>
                  <c:strRef>
                    <c:extLst>
                      <c:ext xmlns:c15="http://schemas.microsoft.com/office/drawing/2012/chart" uri="{02D57815-91ED-43cb-92C2-25804820EDAC}">
                        <c15:fullRef>
                          <c15:sqref>'W5'!$K$70:$L$70</c15:sqref>
                        </c15:fullRef>
                        <c15:formulaRef>
                          <c15:sqref>'W5'!$K$70</c15:sqref>
                        </c15:formulaRef>
                      </c:ext>
                    </c:extLst>
                    <c:strCache>
                      <c:ptCount val="1"/>
                      <c:pt idx="0">
                        <c:v>Chi phí
USD/tấn</c:v>
                      </c:pt>
                    </c:strCache>
                  </c:strRef>
                </c:cat>
                <c:val>
                  <c:numRef>
                    <c:extLst>
                      <c:ext xmlns:c15="http://schemas.microsoft.com/office/drawing/2012/chart" uri="{02D57815-91ED-43cb-92C2-25804820EDAC}">
                        <c15:fullRef>
                          <c15:sqref>'W5'!$K$87:$L$87</c15:sqref>
                        </c15:fullRef>
                        <c15:formulaRef>
                          <c15:sqref>'W5'!$K$87</c15:sqref>
                        </c15:formulaRef>
                      </c:ext>
                    </c:extLst>
                    <c:numCache>
                      <c:formatCode>0.0%;\-0.0.%;</c:formatCode>
                      <c:ptCount val="1"/>
                    </c:numCache>
                  </c:numRef>
                </c:val>
                <c:extLst>
                  <c:ext xmlns:c16="http://schemas.microsoft.com/office/drawing/2014/chart" uri="{C3380CC4-5D6E-409C-BE32-E72D297353CC}">
                    <c16:uniqueId val="{00000018-22D5-4C8E-9BB2-045B2FBEA940}"/>
                  </c:ext>
                </c:extLst>
              </c15:ser>
            </c15:filteredBarSeries>
          </c:ext>
        </c:extLst>
      </c:barChart>
      <c:catAx>
        <c:axId val="336187152"/>
        <c:scaling>
          <c:orientation val="minMax"/>
        </c:scaling>
        <c:delete val="1"/>
        <c:axPos val="b"/>
        <c:numFmt formatCode="General" sourceLinked="1"/>
        <c:majorTickMark val="none"/>
        <c:minorTickMark val="none"/>
        <c:tickLblPos val="nextTo"/>
        <c:crossAx val="336190512"/>
        <c:crosses val="autoZero"/>
        <c:auto val="1"/>
        <c:lblAlgn val="ctr"/>
        <c:lblOffset val="100"/>
        <c:noMultiLvlLbl val="0"/>
      </c:catAx>
      <c:valAx>
        <c:axId val="336190512"/>
        <c:scaling>
          <c:orientation val="minMax"/>
        </c:scaling>
        <c:delete val="1"/>
        <c:axPos val="l"/>
        <c:numFmt formatCode="#,##0_);\(#,##0\);;" sourceLinked="1"/>
        <c:majorTickMark val="none"/>
        <c:minorTickMark val="none"/>
        <c:tickLblPos val="nextTo"/>
        <c:crossAx val="336187152"/>
        <c:crosses val="autoZero"/>
        <c:crossBetween val="between"/>
      </c:valAx>
    </c:plotArea>
    <c:plotVisOnly val="1"/>
    <c:dispBlanksAs val="gap"/>
    <c:showDLblsOverMax val="0"/>
    <c:extLst/>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2.png"/><Relationship Id="rId5" Type="http://schemas.openxmlformats.org/officeDocument/2006/relationships/chart" Target="../charts/chart16.xml"/><Relationship Id="rId4"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41910</xdr:rowOff>
    </xdr:from>
    <xdr:to>
      <xdr:col>11</xdr:col>
      <xdr:colOff>457200</xdr:colOff>
      <xdr:row>10</xdr:row>
      <xdr:rowOff>41910</xdr:rowOff>
    </xdr:to>
    <xdr:cxnSp macro="">
      <xdr:nvCxnSpPr>
        <xdr:cNvPr id="3" name="Straight Arrow Connector 2">
          <a:extLst>
            <a:ext uri="{FF2B5EF4-FFF2-40B4-BE49-F238E27FC236}">
              <a16:creationId xmlns:a16="http://schemas.microsoft.com/office/drawing/2014/main" id="{75F3DB05-CA35-2D80-4316-F562AB5F2521}"/>
            </a:ext>
          </a:extLst>
        </xdr:cNvPr>
        <xdr:cNvCxnSpPr/>
      </xdr:nvCxnSpPr>
      <xdr:spPr>
        <a:xfrm>
          <a:off x="685800" y="1946910"/>
          <a:ext cx="731520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598170</xdr:colOff>
      <xdr:row>10</xdr:row>
      <xdr:rowOff>41910</xdr:rowOff>
    </xdr:from>
    <xdr:to>
      <xdr:col>2</xdr:col>
      <xdr:colOff>598170</xdr:colOff>
      <xdr:row>12</xdr:row>
      <xdr:rowOff>5715</xdr:rowOff>
    </xdr:to>
    <xdr:cxnSp macro="">
      <xdr:nvCxnSpPr>
        <xdr:cNvPr id="5" name="Straight Arrow Connector 4">
          <a:extLst>
            <a:ext uri="{FF2B5EF4-FFF2-40B4-BE49-F238E27FC236}">
              <a16:creationId xmlns:a16="http://schemas.microsoft.com/office/drawing/2014/main" id="{BCAB97E1-9E22-17A1-E216-5BF10C559DAF}"/>
            </a:ext>
          </a:extLst>
        </xdr:cNvPr>
        <xdr:cNvCxnSpPr/>
      </xdr:nvCxnSpPr>
      <xdr:spPr>
        <a:xfrm>
          <a:off x="1283970" y="803910"/>
          <a:ext cx="0" cy="34480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428626</xdr:colOff>
      <xdr:row>12</xdr:row>
      <xdr:rowOff>41911</xdr:rowOff>
    </xdr:from>
    <xdr:to>
      <xdr:col>4</xdr:col>
      <xdr:colOff>78106</xdr:colOff>
      <xdr:row>15</xdr:row>
      <xdr:rowOff>38101</xdr:rowOff>
    </xdr:to>
    <xdr:sp macro="" textlink="">
      <xdr:nvSpPr>
        <xdr:cNvPr id="7" name="Rectangle: Rounded Corners 6">
          <a:extLst>
            <a:ext uri="{FF2B5EF4-FFF2-40B4-BE49-F238E27FC236}">
              <a16:creationId xmlns:a16="http://schemas.microsoft.com/office/drawing/2014/main" id="{A1BA00B4-44B8-2DDE-2B26-8FBEF715F2FA}"/>
            </a:ext>
          </a:extLst>
        </xdr:cNvPr>
        <xdr:cNvSpPr/>
      </xdr:nvSpPr>
      <xdr:spPr>
        <a:xfrm>
          <a:off x="1114426" y="1184911"/>
          <a:ext cx="1706880" cy="5676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Cuối</a:t>
          </a:r>
          <a:r>
            <a:rPr lang="en-US" sz="1100" b="1" baseline="0"/>
            <a:t> năm 2024</a:t>
          </a:r>
          <a:r>
            <a:rPr lang="en-US" sz="1100" baseline="0"/>
            <a:t>: Chốt phương án đầu tư</a:t>
          </a:r>
          <a:endParaRPr lang="en-US" sz="1100"/>
        </a:p>
      </xdr:txBody>
    </xdr:sp>
    <xdr:clientData/>
  </xdr:twoCellAnchor>
  <xdr:oneCellAnchor>
    <xdr:from>
      <xdr:col>2</xdr:col>
      <xdr:colOff>384810</xdr:colOff>
      <xdr:row>8</xdr:row>
      <xdr:rowOff>99060</xdr:rowOff>
    </xdr:from>
    <xdr:ext cx="470642" cy="264560"/>
    <xdr:sp macro="" textlink="">
      <xdr:nvSpPr>
        <xdr:cNvPr id="9" name="TextBox 8">
          <a:extLst>
            <a:ext uri="{FF2B5EF4-FFF2-40B4-BE49-F238E27FC236}">
              <a16:creationId xmlns:a16="http://schemas.microsoft.com/office/drawing/2014/main" id="{23A2F533-09D8-37C0-9B3C-8F42365F3B7E}"/>
            </a:ext>
          </a:extLst>
        </xdr:cNvPr>
        <xdr:cNvSpPr txBox="1"/>
      </xdr:nvSpPr>
      <xdr:spPr>
        <a:xfrm>
          <a:off x="17564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2025</a:t>
          </a:r>
        </a:p>
      </xdr:txBody>
    </xdr:sp>
    <xdr:clientData/>
  </xdr:oneCellAnchor>
  <xdr:oneCellAnchor>
    <xdr:from>
      <xdr:col>5</xdr:col>
      <xdr:colOff>365760</xdr:colOff>
      <xdr:row>8</xdr:row>
      <xdr:rowOff>102870</xdr:rowOff>
    </xdr:from>
    <xdr:ext cx="470642" cy="264560"/>
    <xdr:sp macro="" textlink="">
      <xdr:nvSpPr>
        <xdr:cNvPr id="11" name="TextBox 10">
          <a:extLst>
            <a:ext uri="{FF2B5EF4-FFF2-40B4-BE49-F238E27FC236}">
              <a16:creationId xmlns:a16="http://schemas.microsoft.com/office/drawing/2014/main" id="{CEEE69E3-A553-9EA7-10AE-F06163A1EA67}"/>
            </a:ext>
          </a:extLst>
        </xdr:cNvPr>
        <xdr:cNvSpPr txBox="1"/>
      </xdr:nvSpPr>
      <xdr:spPr>
        <a:xfrm>
          <a:off x="3794760" y="48387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2026</a:t>
          </a:r>
        </a:p>
      </xdr:txBody>
    </xdr:sp>
    <xdr:clientData/>
  </xdr:oneCellAnchor>
  <xdr:oneCellAnchor>
    <xdr:from>
      <xdr:col>8</xdr:col>
      <xdr:colOff>346710</xdr:colOff>
      <xdr:row>8</xdr:row>
      <xdr:rowOff>99060</xdr:rowOff>
    </xdr:from>
    <xdr:ext cx="470642" cy="264560"/>
    <xdr:sp macro="" textlink="">
      <xdr:nvSpPr>
        <xdr:cNvPr id="12" name="TextBox 11">
          <a:extLst>
            <a:ext uri="{FF2B5EF4-FFF2-40B4-BE49-F238E27FC236}">
              <a16:creationId xmlns:a16="http://schemas.microsoft.com/office/drawing/2014/main" id="{E9CE01EC-0802-465F-BD08-10E754757D99}"/>
            </a:ext>
          </a:extLst>
        </xdr:cNvPr>
        <xdr:cNvSpPr txBox="1"/>
      </xdr:nvSpPr>
      <xdr:spPr>
        <a:xfrm>
          <a:off x="5833110" y="480060"/>
          <a:ext cx="4706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2027</a:t>
          </a:r>
        </a:p>
      </xdr:txBody>
    </xdr:sp>
    <xdr:clientData/>
  </xdr:oneCellAnchor>
  <xdr:twoCellAnchor>
    <xdr:from>
      <xdr:col>2</xdr:col>
      <xdr:colOff>642939</xdr:colOff>
      <xdr:row>6</xdr:row>
      <xdr:rowOff>79057</xdr:rowOff>
    </xdr:from>
    <xdr:to>
      <xdr:col>5</xdr:col>
      <xdr:colOff>632460</xdr:colOff>
      <xdr:row>8</xdr:row>
      <xdr:rowOff>42862</xdr:rowOff>
    </xdr:to>
    <xdr:sp macro="" textlink="">
      <xdr:nvSpPr>
        <xdr:cNvPr id="13" name="Right Brace 12">
          <a:extLst>
            <a:ext uri="{FF2B5EF4-FFF2-40B4-BE49-F238E27FC236}">
              <a16:creationId xmlns:a16="http://schemas.microsoft.com/office/drawing/2014/main" id="{D8BEB7B7-33AF-D7EE-AD7C-5E5164ED134E}"/>
            </a:ext>
          </a:extLst>
        </xdr:cNvPr>
        <xdr:cNvSpPr/>
      </xdr:nvSpPr>
      <xdr:spPr>
        <a:xfrm rot="16200000">
          <a:off x="2865597" y="370999"/>
          <a:ext cx="344805" cy="2046921"/>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201931</xdr:colOff>
      <xdr:row>3</xdr:row>
      <xdr:rowOff>47626</xdr:rowOff>
    </xdr:from>
    <xdr:to>
      <xdr:col>5</xdr:col>
      <xdr:colOff>541021</xdr:colOff>
      <xdr:row>6</xdr:row>
      <xdr:rowOff>45721</xdr:rowOff>
    </xdr:to>
    <xdr:sp macro="" textlink="">
      <xdr:nvSpPr>
        <xdr:cNvPr id="14" name="Rectangle: Rounded Corners 13">
          <a:extLst>
            <a:ext uri="{FF2B5EF4-FFF2-40B4-BE49-F238E27FC236}">
              <a16:creationId xmlns:a16="http://schemas.microsoft.com/office/drawing/2014/main" id="{C0F2CCF1-DCC4-DE2C-2644-7EB3400F0916}"/>
            </a:ext>
          </a:extLst>
        </xdr:cNvPr>
        <xdr:cNvSpPr/>
      </xdr:nvSpPr>
      <xdr:spPr>
        <a:xfrm>
          <a:off x="2259331" y="61912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2025-2026: </a:t>
          </a:r>
          <a:r>
            <a:rPr lang="en-US" sz="1100" b="0" baseline="0"/>
            <a:t>Đầu tư, lắp đặt máy móc</a:t>
          </a:r>
          <a:endParaRPr lang="en-US" sz="1100" b="0"/>
        </a:p>
      </xdr:txBody>
    </xdr:sp>
    <xdr:clientData/>
  </xdr:twoCellAnchor>
  <xdr:twoCellAnchor>
    <xdr:from>
      <xdr:col>8</xdr:col>
      <xdr:colOff>628649</xdr:colOff>
      <xdr:row>12</xdr:row>
      <xdr:rowOff>49530</xdr:rowOff>
    </xdr:from>
    <xdr:to>
      <xdr:col>11</xdr:col>
      <xdr:colOff>436244</xdr:colOff>
      <xdr:row>15</xdr:row>
      <xdr:rowOff>13335</xdr:rowOff>
    </xdr:to>
    <xdr:sp macro="" textlink="">
      <xdr:nvSpPr>
        <xdr:cNvPr id="17" name="Arrow: Right 16">
          <a:extLst>
            <a:ext uri="{FF2B5EF4-FFF2-40B4-BE49-F238E27FC236}">
              <a16:creationId xmlns:a16="http://schemas.microsoft.com/office/drawing/2014/main" id="{6B75F094-BEC3-7835-49A4-8DC2BC05CB3A}"/>
            </a:ext>
          </a:extLst>
        </xdr:cNvPr>
        <xdr:cNvSpPr/>
      </xdr:nvSpPr>
      <xdr:spPr>
        <a:xfrm>
          <a:off x="6115049" y="2335530"/>
          <a:ext cx="1864995" cy="53530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t>Chạy</a:t>
          </a:r>
          <a:r>
            <a:rPr lang="en-US" sz="1100" b="1" baseline="0"/>
            <a:t> chính thức</a:t>
          </a:r>
          <a:endParaRPr lang="en-US" sz="1100" b="1"/>
        </a:p>
      </xdr:txBody>
    </xdr:sp>
    <xdr:clientData/>
  </xdr:twoCellAnchor>
  <xdr:twoCellAnchor>
    <xdr:from>
      <xdr:col>8</xdr:col>
      <xdr:colOff>617220</xdr:colOff>
      <xdr:row>10</xdr:row>
      <xdr:rowOff>93345</xdr:rowOff>
    </xdr:from>
    <xdr:to>
      <xdr:col>8</xdr:col>
      <xdr:colOff>617220</xdr:colOff>
      <xdr:row>12</xdr:row>
      <xdr:rowOff>175260</xdr:rowOff>
    </xdr:to>
    <xdr:cxnSp macro="">
      <xdr:nvCxnSpPr>
        <xdr:cNvPr id="19" name="Straight Connector 18">
          <a:extLst>
            <a:ext uri="{FF2B5EF4-FFF2-40B4-BE49-F238E27FC236}">
              <a16:creationId xmlns:a16="http://schemas.microsoft.com/office/drawing/2014/main" id="{D5D591A8-123F-BCCB-1538-18B7E9EFB41F}"/>
            </a:ext>
          </a:extLst>
        </xdr:cNvPr>
        <xdr:cNvCxnSpPr/>
      </xdr:nvCxnSpPr>
      <xdr:spPr>
        <a:xfrm>
          <a:off x="6103620" y="199834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622935</xdr:colOff>
      <xdr:row>10</xdr:row>
      <xdr:rowOff>120015</xdr:rowOff>
    </xdr:from>
    <xdr:to>
      <xdr:col>5</xdr:col>
      <xdr:colOff>622935</xdr:colOff>
      <xdr:row>13</xdr:row>
      <xdr:rowOff>11430</xdr:rowOff>
    </xdr:to>
    <xdr:cxnSp macro="">
      <xdr:nvCxnSpPr>
        <xdr:cNvPr id="20" name="Straight Connector 19">
          <a:extLst>
            <a:ext uri="{FF2B5EF4-FFF2-40B4-BE49-F238E27FC236}">
              <a16:creationId xmlns:a16="http://schemas.microsoft.com/office/drawing/2014/main" id="{D1A07AFB-1710-5057-C6E9-4C47DA597D0C}"/>
            </a:ext>
          </a:extLst>
        </xdr:cNvPr>
        <xdr:cNvCxnSpPr/>
      </xdr:nvCxnSpPr>
      <xdr:spPr>
        <a:xfrm>
          <a:off x="4051935" y="2025015"/>
          <a:ext cx="0" cy="46291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135256</xdr:colOff>
      <xdr:row>10</xdr:row>
      <xdr:rowOff>104776</xdr:rowOff>
    </xdr:from>
    <xdr:to>
      <xdr:col>8</xdr:col>
      <xdr:colOff>474346</xdr:colOff>
      <xdr:row>13</xdr:row>
      <xdr:rowOff>102871</xdr:rowOff>
    </xdr:to>
    <xdr:sp macro="" textlink="">
      <xdr:nvSpPr>
        <xdr:cNvPr id="21" name="Rectangle: Rounded Corners 20">
          <a:extLst>
            <a:ext uri="{FF2B5EF4-FFF2-40B4-BE49-F238E27FC236}">
              <a16:creationId xmlns:a16="http://schemas.microsoft.com/office/drawing/2014/main" id="{0F75AB25-4B89-6D3F-EEFD-AC6FB9874768}"/>
            </a:ext>
          </a:extLst>
        </xdr:cNvPr>
        <xdr:cNvSpPr/>
      </xdr:nvSpPr>
      <xdr:spPr>
        <a:xfrm>
          <a:off x="4250056" y="2009776"/>
          <a:ext cx="1710690" cy="5695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Từ</a:t>
          </a:r>
          <a:r>
            <a:rPr lang="en-US" sz="1100" b="1" baseline="0"/>
            <a:t> năm 2026-2027: </a:t>
          </a:r>
          <a:r>
            <a:rPr lang="en-US" sz="1100" b="0" baseline="0"/>
            <a:t>Chạy pilot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140804</xdr:colOff>
      <xdr:row>3</xdr:row>
      <xdr:rowOff>24847</xdr:rowOff>
    </xdr:from>
    <xdr:to>
      <xdr:col>15</xdr:col>
      <xdr:colOff>518854</xdr:colOff>
      <xdr:row>6</xdr:row>
      <xdr:rowOff>28547</xdr:rowOff>
    </xdr:to>
    <mc:AlternateContent xmlns:mc="http://schemas.openxmlformats.org/markup-compatibility/2006" xmlns:a14="http://schemas.microsoft.com/office/drawing/2010/main">
      <mc:Choice Requires="a14">
        <xdr:graphicFrame macro="">
          <xdr:nvGraphicFramePr>
            <xdr:cNvPr id="2" name="Currency 11">
              <a:extLst>
                <a:ext uri="{FF2B5EF4-FFF2-40B4-BE49-F238E27FC236}">
                  <a16:creationId xmlns:a16="http://schemas.microsoft.com/office/drawing/2014/main" id="{5B7A6A43-D0E1-46FE-9856-20B5D36C3DB1}"/>
                </a:ext>
              </a:extLst>
            </xdr:cNvPr>
            <xdr:cNvGraphicFramePr/>
          </xdr:nvGraphicFramePr>
          <xdr:xfrm>
            <a:off x="0" y="0"/>
            <a:ext cx="0" cy="0"/>
          </xdr:xfrm>
          <a:graphic>
            <a:graphicData uri="http://schemas.microsoft.com/office/drawing/2010/slicer">
              <sle:slicer xmlns:sle="http://schemas.microsoft.com/office/drawing/2010/slicer" name="Currency 11"/>
            </a:graphicData>
          </a:graphic>
        </xdr:graphicFrame>
      </mc:Choice>
      <mc:Fallback xmlns="">
        <xdr:sp macro="" textlink="">
          <xdr:nvSpPr>
            <xdr:cNvPr id="0" name=""/>
            <xdr:cNvSpPr>
              <a:spLocks noTextEdit="1"/>
            </xdr:cNvSpPr>
          </xdr:nvSpPr>
          <xdr:spPr>
            <a:xfrm>
              <a:off x="13780604" y="710647"/>
              <a:ext cx="2435450" cy="641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xdr:row>
      <xdr:rowOff>341747</xdr:rowOff>
    </xdr:from>
    <xdr:to>
      <xdr:col>10</xdr:col>
      <xdr:colOff>414186</xdr:colOff>
      <xdr:row>17</xdr:row>
      <xdr:rowOff>164460</xdr:rowOff>
    </xdr:to>
    <xdr:grpSp>
      <xdr:nvGrpSpPr>
        <xdr:cNvPr id="27" name="Group 26">
          <a:extLst>
            <a:ext uri="{FF2B5EF4-FFF2-40B4-BE49-F238E27FC236}">
              <a16:creationId xmlns:a16="http://schemas.microsoft.com/office/drawing/2014/main" id="{718E7AD1-3106-6472-2699-58B644D8F6F0}"/>
            </a:ext>
          </a:extLst>
        </xdr:cNvPr>
        <xdr:cNvGrpSpPr/>
      </xdr:nvGrpSpPr>
      <xdr:grpSpPr>
        <a:xfrm>
          <a:off x="7737231" y="730074"/>
          <a:ext cx="2480378" cy="3735290"/>
          <a:chOff x="7743823" y="7915275"/>
          <a:chExt cx="2663385" cy="4317935"/>
        </a:xfrm>
      </xdr:grpSpPr>
      <xdr:graphicFrame macro="">
        <xdr:nvGraphicFramePr>
          <xdr:cNvPr id="29" name="Chart 28">
            <a:extLst>
              <a:ext uri="{FF2B5EF4-FFF2-40B4-BE49-F238E27FC236}">
                <a16:creationId xmlns:a16="http://schemas.microsoft.com/office/drawing/2014/main" id="{FD59C447-35DA-0645-DB9B-68B41EAF9247}"/>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0" name="Group 29">
            <a:extLst>
              <a:ext uri="{FF2B5EF4-FFF2-40B4-BE49-F238E27FC236}">
                <a16:creationId xmlns:a16="http://schemas.microsoft.com/office/drawing/2014/main" id="{1C970C75-4669-6512-4531-6F04DD9B11EF}"/>
              </a:ext>
            </a:extLst>
          </xdr:cNvPr>
          <xdr:cNvGrpSpPr/>
        </xdr:nvGrpSpPr>
        <xdr:grpSpPr>
          <a:xfrm>
            <a:off x="8748842" y="8010525"/>
            <a:ext cx="1601103" cy="385633"/>
            <a:chOff x="3662491" y="4678681"/>
            <a:chExt cx="1601103" cy="385633"/>
          </a:xfrm>
        </xdr:grpSpPr>
        <xdr:sp macro="" textlink="$E$86">
          <xdr:nvSpPr>
            <xdr:cNvPr id="35" name="TextBox 34">
              <a:extLst>
                <a:ext uri="{FF2B5EF4-FFF2-40B4-BE49-F238E27FC236}">
                  <a16:creationId xmlns:a16="http://schemas.microsoft.com/office/drawing/2014/main" id="{F32A425B-8FEF-5D5C-1133-63C1FB72B07A}"/>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D46B53A9-D853-4CEF-9842-F702B4E4F224}" type="TxLink">
                <a:rPr lang="en-US" sz="1700" b="1" i="0" u="none" strike="noStrike">
                  <a:solidFill>
                    <a:srgbClr val="0033CC"/>
                  </a:solidFill>
                  <a:latin typeface="+mn-lt"/>
                  <a:cs typeface="Arial"/>
                </a:rPr>
                <a:pPr/>
                <a:t> </a:t>
              </a:fld>
              <a:endParaRPr lang="en-US" sz="1700">
                <a:solidFill>
                  <a:srgbClr val="0033CC"/>
                </a:solidFill>
                <a:latin typeface="+mn-lt"/>
                <a:cs typeface="Arial" panose="020B0604020202020204" pitchFamily="34" charset="0"/>
              </a:endParaRPr>
            </a:p>
          </xdr:txBody>
        </xdr:sp>
        <xdr:sp macro="" textlink="">
          <xdr:nvSpPr>
            <xdr:cNvPr id="36" name="TextBox 35">
              <a:extLst>
                <a:ext uri="{FF2B5EF4-FFF2-40B4-BE49-F238E27FC236}">
                  <a16:creationId xmlns:a16="http://schemas.microsoft.com/office/drawing/2014/main" id="{5075E5FA-0FF0-525D-EBE9-C9F87883273A}"/>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1" name="Group 30">
            <a:extLst>
              <a:ext uri="{FF2B5EF4-FFF2-40B4-BE49-F238E27FC236}">
                <a16:creationId xmlns:a16="http://schemas.microsoft.com/office/drawing/2014/main" id="{D428B9A0-29C7-0D2F-FFC6-A34C816A7B32}"/>
              </a:ext>
            </a:extLst>
          </xdr:cNvPr>
          <xdr:cNvGrpSpPr/>
        </xdr:nvGrpSpPr>
        <xdr:grpSpPr>
          <a:xfrm>
            <a:off x="7743823" y="9982200"/>
            <a:ext cx="1018881" cy="734000"/>
            <a:chOff x="5572123" y="5781675"/>
            <a:chExt cx="1018881" cy="734000"/>
          </a:xfrm>
        </xdr:grpSpPr>
        <xdr:sp macro="" textlink="$E$83">
          <xdr:nvSpPr>
            <xdr:cNvPr id="32" name="TextBox 31">
              <a:extLst>
                <a:ext uri="{FF2B5EF4-FFF2-40B4-BE49-F238E27FC236}">
                  <a16:creationId xmlns:a16="http://schemas.microsoft.com/office/drawing/2014/main" id="{152EA06A-BF7B-B089-0AB7-4C66567D3204}"/>
                </a:ext>
              </a:extLst>
            </xdr:cNvPr>
            <xdr:cNvSpPr txBox="1"/>
          </xdr:nvSpPr>
          <xdr:spPr>
            <a:xfrm>
              <a:off x="5581649" y="5962651"/>
              <a:ext cx="695946" cy="34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C29679-0CD3-451B-B4CC-AACA4DCD6359}" type="TxLink">
                <a:rPr lang="en-US" sz="1300" b="1" i="0" u="none" strike="noStrike">
                  <a:solidFill>
                    <a:srgbClr val="0033CC"/>
                  </a:solidFill>
                  <a:latin typeface="Arial"/>
                  <a:cs typeface="Arial"/>
                </a:rPr>
                <a:pPr/>
                <a:t> </a:t>
              </a:fld>
              <a:endParaRPr lang="en-US" sz="1500">
                <a:latin typeface="Aptos Narrow (Body)"/>
              </a:endParaRPr>
            </a:p>
          </xdr:txBody>
        </xdr:sp>
        <xdr:sp macro="" textlink="">
          <xdr:nvSpPr>
            <xdr:cNvPr id="33" name="TextBox 32">
              <a:extLst>
                <a:ext uri="{FF2B5EF4-FFF2-40B4-BE49-F238E27FC236}">
                  <a16:creationId xmlns:a16="http://schemas.microsoft.com/office/drawing/2014/main" id="{0627E80D-4C4B-5DF4-18A4-5F6CC605B92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4" name="TextBox 33">
              <a:extLst>
                <a:ext uri="{FF2B5EF4-FFF2-40B4-BE49-F238E27FC236}">
                  <a16:creationId xmlns:a16="http://schemas.microsoft.com/office/drawing/2014/main" id="{7667E5E1-684C-6BAF-31F5-6765AB3ADC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496957</xdr:colOff>
      <xdr:row>2</xdr:row>
      <xdr:rowOff>306456</xdr:rowOff>
    </xdr:from>
    <xdr:to>
      <xdr:col>14</xdr:col>
      <xdr:colOff>208512</xdr:colOff>
      <xdr:row>17</xdr:row>
      <xdr:rowOff>193686</xdr:rowOff>
    </xdr:to>
    <xdr:grpSp>
      <xdr:nvGrpSpPr>
        <xdr:cNvPr id="23" name="Group 24">
          <a:extLst>
            <a:ext uri="{FF2B5EF4-FFF2-40B4-BE49-F238E27FC236}">
              <a16:creationId xmlns:a16="http://schemas.microsoft.com/office/drawing/2014/main" id="{2648F9C5-E6E3-4B68-86DA-DB64ED69467E}"/>
            </a:ext>
          </a:extLst>
        </xdr:cNvPr>
        <xdr:cNvGrpSpPr/>
      </xdr:nvGrpSpPr>
      <xdr:grpSpPr>
        <a:xfrm>
          <a:off x="10295283" y="695739"/>
          <a:ext cx="2461381" cy="3771773"/>
          <a:chOff x="7697825" y="3800475"/>
          <a:chExt cx="2755769" cy="3935649"/>
        </a:xfrm>
      </xdr:grpSpPr>
      <xdr:graphicFrame macro="">
        <xdr:nvGraphicFramePr>
          <xdr:cNvPr id="24" name="Chart 3">
            <a:extLst>
              <a:ext uri="{FF2B5EF4-FFF2-40B4-BE49-F238E27FC236}">
                <a16:creationId xmlns:a16="http://schemas.microsoft.com/office/drawing/2014/main" id="{B2C81C84-DC1C-70C1-7FBB-AC416E9AEFF1}"/>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5" name="Group 19">
            <a:extLst>
              <a:ext uri="{FF2B5EF4-FFF2-40B4-BE49-F238E27FC236}">
                <a16:creationId xmlns:a16="http://schemas.microsoft.com/office/drawing/2014/main" id="{A9AE6A99-629C-9068-EC1B-898AB2F1C6DE}"/>
              </a:ext>
            </a:extLst>
          </xdr:cNvPr>
          <xdr:cNvGrpSpPr/>
        </xdr:nvGrpSpPr>
        <xdr:grpSpPr>
          <a:xfrm>
            <a:off x="8814167" y="3818680"/>
            <a:ext cx="1583474" cy="358291"/>
            <a:chOff x="3880217" y="4675930"/>
            <a:chExt cx="1583474" cy="358291"/>
          </a:xfrm>
        </xdr:grpSpPr>
        <xdr:sp macro="" textlink="$E$64">
          <xdr:nvSpPr>
            <xdr:cNvPr id="30" name="TextBox 20">
              <a:extLst>
                <a:ext uri="{FF2B5EF4-FFF2-40B4-BE49-F238E27FC236}">
                  <a16:creationId xmlns:a16="http://schemas.microsoft.com/office/drawing/2014/main" id="{B965EE56-0DE4-1401-6D91-50EEBF1096B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61C8640-ADD3-4AC5-B05F-632C504505A0}" type="TxLink">
                <a:rPr lang="en-US" sz="1700" b="1" i="0" u="none" strike="noStrike">
                  <a:solidFill>
                    <a:srgbClr val="0033CC"/>
                  </a:solidFill>
                  <a:latin typeface="+mn-lt"/>
                  <a:cs typeface="Arial"/>
                </a:rPr>
                <a:pPr/>
                <a:t> </a:t>
              </a:fld>
              <a:endParaRPr lang="en-US" sz="1700">
                <a:solidFill>
                  <a:srgbClr val="0033CC"/>
                </a:solidFill>
                <a:latin typeface="+mn-lt"/>
                <a:cs typeface="Arial" panose="020B0604020202020204" pitchFamily="34" charset="0"/>
              </a:endParaRPr>
            </a:p>
          </xdr:txBody>
        </xdr:sp>
        <xdr:sp macro="" textlink="">
          <xdr:nvSpPr>
            <xdr:cNvPr id="31" name="TextBox 21">
              <a:extLst>
                <a:ext uri="{FF2B5EF4-FFF2-40B4-BE49-F238E27FC236}">
                  <a16:creationId xmlns:a16="http://schemas.microsoft.com/office/drawing/2014/main" id="{5F2096FD-091D-4C01-FE1C-2028E7FA9A9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6" name="Group 26">
            <a:extLst>
              <a:ext uri="{FF2B5EF4-FFF2-40B4-BE49-F238E27FC236}">
                <a16:creationId xmlns:a16="http://schemas.microsoft.com/office/drawing/2014/main" id="{E8B965FB-32EF-C4CC-D577-9699D849A809}"/>
              </a:ext>
            </a:extLst>
          </xdr:cNvPr>
          <xdr:cNvGrpSpPr/>
        </xdr:nvGrpSpPr>
        <xdr:grpSpPr>
          <a:xfrm>
            <a:off x="7697825" y="5550324"/>
            <a:ext cx="1075761" cy="746276"/>
            <a:chOff x="5516600" y="5769399"/>
            <a:chExt cx="1075761" cy="746276"/>
          </a:xfrm>
        </xdr:grpSpPr>
        <xdr:sp macro="" textlink="$E$61">
          <xdr:nvSpPr>
            <xdr:cNvPr id="27" name="TextBox 28">
              <a:extLst>
                <a:ext uri="{FF2B5EF4-FFF2-40B4-BE49-F238E27FC236}">
                  <a16:creationId xmlns:a16="http://schemas.microsoft.com/office/drawing/2014/main" id="{5A6CF31C-C5C6-D3F8-F05A-241E3A07FF50}"/>
                </a:ext>
              </a:extLst>
            </xdr:cNvPr>
            <xdr:cNvSpPr txBox="1"/>
          </xdr:nvSpPr>
          <xdr:spPr>
            <a:xfrm>
              <a:off x="5686426" y="5962650"/>
              <a:ext cx="573237" cy="341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FB313-D67C-4FA6-AC7C-79F9FB8CD98B}" type="TxLink">
                <a:rPr lang="en-US" sz="1500" b="1" i="0" u="none" strike="noStrike">
                  <a:solidFill>
                    <a:srgbClr val="0033CC"/>
                  </a:solidFill>
                  <a:latin typeface="+mn-lt"/>
                  <a:cs typeface="Arial"/>
                </a:rPr>
                <a:pPr/>
                <a:t> </a:t>
              </a:fld>
              <a:endParaRPr lang="en-US" sz="1500">
                <a:latin typeface="+mn-lt"/>
              </a:endParaRPr>
            </a:p>
          </xdr:txBody>
        </xdr:sp>
        <xdr:sp macro="" textlink="">
          <xdr:nvSpPr>
            <xdr:cNvPr id="28" name="TextBox 29">
              <a:extLst>
                <a:ext uri="{FF2B5EF4-FFF2-40B4-BE49-F238E27FC236}">
                  <a16:creationId xmlns:a16="http://schemas.microsoft.com/office/drawing/2014/main" id="{6ACCE613-FBC4-C37B-C153-465EA8CB0CF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9" name="TextBox 30">
              <a:extLst>
                <a:ext uri="{FF2B5EF4-FFF2-40B4-BE49-F238E27FC236}">
                  <a16:creationId xmlns:a16="http://schemas.microsoft.com/office/drawing/2014/main" id="{82ECA83A-BED1-2C40-D8E4-46B33161E31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117231</xdr:rowOff>
    </xdr:from>
    <xdr:to>
      <xdr:col>1</xdr:col>
      <xdr:colOff>520212</xdr:colOff>
      <xdr:row>1</xdr:row>
      <xdr:rowOff>138591</xdr:rowOff>
    </xdr:to>
    <xdr:pic>
      <xdr:nvPicPr>
        <xdr:cNvPr id="2" name="Picture 1">
          <a:extLst>
            <a:ext uri="{FF2B5EF4-FFF2-40B4-BE49-F238E27FC236}">
              <a16:creationId xmlns:a16="http://schemas.microsoft.com/office/drawing/2014/main" id="{80C9CD5F-EC97-4C4A-9052-01D37DB75F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231"/>
          <a:ext cx="967887" cy="211860"/>
        </a:xfrm>
        <a:prstGeom prst="rect">
          <a:avLst/>
        </a:prstGeom>
      </xdr:spPr>
    </xdr:pic>
    <xdr:clientData/>
  </xdr:twoCellAnchor>
  <xdr:twoCellAnchor editAs="oneCell">
    <xdr:from>
      <xdr:col>18</xdr:col>
      <xdr:colOff>124241</xdr:colOff>
      <xdr:row>9</xdr:row>
      <xdr:rowOff>143728</xdr:rowOff>
    </xdr:from>
    <xdr:to>
      <xdr:col>22</xdr:col>
      <xdr:colOff>156883</xdr:colOff>
      <xdr:row>31</xdr:row>
      <xdr:rowOff>168845</xdr:rowOff>
    </xdr:to>
    <xdr:grpSp>
      <xdr:nvGrpSpPr>
        <xdr:cNvPr id="47" name="Group 46">
          <a:extLst>
            <a:ext uri="{FF2B5EF4-FFF2-40B4-BE49-F238E27FC236}">
              <a16:creationId xmlns:a16="http://schemas.microsoft.com/office/drawing/2014/main" id="{9161BB60-E4FD-4FDB-B5F6-756A7195D83D}"/>
            </a:ext>
          </a:extLst>
        </xdr:cNvPr>
        <xdr:cNvGrpSpPr/>
      </xdr:nvGrpSpPr>
      <xdr:grpSpPr>
        <a:xfrm>
          <a:off x="14169953" y="2341805"/>
          <a:ext cx="2787565" cy="4098886"/>
          <a:chOff x="16259708" y="7403937"/>
          <a:chExt cx="2240844" cy="4135400"/>
        </a:xfrm>
      </xdr:grpSpPr>
      <xdr:grpSp>
        <xdr:nvGrpSpPr>
          <xdr:cNvPr id="48" name="Group 24">
            <a:extLst>
              <a:ext uri="{FF2B5EF4-FFF2-40B4-BE49-F238E27FC236}">
                <a16:creationId xmlns:a16="http://schemas.microsoft.com/office/drawing/2014/main" id="{551A665E-DF67-785B-F6D3-3F963EC70185}"/>
              </a:ext>
            </a:extLst>
          </xdr:cNvPr>
          <xdr:cNvGrpSpPr/>
        </xdr:nvGrpSpPr>
        <xdr:grpSpPr>
          <a:xfrm>
            <a:off x="16259708" y="7734260"/>
            <a:ext cx="2240844" cy="3805077"/>
            <a:chOff x="7800975" y="3800475"/>
            <a:chExt cx="2652619" cy="3935649"/>
          </a:xfrm>
        </xdr:grpSpPr>
        <xdr:graphicFrame macro="">
          <xdr:nvGraphicFramePr>
            <xdr:cNvPr id="50" name="Chart 3">
              <a:extLst>
                <a:ext uri="{FF2B5EF4-FFF2-40B4-BE49-F238E27FC236}">
                  <a16:creationId xmlns:a16="http://schemas.microsoft.com/office/drawing/2014/main" id="{61DFFE62-1919-958E-934B-2881956A52B1}"/>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51" name="Group 19">
              <a:extLst>
                <a:ext uri="{FF2B5EF4-FFF2-40B4-BE49-F238E27FC236}">
                  <a16:creationId xmlns:a16="http://schemas.microsoft.com/office/drawing/2014/main" id="{4C6B29BB-1881-C503-3897-C2334930787D}"/>
                </a:ext>
              </a:extLst>
            </xdr:cNvPr>
            <xdr:cNvGrpSpPr/>
          </xdr:nvGrpSpPr>
          <xdr:grpSpPr>
            <a:xfrm>
              <a:off x="8814167" y="3818680"/>
              <a:ext cx="1583474" cy="358291"/>
              <a:chOff x="3880217" y="4675930"/>
              <a:chExt cx="1583474" cy="358291"/>
            </a:xfrm>
          </xdr:grpSpPr>
          <xdr:sp macro="" textlink="$G$64">
            <xdr:nvSpPr>
              <xdr:cNvPr id="56" name="TextBox 20">
                <a:extLst>
                  <a:ext uri="{FF2B5EF4-FFF2-40B4-BE49-F238E27FC236}">
                    <a16:creationId xmlns:a16="http://schemas.microsoft.com/office/drawing/2014/main" id="{EB4641E2-0631-F4E6-BBBB-593C15729FCA}"/>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161A6A1-23D2-40F6-8533-3A9023E93381}" type="TxLink">
                  <a:rPr lang="en-US" sz="1700" b="1" i="0" u="none" strike="noStrike">
                    <a:solidFill>
                      <a:srgbClr val="0033CC"/>
                    </a:solidFill>
                    <a:latin typeface="Aptos Narrow (Body)"/>
                    <a:cs typeface="Arial"/>
                  </a:rPr>
                  <a:pPr/>
                  <a:t> </a:t>
                </a:fld>
                <a:endParaRPr lang="en-US" sz="1700">
                  <a:solidFill>
                    <a:srgbClr val="0033CC"/>
                  </a:solidFill>
                  <a:latin typeface="Aptos Narrow (Body)"/>
                  <a:cs typeface="Arial" panose="020B0604020202020204" pitchFamily="34" charset="0"/>
                </a:endParaRPr>
              </a:p>
            </xdr:txBody>
          </xdr:sp>
          <xdr:sp macro="" textlink="">
            <xdr:nvSpPr>
              <xdr:cNvPr id="57" name="TextBox 21">
                <a:extLst>
                  <a:ext uri="{FF2B5EF4-FFF2-40B4-BE49-F238E27FC236}">
                    <a16:creationId xmlns:a16="http://schemas.microsoft.com/office/drawing/2014/main" id="{0B6365CF-A546-6818-4F3A-06A953ADF8BA}"/>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52" name="Group 26">
              <a:extLst>
                <a:ext uri="{FF2B5EF4-FFF2-40B4-BE49-F238E27FC236}">
                  <a16:creationId xmlns:a16="http://schemas.microsoft.com/office/drawing/2014/main" id="{99F4C153-3FE2-523A-1260-8FBC87B06494}"/>
                </a:ext>
              </a:extLst>
            </xdr:cNvPr>
            <xdr:cNvGrpSpPr/>
          </xdr:nvGrpSpPr>
          <xdr:grpSpPr>
            <a:xfrm>
              <a:off x="7985578" y="5550324"/>
              <a:ext cx="1075761" cy="815848"/>
              <a:chOff x="5804353" y="5769399"/>
              <a:chExt cx="1075761" cy="815848"/>
            </a:xfrm>
          </xdr:grpSpPr>
          <xdr:sp macro="" textlink="$G$61">
            <xdr:nvSpPr>
              <xdr:cNvPr id="53" name="TextBox 28">
                <a:extLst>
                  <a:ext uri="{FF2B5EF4-FFF2-40B4-BE49-F238E27FC236}">
                    <a16:creationId xmlns:a16="http://schemas.microsoft.com/office/drawing/2014/main" id="{11278390-F5E8-2BCF-4C26-7F216F1B09F7}"/>
                  </a:ext>
                </a:extLst>
              </xdr:cNvPr>
              <xdr:cNvSpPr txBox="1"/>
            </xdr:nvSpPr>
            <xdr:spPr>
              <a:xfrm>
                <a:off x="5914936" y="5952711"/>
                <a:ext cx="214091" cy="373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 </a:t>
                </a:fld>
                <a:endParaRPr lang="en-US" sz="1700">
                  <a:latin typeface="Aptos Narrow (Body)"/>
                </a:endParaRPr>
              </a:p>
            </xdr:txBody>
          </xdr:sp>
          <xdr:sp macro="" textlink="">
            <xdr:nvSpPr>
              <xdr:cNvPr id="54" name="TextBox 29">
                <a:extLst>
                  <a:ext uri="{FF2B5EF4-FFF2-40B4-BE49-F238E27FC236}">
                    <a16:creationId xmlns:a16="http://schemas.microsoft.com/office/drawing/2014/main" id="{43D75269-700F-70AD-568F-F6A495D9CD23}"/>
                  </a:ext>
                </a:extLst>
              </xdr:cNvPr>
              <xdr:cNvSpPr txBox="1"/>
            </xdr:nvSpPr>
            <xdr:spPr>
              <a:xfrm>
                <a:off x="5834488" y="6289397"/>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55" name="TextBox 30">
                <a:extLst>
                  <a:ext uri="{FF2B5EF4-FFF2-40B4-BE49-F238E27FC236}">
                    <a16:creationId xmlns:a16="http://schemas.microsoft.com/office/drawing/2014/main" id="{98091189-AD43-3349-605A-ED36B1A2AFB4}"/>
                  </a:ext>
                </a:extLst>
              </xdr:cNvPr>
              <xdr:cNvSpPr txBox="1"/>
            </xdr:nvSpPr>
            <xdr:spPr>
              <a:xfrm>
                <a:off x="5804353"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49" name="TextBox 69">
            <a:extLst>
              <a:ext uri="{FF2B5EF4-FFF2-40B4-BE49-F238E27FC236}">
                <a16:creationId xmlns:a16="http://schemas.microsoft.com/office/drawing/2014/main" id="{E73FB461-A6A1-8860-98BD-4A52ED96D6DA}"/>
              </a:ext>
            </a:extLst>
          </xdr:cNvPr>
          <xdr:cNvSpPr txBox="1"/>
        </xdr:nvSpPr>
        <xdr:spPr>
          <a:xfrm>
            <a:off x="16261704" y="7403937"/>
            <a:ext cx="998633" cy="3299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1</a:t>
            </a:r>
            <a:endParaRPr lang="en-US" sz="1500" b="1" u="sng"/>
          </a:p>
        </xdr:txBody>
      </xdr:sp>
    </xdr:grpSp>
    <xdr:clientData/>
  </xdr:twoCellAnchor>
  <xdr:twoCellAnchor editAs="oneCell">
    <xdr:from>
      <xdr:col>18</xdr:col>
      <xdr:colOff>169639</xdr:colOff>
      <xdr:row>33</xdr:row>
      <xdr:rowOff>87966</xdr:rowOff>
    </xdr:from>
    <xdr:to>
      <xdr:col>22</xdr:col>
      <xdr:colOff>151652</xdr:colOff>
      <xdr:row>54</xdr:row>
      <xdr:rowOff>164500</xdr:rowOff>
    </xdr:to>
    <xdr:grpSp>
      <xdr:nvGrpSpPr>
        <xdr:cNvPr id="58" name="Group 57">
          <a:extLst>
            <a:ext uri="{FF2B5EF4-FFF2-40B4-BE49-F238E27FC236}">
              <a16:creationId xmlns:a16="http://schemas.microsoft.com/office/drawing/2014/main" id="{DB5DB248-A918-4905-8A80-4D57A58066D4}"/>
            </a:ext>
          </a:extLst>
        </xdr:cNvPr>
        <xdr:cNvGrpSpPr/>
      </xdr:nvGrpSpPr>
      <xdr:grpSpPr>
        <a:xfrm>
          <a:off x="14215351" y="6740812"/>
          <a:ext cx="2736936" cy="4077034"/>
          <a:chOff x="9284677" y="11615942"/>
          <a:chExt cx="2252365" cy="4102024"/>
        </a:xfrm>
      </xdr:grpSpPr>
      <xdr:grpSp>
        <xdr:nvGrpSpPr>
          <xdr:cNvPr id="59" name="Group 58">
            <a:extLst>
              <a:ext uri="{FF2B5EF4-FFF2-40B4-BE49-F238E27FC236}">
                <a16:creationId xmlns:a16="http://schemas.microsoft.com/office/drawing/2014/main" id="{C575C42B-F533-9E39-4C7E-2D4E45117462}"/>
              </a:ext>
            </a:extLst>
          </xdr:cNvPr>
          <xdr:cNvGrpSpPr/>
        </xdr:nvGrpSpPr>
        <xdr:grpSpPr>
          <a:xfrm>
            <a:off x="9284677" y="11959782"/>
            <a:ext cx="2252365" cy="3758184"/>
            <a:chOff x="7743823" y="7915275"/>
            <a:chExt cx="2663385" cy="4317935"/>
          </a:xfrm>
        </xdr:grpSpPr>
        <xdr:graphicFrame macro="">
          <xdr:nvGraphicFramePr>
            <xdr:cNvPr id="61" name="Chart 60">
              <a:extLst>
                <a:ext uri="{FF2B5EF4-FFF2-40B4-BE49-F238E27FC236}">
                  <a16:creationId xmlns:a16="http://schemas.microsoft.com/office/drawing/2014/main" id="{EFEB51CB-ABAA-4964-5D0B-8918BCA68BA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62" name="Group 61">
              <a:extLst>
                <a:ext uri="{FF2B5EF4-FFF2-40B4-BE49-F238E27FC236}">
                  <a16:creationId xmlns:a16="http://schemas.microsoft.com/office/drawing/2014/main" id="{7D80D0B6-679D-160E-B8B1-55CD70CA475A}"/>
                </a:ext>
              </a:extLst>
            </xdr:cNvPr>
            <xdr:cNvGrpSpPr/>
          </xdr:nvGrpSpPr>
          <xdr:grpSpPr>
            <a:xfrm>
              <a:off x="8748842" y="8010525"/>
              <a:ext cx="1601103" cy="385633"/>
              <a:chOff x="3662491" y="4678681"/>
              <a:chExt cx="1601103" cy="385633"/>
            </a:xfrm>
          </xdr:grpSpPr>
          <xdr:sp macro="" textlink="$G$86">
            <xdr:nvSpPr>
              <xdr:cNvPr id="67" name="TextBox 66">
                <a:extLst>
                  <a:ext uri="{FF2B5EF4-FFF2-40B4-BE49-F238E27FC236}">
                    <a16:creationId xmlns:a16="http://schemas.microsoft.com/office/drawing/2014/main" id="{FD0E968D-E582-D354-9A9C-D14EF48B33BC}"/>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2BF55DF-FDA3-4860-9709-908E91B2F192}" type="TxLink">
                  <a:rPr lang="en-US" sz="1700" b="1" i="0" u="none" strike="noStrike">
                    <a:solidFill>
                      <a:srgbClr val="0033CC"/>
                    </a:solidFill>
                    <a:latin typeface="Aptos Narrow (Body)"/>
                    <a:cs typeface="Arial"/>
                  </a:rPr>
                  <a:pPr/>
                  <a:t> </a:t>
                </a:fld>
                <a:endParaRPr lang="en-US" sz="1700">
                  <a:solidFill>
                    <a:srgbClr val="0033CC"/>
                  </a:solidFill>
                  <a:latin typeface="Aptos Narrow (Body)"/>
                  <a:cs typeface="Arial" panose="020B0604020202020204" pitchFamily="34" charset="0"/>
                </a:endParaRPr>
              </a:p>
            </xdr:txBody>
          </xdr:sp>
          <xdr:sp macro="" textlink="">
            <xdr:nvSpPr>
              <xdr:cNvPr id="68" name="TextBox 67">
                <a:extLst>
                  <a:ext uri="{FF2B5EF4-FFF2-40B4-BE49-F238E27FC236}">
                    <a16:creationId xmlns:a16="http://schemas.microsoft.com/office/drawing/2014/main" id="{BDA1461A-5689-FE10-F59B-A4F91DF6FF14}"/>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3" name="Group 62">
              <a:extLst>
                <a:ext uri="{FF2B5EF4-FFF2-40B4-BE49-F238E27FC236}">
                  <a16:creationId xmlns:a16="http://schemas.microsoft.com/office/drawing/2014/main" id="{871987F3-9E42-B8F7-DA49-17A53B02A7A2}"/>
                </a:ext>
              </a:extLst>
            </xdr:cNvPr>
            <xdr:cNvGrpSpPr/>
          </xdr:nvGrpSpPr>
          <xdr:grpSpPr>
            <a:xfrm>
              <a:off x="7743823" y="9982200"/>
              <a:ext cx="1018881" cy="734000"/>
              <a:chOff x="5572123" y="5781675"/>
              <a:chExt cx="1018881" cy="734000"/>
            </a:xfrm>
          </xdr:grpSpPr>
          <xdr:sp macro="" textlink="$G$83">
            <xdr:nvSpPr>
              <xdr:cNvPr id="64" name="TextBox 63">
                <a:extLst>
                  <a:ext uri="{FF2B5EF4-FFF2-40B4-BE49-F238E27FC236}">
                    <a16:creationId xmlns:a16="http://schemas.microsoft.com/office/drawing/2014/main" id="{52482FF7-E9A0-B29D-280E-9CF28E343AF9}"/>
                  </a:ext>
                </a:extLst>
              </xdr:cNvPr>
              <xdr:cNvSpPr txBox="1"/>
            </xdr:nvSpPr>
            <xdr:spPr>
              <a:xfrm>
                <a:off x="5581649" y="5962651"/>
                <a:ext cx="214441" cy="378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78E7FD-F651-4AAB-B214-A90AB53B85CF}" type="TxLink">
                  <a:rPr lang="en-US" sz="1500" b="1" i="0" u="none" strike="noStrike">
                    <a:solidFill>
                      <a:srgbClr val="0033CC"/>
                    </a:solidFill>
                    <a:latin typeface="Aptos Narrow (Body)"/>
                    <a:cs typeface="Arial"/>
                  </a:rPr>
                  <a:pPr/>
                  <a:t> </a:t>
                </a:fld>
                <a:endParaRPr lang="en-US" sz="1500">
                  <a:latin typeface="Aptos Narrow (Body)"/>
                </a:endParaRPr>
              </a:p>
            </xdr:txBody>
          </xdr:sp>
          <xdr:sp macro="" textlink="">
            <xdr:nvSpPr>
              <xdr:cNvPr id="65" name="TextBox 64">
                <a:extLst>
                  <a:ext uri="{FF2B5EF4-FFF2-40B4-BE49-F238E27FC236}">
                    <a16:creationId xmlns:a16="http://schemas.microsoft.com/office/drawing/2014/main" id="{4B0A8D79-99A9-8244-2586-E43C79D2A94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6" name="TextBox 65">
                <a:extLst>
                  <a:ext uri="{FF2B5EF4-FFF2-40B4-BE49-F238E27FC236}">
                    <a16:creationId xmlns:a16="http://schemas.microsoft.com/office/drawing/2014/main" id="{D46EB1C5-21C3-E261-DF0A-C0F9A872673C}"/>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0" name="TextBox 59">
            <a:extLst>
              <a:ext uri="{FF2B5EF4-FFF2-40B4-BE49-F238E27FC236}">
                <a16:creationId xmlns:a16="http://schemas.microsoft.com/office/drawing/2014/main" id="{E4A3DF0C-BB0E-07AC-0B0A-083102774AB4}"/>
              </a:ext>
            </a:extLst>
          </xdr:cNvPr>
          <xdr:cNvSpPr txBox="1"/>
        </xdr:nvSpPr>
        <xdr:spPr>
          <a:xfrm>
            <a:off x="9317731" y="11615942"/>
            <a:ext cx="1097150"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1</a:t>
            </a:r>
            <a:endParaRPr lang="en-US" sz="1500" b="1" u="sng"/>
          </a:p>
        </xdr:txBody>
      </xdr:sp>
    </xdr:grpSp>
    <xdr:clientData/>
  </xdr:twoCellAnchor>
  <xdr:twoCellAnchor editAs="oneCell">
    <xdr:from>
      <xdr:col>22</xdr:col>
      <xdr:colOff>636187</xdr:colOff>
      <xdr:row>9</xdr:row>
      <xdr:rowOff>143728</xdr:rowOff>
    </xdr:from>
    <xdr:to>
      <xdr:col>26</xdr:col>
      <xdr:colOff>373042</xdr:colOff>
      <xdr:row>31</xdr:row>
      <xdr:rowOff>166305</xdr:rowOff>
    </xdr:to>
    <xdr:grpSp>
      <xdr:nvGrpSpPr>
        <xdr:cNvPr id="69" name="Group 68">
          <a:extLst>
            <a:ext uri="{FF2B5EF4-FFF2-40B4-BE49-F238E27FC236}">
              <a16:creationId xmlns:a16="http://schemas.microsoft.com/office/drawing/2014/main" id="{519C8959-0946-4C79-9AB9-106B2A8DFA57}"/>
            </a:ext>
          </a:extLst>
        </xdr:cNvPr>
        <xdr:cNvGrpSpPr/>
      </xdr:nvGrpSpPr>
      <xdr:grpSpPr>
        <a:xfrm>
          <a:off x="17436822" y="2341805"/>
          <a:ext cx="2491778" cy="4096346"/>
          <a:chOff x="16172571" y="7403937"/>
          <a:chExt cx="2327982" cy="4135400"/>
        </a:xfrm>
      </xdr:grpSpPr>
      <xdr:grpSp>
        <xdr:nvGrpSpPr>
          <xdr:cNvPr id="70" name="Group 24">
            <a:extLst>
              <a:ext uri="{FF2B5EF4-FFF2-40B4-BE49-F238E27FC236}">
                <a16:creationId xmlns:a16="http://schemas.microsoft.com/office/drawing/2014/main" id="{E3B81455-3629-77C7-81A9-39EDFB56D5D5}"/>
              </a:ext>
            </a:extLst>
          </xdr:cNvPr>
          <xdr:cNvGrpSpPr/>
        </xdr:nvGrpSpPr>
        <xdr:grpSpPr>
          <a:xfrm>
            <a:off x="16172571" y="7734260"/>
            <a:ext cx="2327982" cy="3805077"/>
            <a:chOff x="7697825" y="3800475"/>
            <a:chExt cx="2755769" cy="3935649"/>
          </a:xfrm>
        </xdr:grpSpPr>
        <xdr:graphicFrame macro="">
          <xdr:nvGraphicFramePr>
            <xdr:cNvPr id="72" name="Chart 3">
              <a:extLst>
                <a:ext uri="{FF2B5EF4-FFF2-40B4-BE49-F238E27FC236}">
                  <a16:creationId xmlns:a16="http://schemas.microsoft.com/office/drawing/2014/main" id="{9B4D4FA7-7DD1-11E1-DE62-D4C270A4FF86}"/>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73" name="Group 19">
              <a:extLst>
                <a:ext uri="{FF2B5EF4-FFF2-40B4-BE49-F238E27FC236}">
                  <a16:creationId xmlns:a16="http://schemas.microsoft.com/office/drawing/2014/main" id="{5916D689-EBF5-1853-6875-D78387A523F3}"/>
                </a:ext>
              </a:extLst>
            </xdr:cNvPr>
            <xdr:cNvGrpSpPr/>
          </xdr:nvGrpSpPr>
          <xdr:grpSpPr>
            <a:xfrm>
              <a:off x="8814167" y="3818680"/>
              <a:ext cx="1583474" cy="358291"/>
              <a:chOff x="3880217" y="4675930"/>
              <a:chExt cx="1583474" cy="358291"/>
            </a:xfrm>
          </xdr:grpSpPr>
          <xdr:sp macro="" textlink="$I$64">
            <xdr:nvSpPr>
              <xdr:cNvPr id="78" name="TextBox 20">
                <a:extLst>
                  <a:ext uri="{FF2B5EF4-FFF2-40B4-BE49-F238E27FC236}">
                    <a16:creationId xmlns:a16="http://schemas.microsoft.com/office/drawing/2014/main" id="{54B7A838-2566-EA8A-F35A-D40F83FBC5A4}"/>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33E2F81-BA56-44F1-B1F9-08EFE1CDE529}" type="TxLink">
                  <a:rPr lang="en-US" sz="1700" b="1" i="0" u="none" strike="noStrike">
                    <a:solidFill>
                      <a:srgbClr val="0033CC"/>
                    </a:solidFill>
                    <a:latin typeface="+mj-lt"/>
                    <a:cs typeface="Arial"/>
                  </a:rPr>
                  <a:pPr/>
                  <a:t> </a:t>
                </a:fld>
                <a:endParaRPr lang="en-US" sz="1700">
                  <a:solidFill>
                    <a:srgbClr val="0033CC"/>
                  </a:solidFill>
                  <a:latin typeface="+mj-lt"/>
                  <a:cs typeface="Arial" panose="020B0604020202020204" pitchFamily="34" charset="0"/>
                </a:endParaRPr>
              </a:p>
            </xdr:txBody>
          </xdr:sp>
          <xdr:sp macro="" textlink="">
            <xdr:nvSpPr>
              <xdr:cNvPr id="79" name="TextBox 21">
                <a:extLst>
                  <a:ext uri="{FF2B5EF4-FFF2-40B4-BE49-F238E27FC236}">
                    <a16:creationId xmlns:a16="http://schemas.microsoft.com/office/drawing/2014/main" id="{EC6788EA-3374-8090-F1A6-D5A366C0FDBB}"/>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4" name="Group 26">
              <a:extLst>
                <a:ext uri="{FF2B5EF4-FFF2-40B4-BE49-F238E27FC236}">
                  <a16:creationId xmlns:a16="http://schemas.microsoft.com/office/drawing/2014/main" id="{25F09E03-A236-78B6-1121-02D9E9F3F935}"/>
                </a:ext>
              </a:extLst>
            </xdr:cNvPr>
            <xdr:cNvGrpSpPr/>
          </xdr:nvGrpSpPr>
          <xdr:grpSpPr>
            <a:xfrm>
              <a:off x="7697825" y="5550324"/>
              <a:ext cx="1075761" cy="746276"/>
              <a:chOff x="5516600" y="5769399"/>
              <a:chExt cx="1075761" cy="746276"/>
            </a:xfrm>
          </xdr:grpSpPr>
          <xdr:sp macro="" textlink="$I$61">
            <xdr:nvSpPr>
              <xdr:cNvPr id="75" name="TextBox 28">
                <a:extLst>
                  <a:ext uri="{FF2B5EF4-FFF2-40B4-BE49-F238E27FC236}">
                    <a16:creationId xmlns:a16="http://schemas.microsoft.com/office/drawing/2014/main" id="{CC7A766A-7E06-3BC0-A61A-63632A39915D}"/>
                  </a:ext>
                </a:extLst>
              </xdr:cNvPr>
              <xdr:cNvSpPr txBox="1"/>
            </xdr:nvSpPr>
            <xdr:spPr>
              <a:xfrm>
                <a:off x="5686426" y="5962650"/>
                <a:ext cx="251935" cy="374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078018-C306-4BB7-8DE1-CDF57B120A91}" type="TxLink">
                  <a:rPr lang="en-US" sz="1700" b="1" i="0" u="none" strike="noStrike">
                    <a:solidFill>
                      <a:srgbClr val="0033CC"/>
                    </a:solidFill>
                    <a:latin typeface="+mj-lt"/>
                    <a:cs typeface="Arial"/>
                  </a:rPr>
                  <a:pPr/>
                  <a:t> </a:t>
                </a:fld>
                <a:endParaRPr lang="en-US" sz="1700">
                  <a:latin typeface="+mj-lt"/>
                </a:endParaRPr>
              </a:p>
            </xdr:txBody>
          </xdr:sp>
          <xdr:sp macro="" textlink="">
            <xdr:nvSpPr>
              <xdr:cNvPr id="76" name="TextBox 29">
                <a:extLst>
                  <a:ext uri="{FF2B5EF4-FFF2-40B4-BE49-F238E27FC236}">
                    <a16:creationId xmlns:a16="http://schemas.microsoft.com/office/drawing/2014/main" id="{00D6C66C-73A9-B0F9-BA1C-204D2A64EDC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7" name="TextBox 30">
                <a:extLst>
                  <a:ext uri="{FF2B5EF4-FFF2-40B4-BE49-F238E27FC236}">
                    <a16:creationId xmlns:a16="http://schemas.microsoft.com/office/drawing/2014/main" id="{80E90AB3-4A94-0052-F7E9-65257DF021B5}"/>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1" name="TextBox 69">
            <a:extLst>
              <a:ext uri="{FF2B5EF4-FFF2-40B4-BE49-F238E27FC236}">
                <a16:creationId xmlns:a16="http://schemas.microsoft.com/office/drawing/2014/main" id="{DFFA967B-0FF7-D79D-E382-C5B2DE69EB5B}"/>
              </a:ext>
            </a:extLst>
          </xdr:cNvPr>
          <xdr:cNvSpPr txBox="1"/>
        </xdr:nvSpPr>
        <xdr:spPr>
          <a:xfrm>
            <a:off x="16261704" y="7403937"/>
            <a:ext cx="1250601" cy="330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BÁO</a:t>
            </a:r>
            <a:r>
              <a:rPr lang="en-US" sz="1500" b="1" u="sng" baseline="0"/>
              <a:t> GIÁ LẦN 2</a:t>
            </a:r>
            <a:endParaRPr lang="en-US" sz="1500" b="1" u="sng"/>
          </a:p>
        </xdr:txBody>
      </xdr:sp>
    </xdr:grpSp>
    <xdr:clientData/>
  </xdr:twoCellAnchor>
  <xdr:twoCellAnchor editAs="oneCell">
    <xdr:from>
      <xdr:col>23</xdr:col>
      <xdr:colOff>25450</xdr:colOff>
      <xdr:row>33</xdr:row>
      <xdr:rowOff>87966</xdr:rowOff>
    </xdr:from>
    <xdr:to>
      <xdr:col>26</xdr:col>
      <xdr:colOff>443653</xdr:colOff>
      <xdr:row>54</xdr:row>
      <xdr:rowOff>164500</xdr:rowOff>
    </xdr:to>
    <xdr:grpSp>
      <xdr:nvGrpSpPr>
        <xdr:cNvPr id="80" name="Group 79">
          <a:extLst>
            <a:ext uri="{FF2B5EF4-FFF2-40B4-BE49-F238E27FC236}">
              <a16:creationId xmlns:a16="http://schemas.microsoft.com/office/drawing/2014/main" id="{F0FB9591-F3EA-40E4-B26F-D98E78FDF1FE}"/>
            </a:ext>
          </a:extLst>
        </xdr:cNvPr>
        <xdr:cNvGrpSpPr/>
      </xdr:nvGrpSpPr>
      <xdr:grpSpPr>
        <a:xfrm>
          <a:off x="17514815" y="6740812"/>
          <a:ext cx="2484396" cy="4077034"/>
          <a:chOff x="9284677" y="11615942"/>
          <a:chExt cx="2252365" cy="4102024"/>
        </a:xfrm>
      </xdr:grpSpPr>
      <xdr:grpSp>
        <xdr:nvGrpSpPr>
          <xdr:cNvPr id="81" name="Group 80">
            <a:extLst>
              <a:ext uri="{FF2B5EF4-FFF2-40B4-BE49-F238E27FC236}">
                <a16:creationId xmlns:a16="http://schemas.microsoft.com/office/drawing/2014/main" id="{491591DD-BF95-6F0D-C0E0-77B5E1AABF4B}"/>
              </a:ext>
            </a:extLst>
          </xdr:cNvPr>
          <xdr:cNvGrpSpPr/>
        </xdr:nvGrpSpPr>
        <xdr:grpSpPr>
          <a:xfrm>
            <a:off x="9284677" y="11959782"/>
            <a:ext cx="2252365" cy="3758184"/>
            <a:chOff x="7743823" y="7915275"/>
            <a:chExt cx="2663385" cy="4317935"/>
          </a:xfrm>
        </xdr:grpSpPr>
        <xdr:graphicFrame macro="">
          <xdr:nvGraphicFramePr>
            <xdr:cNvPr id="83" name="Chart 82">
              <a:extLst>
                <a:ext uri="{FF2B5EF4-FFF2-40B4-BE49-F238E27FC236}">
                  <a16:creationId xmlns:a16="http://schemas.microsoft.com/office/drawing/2014/main" id="{3A1A88D0-8121-EE3D-2C0C-BF3AB5CB691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84" name="Group 83">
              <a:extLst>
                <a:ext uri="{FF2B5EF4-FFF2-40B4-BE49-F238E27FC236}">
                  <a16:creationId xmlns:a16="http://schemas.microsoft.com/office/drawing/2014/main" id="{754F4DD2-A312-BA26-6027-15CA86C02B74}"/>
                </a:ext>
              </a:extLst>
            </xdr:cNvPr>
            <xdr:cNvGrpSpPr/>
          </xdr:nvGrpSpPr>
          <xdr:grpSpPr>
            <a:xfrm>
              <a:off x="8748842" y="8010525"/>
              <a:ext cx="1601103" cy="385633"/>
              <a:chOff x="3662491" y="4678681"/>
              <a:chExt cx="1601103" cy="385633"/>
            </a:xfrm>
          </xdr:grpSpPr>
          <xdr:sp macro="" textlink="$I$86">
            <xdr:nvSpPr>
              <xdr:cNvPr id="89" name="TextBox 88">
                <a:extLst>
                  <a:ext uri="{FF2B5EF4-FFF2-40B4-BE49-F238E27FC236}">
                    <a16:creationId xmlns:a16="http://schemas.microsoft.com/office/drawing/2014/main" id="{71139B42-F334-BAD0-E315-B661EE752463}"/>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765B8F-E4E4-4E5B-8A4F-D33C48352602}" type="TxLink">
                  <a:rPr lang="en-US" sz="1700" b="1" i="0" u="none" strike="noStrike">
                    <a:solidFill>
                      <a:srgbClr val="0033CC"/>
                    </a:solidFill>
                    <a:latin typeface="Aptos Display (Headings)"/>
                    <a:cs typeface="Arial"/>
                  </a:rPr>
                  <a:pPr/>
                  <a:t> </a:t>
                </a:fld>
                <a:endParaRPr lang="en-US" sz="1700">
                  <a:solidFill>
                    <a:srgbClr val="0033CC"/>
                  </a:solidFill>
                  <a:latin typeface="Aptos Display (Headings)"/>
                  <a:cs typeface="Arial" panose="020B0604020202020204" pitchFamily="34" charset="0"/>
                </a:endParaRPr>
              </a:p>
            </xdr:txBody>
          </xdr:sp>
          <xdr:sp macro="" textlink="">
            <xdr:nvSpPr>
              <xdr:cNvPr id="90" name="TextBox 89">
                <a:extLst>
                  <a:ext uri="{FF2B5EF4-FFF2-40B4-BE49-F238E27FC236}">
                    <a16:creationId xmlns:a16="http://schemas.microsoft.com/office/drawing/2014/main" id="{26BE9807-87E6-75CD-432F-E40925066EF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85" name="Group 84">
              <a:extLst>
                <a:ext uri="{FF2B5EF4-FFF2-40B4-BE49-F238E27FC236}">
                  <a16:creationId xmlns:a16="http://schemas.microsoft.com/office/drawing/2014/main" id="{44313A88-F9B3-9568-4247-2908CEB50EF0}"/>
                </a:ext>
              </a:extLst>
            </xdr:cNvPr>
            <xdr:cNvGrpSpPr/>
          </xdr:nvGrpSpPr>
          <xdr:grpSpPr>
            <a:xfrm>
              <a:off x="7743823" y="9982200"/>
              <a:ext cx="1018881" cy="734000"/>
              <a:chOff x="5572123" y="5781675"/>
              <a:chExt cx="1018881" cy="734000"/>
            </a:xfrm>
          </xdr:grpSpPr>
          <xdr:sp macro="" textlink="$I$83">
            <xdr:nvSpPr>
              <xdr:cNvPr id="86" name="TextBox 85">
                <a:extLst>
                  <a:ext uri="{FF2B5EF4-FFF2-40B4-BE49-F238E27FC236}">
                    <a16:creationId xmlns:a16="http://schemas.microsoft.com/office/drawing/2014/main" id="{46BFC883-C0E1-3A15-7344-33DB85E2AC05}"/>
                  </a:ext>
                </a:extLst>
              </xdr:cNvPr>
              <xdr:cNvSpPr txBox="1"/>
            </xdr:nvSpPr>
            <xdr:spPr>
              <a:xfrm>
                <a:off x="5581649" y="5962651"/>
                <a:ext cx="243927"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13814A-D749-4D8D-B1FB-F58ABA0A0E51}" type="TxLink">
                  <a:rPr lang="en-US" sz="1700" b="1" i="0" u="none" strike="noStrike">
                    <a:solidFill>
                      <a:srgbClr val="0033CC"/>
                    </a:solidFill>
                    <a:latin typeface="Aptos Display (Headings)"/>
                    <a:cs typeface="Arial"/>
                  </a:rPr>
                  <a:pPr/>
                  <a:t> </a:t>
                </a:fld>
                <a:endParaRPr lang="en-US" sz="1700">
                  <a:latin typeface="Aptos Display (Headings)"/>
                </a:endParaRPr>
              </a:p>
            </xdr:txBody>
          </xdr:sp>
          <xdr:sp macro="" textlink="">
            <xdr:nvSpPr>
              <xdr:cNvPr id="87" name="TextBox 86">
                <a:extLst>
                  <a:ext uri="{FF2B5EF4-FFF2-40B4-BE49-F238E27FC236}">
                    <a16:creationId xmlns:a16="http://schemas.microsoft.com/office/drawing/2014/main" id="{D4C5652C-8AA7-14A6-AEB6-8629A2E8C46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88" name="TextBox 87">
                <a:extLst>
                  <a:ext uri="{FF2B5EF4-FFF2-40B4-BE49-F238E27FC236}">
                    <a16:creationId xmlns:a16="http://schemas.microsoft.com/office/drawing/2014/main" id="{E6321F11-A3CF-9896-9977-482AD307A90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82" name="TextBox 81">
            <a:extLst>
              <a:ext uri="{FF2B5EF4-FFF2-40B4-BE49-F238E27FC236}">
                <a16:creationId xmlns:a16="http://schemas.microsoft.com/office/drawing/2014/main" id="{75C7CF6C-EA28-8BA5-4030-71F2D8BA4265}"/>
              </a:ext>
            </a:extLst>
          </xdr:cNvPr>
          <xdr:cNvSpPr txBox="1"/>
        </xdr:nvSpPr>
        <xdr:spPr>
          <a:xfrm>
            <a:off x="9317731" y="11615942"/>
            <a:ext cx="1270436"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BÁO</a:t>
            </a:r>
            <a:r>
              <a:rPr lang="en-US" sz="1500" b="1" u="sng" baseline="0"/>
              <a:t> GIÁ LẦN 2</a:t>
            </a:r>
            <a:endParaRPr lang="en-US" sz="1500" b="1" u="sng"/>
          </a:p>
        </xdr:txBody>
      </xdr:sp>
    </xdr:grpSp>
    <xdr:clientData/>
  </xdr:twoCellAnchor>
  <xdr:twoCellAnchor editAs="oneCell">
    <xdr:from>
      <xdr:col>27</xdr:col>
      <xdr:colOff>168788</xdr:colOff>
      <xdr:row>9</xdr:row>
      <xdr:rowOff>143728</xdr:rowOff>
    </xdr:from>
    <xdr:to>
      <xdr:col>31</xdr:col>
      <xdr:colOff>204254</xdr:colOff>
      <xdr:row>31</xdr:row>
      <xdr:rowOff>165331</xdr:rowOff>
    </xdr:to>
    <xdr:grpSp>
      <xdr:nvGrpSpPr>
        <xdr:cNvPr id="91" name="Group 90">
          <a:extLst>
            <a:ext uri="{FF2B5EF4-FFF2-40B4-BE49-F238E27FC236}">
              <a16:creationId xmlns:a16="http://schemas.microsoft.com/office/drawing/2014/main" id="{6BE0FF4E-C888-44F1-A07B-50CEC1E40BB6}"/>
            </a:ext>
          </a:extLst>
        </xdr:cNvPr>
        <xdr:cNvGrpSpPr/>
      </xdr:nvGrpSpPr>
      <xdr:grpSpPr>
        <a:xfrm>
          <a:off x="20413076" y="2341805"/>
          <a:ext cx="2790390" cy="4095372"/>
          <a:chOff x="16172571" y="7403937"/>
          <a:chExt cx="2597012" cy="4135400"/>
        </a:xfrm>
      </xdr:grpSpPr>
      <xdr:grpSp>
        <xdr:nvGrpSpPr>
          <xdr:cNvPr id="92" name="Group 24">
            <a:extLst>
              <a:ext uri="{FF2B5EF4-FFF2-40B4-BE49-F238E27FC236}">
                <a16:creationId xmlns:a16="http://schemas.microsoft.com/office/drawing/2014/main" id="{E1558D79-6989-FC7E-8194-1FDD7D4C71BF}"/>
              </a:ext>
            </a:extLst>
          </xdr:cNvPr>
          <xdr:cNvGrpSpPr/>
        </xdr:nvGrpSpPr>
        <xdr:grpSpPr>
          <a:xfrm>
            <a:off x="16172571" y="7734260"/>
            <a:ext cx="2327982" cy="3805077"/>
            <a:chOff x="7697825" y="3800475"/>
            <a:chExt cx="2755769" cy="3935649"/>
          </a:xfrm>
        </xdr:grpSpPr>
        <xdr:graphicFrame macro="">
          <xdr:nvGraphicFramePr>
            <xdr:cNvPr id="94" name="Chart 3">
              <a:extLst>
                <a:ext uri="{FF2B5EF4-FFF2-40B4-BE49-F238E27FC236}">
                  <a16:creationId xmlns:a16="http://schemas.microsoft.com/office/drawing/2014/main" id="{4C9C5C3A-B599-3205-06A1-1CD3EB82A76F}"/>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95" name="Group 19">
              <a:extLst>
                <a:ext uri="{FF2B5EF4-FFF2-40B4-BE49-F238E27FC236}">
                  <a16:creationId xmlns:a16="http://schemas.microsoft.com/office/drawing/2014/main" id="{AD13FEB3-7106-0352-0062-4A3D804C531D}"/>
                </a:ext>
              </a:extLst>
            </xdr:cNvPr>
            <xdr:cNvGrpSpPr/>
          </xdr:nvGrpSpPr>
          <xdr:grpSpPr>
            <a:xfrm>
              <a:off x="8814167" y="3818680"/>
              <a:ext cx="1583474" cy="358291"/>
              <a:chOff x="3880217" y="4675930"/>
              <a:chExt cx="1583474" cy="358291"/>
            </a:xfrm>
          </xdr:grpSpPr>
          <xdr:sp macro="" textlink="$U$64">
            <xdr:nvSpPr>
              <xdr:cNvPr id="100" name="TextBox 20">
                <a:extLst>
                  <a:ext uri="{FF2B5EF4-FFF2-40B4-BE49-F238E27FC236}">
                    <a16:creationId xmlns:a16="http://schemas.microsoft.com/office/drawing/2014/main" id="{15C8A4AC-10A8-38FF-AADC-134718A9E576}"/>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D1E89B3-6320-4C52-BBF2-4B7CD5F94561}" type="TxLink">
                  <a:rPr lang="en-US" sz="1700" b="1" i="0" u="none" strike="noStrike">
                    <a:solidFill>
                      <a:srgbClr val="0033CC"/>
                    </a:solidFill>
                    <a:latin typeface="+mj-lt"/>
                    <a:cs typeface="Arial"/>
                  </a:rPr>
                  <a:pPr/>
                  <a:t> </a:t>
                </a:fld>
                <a:endParaRPr lang="en-US" sz="1700">
                  <a:solidFill>
                    <a:srgbClr val="0033CC"/>
                  </a:solidFill>
                  <a:latin typeface="+mj-lt"/>
                  <a:cs typeface="Arial" panose="020B0604020202020204" pitchFamily="34" charset="0"/>
                </a:endParaRPr>
              </a:p>
            </xdr:txBody>
          </xdr:sp>
          <xdr:sp macro="" textlink="">
            <xdr:nvSpPr>
              <xdr:cNvPr id="101" name="TextBox 21">
                <a:extLst>
                  <a:ext uri="{FF2B5EF4-FFF2-40B4-BE49-F238E27FC236}">
                    <a16:creationId xmlns:a16="http://schemas.microsoft.com/office/drawing/2014/main" id="{D9E7BF53-48F8-0F97-806D-B9BF4E9B49F8}"/>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96" name="Group 26">
              <a:extLst>
                <a:ext uri="{FF2B5EF4-FFF2-40B4-BE49-F238E27FC236}">
                  <a16:creationId xmlns:a16="http://schemas.microsoft.com/office/drawing/2014/main" id="{217B7872-5A75-005B-C910-376796768703}"/>
                </a:ext>
              </a:extLst>
            </xdr:cNvPr>
            <xdr:cNvGrpSpPr/>
          </xdr:nvGrpSpPr>
          <xdr:grpSpPr>
            <a:xfrm>
              <a:off x="7697825" y="5550324"/>
              <a:ext cx="1075761" cy="746276"/>
              <a:chOff x="5516600" y="5769399"/>
              <a:chExt cx="1075761" cy="746276"/>
            </a:xfrm>
          </xdr:grpSpPr>
          <xdr:sp macro="" textlink="$U$61">
            <xdr:nvSpPr>
              <xdr:cNvPr id="97" name="TextBox 28">
                <a:extLst>
                  <a:ext uri="{FF2B5EF4-FFF2-40B4-BE49-F238E27FC236}">
                    <a16:creationId xmlns:a16="http://schemas.microsoft.com/office/drawing/2014/main" id="{99E3C9AE-427D-7FB5-A8D5-627210E3B928}"/>
                  </a:ext>
                </a:extLst>
              </xdr:cNvPr>
              <xdr:cNvSpPr txBox="1"/>
            </xdr:nvSpPr>
            <xdr:spPr>
              <a:xfrm>
                <a:off x="5686426" y="5962650"/>
                <a:ext cx="250846" cy="374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8634FC-CA05-47EC-AA15-C52F5DD8370B}" type="TxLink">
                  <a:rPr lang="en-US" sz="1700" b="1" i="0" u="none" strike="noStrike">
                    <a:solidFill>
                      <a:srgbClr val="0033CC"/>
                    </a:solidFill>
                    <a:latin typeface="+mj-lt"/>
                    <a:cs typeface="Arial"/>
                  </a:rPr>
                  <a:pPr/>
                  <a:t> </a:t>
                </a:fld>
                <a:endParaRPr lang="en-US" sz="1700">
                  <a:latin typeface="+mj-lt"/>
                </a:endParaRPr>
              </a:p>
            </xdr:txBody>
          </xdr:sp>
          <xdr:sp macro="" textlink="">
            <xdr:nvSpPr>
              <xdr:cNvPr id="98" name="TextBox 29">
                <a:extLst>
                  <a:ext uri="{FF2B5EF4-FFF2-40B4-BE49-F238E27FC236}">
                    <a16:creationId xmlns:a16="http://schemas.microsoft.com/office/drawing/2014/main" id="{84744945-D67E-A248-3BB3-6A6BBEDAD30E}"/>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99" name="TextBox 30">
                <a:extLst>
                  <a:ext uri="{FF2B5EF4-FFF2-40B4-BE49-F238E27FC236}">
                    <a16:creationId xmlns:a16="http://schemas.microsoft.com/office/drawing/2014/main" id="{2D03D7FA-BAA0-399E-0977-29A2C47126C3}"/>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93" name="TextBox 69">
            <a:extLst>
              <a:ext uri="{FF2B5EF4-FFF2-40B4-BE49-F238E27FC236}">
                <a16:creationId xmlns:a16="http://schemas.microsoft.com/office/drawing/2014/main" id="{1681A20A-46F2-1FAA-B97E-E5216F0115EA}"/>
              </a:ext>
            </a:extLst>
          </xdr:cNvPr>
          <xdr:cNvSpPr txBox="1"/>
        </xdr:nvSpPr>
        <xdr:spPr>
          <a:xfrm>
            <a:off x="16261704" y="7403937"/>
            <a:ext cx="2507879"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CÓ ĐẦU TƯ XƯỞNG</a:t>
            </a:r>
            <a:endParaRPr lang="en-US" sz="1500" b="1" u="sng">
              <a:solidFill>
                <a:srgbClr val="000099"/>
              </a:solidFill>
            </a:endParaRPr>
          </a:p>
        </xdr:txBody>
      </xdr:sp>
    </xdr:grpSp>
    <xdr:clientData/>
  </xdr:twoCellAnchor>
  <xdr:twoCellAnchor editAs="oneCell">
    <xdr:from>
      <xdr:col>27</xdr:col>
      <xdr:colOff>317453</xdr:colOff>
      <xdr:row>33</xdr:row>
      <xdr:rowOff>87966</xdr:rowOff>
    </xdr:from>
    <xdr:to>
      <xdr:col>31</xdr:col>
      <xdr:colOff>362678</xdr:colOff>
      <xdr:row>54</xdr:row>
      <xdr:rowOff>164500</xdr:rowOff>
    </xdr:to>
    <xdr:grpSp>
      <xdr:nvGrpSpPr>
        <xdr:cNvPr id="102" name="Group 101">
          <a:extLst>
            <a:ext uri="{FF2B5EF4-FFF2-40B4-BE49-F238E27FC236}">
              <a16:creationId xmlns:a16="http://schemas.microsoft.com/office/drawing/2014/main" id="{3BDDBF33-7946-43F5-B901-4CC306A644C9}"/>
            </a:ext>
          </a:extLst>
        </xdr:cNvPr>
        <xdr:cNvGrpSpPr/>
      </xdr:nvGrpSpPr>
      <xdr:grpSpPr>
        <a:xfrm>
          <a:off x="20561741" y="6740812"/>
          <a:ext cx="2800149" cy="4077034"/>
          <a:chOff x="9284677" y="11615942"/>
          <a:chExt cx="2252365" cy="4102024"/>
        </a:xfrm>
      </xdr:grpSpPr>
      <xdr:grpSp>
        <xdr:nvGrpSpPr>
          <xdr:cNvPr id="103" name="Group 102">
            <a:extLst>
              <a:ext uri="{FF2B5EF4-FFF2-40B4-BE49-F238E27FC236}">
                <a16:creationId xmlns:a16="http://schemas.microsoft.com/office/drawing/2014/main" id="{462ED0E6-17B9-41BB-5289-10B33495037F}"/>
              </a:ext>
            </a:extLst>
          </xdr:cNvPr>
          <xdr:cNvGrpSpPr/>
        </xdr:nvGrpSpPr>
        <xdr:grpSpPr>
          <a:xfrm>
            <a:off x="9284677" y="11959782"/>
            <a:ext cx="2252365" cy="3758184"/>
            <a:chOff x="7743823" y="7915275"/>
            <a:chExt cx="2663385" cy="4317935"/>
          </a:xfrm>
        </xdr:grpSpPr>
        <xdr:graphicFrame macro="">
          <xdr:nvGraphicFramePr>
            <xdr:cNvPr id="105" name="Chart 104">
              <a:extLst>
                <a:ext uri="{FF2B5EF4-FFF2-40B4-BE49-F238E27FC236}">
                  <a16:creationId xmlns:a16="http://schemas.microsoft.com/office/drawing/2014/main" id="{2E5671A7-C20F-C773-0E09-A7EA5BB631A6}"/>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06" name="Group 105">
              <a:extLst>
                <a:ext uri="{FF2B5EF4-FFF2-40B4-BE49-F238E27FC236}">
                  <a16:creationId xmlns:a16="http://schemas.microsoft.com/office/drawing/2014/main" id="{F4843C8C-E4FD-EDB9-EA65-3E8EEFA8D57E}"/>
                </a:ext>
              </a:extLst>
            </xdr:cNvPr>
            <xdr:cNvGrpSpPr/>
          </xdr:nvGrpSpPr>
          <xdr:grpSpPr>
            <a:xfrm>
              <a:off x="8748842" y="8010525"/>
              <a:ext cx="1601103" cy="385633"/>
              <a:chOff x="3662491" y="4678681"/>
              <a:chExt cx="1601103" cy="385633"/>
            </a:xfrm>
          </xdr:grpSpPr>
          <xdr:sp macro="" textlink="$U$86">
            <xdr:nvSpPr>
              <xdr:cNvPr id="111" name="TextBox 110">
                <a:extLst>
                  <a:ext uri="{FF2B5EF4-FFF2-40B4-BE49-F238E27FC236}">
                    <a16:creationId xmlns:a16="http://schemas.microsoft.com/office/drawing/2014/main" id="{7F810946-A058-DB14-7CDA-D46C56A9732B}"/>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7BEF825-2D43-401F-9466-57A1B8BCB0D5}" type="TxLink">
                  <a:rPr lang="en-US" sz="1700" b="1" i="0" u="none" strike="noStrike">
                    <a:solidFill>
                      <a:srgbClr val="0033CC"/>
                    </a:solidFill>
                    <a:latin typeface="+mj-lt"/>
                    <a:cs typeface="Arial"/>
                  </a:rPr>
                  <a:pPr/>
                  <a:t> </a:t>
                </a:fld>
                <a:endParaRPr lang="en-US" sz="1700">
                  <a:solidFill>
                    <a:srgbClr val="0033CC"/>
                  </a:solidFill>
                  <a:latin typeface="+mj-lt"/>
                  <a:cs typeface="Arial" panose="020B0604020202020204" pitchFamily="34" charset="0"/>
                </a:endParaRPr>
              </a:p>
            </xdr:txBody>
          </xdr:sp>
          <xdr:sp macro="" textlink="">
            <xdr:nvSpPr>
              <xdr:cNvPr id="112" name="TextBox 111">
                <a:extLst>
                  <a:ext uri="{FF2B5EF4-FFF2-40B4-BE49-F238E27FC236}">
                    <a16:creationId xmlns:a16="http://schemas.microsoft.com/office/drawing/2014/main" id="{E0E05DAD-9897-0CB9-2460-A38D36C357A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07" name="Group 106">
              <a:extLst>
                <a:ext uri="{FF2B5EF4-FFF2-40B4-BE49-F238E27FC236}">
                  <a16:creationId xmlns:a16="http://schemas.microsoft.com/office/drawing/2014/main" id="{06FE4BE5-BFFC-3271-4C5B-DDDF144497A0}"/>
                </a:ext>
              </a:extLst>
            </xdr:cNvPr>
            <xdr:cNvGrpSpPr/>
          </xdr:nvGrpSpPr>
          <xdr:grpSpPr>
            <a:xfrm>
              <a:off x="7743823" y="9982200"/>
              <a:ext cx="1018881" cy="734000"/>
              <a:chOff x="5572123" y="5781675"/>
              <a:chExt cx="1018881" cy="734000"/>
            </a:xfrm>
          </xdr:grpSpPr>
          <xdr:sp macro="" textlink="$U$83">
            <xdr:nvSpPr>
              <xdr:cNvPr id="108" name="TextBox 107">
                <a:extLst>
                  <a:ext uri="{FF2B5EF4-FFF2-40B4-BE49-F238E27FC236}">
                    <a16:creationId xmlns:a16="http://schemas.microsoft.com/office/drawing/2014/main" id="{F33B51C0-EF5C-41FE-DF01-F70CA45AA1C0}"/>
                  </a:ext>
                </a:extLst>
              </xdr:cNvPr>
              <xdr:cNvSpPr txBox="1"/>
            </xdr:nvSpPr>
            <xdr:spPr>
              <a:xfrm>
                <a:off x="5581649" y="5962651"/>
                <a:ext cx="216562"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B889926-2042-4D1B-AD0C-B0F62A68A9E8}" type="TxLink">
                  <a:rPr lang="en-US" sz="1700" b="1" i="0" u="none" strike="noStrike">
                    <a:solidFill>
                      <a:srgbClr val="0033CC"/>
                    </a:solidFill>
                    <a:latin typeface="+mj-lt"/>
                    <a:cs typeface="Arial"/>
                  </a:rPr>
                  <a:pPr/>
                  <a:t> </a:t>
                </a:fld>
                <a:endParaRPr lang="en-US" sz="1700">
                  <a:latin typeface="+mj-lt"/>
                </a:endParaRPr>
              </a:p>
            </xdr:txBody>
          </xdr:sp>
          <xdr:sp macro="" textlink="">
            <xdr:nvSpPr>
              <xdr:cNvPr id="109" name="TextBox 108">
                <a:extLst>
                  <a:ext uri="{FF2B5EF4-FFF2-40B4-BE49-F238E27FC236}">
                    <a16:creationId xmlns:a16="http://schemas.microsoft.com/office/drawing/2014/main" id="{400AE1D0-063A-30F0-4694-B2F141640D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10" name="TextBox 109">
                <a:extLst>
                  <a:ext uri="{FF2B5EF4-FFF2-40B4-BE49-F238E27FC236}">
                    <a16:creationId xmlns:a16="http://schemas.microsoft.com/office/drawing/2014/main" id="{7EC8CCE6-FAB9-9C5B-D729-A483FD8DC2CD}"/>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103">
            <a:extLst>
              <a:ext uri="{FF2B5EF4-FFF2-40B4-BE49-F238E27FC236}">
                <a16:creationId xmlns:a16="http://schemas.microsoft.com/office/drawing/2014/main" id="{0A87169A-EB49-CA23-B8BB-3BC7D479D569}"/>
              </a:ext>
            </a:extLst>
          </xdr:cNvPr>
          <xdr:cNvSpPr txBox="1"/>
        </xdr:nvSpPr>
        <xdr:spPr>
          <a:xfrm>
            <a:off x="9317731" y="11615942"/>
            <a:ext cx="2167424"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CÓ ĐẦU TƯ XƯỞNG</a:t>
            </a:r>
            <a:endParaRPr lang="en-US" sz="1500" b="1" u="sng">
              <a:solidFill>
                <a:srgbClr val="000099"/>
              </a:solidFill>
            </a:endParaRPr>
          </a:p>
        </xdr:txBody>
      </xdr:sp>
    </xdr:grpSp>
    <xdr:clientData/>
  </xdr:twoCellAnchor>
  <xdr:twoCellAnchor editAs="oneCell">
    <xdr:from>
      <xdr:col>32</xdr:col>
      <xdr:colOff>1</xdr:colOff>
      <xdr:row>9</xdr:row>
      <xdr:rowOff>143728</xdr:rowOff>
    </xdr:from>
    <xdr:to>
      <xdr:col>37</xdr:col>
      <xdr:colOff>257737</xdr:colOff>
      <xdr:row>31</xdr:row>
      <xdr:rowOff>165331</xdr:rowOff>
    </xdr:to>
    <xdr:grpSp>
      <xdr:nvGrpSpPr>
        <xdr:cNvPr id="124" name="Group 123">
          <a:extLst>
            <a:ext uri="{FF2B5EF4-FFF2-40B4-BE49-F238E27FC236}">
              <a16:creationId xmlns:a16="http://schemas.microsoft.com/office/drawing/2014/main" id="{D17D68ED-CD4B-49E4-AA64-5D191B767F35}"/>
            </a:ext>
          </a:extLst>
        </xdr:cNvPr>
        <xdr:cNvGrpSpPr/>
      </xdr:nvGrpSpPr>
      <xdr:grpSpPr>
        <a:xfrm>
          <a:off x="23687943" y="2341805"/>
          <a:ext cx="3701390" cy="4095372"/>
          <a:chOff x="16172571" y="7403937"/>
          <a:chExt cx="3446360" cy="4135400"/>
        </a:xfrm>
      </xdr:grpSpPr>
      <xdr:grpSp>
        <xdr:nvGrpSpPr>
          <xdr:cNvPr id="125" name="Group 24">
            <a:extLst>
              <a:ext uri="{FF2B5EF4-FFF2-40B4-BE49-F238E27FC236}">
                <a16:creationId xmlns:a16="http://schemas.microsoft.com/office/drawing/2014/main" id="{D34DE549-195C-73C0-2E0C-2EA4F9A80903}"/>
              </a:ext>
            </a:extLst>
          </xdr:cNvPr>
          <xdr:cNvGrpSpPr/>
        </xdr:nvGrpSpPr>
        <xdr:grpSpPr>
          <a:xfrm>
            <a:off x="16172571" y="7734260"/>
            <a:ext cx="2327982" cy="3805077"/>
            <a:chOff x="7697825" y="3800475"/>
            <a:chExt cx="2755769" cy="3935649"/>
          </a:xfrm>
        </xdr:grpSpPr>
        <xdr:graphicFrame macro="">
          <xdr:nvGraphicFramePr>
            <xdr:cNvPr id="127" name="Chart 3">
              <a:extLst>
                <a:ext uri="{FF2B5EF4-FFF2-40B4-BE49-F238E27FC236}">
                  <a16:creationId xmlns:a16="http://schemas.microsoft.com/office/drawing/2014/main" id="{9A8FCAE2-EA22-9DD2-8795-5E5FB8C7B392}"/>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128" name="Group 19">
              <a:extLst>
                <a:ext uri="{FF2B5EF4-FFF2-40B4-BE49-F238E27FC236}">
                  <a16:creationId xmlns:a16="http://schemas.microsoft.com/office/drawing/2014/main" id="{7134B640-B7AB-D1DC-96BF-84F1AAE0D757}"/>
                </a:ext>
              </a:extLst>
            </xdr:cNvPr>
            <xdr:cNvGrpSpPr/>
          </xdr:nvGrpSpPr>
          <xdr:grpSpPr>
            <a:xfrm>
              <a:off x="8814167" y="3818680"/>
              <a:ext cx="1583474" cy="358291"/>
              <a:chOff x="3880217" y="4675930"/>
              <a:chExt cx="1583474" cy="358291"/>
            </a:xfrm>
          </xdr:grpSpPr>
          <xdr:sp macro="" textlink="$W$64">
            <xdr:nvSpPr>
              <xdr:cNvPr id="133" name="TextBox 20">
                <a:extLst>
                  <a:ext uri="{FF2B5EF4-FFF2-40B4-BE49-F238E27FC236}">
                    <a16:creationId xmlns:a16="http://schemas.microsoft.com/office/drawing/2014/main" id="{EDF83A5C-F928-90B9-69EE-554549A38D8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B08727B-DED4-4B52-96E6-F84EE42F9CB7}" type="TxLink">
                  <a:rPr lang="en-US" sz="1700" b="1" i="0" u="none" strike="noStrike">
                    <a:solidFill>
                      <a:srgbClr val="0033CC"/>
                    </a:solidFill>
                    <a:latin typeface="+mj-lt"/>
                    <a:cs typeface="Arial"/>
                  </a:rPr>
                  <a:pPr/>
                  <a:t> </a:t>
                </a:fld>
                <a:endParaRPr lang="en-US" sz="1700">
                  <a:solidFill>
                    <a:srgbClr val="0033CC"/>
                  </a:solidFill>
                  <a:latin typeface="+mj-lt"/>
                  <a:cs typeface="Arial" panose="020B0604020202020204" pitchFamily="34" charset="0"/>
                </a:endParaRPr>
              </a:p>
            </xdr:txBody>
          </xdr:sp>
          <xdr:sp macro="" textlink="">
            <xdr:nvSpPr>
              <xdr:cNvPr id="134" name="TextBox 21">
                <a:extLst>
                  <a:ext uri="{FF2B5EF4-FFF2-40B4-BE49-F238E27FC236}">
                    <a16:creationId xmlns:a16="http://schemas.microsoft.com/office/drawing/2014/main" id="{B8389337-5E98-427B-583D-2CA9B1E7B42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29" name="Group 26">
              <a:extLst>
                <a:ext uri="{FF2B5EF4-FFF2-40B4-BE49-F238E27FC236}">
                  <a16:creationId xmlns:a16="http://schemas.microsoft.com/office/drawing/2014/main" id="{F5D164D0-5D7E-7C76-C1BC-88EF0F14186E}"/>
                </a:ext>
              </a:extLst>
            </xdr:cNvPr>
            <xdr:cNvGrpSpPr/>
          </xdr:nvGrpSpPr>
          <xdr:grpSpPr>
            <a:xfrm>
              <a:off x="7697825" y="5550324"/>
              <a:ext cx="1075761" cy="746276"/>
              <a:chOff x="5516600" y="5769399"/>
              <a:chExt cx="1075761" cy="746276"/>
            </a:xfrm>
          </xdr:grpSpPr>
          <xdr:sp macro="" textlink="$W$61">
            <xdr:nvSpPr>
              <xdr:cNvPr id="130" name="TextBox 28">
                <a:extLst>
                  <a:ext uri="{FF2B5EF4-FFF2-40B4-BE49-F238E27FC236}">
                    <a16:creationId xmlns:a16="http://schemas.microsoft.com/office/drawing/2014/main" id="{942F575E-CD20-592D-93B0-2A152A9A6817}"/>
                  </a:ext>
                </a:extLst>
              </xdr:cNvPr>
              <xdr:cNvSpPr txBox="1"/>
            </xdr:nvSpPr>
            <xdr:spPr>
              <a:xfrm>
                <a:off x="5686426" y="5962650"/>
                <a:ext cx="250893" cy="374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D7DB73-E070-41E8-AEAE-2B11AA952FBC}" type="TxLink">
                  <a:rPr lang="en-US" sz="1700" b="1" i="0" u="none" strike="noStrike">
                    <a:solidFill>
                      <a:srgbClr val="0033CC"/>
                    </a:solidFill>
                    <a:latin typeface="+mj-lt"/>
                    <a:cs typeface="Arial"/>
                  </a:rPr>
                  <a:pPr/>
                  <a:t> </a:t>
                </a:fld>
                <a:endParaRPr lang="en-US" sz="1700">
                  <a:latin typeface="+mj-lt"/>
                </a:endParaRPr>
              </a:p>
            </xdr:txBody>
          </xdr:sp>
          <xdr:sp macro="" textlink="">
            <xdr:nvSpPr>
              <xdr:cNvPr id="131" name="TextBox 29">
                <a:extLst>
                  <a:ext uri="{FF2B5EF4-FFF2-40B4-BE49-F238E27FC236}">
                    <a16:creationId xmlns:a16="http://schemas.microsoft.com/office/drawing/2014/main" id="{B265FD6A-1E47-5C9E-7737-3E61A58332E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32" name="TextBox 30">
                <a:extLst>
                  <a:ext uri="{FF2B5EF4-FFF2-40B4-BE49-F238E27FC236}">
                    <a16:creationId xmlns:a16="http://schemas.microsoft.com/office/drawing/2014/main" id="{988B2873-39C5-6E17-E238-126EDE240EB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6" name="TextBox 69">
            <a:extLst>
              <a:ext uri="{FF2B5EF4-FFF2-40B4-BE49-F238E27FC236}">
                <a16:creationId xmlns:a16="http://schemas.microsoft.com/office/drawing/2014/main" id="{EEB61F15-63DB-C206-74C0-0A6A2AE629C8}"/>
              </a:ext>
            </a:extLst>
          </xdr:cNvPr>
          <xdr:cNvSpPr txBox="1"/>
        </xdr:nvSpPr>
        <xdr:spPr>
          <a:xfrm>
            <a:off x="16261702" y="7403937"/>
            <a:ext cx="3357229"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solidFill>
                  <a:srgbClr val="000099"/>
                </a:solidFill>
              </a:rPr>
              <a:t>CẬP</a:t>
            </a:r>
            <a:r>
              <a:rPr lang="en-US" sz="1500" b="1" u="sng" baseline="0">
                <a:solidFill>
                  <a:srgbClr val="000099"/>
                </a:solidFill>
              </a:rPr>
              <a:t> NHẬT- KHÔNG TÍNH ĐẦU TƯ XƯỞNG</a:t>
            </a:r>
            <a:endParaRPr lang="en-US" sz="1500" b="1" u="sng">
              <a:solidFill>
                <a:srgbClr val="000099"/>
              </a:solidFill>
            </a:endParaRPr>
          </a:p>
        </xdr:txBody>
      </xdr:sp>
    </xdr:grpSp>
    <xdr:clientData/>
  </xdr:twoCellAnchor>
  <xdr:twoCellAnchor editAs="oneCell">
    <xdr:from>
      <xdr:col>32</xdr:col>
      <xdr:colOff>236480</xdr:colOff>
      <xdr:row>33</xdr:row>
      <xdr:rowOff>87966</xdr:rowOff>
    </xdr:from>
    <xdr:to>
      <xdr:col>37</xdr:col>
      <xdr:colOff>316960</xdr:colOff>
      <xdr:row>54</xdr:row>
      <xdr:rowOff>164500</xdr:rowOff>
    </xdr:to>
    <xdr:grpSp>
      <xdr:nvGrpSpPr>
        <xdr:cNvPr id="135" name="Group 134">
          <a:extLst>
            <a:ext uri="{FF2B5EF4-FFF2-40B4-BE49-F238E27FC236}">
              <a16:creationId xmlns:a16="http://schemas.microsoft.com/office/drawing/2014/main" id="{082B520A-C8AE-4322-B226-658D859715C2}"/>
            </a:ext>
          </a:extLst>
        </xdr:cNvPr>
        <xdr:cNvGrpSpPr/>
      </xdr:nvGrpSpPr>
      <xdr:grpSpPr>
        <a:xfrm>
          <a:off x="23924422" y="6740812"/>
          <a:ext cx="3524134" cy="4077034"/>
          <a:chOff x="9284677" y="11615942"/>
          <a:chExt cx="2834862" cy="4102024"/>
        </a:xfrm>
      </xdr:grpSpPr>
      <xdr:grpSp>
        <xdr:nvGrpSpPr>
          <xdr:cNvPr id="136" name="Group 135">
            <a:extLst>
              <a:ext uri="{FF2B5EF4-FFF2-40B4-BE49-F238E27FC236}">
                <a16:creationId xmlns:a16="http://schemas.microsoft.com/office/drawing/2014/main" id="{30DB6AEA-6022-EC67-BCFB-DFBF1B0D7076}"/>
              </a:ext>
            </a:extLst>
          </xdr:cNvPr>
          <xdr:cNvGrpSpPr/>
        </xdr:nvGrpSpPr>
        <xdr:grpSpPr>
          <a:xfrm>
            <a:off x="9284677" y="11959782"/>
            <a:ext cx="2252365" cy="3758184"/>
            <a:chOff x="7743823" y="7915275"/>
            <a:chExt cx="2663385" cy="4317935"/>
          </a:xfrm>
        </xdr:grpSpPr>
        <xdr:graphicFrame macro="">
          <xdr:nvGraphicFramePr>
            <xdr:cNvPr id="138" name="Chart 137">
              <a:extLst>
                <a:ext uri="{FF2B5EF4-FFF2-40B4-BE49-F238E27FC236}">
                  <a16:creationId xmlns:a16="http://schemas.microsoft.com/office/drawing/2014/main" id="{A81751A7-E95A-0014-074B-D0FB49CCBE07}"/>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139" name="Group 138">
              <a:extLst>
                <a:ext uri="{FF2B5EF4-FFF2-40B4-BE49-F238E27FC236}">
                  <a16:creationId xmlns:a16="http://schemas.microsoft.com/office/drawing/2014/main" id="{40510DD2-547A-96D9-E745-090541B736F5}"/>
                </a:ext>
              </a:extLst>
            </xdr:cNvPr>
            <xdr:cNvGrpSpPr/>
          </xdr:nvGrpSpPr>
          <xdr:grpSpPr>
            <a:xfrm>
              <a:off x="8748842" y="8010525"/>
              <a:ext cx="1601103" cy="385633"/>
              <a:chOff x="3662491" y="4678681"/>
              <a:chExt cx="1601103" cy="385633"/>
            </a:xfrm>
          </xdr:grpSpPr>
          <xdr:sp macro="" textlink="$W$86">
            <xdr:nvSpPr>
              <xdr:cNvPr id="144" name="TextBox 143">
                <a:extLst>
                  <a:ext uri="{FF2B5EF4-FFF2-40B4-BE49-F238E27FC236}">
                    <a16:creationId xmlns:a16="http://schemas.microsoft.com/office/drawing/2014/main" id="{95C548E6-ACDE-17B5-37E7-06AC4136145B}"/>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8AAC7AE-B798-4910-A4D3-B270729CE1FC}" type="TxLink">
                  <a:rPr lang="en-US" sz="1700" b="1" i="0" u="none" strike="noStrike">
                    <a:solidFill>
                      <a:srgbClr val="0033CC"/>
                    </a:solidFill>
                    <a:latin typeface="+mn-lt"/>
                    <a:cs typeface="Arial"/>
                  </a:rPr>
                  <a:pPr/>
                  <a:t> </a:t>
                </a:fld>
                <a:endParaRPr lang="en-US" sz="1700">
                  <a:solidFill>
                    <a:srgbClr val="0033CC"/>
                  </a:solidFill>
                  <a:latin typeface="+mn-lt"/>
                  <a:cs typeface="Arial" panose="020B0604020202020204" pitchFamily="34" charset="0"/>
                </a:endParaRPr>
              </a:p>
            </xdr:txBody>
          </xdr:sp>
          <xdr:sp macro="" textlink="">
            <xdr:nvSpPr>
              <xdr:cNvPr id="145" name="TextBox 144">
                <a:extLst>
                  <a:ext uri="{FF2B5EF4-FFF2-40B4-BE49-F238E27FC236}">
                    <a16:creationId xmlns:a16="http://schemas.microsoft.com/office/drawing/2014/main" id="{6162543F-AB62-F70F-6F31-1A962AC128DF}"/>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40" name="Group 139">
              <a:extLst>
                <a:ext uri="{FF2B5EF4-FFF2-40B4-BE49-F238E27FC236}">
                  <a16:creationId xmlns:a16="http://schemas.microsoft.com/office/drawing/2014/main" id="{AA42FB32-6598-2FF5-D3E4-B5847B33C759}"/>
                </a:ext>
              </a:extLst>
            </xdr:cNvPr>
            <xdr:cNvGrpSpPr/>
          </xdr:nvGrpSpPr>
          <xdr:grpSpPr>
            <a:xfrm>
              <a:off x="7743823" y="9982200"/>
              <a:ext cx="1018881" cy="734000"/>
              <a:chOff x="5572123" y="5781675"/>
              <a:chExt cx="1018881" cy="734000"/>
            </a:xfrm>
          </xdr:grpSpPr>
          <xdr:sp macro="" textlink="$W$83">
            <xdr:nvSpPr>
              <xdr:cNvPr id="141" name="TextBox 140">
                <a:extLst>
                  <a:ext uri="{FF2B5EF4-FFF2-40B4-BE49-F238E27FC236}">
                    <a16:creationId xmlns:a16="http://schemas.microsoft.com/office/drawing/2014/main" id="{DE8DB657-9C23-5BCE-5D65-0588D7A95A1F}"/>
                  </a:ext>
                </a:extLst>
              </xdr:cNvPr>
              <xdr:cNvSpPr txBox="1"/>
            </xdr:nvSpPr>
            <xdr:spPr>
              <a:xfrm>
                <a:off x="5581649" y="5962651"/>
                <a:ext cx="209584" cy="3781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F5F089-B9B8-4C93-950A-692EC54BD3D4}" type="TxLink">
                  <a:rPr lang="en-US" sz="1500" b="1" i="0" u="none" strike="noStrike">
                    <a:solidFill>
                      <a:srgbClr val="0033CC"/>
                    </a:solidFill>
                    <a:latin typeface="+mn-lt"/>
                    <a:cs typeface="Arial"/>
                  </a:rPr>
                  <a:pPr/>
                  <a:t> </a:t>
                </a:fld>
                <a:endParaRPr lang="en-US" sz="1500">
                  <a:latin typeface="+mn-lt"/>
                </a:endParaRPr>
              </a:p>
            </xdr:txBody>
          </xdr:sp>
          <xdr:sp macro="" textlink="">
            <xdr:nvSpPr>
              <xdr:cNvPr id="142" name="TextBox 141">
                <a:extLst>
                  <a:ext uri="{FF2B5EF4-FFF2-40B4-BE49-F238E27FC236}">
                    <a16:creationId xmlns:a16="http://schemas.microsoft.com/office/drawing/2014/main" id="{005049CB-88CF-D0CE-F366-05C25D03804A}"/>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43" name="TextBox 142">
                <a:extLst>
                  <a:ext uri="{FF2B5EF4-FFF2-40B4-BE49-F238E27FC236}">
                    <a16:creationId xmlns:a16="http://schemas.microsoft.com/office/drawing/2014/main" id="{C20E8180-79DE-73D4-F803-47C022B88359}"/>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37" name="TextBox 136">
            <a:extLst>
              <a:ext uri="{FF2B5EF4-FFF2-40B4-BE49-F238E27FC236}">
                <a16:creationId xmlns:a16="http://schemas.microsoft.com/office/drawing/2014/main" id="{A7628A98-FFDD-FC57-4EFC-DFA9C2FB44C0}"/>
              </a:ext>
            </a:extLst>
          </xdr:cNvPr>
          <xdr:cNvSpPr txBox="1"/>
        </xdr:nvSpPr>
        <xdr:spPr>
          <a:xfrm>
            <a:off x="9317731" y="11615942"/>
            <a:ext cx="2801808"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000099"/>
                </a:solidFill>
              </a:rPr>
              <a:t>CẬP</a:t>
            </a:r>
            <a:r>
              <a:rPr lang="en-US" sz="1500" b="1" u="sng" baseline="0">
                <a:solidFill>
                  <a:srgbClr val="000099"/>
                </a:solidFill>
              </a:rPr>
              <a:t> NHẬT - KHÔNG TÍNH ĐẦU TƯ XƯỞNG</a:t>
            </a:r>
            <a:endParaRPr lang="en-US" sz="1500" b="1" u="sng">
              <a:solidFill>
                <a:srgbClr val="000099"/>
              </a:solidFill>
            </a:endParaRPr>
          </a:p>
        </xdr:txBody>
      </xdr:sp>
    </xdr:grpSp>
    <xdr:clientData/>
  </xdr:twoCellAnchor>
  <xdr:twoCellAnchor>
    <xdr:from>
      <xdr:col>27</xdr:col>
      <xdr:colOff>100853</xdr:colOff>
      <xdr:row>9</xdr:row>
      <xdr:rowOff>89646</xdr:rowOff>
    </xdr:from>
    <xdr:to>
      <xdr:col>37</xdr:col>
      <xdr:colOff>493059</xdr:colOff>
      <xdr:row>56</xdr:row>
      <xdr:rowOff>123264</xdr:rowOff>
    </xdr:to>
    <xdr:sp macro="" textlink="">
      <xdr:nvSpPr>
        <xdr:cNvPr id="146" name="Rectangle 145">
          <a:extLst>
            <a:ext uri="{FF2B5EF4-FFF2-40B4-BE49-F238E27FC236}">
              <a16:creationId xmlns:a16="http://schemas.microsoft.com/office/drawing/2014/main" id="{DA486D47-94E3-A196-8CBA-C0B282FE6DEA}"/>
            </a:ext>
          </a:extLst>
        </xdr:cNvPr>
        <xdr:cNvSpPr/>
      </xdr:nvSpPr>
      <xdr:spPr>
        <a:xfrm>
          <a:off x="14690912" y="2285999"/>
          <a:ext cx="7227794" cy="8863853"/>
        </a:xfrm>
        <a:prstGeom prst="rect">
          <a:avLst/>
        </a:prstGeom>
        <a:noFill/>
        <a:ln w="57150">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112795</xdr:colOff>
      <xdr:row>9</xdr:row>
      <xdr:rowOff>107674</xdr:rowOff>
    </xdr:from>
    <xdr:to>
      <xdr:col>17</xdr:col>
      <xdr:colOff>507984</xdr:colOff>
      <xdr:row>31</xdr:row>
      <xdr:rowOff>133110</xdr:rowOff>
    </xdr:to>
    <xdr:grpSp>
      <xdr:nvGrpSpPr>
        <xdr:cNvPr id="3" name="Group 2">
          <a:extLst>
            <a:ext uri="{FF2B5EF4-FFF2-40B4-BE49-F238E27FC236}">
              <a16:creationId xmlns:a16="http://schemas.microsoft.com/office/drawing/2014/main" id="{5F154025-FE12-4CA5-A568-3B6F99AAD252}"/>
            </a:ext>
          </a:extLst>
        </xdr:cNvPr>
        <xdr:cNvGrpSpPr/>
      </xdr:nvGrpSpPr>
      <xdr:grpSpPr>
        <a:xfrm>
          <a:off x="11403583" y="2305751"/>
          <a:ext cx="2461382" cy="4099205"/>
          <a:chOff x="16172571" y="7403937"/>
          <a:chExt cx="2327982" cy="4135400"/>
        </a:xfrm>
      </xdr:grpSpPr>
      <xdr:grpSp>
        <xdr:nvGrpSpPr>
          <xdr:cNvPr id="4" name="Group 24">
            <a:extLst>
              <a:ext uri="{FF2B5EF4-FFF2-40B4-BE49-F238E27FC236}">
                <a16:creationId xmlns:a16="http://schemas.microsoft.com/office/drawing/2014/main" id="{C34B37B5-D910-3A1C-DCF7-7C2ED6E552AE}"/>
              </a:ext>
            </a:extLst>
          </xdr:cNvPr>
          <xdr:cNvGrpSpPr/>
        </xdr:nvGrpSpPr>
        <xdr:grpSpPr>
          <a:xfrm>
            <a:off x="16172571" y="7734260"/>
            <a:ext cx="2327982" cy="3805077"/>
            <a:chOff x="7697825" y="3800475"/>
            <a:chExt cx="2755769" cy="3935649"/>
          </a:xfrm>
        </xdr:grpSpPr>
        <xdr:graphicFrame macro="">
          <xdr:nvGraphicFramePr>
            <xdr:cNvPr id="6" name="Chart 3">
              <a:extLst>
                <a:ext uri="{FF2B5EF4-FFF2-40B4-BE49-F238E27FC236}">
                  <a16:creationId xmlns:a16="http://schemas.microsoft.com/office/drawing/2014/main" id="{7E5EA098-0655-A4C1-2E3D-959B4F44B74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7" name="Group 19">
              <a:extLst>
                <a:ext uri="{FF2B5EF4-FFF2-40B4-BE49-F238E27FC236}">
                  <a16:creationId xmlns:a16="http://schemas.microsoft.com/office/drawing/2014/main" id="{C294A018-9B4E-4C0F-0148-1AB0FBAE44DE}"/>
                </a:ext>
              </a:extLst>
            </xdr:cNvPr>
            <xdr:cNvGrpSpPr/>
          </xdr:nvGrpSpPr>
          <xdr:grpSpPr>
            <a:xfrm>
              <a:off x="8814167" y="3818680"/>
              <a:ext cx="1583474" cy="358291"/>
              <a:chOff x="3880217" y="4675930"/>
              <a:chExt cx="1583474" cy="358291"/>
            </a:xfrm>
          </xdr:grpSpPr>
          <xdr:sp macro="" textlink="$E$64">
            <xdr:nvSpPr>
              <xdr:cNvPr id="12" name="TextBox 20">
                <a:extLst>
                  <a:ext uri="{FF2B5EF4-FFF2-40B4-BE49-F238E27FC236}">
                    <a16:creationId xmlns:a16="http://schemas.microsoft.com/office/drawing/2014/main" id="{DC94C1F8-9A0C-A01B-2980-9383AAB1A5B0}"/>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61C8640-ADD3-4AC5-B05F-632C504505A0}" type="TxLink">
                  <a:rPr lang="en-US" sz="1700" b="1" i="0" u="none" strike="noStrike">
                    <a:solidFill>
                      <a:srgbClr val="0033CC"/>
                    </a:solidFill>
                    <a:latin typeface="+mn-lt"/>
                    <a:cs typeface="Arial"/>
                  </a:rPr>
                  <a:pPr/>
                  <a:t> </a:t>
                </a:fld>
                <a:endParaRPr lang="en-US" sz="1700">
                  <a:solidFill>
                    <a:srgbClr val="0033CC"/>
                  </a:solidFill>
                  <a:latin typeface="+mn-lt"/>
                  <a:cs typeface="Arial" panose="020B0604020202020204" pitchFamily="34" charset="0"/>
                </a:endParaRPr>
              </a:p>
            </xdr:txBody>
          </xdr:sp>
          <xdr:sp macro="" textlink="">
            <xdr:nvSpPr>
              <xdr:cNvPr id="13" name="TextBox 21">
                <a:extLst>
                  <a:ext uri="{FF2B5EF4-FFF2-40B4-BE49-F238E27FC236}">
                    <a16:creationId xmlns:a16="http://schemas.microsoft.com/office/drawing/2014/main" id="{BC7D1206-0E1F-45DE-2E2C-F86F41D962BA}"/>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8" name="Group 26">
              <a:extLst>
                <a:ext uri="{FF2B5EF4-FFF2-40B4-BE49-F238E27FC236}">
                  <a16:creationId xmlns:a16="http://schemas.microsoft.com/office/drawing/2014/main" id="{21B65146-E1E1-1EF7-392B-4BD8EFAFED57}"/>
                </a:ext>
              </a:extLst>
            </xdr:cNvPr>
            <xdr:cNvGrpSpPr/>
          </xdr:nvGrpSpPr>
          <xdr:grpSpPr>
            <a:xfrm>
              <a:off x="7697825" y="5550324"/>
              <a:ext cx="1075761" cy="746276"/>
              <a:chOff x="5516600" y="5769399"/>
              <a:chExt cx="1075761" cy="746276"/>
            </a:xfrm>
          </xdr:grpSpPr>
          <xdr:sp macro="" textlink="$E$61">
            <xdr:nvSpPr>
              <xdr:cNvPr id="9" name="TextBox 28">
                <a:extLst>
                  <a:ext uri="{FF2B5EF4-FFF2-40B4-BE49-F238E27FC236}">
                    <a16:creationId xmlns:a16="http://schemas.microsoft.com/office/drawing/2014/main" id="{7D5EF406-58A5-305C-4EE2-E418DDD8308B}"/>
                  </a:ext>
                </a:extLst>
              </xdr:cNvPr>
              <xdr:cNvSpPr txBox="1"/>
            </xdr:nvSpPr>
            <xdr:spPr>
              <a:xfrm>
                <a:off x="5686426" y="5962650"/>
                <a:ext cx="245662" cy="341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FB313-D67C-4FA6-AC7C-79F9FB8CD98B}" type="TxLink">
                  <a:rPr lang="en-US" sz="1500" b="1" i="0" u="none" strike="noStrike">
                    <a:solidFill>
                      <a:srgbClr val="0033CC"/>
                    </a:solidFill>
                    <a:latin typeface="+mn-lt"/>
                    <a:cs typeface="Arial"/>
                  </a:rPr>
                  <a:pPr/>
                  <a:t> </a:t>
                </a:fld>
                <a:endParaRPr lang="en-US" sz="1500">
                  <a:latin typeface="+mn-lt"/>
                </a:endParaRPr>
              </a:p>
            </xdr:txBody>
          </xdr:sp>
          <xdr:sp macro="" textlink="">
            <xdr:nvSpPr>
              <xdr:cNvPr id="10" name="TextBox 29">
                <a:extLst>
                  <a:ext uri="{FF2B5EF4-FFF2-40B4-BE49-F238E27FC236}">
                    <a16:creationId xmlns:a16="http://schemas.microsoft.com/office/drawing/2014/main" id="{D8B9E0B7-3788-E2D7-E52F-9C5BC110B9F6}"/>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 name="TextBox 30">
                <a:extLst>
                  <a:ext uri="{FF2B5EF4-FFF2-40B4-BE49-F238E27FC236}">
                    <a16:creationId xmlns:a16="http://schemas.microsoft.com/office/drawing/2014/main" id="{A053DB1B-8D07-B1B9-3B09-78F3E1916CAB}"/>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 name="TextBox 69">
            <a:extLst>
              <a:ext uri="{FF2B5EF4-FFF2-40B4-BE49-F238E27FC236}">
                <a16:creationId xmlns:a16="http://schemas.microsoft.com/office/drawing/2014/main" id="{FA5E6983-9B33-D6A6-B8A0-634109EAB8D0}"/>
              </a:ext>
            </a:extLst>
          </xdr:cNvPr>
          <xdr:cNvSpPr txBox="1"/>
        </xdr:nvSpPr>
        <xdr:spPr>
          <a:xfrm>
            <a:off x="16261704" y="7403937"/>
            <a:ext cx="1395426" cy="329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CƠ</a:t>
            </a:r>
            <a:r>
              <a:rPr lang="en-US" sz="1500" b="1" u="sng" baseline="0">
                <a:solidFill>
                  <a:srgbClr val="FF0000"/>
                </a:solidFill>
              </a:rPr>
              <a:t> SỞ BAN ĐẦU</a:t>
            </a:r>
            <a:endParaRPr lang="en-US" sz="1500" b="1" u="sng">
              <a:solidFill>
                <a:srgbClr val="FF0000"/>
              </a:solidFill>
            </a:endParaRPr>
          </a:p>
        </xdr:txBody>
      </xdr:sp>
    </xdr:grpSp>
    <xdr:clientData/>
  </xdr:twoCellAnchor>
  <xdr:twoCellAnchor editAs="oneCell">
    <xdr:from>
      <xdr:col>14</xdr:col>
      <xdr:colOff>74542</xdr:colOff>
      <xdr:row>33</xdr:row>
      <xdr:rowOff>92487</xdr:rowOff>
    </xdr:from>
    <xdr:to>
      <xdr:col>17</xdr:col>
      <xdr:colOff>488728</xdr:colOff>
      <xdr:row>54</xdr:row>
      <xdr:rowOff>169021</xdr:rowOff>
    </xdr:to>
    <xdr:grpSp>
      <xdr:nvGrpSpPr>
        <xdr:cNvPr id="14" name="Group 13">
          <a:extLst>
            <a:ext uri="{FF2B5EF4-FFF2-40B4-BE49-F238E27FC236}">
              <a16:creationId xmlns:a16="http://schemas.microsoft.com/office/drawing/2014/main" id="{91E8F537-EBFE-4F2F-BBE7-0130C291B381}"/>
            </a:ext>
          </a:extLst>
        </xdr:cNvPr>
        <xdr:cNvGrpSpPr/>
      </xdr:nvGrpSpPr>
      <xdr:grpSpPr>
        <a:xfrm>
          <a:off x="11365330" y="6745333"/>
          <a:ext cx="2480379" cy="4077034"/>
          <a:chOff x="9284677" y="11615942"/>
          <a:chExt cx="2252365" cy="4102024"/>
        </a:xfrm>
      </xdr:grpSpPr>
      <xdr:grpSp>
        <xdr:nvGrpSpPr>
          <xdr:cNvPr id="15" name="Group 14">
            <a:extLst>
              <a:ext uri="{FF2B5EF4-FFF2-40B4-BE49-F238E27FC236}">
                <a16:creationId xmlns:a16="http://schemas.microsoft.com/office/drawing/2014/main" id="{A5CCC4BC-1AC2-45FF-7A0D-89AF02F1B1A4}"/>
              </a:ext>
            </a:extLst>
          </xdr:cNvPr>
          <xdr:cNvGrpSpPr/>
        </xdr:nvGrpSpPr>
        <xdr:grpSpPr>
          <a:xfrm>
            <a:off x="9284677" y="11959782"/>
            <a:ext cx="2252365" cy="3758184"/>
            <a:chOff x="7743823" y="7915275"/>
            <a:chExt cx="2663385" cy="4317935"/>
          </a:xfrm>
        </xdr:grpSpPr>
        <xdr:graphicFrame macro="">
          <xdr:nvGraphicFramePr>
            <xdr:cNvPr id="17" name="Chart 16">
              <a:extLst>
                <a:ext uri="{FF2B5EF4-FFF2-40B4-BE49-F238E27FC236}">
                  <a16:creationId xmlns:a16="http://schemas.microsoft.com/office/drawing/2014/main" id="{7094336B-EB77-4E87-ADB3-FB6063B7A341}"/>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18" name="Group 17">
              <a:extLst>
                <a:ext uri="{FF2B5EF4-FFF2-40B4-BE49-F238E27FC236}">
                  <a16:creationId xmlns:a16="http://schemas.microsoft.com/office/drawing/2014/main" id="{F46E82E9-4A18-CBC6-2E5B-4822A23E59D6}"/>
                </a:ext>
              </a:extLst>
            </xdr:cNvPr>
            <xdr:cNvGrpSpPr/>
          </xdr:nvGrpSpPr>
          <xdr:grpSpPr>
            <a:xfrm>
              <a:off x="8748842" y="8010525"/>
              <a:ext cx="1601103" cy="385633"/>
              <a:chOff x="3662491" y="4678681"/>
              <a:chExt cx="1601103" cy="385633"/>
            </a:xfrm>
          </xdr:grpSpPr>
          <xdr:sp macro="" textlink="$E$86">
            <xdr:nvSpPr>
              <xdr:cNvPr id="23" name="TextBox 22">
                <a:extLst>
                  <a:ext uri="{FF2B5EF4-FFF2-40B4-BE49-F238E27FC236}">
                    <a16:creationId xmlns:a16="http://schemas.microsoft.com/office/drawing/2014/main" id="{75C13738-4F2F-E8A0-DF31-549CC190A189}"/>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D46B53A9-D853-4CEF-9842-F702B4E4F224}" type="TxLink">
                  <a:rPr lang="en-US" sz="1700" b="1" i="0" u="none" strike="noStrike">
                    <a:solidFill>
                      <a:srgbClr val="0033CC"/>
                    </a:solidFill>
                    <a:latin typeface="+mn-lt"/>
                    <a:cs typeface="Arial"/>
                  </a:rPr>
                  <a:pPr/>
                  <a:t> </a:t>
                </a:fld>
                <a:endParaRPr lang="en-US" sz="1700">
                  <a:solidFill>
                    <a:srgbClr val="0033CC"/>
                  </a:solidFill>
                  <a:latin typeface="+mn-lt"/>
                  <a:cs typeface="Arial" panose="020B0604020202020204" pitchFamily="34" charset="0"/>
                </a:endParaRPr>
              </a:p>
            </xdr:txBody>
          </xdr:sp>
          <xdr:sp macro="" textlink="">
            <xdr:nvSpPr>
              <xdr:cNvPr id="24" name="TextBox 23">
                <a:extLst>
                  <a:ext uri="{FF2B5EF4-FFF2-40B4-BE49-F238E27FC236}">
                    <a16:creationId xmlns:a16="http://schemas.microsoft.com/office/drawing/2014/main" id="{5FCEE1EC-89E0-C01F-C60B-A3F9F9389D37}"/>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9" name="Group 18">
              <a:extLst>
                <a:ext uri="{FF2B5EF4-FFF2-40B4-BE49-F238E27FC236}">
                  <a16:creationId xmlns:a16="http://schemas.microsoft.com/office/drawing/2014/main" id="{4AB1B17D-A871-3C27-D1CA-AC86FAFC02C3}"/>
                </a:ext>
              </a:extLst>
            </xdr:cNvPr>
            <xdr:cNvGrpSpPr/>
          </xdr:nvGrpSpPr>
          <xdr:grpSpPr>
            <a:xfrm>
              <a:off x="7743823" y="9982200"/>
              <a:ext cx="1018881" cy="734000"/>
              <a:chOff x="5572123" y="5781675"/>
              <a:chExt cx="1018881" cy="734000"/>
            </a:xfrm>
          </xdr:grpSpPr>
          <xdr:sp macro="" textlink="$E$83">
            <xdr:nvSpPr>
              <xdr:cNvPr id="20" name="TextBox 19">
                <a:extLst>
                  <a:ext uri="{FF2B5EF4-FFF2-40B4-BE49-F238E27FC236}">
                    <a16:creationId xmlns:a16="http://schemas.microsoft.com/office/drawing/2014/main" id="{10A75348-80C4-48AD-C483-F70F6B89D930}"/>
                  </a:ext>
                </a:extLst>
              </xdr:cNvPr>
              <xdr:cNvSpPr txBox="1"/>
            </xdr:nvSpPr>
            <xdr:spPr>
              <a:xfrm>
                <a:off x="5581649" y="5962651"/>
                <a:ext cx="248002" cy="341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C29679-0CD3-451B-B4CC-AACA4DCD6359}" type="TxLink">
                  <a:rPr lang="en-US" sz="1300" b="1" i="0" u="none" strike="noStrike">
                    <a:solidFill>
                      <a:srgbClr val="0033CC"/>
                    </a:solidFill>
                    <a:latin typeface="Arial"/>
                    <a:cs typeface="Arial"/>
                  </a:rPr>
                  <a:pPr/>
                  <a:t> </a:t>
                </a:fld>
                <a:endParaRPr lang="en-US" sz="1500">
                  <a:latin typeface="Aptos Narrow (Body)"/>
                </a:endParaRPr>
              </a:p>
            </xdr:txBody>
          </xdr:sp>
          <xdr:sp macro="" textlink="">
            <xdr:nvSpPr>
              <xdr:cNvPr id="21" name="TextBox 20">
                <a:extLst>
                  <a:ext uri="{FF2B5EF4-FFF2-40B4-BE49-F238E27FC236}">
                    <a16:creationId xmlns:a16="http://schemas.microsoft.com/office/drawing/2014/main" id="{E081630C-38BB-7057-EF48-51FFBB844BA5}"/>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2" name="TextBox 21">
                <a:extLst>
                  <a:ext uri="{FF2B5EF4-FFF2-40B4-BE49-F238E27FC236}">
                    <a16:creationId xmlns:a16="http://schemas.microsoft.com/office/drawing/2014/main" id="{F0376863-58F1-4EE7-5198-BF6A5338CB78}"/>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6" name="TextBox 15">
            <a:extLst>
              <a:ext uri="{FF2B5EF4-FFF2-40B4-BE49-F238E27FC236}">
                <a16:creationId xmlns:a16="http://schemas.microsoft.com/office/drawing/2014/main" id="{93DE2984-8B55-54FE-0122-AC2B85CEBCDD}"/>
              </a:ext>
            </a:extLst>
          </xdr:cNvPr>
          <xdr:cNvSpPr txBox="1"/>
        </xdr:nvSpPr>
        <xdr:spPr>
          <a:xfrm>
            <a:off x="9317731" y="11615942"/>
            <a:ext cx="1339744"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CƠ</a:t>
            </a:r>
            <a:r>
              <a:rPr lang="en-US" sz="1500" b="1" u="sng" baseline="0">
                <a:solidFill>
                  <a:srgbClr val="FF0000"/>
                </a:solidFill>
              </a:rPr>
              <a:t> SỞ BAN ĐẦU</a:t>
            </a:r>
            <a:endParaRPr lang="en-US" sz="1500" b="1" u="sng">
              <a:solidFill>
                <a:srgbClr val="FF0000"/>
              </a:solidFill>
            </a:endParaRPr>
          </a:p>
        </xdr:txBody>
      </xdr:sp>
    </xdr:grpSp>
    <xdr:clientData/>
  </xdr:twoCellAnchor>
  <xdr:twoCellAnchor>
    <xdr:from>
      <xdr:col>15</xdr:col>
      <xdr:colOff>183174</xdr:colOff>
      <xdr:row>1</xdr:row>
      <xdr:rowOff>21981</xdr:rowOff>
    </xdr:from>
    <xdr:to>
      <xdr:col>17</xdr:col>
      <xdr:colOff>87923</xdr:colOff>
      <xdr:row>3</xdr:row>
      <xdr:rowOff>153866</xdr:rowOff>
    </xdr:to>
    <xdr:sp macro="" textlink="">
      <xdr:nvSpPr>
        <xdr:cNvPr id="25" name="Rectangle 24">
          <a:extLst>
            <a:ext uri="{FF2B5EF4-FFF2-40B4-BE49-F238E27FC236}">
              <a16:creationId xmlns:a16="http://schemas.microsoft.com/office/drawing/2014/main" id="{F6566165-9C49-90B6-5667-7D18D390C173}"/>
            </a:ext>
          </a:extLst>
        </xdr:cNvPr>
        <xdr:cNvSpPr/>
      </xdr:nvSpPr>
      <xdr:spPr>
        <a:xfrm>
          <a:off x="12162693" y="212481"/>
          <a:ext cx="1282211" cy="57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Để</a:t>
          </a:r>
          <a:r>
            <a:rPr lang="en-US" sz="1100" baseline="0"/>
            <a:t> tiền VND</a:t>
          </a:r>
          <a:endParaRPr lang="en-US" sz="1100"/>
        </a:p>
      </xdr:txBody>
    </xdr:sp>
    <xdr:clientData/>
  </xdr:twoCellAnchor>
  <xdr:twoCellAnchor editAs="oneCell">
    <xdr:from>
      <xdr:col>14</xdr:col>
      <xdr:colOff>51289</xdr:colOff>
      <xdr:row>3</xdr:row>
      <xdr:rowOff>227135</xdr:rowOff>
    </xdr:from>
    <xdr:to>
      <xdr:col>19</xdr:col>
      <xdr:colOff>174424</xdr:colOff>
      <xdr:row>6</xdr:row>
      <xdr:rowOff>76717</xdr:rowOff>
    </xdr:to>
    <mc:AlternateContent xmlns:mc="http://schemas.openxmlformats.org/markup-compatibility/2006" xmlns:a14="http://schemas.microsoft.com/office/drawing/2010/main">
      <mc:Choice Requires="a14">
        <xdr:graphicFrame macro="">
          <xdr:nvGraphicFramePr>
            <xdr:cNvPr id="26" name="Currency 9">
              <a:extLst>
                <a:ext uri="{FF2B5EF4-FFF2-40B4-BE49-F238E27FC236}">
                  <a16:creationId xmlns:a16="http://schemas.microsoft.com/office/drawing/2014/main" id="{3C982A33-C91B-4CAA-BB48-0CAD4F2B3DD1}"/>
                </a:ext>
              </a:extLst>
            </xdr:cNvPr>
            <xdr:cNvGraphicFramePr/>
          </xdr:nvGraphicFramePr>
          <xdr:xfrm>
            <a:off x="0" y="0"/>
            <a:ext cx="0" cy="0"/>
          </xdr:xfrm>
          <a:graphic>
            <a:graphicData uri="http://schemas.microsoft.com/office/drawing/2010/slicer">
              <sle:slicer xmlns:sle="http://schemas.microsoft.com/office/drawing/2010/slicer" name="Currency 9"/>
            </a:graphicData>
          </a:graphic>
        </xdr:graphicFrame>
      </mc:Choice>
      <mc:Fallback xmlns="">
        <xdr:sp macro="" textlink="">
          <xdr:nvSpPr>
            <xdr:cNvPr id="0" name=""/>
            <xdr:cNvSpPr>
              <a:spLocks noTextEdit="1"/>
            </xdr:cNvSpPr>
          </xdr:nvSpPr>
          <xdr:spPr>
            <a:xfrm>
              <a:off x="11342077" y="857250"/>
              <a:ext cx="3566789" cy="655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117231</xdr:rowOff>
    </xdr:from>
    <xdr:to>
      <xdr:col>1</xdr:col>
      <xdr:colOff>520212</xdr:colOff>
      <xdr:row>1</xdr:row>
      <xdr:rowOff>138591</xdr:rowOff>
    </xdr:to>
    <xdr:pic>
      <xdr:nvPicPr>
        <xdr:cNvPr id="2" name="Picture 1">
          <a:extLst>
            <a:ext uri="{FF2B5EF4-FFF2-40B4-BE49-F238E27FC236}">
              <a16:creationId xmlns:a16="http://schemas.microsoft.com/office/drawing/2014/main" id="{4104A42D-1431-43C4-941D-48E3C1A59C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17231"/>
          <a:ext cx="967887" cy="211860"/>
        </a:xfrm>
        <a:prstGeom prst="rect">
          <a:avLst/>
        </a:prstGeom>
      </xdr:spPr>
    </xdr:pic>
    <xdr:clientData/>
  </xdr:twoCellAnchor>
  <xdr:twoCellAnchor>
    <xdr:from>
      <xdr:col>17</xdr:col>
      <xdr:colOff>183174</xdr:colOff>
      <xdr:row>1</xdr:row>
      <xdr:rowOff>21981</xdr:rowOff>
    </xdr:from>
    <xdr:to>
      <xdr:col>19</xdr:col>
      <xdr:colOff>87923</xdr:colOff>
      <xdr:row>3</xdr:row>
      <xdr:rowOff>153866</xdr:rowOff>
    </xdr:to>
    <xdr:sp macro="" textlink="">
      <xdr:nvSpPr>
        <xdr:cNvPr id="114" name="Rectangle 113">
          <a:extLst>
            <a:ext uri="{FF2B5EF4-FFF2-40B4-BE49-F238E27FC236}">
              <a16:creationId xmlns:a16="http://schemas.microsoft.com/office/drawing/2014/main" id="{3C286C41-160D-4D71-9980-375A32F5692F}"/>
            </a:ext>
          </a:extLst>
        </xdr:cNvPr>
        <xdr:cNvSpPr/>
      </xdr:nvSpPr>
      <xdr:spPr>
        <a:xfrm>
          <a:off x="12156099" y="212481"/>
          <a:ext cx="1276349" cy="5700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Để</a:t>
          </a:r>
          <a:r>
            <a:rPr lang="en-US" sz="1100" baseline="0"/>
            <a:t> tiền VND ở sheet này</a:t>
          </a:r>
          <a:endParaRPr lang="en-US" sz="1100"/>
        </a:p>
      </xdr:txBody>
    </xdr:sp>
    <xdr:clientData/>
  </xdr:twoCellAnchor>
  <xdr:twoCellAnchor editAs="oneCell">
    <xdr:from>
      <xdr:col>16</xdr:col>
      <xdr:colOff>51289</xdr:colOff>
      <xdr:row>3</xdr:row>
      <xdr:rowOff>227135</xdr:rowOff>
    </xdr:from>
    <xdr:to>
      <xdr:col>21</xdr:col>
      <xdr:colOff>174424</xdr:colOff>
      <xdr:row>6</xdr:row>
      <xdr:rowOff>93569</xdr:rowOff>
    </xdr:to>
    <mc:AlternateContent xmlns:mc="http://schemas.openxmlformats.org/markup-compatibility/2006" xmlns:a14="http://schemas.microsoft.com/office/drawing/2010/main">
      <mc:Choice Requires="a14">
        <xdr:graphicFrame macro="">
          <xdr:nvGraphicFramePr>
            <xdr:cNvPr id="115" name="Currency 10">
              <a:extLst>
                <a:ext uri="{FF2B5EF4-FFF2-40B4-BE49-F238E27FC236}">
                  <a16:creationId xmlns:a16="http://schemas.microsoft.com/office/drawing/2014/main" id="{DD15A9C1-2C67-49CB-A272-2B58DC2521C7}"/>
                </a:ext>
              </a:extLst>
            </xdr:cNvPr>
            <xdr:cNvGraphicFramePr/>
          </xdr:nvGraphicFramePr>
          <xdr:xfrm>
            <a:off x="0" y="0"/>
            <a:ext cx="0" cy="0"/>
          </xdr:xfrm>
          <a:graphic>
            <a:graphicData uri="http://schemas.microsoft.com/office/drawing/2010/slicer">
              <sle:slicer xmlns:sle="http://schemas.microsoft.com/office/drawing/2010/slicer" name="Currency 10"/>
            </a:graphicData>
          </a:graphic>
        </xdr:graphicFrame>
      </mc:Choice>
      <mc:Fallback xmlns="">
        <xdr:sp macro="" textlink="">
          <xdr:nvSpPr>
            <xdr:cNvPr id="0" name=""/>
            <xdr:cNvSpPr>
              <a:spLocks noTextEdit="1"/>
            </xdr:cNvSpPr>
          </xdr:nvSpPr>
          <xdr:spPr>
            <a:xfrm>
              <a:off x="11342077" y="857250"/>
              <a:ext cx="3566789" cy="655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488672</xdr:colOff>
      <xdr:row>10</xdr:row>
      <xdr:rowOff>99391</xdr:rowOff>
    </xdr:from>
    <xdr:to>
      <xdr:col>22</xdr:col>
      <xdr:colOff>358162</xdr:colOff>
      <xdr:row>32</xdr:row>
      <xdr:rowOff>115270</xdr:rowOff>
    </xdr:to>
    <xdr:grpSp>
      <xdr:nvGrpSpPr>
        <xdr:cNvPr id="116" name="Group 115">
          <a:extLst>
            <a:ext uri="{FF2B5EF4-FFF2-40B4-BE49-F238E27FC236}">
              <a16:creationId xmlns:a16="http://schemas.microsoft.com/office/drawing/2014/main" id="{746B5CAD-D111-44D3-8557-05194A228E4D}"/>
            </a:ext>
          </a:extLst>
        </xdr:cNvPr>
        <xdr:cNvGrpSpPr/>
      </xdr:nvGrpSpPr>
      <xdr:grpSpPr>
        <a:xfrm>
          <a:off x="9135715" y="2401956"/>
          <a:ext cx="2619317" cy="4099205"/>
          <a:chOff x="16172571" y="7403937"/>
          <a:chExt cx="2477761" cy="4135400"/>
        </a:xfrm>
      </xdr:grpSpPr>
      <xdr:grpSp>
        <xdr:nvGrpSpPr>
          <xdr:cNvPr id="119" name="Group 24">
            <a:extLst>
              <a:ext uri="{FF2B5EF4-FFF2-40B4-BE49-F238E27FC236}">
                <a16:creationId xmlns:a16="http://schemas.microsoft.com/office/drawing/2014/main" id="{208E5D88-992E-1C16-23BE-7693BA3F7A80}"/>
              </a:ext>
            </a:extLst>
          </xdr:cNvPr>
          <xdr:cNvGrpSpPr/>
        </xdr:nvGrpSpPr>
        <xdr:grpSpPr>
          <a:xfrm>
            <a:off x="16172571" y="7734260"/>
            <a:ext cx="2327982" cy="3805077"/>
            <a:chOff x="7697825" y="3800475"/>
            <a:chExt cx="2755769" cy="3935649"/>
          </a:xfrm>
        </xdr:grpSpPr>
        <xdr:graphicFrame macro="">
          <xdr:nvGraphicFramePr>
            <xdr:cNvPr id="121" name="Chart 3">
              <a:extLst>
                <a:ext uri="{FF2B5EF4-FFF2-40B4-BE49-F238E27FC236}">
                  <a16:creationId xmlns:a16="http://schemas.microsoft.com/office/drawing/2014/main" id="{62D003C3-4868-DDAF-43E2-6B6C755F0EFE}"/>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22" name="Group 19">
              <a:extLst>
                <a:ext uri="{FF2B5EF4-FFF2-40B4-BE49-F238E27FC236}">
                  <a16:creationId xmlns:a16="http://schemas.microsoft.com/office/drawing/2014/main" id="{E29DAB8E-08A2-9D74-2292-2D7D02DD89E4}"/>
                </a:ext>
              </a:extLst>
            </xdr:cNvPr>
            <xdr:cNvGrpSpPr/>
          </xdr:nvGrpSpPr>
          <xdr:grpSpPr>
            <a:xfrm>
              <a:off x="8814167" y="3818680"/>
              <a:ext cx="1583474" cy="358291"/>
              <a:chOff x="3880217" y="4675930"/>
              <a:chExt cx="1583474" cy="358291"/>
            </a:xfrm>
          </xdr:grpSpPr>
          <xdr:sp macro="" textlink="'W5'!$E$64">
            <xdr:nvSpPr>
              <xdr:cNvPr id="127" name="TextBox 20">
                <a:extLst>
                  <a:ext uri="{FF2B5EF4-FFF2-40B4-BE49-F238E27FC236}">
                    <a16:creationId xmlns:a16="http://schemas.microsoft.com/office/drawing/2014/main" id="{2E263DE9-C061-B25A-CE30-ED064CCF2BED}"/>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10B47585-C794-4AF8-87DA-E7F24DECD7E2}" type="TxLink">
                  <a:rPr lang="en-US" sz="1700" b="1" i="0" u="none" strike="noStrike">
                    <a:solidFill>
                      <a:srgbClr val="0033CC"/>
                    </a:solidFill>
                    <a:latin typeface="+mj-lt"/>
                    <a:cs typeface="Arial"/>
                  </a:rPr>
                  <a:t>680 </a:t>
                </a:fld>
                <a:endParaRPr lang="en-US" sz="1700">
                  <a:solidFill>
                    <a:srgbClr val="0033CC"/>
                  </a:solidFill>
                  <a:latin typeface="+mj-lt"/>
                  <a:cs typeface="Arial" panose="020B0604020202020204" pitchFamily="34" charset="0"/>
                </a:endParaRPr>
              </a:p>
            </xdr:txBody>
          </xdr:sp>
          <xdr:sp macro="" textlink="">
            <xdr:nvSpPr>
              <xdr:cNvPr id="128" name="TextBox 21">
                <a:extLst>
                  <a:ext uri="{FF2B5EF4-FFF2-40B4-BE49-F238E27FC236}">
                    <a16:creationId xmlns:a16="http://schemas.microsoft.com/office/drawing/2014/main" id="{2BBB7D87-1455-990C-6583-81DD9F3AE526}"/>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23" name="Group 26">
              <a:extLst>
                <a:ext uri="{FF2B5EF4-FFF2-40B4-BE49-F238E27FC236}">
                  <a16:creationId xmlns:a16="http://schemas.microsoft.com/office/drawing/2014/main" id="{FD5965A1-BD64-2D95-10F6-6214784F3CD0}"/>
                </a:ext>
              </a:extLst>
            </xdr:cNvPr>
            <xdr:cNvGrpSpPr/>
          </xdr:nvGrpSpPr>
          <xdr:grpSpPr>
            <a:xfrm>
              <a:off x="7697825" y="5550324"/>
              <a:ext cx="1075761" cy="746276"/>
              <a:chOff x="5516600" y="5769399"/>
              <a:chExt cx="1075761" cy="746276"/>
            </a:xfrm>
          </xdr:grpSpPr>
          <xdr:sp macro="" textlink="'W5'!$E$61">
            <xdr:nvSpPr>
              <xdr:cNvPr id="124" name="TextBox 28">
                <a:extLst>
                  <a:ext uri="{FF2B5EF4-FFF2-40B4-BE49-F238E27FC236}">
                    <a16:creationId xmlns:a16="http://schemas.microsoft.com/office/drawing/2014/main" id="{DC097CC9-5194-BF94-64B2-AE1344ABCA74}"/>
                  </a:ext>
                </a:extLst>
              </xdr:cNvPr>
              <xdr:cNvSpPr txBox="1"/>
            </xdr:nvSpPr>
            <xdr:spPr>
              <a:xfrm>
                <a:off x="5686426" y="5962650"/>
                <a:ext cx="649365" cy="374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3C5EB4A-3D24-4181-A880-600071666CD5}" type="TxLink">
                  <a:rPr lang="en-US" sz="1700" b="1" i="0" u="none" strike="noStrike">
                    <a:solidFill>
                      <a:srgbClr val="0033CC"/>
                    </a:solidFill>
                    <a:latin typeface="+mj-lt"/>
                    <a:cs typeface="Arial"/>
                  </a:rPr>
                  <a:t>611 </a:t>
                </a:fld>
                <a:endParaRPr lang="en-US" sz="1700">
                  <a:latin typeface="+mj-lt"/>
                </a:endParaRPr>
              </a:p>
            </xdr:txBody>
          </xdr:sp>
          <xdr:sp macro="" textlink="">
            <xdr:nvSpPr>
              <xdr:cNvPr id="125" name="TextBox 29">
                <a:extLst>
                  <a:ext uri="{FF2B5EF4-FFF2-40B4-BE49-F238E27FC236}">
                    <a16:creationId xmlns:a16="http://schemas.microsoft.com/office/drawing/2014/main" id="{A7D32051-A8DC-664B-E962-9BA8CA2A92A5}"/>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26" name="TextBox 30">
                <a:extLst>
                  <a:ext uri="{FF2B5EF4-FFF2-40B4-BE49-F238E27FC236}">
                    <a16:creationId xmlns:a16="http://schemas.microsoft.com/office/drawing/2014/main" id="{C3FC9EDD-9D25-1E5A-F496-0D0DCBB03595}"/>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0" name="TextBox 69">
            <a:extLst>
              <a:ext uri="{FF2B5EF4-FFF2-40B4-BE49-F238E27FC236}">
                <a16:creationId xmlns:a16="http://schemas.microsoft.com/office/drawing/2014/main" id="{8037F953-7FD2-1F30-AE16-234484875F1B}"/>
              </a:ext>
            </a:extLst>
          </xdr:cNvPr>
          <xdr:cNvSpPr txBox="1"/>
        </xdr:nvSpPr>
        <xdr:spPr>
          <a:xfrm>
            <a:off x="16261704" y="7403937"/>
            <a:ext cx="2388628" cy="329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clientData/>
  </xdr:twoCellAnchor>
  <xdr:twoCellAnchor editAs="oneCell">
    <xdr:from>
      <xdr:col>18</xdr:col>
      <xdr:colOff>620366</xdr:colOff>
      <xdr:row>35</xdr:row>
      <xdr:rowOff>16565</xdr:rowOff>
    </xdr:from>
    <xdr:to>
      <xdr:col>22</xdr:col>
      <xdr:colOff>432196</xdr:colOff>
      <xdr:row>56</xdr:row>
      <xdr:rowOff>93101</xdr:rowOff>
    </xdr:to>
    <xdr:grpSp>
      <xdr:nvGrpSpPr>
        <xdr:cNvPr id="129" name="Group 128">
          <a:extLst>
            <a:ext uri="{FF2B5EF4-FFF2-40B4-BE49-F238E27FC236}">
              <a16:creationId xmlns:a16="http://schemas.microsoft.com/office/drawing/2014/main" id="{AD359E89-5EF0-49F9-AAD6-6F8E19A58E79}"/>
            </a:ext>
          </a:extLst>
        </xdr:cNvPr>
        <xdr:cNvGrpSpPr/>
      </xdr:nvGrpSpPr>
      <xdr:grpSpPr>
        <a:xfrm>
          <a:off x="9267409" y="6973956"/>
          <a:ext cx="2561657" cy="4077036"/>
          <a:chOff x="9284677" y="11615942"/>
          <a:chExt cx="2324812" cy="4102026"/>
        </a:xfrm>
      </xdr:grpSpPr>
      <xdr:grpSp>
        <xdr:nvGrpSpPr>
          <xdr:cNvPr id="130" name="Group 129">
            <a:extLst>
              <a:ext uri="{FF2B5EF4-FFF2-40B4-BE49-F238E27FC236}">
                <a16:creationId xmlns:a16="http://schemas.microsoft.com/office/drawing/2014/main" id="{2EC3B3CC-AA93-EB25-B40D-56674E647A68}"/>
              </a:ext>
            </a:extLst>
          </xdr:cNvPr>
          <xdr:cNvGrpSpPr/>
        </xdr:nvGrpSpPr>
        <xdr:grpSpPr>
          <a:xfrm>
            <a:off x="9284677" y="11959783"/>
            <a:ext cx="2274916" cy="3758185"/>
            <a:chOff x="7743823" y="7915275"/>
            <a:chExt cx="2690051" cy="4317935"/>
          </a:xfrm>
        </xdr:grpSpPr>
        <xdr:graphicFrame macro="">
          <xdr:nvGraphicFramePr>
            <xdr:cNvPr id="132" name="Chart 131">
              <a:extLst>
                <a:ext uri="{FF2B5EF4-FFF2-40B4-BE49-F238E27FC236}">
                  <a16:creationId xmlns:a16="http://schemas.microsoft.com/office/drawing/2014/main" id="{1F71EB23-DF51-EF63-078F-707038469FE4}"/>
                </a:ext>
              </a:extLst>
            </xdr:cNvPr>
            <xdr:cNvGraphicFramePr/>
          </xdr:nvGraphicFramePr>
          <xdr:xfrm>
            <a:off x="7784776" y="7915275"/>
            <a:ext cx="2649098" cy="4317935"/>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133" name="Group 132">
              <a:extLst>
                <a:ext uri="{FF2B5EF4-FFF2-40B4-BE49-F238E27FC236}">
                  <a16:creationId xmlns:a16="http://schemas.microsoft.com/office/drawing/2014/main" id="{1AE87DD8-3572-D7AE-8320-14D98BA89629}"/>
                </a:ext>
              </a:extLst>
            </xdr:cNvPr>
            <xdr:cNvGrpSpPr/>
          </xdr:nvGrpSpPr>
          <xdr:grpSpPr>
            <a:xfrm>
              <a:off x="8748842" y="8010525"/>
              <a:ext cx="1601103" cy="385633"/>
              <a:chOff x="3662491" y="4678681"/>
              <a:chExt cx="1601103" cy="385633"/>
            </a:xfrm>
          </xdr:grpSpPr>
          <xdr:sp macro="" textlink="'W5'!$E$86">
            <xdr:nvSpPr>
              <xdr:cNvPr id="138" name="TextBox 137">
                <a:extLst>
                  <a:ext uri="{FF2B5EF4-FFF2-40B4-BE49-F238E27FC236}">
                    <a16:creationId xmlns:a16="http://schemas.microsoft.com/office/drawing/2014/main" id="{E41361C9-11BB-FDD6-C1B9-65D51C24D438}"/>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01E1030-A8EE-4808-9AFE-272FF70A79D1}" type="TxLink">
                  <a:rPr lang="en-US" sz="1700" b="1" i="0" u="none" strike="noStrike">
                    <a:solidFill>
                      <a:srgbClr val="0033CC"/>
                    </a:solidFill>
                    <a:latin typeface="Arial"/>
                    <a:cs typeface="Arial"/>
                  </a:rPr>
                  <a:t>1,744 </a:t>
                </a:fld>
                <a:endParaRPr lang="en-US" sz="1700">
                  <a:solidFill>
                    <a:srgbClr val="0033CC"/>
                  </a:solidFill>
                  <a:latin typeface="+mn-lt"/>
                  <a:cs typeface="Arial" panose="020B0604020202020204" pitchFamily="34" charset="0"/>
                </a:endParaRPr>
              </a:p>
            </xdr:txBody>
          </xdr:sp>
          <xdr:sp macro="" textlink="">
            <xdr:nvSpPr>
              <xdr:cNvPr id="139" name="TextBox 138">
                <a:extLst>
                  <a:ext uri="{FF2B5EF4-FFF2-40B4-BE49-F238E27FC236}">
                    <a16:creationId xmlns:a16="http://schemas.microsoft.com/office/drawing/2014/main" id="{0C146CF7-B894-F44C-B430-522966DBFAC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34" name="Group 133">
              <a:extLst>
                <a:ext uri="{FF2B5EF4-FFF2-40B4-BE49-F238E27FC236}">
                  <a16:creationId xmlns:a16="http://schemas.microsoft.com/office/drawing/2014/main" id="{1FF3C73B-DD25-EA75-A326-309B7CE2C2A8}"/>
                </a:ext>
              </a:extLst>
            </xdr:cNvPr>
            <xdr:cNvGrpSpPr/>
          </xdr:nvGrpSpPr>
          <xdr:grpSpPr>
            <a:xfrm>
              <a:off x="7743823" y="9982200"/>
              <a:ext cx="1018881" cy="734000"/>
              <a:chOff x="5572123" y="5781675"/>
              <a:chExt cx="1018881" cy="734000"/>
            </a:xfrm>
          </xdr:grpSpPr>
          <xdr:sp macro="" textlink="$E$83">
            <xdr:nvSpPr>
              <xdr:cNvPr id="135" name="TextBox 134">
                <a:extLst>
                  <a:ext uri="{FF2B5EF4-FFF2-40B4-BE49-F238E27FC236}">
                    <a16:creationId xmlns:a16="http://schemas.microsoft.com/office/drawing/2014/main" id="{8FE44621-CEB3-04C3-0AB0-0D32C3C4CB69}"/>
                  </a:ext>
                </a:extLst>
              </xdr:cNvPr>
              <xdr:cNvSpPr txBox="1"/>
            </xdr:nvSpPr>
            <xdr:spPr>
              <a:xfrm>
                <a:off x="5581649" y="5962651"/>
                <a:ext cx="248499" cy="341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C29679-0CD3-451B-B4CC-AACA4DCD6359}" type="TxLink">
                  <a:rPr lang="en-US" sz="1300" b="1" i="0" u="none" strike="noStrike">
                    <a:solidFill>
                      <a:srgbClr val="0033CC"/>
                    </a:solidFill>
                    <a:latin typeface="Arial"/>
                    <a:cs typeface="Arial"/>
                  </a:rPr>
                  <a:pPr/>
                  <a:t> </a:t>
                </a:fld>
                <a:endParaRPr lang="en-US" sz="1500">
                  <a:latin typeface="Aptos Narrow (Body)"/>
                </a:endParaRPr>
              </a:p>
            </xdr:txBody>
          </xdr:sp>
          <xdr:sp macro="" textlink="">
            <xdr:nvSpPr>
              <xdr:cNvPr id="136" name="TextBox 135">
                <a:extLst>
                  <a:ext uri="{FF2B5EF4-FFF2-40B4-BE49-F238E27FC236}">
                    <a16:creationId xmlns:a16="http://schemas.microsoft.com/office/drawing/2014/main" id="{FADDEEFC-8232-306A-6D8E-61D69C526D1B}"/>
                  </a:ext>
                </a:extLst>
              </xdr:cNvPr>
              <xdr:cNvSpPr txBox="1"/>
            </xdr:nvSpPr>
            <xdr:spPr>
              <a:xfrm>
                <a:off x="5572123"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37" name="TextBox 136">
                <a:extLst>
                  <a:ext uri="{FF2B5EF4-FFF2-40B4-BE49-F238E27FC236}">
                    <a16:creationId xmlns:a16="http://schemas.microsoft.com/office/drawing/2014/main" id="{F40B42DC-4ABA-3E37-2CFE-30234748027E}"/>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31" name="TextBox 130">
            <a:extLst>
              <a:ext uri="{FF2B5EF4-FFF2-40B4-BE49-F238E27FC236}">
                <a16:creationId xmlns:a16="http://schemas.microsoft.com/office/drawing/2014/main" id="{A4032297-35D7-3715-81D7-D97C3C9D05CD}"/>
              </a:ext>
            </a:extLst>
          </xdr:cNvPr>
          <xdr:cNvSpPr txBox="1"/>
        </xdr:nvSpPr>
        <xdr:spPr>
          <a:xfrm>
            <a:off x="9317731" y="11615942"/>
            <a:ext cx="2291758"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KHÔNG</a:t>
            </a:r>
            <a:r>
              <a:rPr lang="en-US" sz="1500" b="1" u="sng" baseline="0">
                <a:solidFill>
                  <a:srgbClr val="FF0000"/>
                </a:solidFill>
              </a:rPr>
              <a:t> TÍNH ĐẦU TƯ XƯỞNG</a:t>
            </a:r>
            <a:endParaRPr lang="en-US" sz="1500" b="1" u="sng">
              <a:solidFill>
                <a:srgbClr val="FF0000"/>
              </a:solidFill>
            </a:endParaRPr>
          </a:p>
        </xdr:txBody>
      </xdr:sp>
    </xdr:grpSp>
    <xdr:clientData/>
  </xdr:twoCellAnchor>
  <xdr:twoCellAnchor editAs="oneCell">
    <xdr:from>
      <xdr:col>23</xdr:col>
      <xdr:colOff>523875</xdr:colOff>
      <xdr:row>10</xdr:row>
      <xdr:rowOff>161925</xdr:rowOff>
    </xdr:from>
    <xdr:to>
      <xdr:col>27</xdr:col>
      <xdr:colOff>269621</xdr:colOff>
      <xdr:row>32</xdr:row>
      <xdr:rowOff>167323</xdr:rowOff>
    </xdr:to>
    <xdr:grpSp>
      <xdr:nvGrpSpPr>
        <xdr:cNvPr id="3" name="Group 2">
          <a:extLst>
            <a:ext uri="{FF2B5EF4-FFF2-40B4-BE49-F238E27FC236}">
              <a16:creationId xmlns:a16="http://schemas.microsoft.com/office/drawing/2014/main" id="{DCF5581D-508F-4CA8-8429-CD7688B83607}"/>
            </a:ext>
          </a:extLst>
        </xdr:cNvPr>
        <xdr:cNvGrpSpPr/>
      </xdr:nvGrpSpPr>
      <xdr:grpSpPr>
        <a:xfrm>
          <a:off x="12608201" y="2464490"/>
          <a:ext cx="2495572" cy="4088724"/>
          <a:chOff x="16172571" y="7403937"/>
          <a:chExt cx="2327981" cy="4135400"/>
        </a:xfrm>
      </xdr:grpSpPr>
      <xdr:grpSp>
        <xdr:nvGrpSpPr>
          <xdr:cNvPr id="4" name="Group 24">
            <a:extLst>
              <a:ext uri="{FF2B5EF4-FFF2-40B4-BE49-F238E27FC236}">
                <a16:creationId xmlns:a16="http://schemas.microsoft.com/office/drawing/2014/main" id="{62B41B6D-314E-73E2-4902-A7D078F69D19}"/>
              </a:ext>
            </a:extLst>
          </xdr:cNvPr>
          <xdr:cNvGrpSpPr/>
        </xdr:nvGrpSpPr>
        <xdr:grpSpPr>
          <a:xfrm>
            <a:off x="16172571" y="7734260"/>
            <a:ext cx="2327981" cy="3805077"/>
            <a:chOff x="7697825" y="3800475"/>
            <a:chExt cx="2755768" cy="3935649"/>
          </a:xfrm>
        </xdr:grpSpPr>
        <xdr:graphicFrame macro="">
          <xdr:nvGraphicFramePr>
            <xdr:cNvPr id="6" name="Chart 3">
              <a:extLst>
                <a:ext uri="{FF2B5EF4-FFF2-40B4-BE49-F238E27FC236}">
                  <a16:creationId xmlns:a16="http://schemas.microsoft.com/office/drawing/2014/main" id="{3B33E0E5-4BB5-A9CC-E47B-B316B1C582B3}"/>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7" name="Group 19">
              <a:extLst>
                <a:ext uri="{FF2B5EF4-FFF2-40B4-BE49-F238E27FC236}">
                  <a16:creationId xmlns:a16="http://schemas.microsoft.com/office/drawing/2014/main" id="{6675B3D8-0103-6BD8-97C8-847C556B6032}"/>
                </a:ext>
              </a:extLst>
            </xdr:cNvPr>
            <xdr:cNvGrpSpPr/>
          </xdr:nvGrpSpPr>
          <xdr:grpSpPr>
            <a:xfrm>
              <a:off x="8814167" y="3818680"/>
              <a:ext cx="1583474" cy="358291"/>
              <a:chOff x="3880217" y="4675930"/>
              <a:chExt cx="1583474" cy="358291"/>
            </a:xfrm>
          </xdr:grpSpPr>
          <xdr:sp macro="" textlink="'W5'!$K$64">
            <xdr:nvSpPr>
              <xdr:cNvPr id="12" name="TextBox 20">
                <a:extLst>
                  <a:ext uri="{FF2B5EF4-FFF2-40B4-BE49-F238E27FC236}">
                    <a16:creationId xmlns:a16="http://schemas.microsoft.com/office/drawing/2014/main" id="{E6115DA0-1AED-E464-AF2F-ACE7CE1DD033}"/>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7F13B97A-7657-4FD4-B0B0-0FDD11F78A9F}" type="TxLink">
                  <a:rPr lang="en-US" sz="1700" b="1" i="0" u="none" strike="noStrike">
                    <a:solidFill>
                      <a:srgbClr val="0033CC"/>
                    </a:solidFill>
                    <a:latin typeface="+mj-lt"/>
                    <a:cs typeface="Arial"/>
                  </a:rPr>
                  <a:t>680 </a:t>
                </a:fld>
                <a:endParaRPr lang="en-US" sz="1700">
                  <a:solidFill>
                    <a:srgbClr val="0033CC"/>
                  </a:solidFill>
                  <a:latin typeface="+mj-lt"/>
                  <a:cs typeface="Arial" panose="020B0604020202020204" pitchFamily="34" charset="0"/>
                </a:endParaRPr>
              </a:p>
            </xdr:txBody>
          </xdr:sp>
          <xdr:sp macro="" textlink="">
            <xdr:nvSpPr>
              <xdr:cNvPr id="13" name="TextBox 21">
                <a:extLst>
                  <a:ext uri="{FF2B5EF4-FFF2-40B4-BE49-F238E27FC236}">
                    <a16:creationId xmlns:a16="http://schemas.microsoft.com/office/drawing/2014/main" id="{3F8BD852-BE8B-1CE7-CC6C-CB9A6A79943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8" name="Group 26">
              <a:extLst>
                <a:ext uri="{FF2B5EF4-FFF2-40B4-BE49-F238E27FC236}">
                  <a16:creationId xmlns:a16="http://schemas.microsoft.com/office/drawing/2014/main" id="{F9D3BFE0-A527-49FE-BC93-36B1FDC3B51B}"/>
                </a:ext>
              </a:extLst>
            </xdr:cNvPr>
            <xdr:cNvGrpSpPr/>
          </xdr:nvGrpSpPr>
          <xdr:grpSpPr>
            <a:xfrm>
              <a:off x="7697825" y="5550324"/>
              <a:ext cx="1075761" cy="746276"/>
              <a:chOff x="5516600" y="5769399"/>
              <a:chExt cx="1075761" cy="746276"/>
            </a:xfrm>
          </xdr:grpSpPr>
          <xdr:sp macro="" textlink="'W5'!$K$61">
            <xdr:nvSpPr>
              <xdr:cNvPr id="9" name="TextBox 28">
                <a:extLst>
                  <a:ext uri="{FF2B5EF4-FFF2-40B4-BE49-F238E27FC236}">
                    <a16:creationId xmlns:a16="http://schemas.microsoft.com/office/drawing/2014/main" id="{8E1390FD-A154-22DA-4B76-D53CD691AC4B}"/>
                  </a:ext>
                </a:extLst>
              </xdr:cNvPr>
              <xdr:cNvSpPr txBox="1"/>
            </xdr:nvSpPr>
            <xdr:spPr>
              <a:xfrm>
                <a:off x="5686426" y="5962650"/>
                <a:ext cx="640364" cy="3749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87110C-150A-4362-8E1E-4C1D8FE0AC9D}" type="TxLink">
                  <a:rPr lang="en-US" sz="1700" b="1" i="0" u="none" strike="noStrike">
                    <a:solidFill>
                      <a:srgbClr val="0033CC"/>
                    </a:solidFill>
                    <a:latin typeface="+mj-lt"/>
                    <a:cs typeface="Arial"/>
                  </a:rPr>
                  <a:t>644 </a:t>
                </a:fld>
                <a:endParaRPr lang="en-US" sz="1700">
                  <a:latin typeface="+mj-lt"/>
                </a:endParaRPr>
              </a:p>
            </xdr:txBody>
          </xdr:sp>
          <xdr:sp macro="" textlink="">
            <xdr:nvSpPr>
              <xdr:cNvPr id="10" name="TextBox 29">
                <a:extLst>
                  <a:ext uri="{FF2B5EF4-FFF2-40B4-BE49-F238E27FC236}">
                    <a16:creationId xmlns:a16="http://schemas.microsoft.com/office/drawing/2014/main" id="{5DD2FE58-A78C-7052-5702-F4122391186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 name="TextBox 30">
                <a:extLst>
                  <a:ext uri="{FF2B5EF4-FFF2-40B4-BE49-F238E27FC236}">
                    <a16:creationId xmlns:a16="http://schemas.microsoft.com/office/drawing/2014/main" id="{30086218-0C55-41B5-423F-2EA25596204D}"/>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5" name="TextBox 69">
            <a:extLst>
              <a:ext uri="{FF2B5EF4-FFF2-40B4-BE49-F238E27FC236}">
                <a16:creationId xmlns:a16="http://schemas.microsoft.com/office/drawing/2014/main" id="{47A9C81C-F8E6-3E94-545D-1E50033EEB85}"/>
              </a:ext>
            </a:extLst>
          </xdr:cNvPr>
          <xdr:cNvSpPr txBox="1"/>
        </xdr:nvSpPr>
        <xdr:spPr>
          <a:xfrm>
            <a:off x="16261704" y="7403937"/>
            <a:ext cx="1754880"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clientData/>
  </xdr:twoCellAnchor>
  <xdr:twoCellAnchor editAs="oneCell">
    <xdr:from>
      <xdr:col>23</xdr:col>
      <xdr:colOff>347942</xdr:colOff>
      <xdr:row>35</xdr:row>
      <xdr:rowOff>37540</xdr:rowOff>
    </xdr:from>
    <xdr:to>
      <xdr:col>27</xdr:col>
      <xdr:colOff>454240</xdr:colOff>
      <xdr:row>56</xdr:row>
      <xdr:rowOff>102868</xdr:rowOff>
    </xdr:to>
    <xdr:grpSp>
      <xdr:nvGrpSpPr>
        <xdr:cNvPr id="14" name="Group 298">
          <a:extLst>
            <a:ext uri="{FF2B5EF4-FFF2-40B4-BE49-F238E27FC236}">
              <a16:creationId xmlns:a16="http://schemas.microsoft.com/office/drawing/2014/main" id="{05F65D65-9AFF-4F8A-995B-26274D3CE4EC}"/>
            </a:ext>
          </a:extLst>
        </xdr:cNvPr>
        <xdr:cNvGrpSpPr/>
      </xdr:nvGrpSpPr>
      <xdr:grpSpPr>
        <a:xfrm>
          <a:off x="12432268" y="6994931"/>
          <a:ext cx="2856124" cy="4065828"/>
          <a:chOff x="9284677" y="11615942"/>
          <a:chExt cx="2297541" cy="4102024"/>
        </a:xfrm>
      </xdr:grpSpPr>
      <xdr:grpSp>
        <xdr:nvGrpSpPr>
          <xdr:cNvPr id="15" name="Group 299">
            <a:extLst>
              <a:ext uri="{FF2B5EF4-FFF2-40B4-BE49-F238E27FC236}">
                <a16:creationId xmlns:a16="http://schemas.microsoft.com/office/drawing/2014/main" id="{423A5C9D-383C-D601-8923-5B9B8DABC7A0}"/>
              </a:ext>
            </a:extLst>
          </xdr:cNvPr>
          <xdr:cNvGrpSpPr/>
        </xdr:nvGrpSpPr>
        <xdr:grpSpPr>
          <a:xfrm>
            <a:off x="9284677" y="11959782"/>
            <a:ext cx="2297541" cy="3758184"/>
            <a:chOff x="7743823" y="7915275"/>
            <a:chExt cx="2716805" cy="4317935"/>
          </a:xfrm>
        </xdr:grpSpPr>
        <xdr:graphicFrame macro="">
          <xdr:nvGraphicFramePr>
            <xdr:cNvPr id="17" name="Chart 301">
              <a:extLst>
                <a:ext uri="{FF2B5EF4-FFF2-40B4-BE49-F238E27FC236}">
                  <a16:creationId xmlns:a16="http://schemas.microsoft.com/office/drawing/2014/main" id="{45FD8D44-9BC4-F663-71BA-99C346C248F8}"/>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8" name="Group 302">
              <a:extLst>
                <a:ext uri="{FF2B5EF4-FFF2-40B4-BE49-F238E27FC236}">
                  <a16:creationId xmlns:a16="http://schemas.microsoft.com/office/drawing/2014/main" id="{0CDF001F-6BD4-1FAF-1745-B470E9AA596A}"/>
                </a:ext>
              </a:extLst>
            </xdr:cNvPr>
            <xdr:cNvGrpSpPr/>
          </xdr:nvGrpSpPr>
          <xdr:grpSpPr>
            <a:xfrm>
              <a:off x="8738158" y="7971556"/>
              <a:ext cx="1611787" cy="424602"/>
              <a:chOff x="3651807" y="4639712"/>
              <a:chExt cx="1611787" cy="424602"/>
            </a:xfrm>
          </xdr:grpSpPr>
          <xdr:sp macro="" textlink="'W5'!$K$86">
            <xdr:nvSpPr>
              <xdr:cNvPr id="23" name="TextBox 307">
                <a:extLst>
                  <a:ext uri="{FF2B5EF4-FFF2-40B4-BE49-F238E27FC236}">
                    <a16:creationId xmlns:a16="http://schemas.microsoft.com/office/drawing/2014/main" id="{578667D1-C8B5-872B-465E-99C05EBB50B0}"/>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7C5CD4C-9301-4198-8B1C-51FDD4FF8BD9}" type="TxLink">
                  <a:rPr lang="en-US" sz="1700" b="1" i="0" u="none" strike="noStrike">
                    <a:solidFill>
                      <a:srgbClr val="0033CC"/>
                    </a:solidFill>
                    <a:latin typeface="+mj-lt"/>
                    <a:cs typeface="Arial"/>
                  </a:rPr>
                  <a:t>1,744 </a:t>
                </a:fld>
                <a:endParaRPr lang="en-US" sz="1700">
                  <a:solidFill>
                    <a:srgbClr val="0033CC"/>
                  </a:solidFill>
                  <a:latin typeface="+mj-lt"/>
                  <a:cs typeface="Arial" panose="020B0604020202020204" pitchFamily="34" charset="0"/>
                </a:endParaRPr>
              </a:p>
            </xdr:txBody>
          </xdr:sp>
          <xdr:sp macro="" textlink="">
            <xdr:nvSpPr>
              <xdr:cNvPr id="24" name="TextBox 308">
                <a:extLst>
                  <a:ext uri="{FF2B5EF4-FFF2-40B4-BE49-F238E27FC236}">
                    <a16:creationId xmlns:a16="http://schemas.microsoft.com/office/drawing/2014/main" id="{CAA6A3CA-B2E8-3380-AF02-0F4C66AAB084}"/>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9" name="Group 303">
              <a:extLst>
                <a:ext uri="{FF2B5EF4-FFF2-40B4-BE49-F238E27FC236}">
                  <a16:creationId xmlns:a16="http://schemas.microsoft.com/office/drawing/2014/main" id="{7BFFFB3B-CEF0-8CCE-B981-49F0696A1E60}"/>
                </a:ext>
              </a:extLst>
            </xdr:cNvPr>
            <xdr:cNvGrpSpPr/>
          </xdr:nvGrpSpPr>
          <xdr:grpSpPr>
            <a:xfrm>
              <a:off x="7743823" y="9982200"/>
              <a:ext cx="1018881" cy="734000"/>
              <a:chOff x="5572123" y="5781675"/>
              <a:chExt cx="1018881" cy="734000"/>
            </a:xfrm>
          </xdr:grpSpPr>
          <xdr:sp macro="" textlink="'W5'!$K$83">
            <xdr:nvSpPr>
              <xdr:cNvPr id="20" name="TextBox 304">
                <a:extLst>
                  <a:ext uri="{FF2B5EF4-FFF2-40B4-BE49-F238E27FC236}">
                    <a16:creationId xmlns:a16="http://schemas.microsoft.com/office/drawing/2014/main" id="{1EDE5308-7532-AD00-D242-D52882349EE2}"/>
                  </a:ext>
                </a:extLst>
              </xdr:cNvPr>
              <xdr:cNvSpPr txBox="1"/>
            </xdr:nvSpPr>
            <xdr:spPr>
              <a:xfrm>
                <a:off x="5581649" y="5962651"/>
                <a:ext cx="717759" cy="41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156CA0-9311-4F12-99BF-9485599F866B}" type="TxLink">
                  <a:rPr lang="en-US" sz="1700" b="1" i="0" u="none" strike="noStrike">
                    <a:solidFill>
                      <a:srgbClr val="0033CC"/>
                    </a:solidFill>
                    <a:latin typeface="+mj-lt"/>
                    <a:cs typeface="Arial"/>
                  </a:rPr>
                  <a:t>1,651 </a:t>
                </a:fld>
                <a:endParaRPr lang="en-US" sz="1700">
                  <a:latin typeface="+mj-lt"/>
                </a:endParaRPr>
              </a:p>
            </xdr:txBody>
          </xdr:sp>
          <xdr:sp macro="" textlink="">
            <xdr:nvSpPr>
              <xdr:cNvPr id="21" name="TextBox 305">
                <a:extLst>
                  <a:ext uri="{FF2B5EF4-FFF2-40B4-BE49-F238E27FC236}">
                    <a16:creationId xmlns:a16="http://schemas.microsoft.com/office/drawing/2014/main" id="{EC9FC116-BD8F-E5C3-4120-D5BB205967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2" name="TextBox 306">
                <a:extLst>
                  <a:ext uri="{FF2B5EF4-FFF2-40B4-BE49-F238E27FC236}">
                    <a16:creationId xmlns:a16="http://schemas.microsoft.com/office/drawing/2014/main" id="{F7503AAB-73FD-2BCD-B9BD-96C419731EC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6" name="TextBox 300">
            <a:extLst>
              <a:ext uri="{FF2B5EF4-FFF2-40B4-BE49-F238E27FC236}">
                <a16:creationId xmlns:a16="http://schemas.microsoft.com/office/drawing/2014/main" id="{7C36A8EF-D2F4-7ECE-67EC-91D89191CB91}"/>
              </a:ext>
            </a:extLst>
          </xdr:cNvPr>
          <xdr:cNvSpPr txBox="1"/>
        </xdr:nvSpPr>
        <xdr:spPr>
          <a:xfrm>
            <a:off x="9317731" y="11615942"/>
            <a:ext cx="1512789"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solidFill>
                  <a:srgbClr val="FF0000"/>
                </a:solidFill>
              </a:rPr>
              <a:t>TÍNH</a:t>
            </a:r>
            <a:r>
              <a:rPr lang="en-US" sz="1500" b="1" u="sng" baseline="0">
                <a:solidFill>
                  <a:srgbClr val="FF0000"/>
                </a:solidFill>
              </a:rPr>
              <a:t> ĐẦU TƯ XƯỞNG</a:t>
            </a:r>
            <a:endParaRPr lang="en-US" sz="1500" b="1" u="sng">
              <a:solidFill>
                <a:srgbClr val="FF0000"/>
              </a:solidFill>
            </a:endParaRPr>
          </a:p>
        </xdr:txBody>
      </xdr:sp>
    </xdr:grpSp>
    <xdr:clientData/>
  </xdr:twoCellAnchor>
</xdr:wsDr>
</file>

<file path=xl/drawings/drawing7.xml><?xml version="1.0" encoding="utf-8"?>
<c:userShapes xmlns:c="http://schemas.openxmlformats.org/drawingml/2006/chart">
  <cdr:relSizeAnchor xmlns:cdr="http://schemas.openxmlformats.org/drawingml/2006/chartDrawing">
    <cdr:from>
      <cdr:x>0</cdr:x>
      <cdr:y>0.51695</cdr:y>
    </cdr:from>
    <cdr:to>
      <cdr:x>0.31397</cdr:x>
      <cdr:y>0.59879</cdr:y>
    </cdr:to>
    <cdr:sp macro="" textlink="'W5'!$E$83">
      <cdr:nvSpPr>
        <cdr:cNvPr id="2" name="TextBox 137">
          <a:extLst xmlns:a="http://schemas.openxmlformats.org/drawingml/2006/main">
            <a:ext uri="{FF2B5EF4-FFF2-40B4-BE49-F238E27FC236}">
              <a16:creationId xmlns:a16="http://schemas.microsoft.com/office/drawing/2014/main" id="{E41361C9-11BB-FDD6-C1B9-65D51C24D438}"/>
            </a:ext>
          </a:extLst>
        </cdr:cNvPr>
        <cdr:cNvSpPr txBox="1"/>
      </cdr:nvSpPr>
      <cdr:spPr>
        <a:xfrm xmlns:a="http://schemas.openxmlformats.org/drawingml/2006/main">
          <a:off x="0" y="1930952"/>
          <a:ext cx="775044" cy="30570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84138EB0-30C2-4C43-8059-D84980777BAA}" type="TxLink">
            <a:rPr lang="en-US" sz="1700" b="1" i="0" u="none" strike="noStrike">
              <a:solidFill>
                <a:srgbClr val="0033CC"/>
              </a:solidFill>
              <a:latin typeface="+mj-lt"/>
              <a:cs typeface="Arial"/>
            </a:rPr>
            <a:t>1,565 </a:t>
          </a:fld>
          <a:endParaRPr lang="en-US" sz="1700">
            <a:solidFill>
              <a:srgbClr val="0033CC"/>
            </a:solidFill>
            <a:latin typeface="+mj-lt"/>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30</xdr:col>
      <xdr:colOff>264063</xdr:colOff>
      <xdr:row>0</xdr:row>
      <xdr:rowOff>132180</xdr:rowOff>
    </xdr:from>
    <xdr:to>
      <xdr:col>35</xdr:col>
      <xdr:colOff>373720</xdr:colOff>
      <xdr:row>3</xdr:row>
      <xdr:rowOff>249311</xdr:rowOff>
    </xdr:to>
    <mc:AlternateContent xmlns:mc="http://schemas.openxmlformats.org/markup-compatibility/2006" xmlns:a14="http://schemas.microsoft.com/office/drawing/2010/main">
      <mc:Choice Requires="a14">
        <xdr:graphicFrame macro="">
          <xdr:nvGraphicFramePr>
            <xdr:cNvPr id="3" name="Currency">
              <a:extLst>
                <a:ext uri="{FF2B5EF4-FFF2-40B4-BE49-F238E27FC236}">
                  <a16:creationId xmlns:a16="http://schemas.microsoft.com/office/drawing/2014/main" id="{30A7017C-9A7E-4BA1-BAB5-243F1E904A4D}"/>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3690503" y="132180"/>
              <a:ext cx="3157658" cy="734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209550</xdr:colOff>
      <xdr:row>0</xdr:row>
      <xdr:rowOff>57150</xdr:rowOff>
    </xdr:from>
    <xdr:to>
      <xdr:col>31</xdr:col>
      <xdr:colOff>0</xdr:colOff>
      <xdr:row>2</xdr:row>
      <xdr:rowOff>114300</xdr:rowOff>
    </xdr:to>
    <xdr:sp macro="" textlink="">
      <xdr:nvSpPr>
        <xdr:cNvPr id="2" name="Rectangle 1">
          <a:extLst>
            <a:ext uri="{FF2B5EF4-FFF2-40B4-BE49-F238E27FC236}">
              <a16:creationId xmlns:a16="http://schemas.microsoft.com/office/drawing/2014/main" id="{021735AA-F198-944C-5D78-C8B2CAC5EB9C}"/>
            </a:ext>
          </a:extLst>
        </xdr:cNvPr>
        <xdr:cNvSpPr/>
      </xdr:nvSpPr>
      <xdr:spPr>
        <a:xfrm>
          <a:off x="16583025" y="57150"/>
          <a:ext cx="5600700"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SỐ</a:t>
          </a:r>
          <a:r>
            <a:rPr lang="en-US" sz="1100" baseline="0"/>
            <a:t> LIỆU THAY ĐỔI SO VỚI CÁC VERSION KHÁC LÀ DO TỶ GIÁ TĂNG TỪ 25.000 -&gt; 26.000</a:t>
          </a:r>
        </a:p>
        <a:p>
          <a:pPr algn="l"/>
          <a:r>
            <a:rPr lang="en-US" sz="1100" baseline="0"/>
            <a:t>(Trong đó: CAPEX option base cũng tăng 4% để bù vào tỷ giá)</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91440</xdr:colOff>
      <xdr:row>0</xdr:row>
      <xdr:rowOff>9561</xdr:rowOff>
    </xdr:from>
    <xdr:to>
      <xdr:col>3</xdr:col>
      <xdr:colOff>85713</xdr:colOff>
      <xdr:row>1</xdr:row>
      <xdr:rowOff>137161</xdr:rowOff>
    </xdr:to>
    <xdr:pic>
      <xdr:nvPicPr>
        <xdr:cNvPr id="3" name="Picture 2">
          <a:extLst>
            <a:ext uri="{FF2B5EF4-FFF2-40B4-BE49-F238E27FC236}">
              <a16:creationId xmlns:a16="http://schemas.microsoft.com/office/drawing/2014/main" id="{15E74CC0-9EAB-5471-EFA9-BE1F51332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 y="9561"/>
          <a:ext cx="1434453" cy="310480"/>
        </a:xfrm>
        <a:prstGeom prst="rect">
          <a:avLst/>
        </a:prstGeom>
      </xdr:spPr>
    </xdr:pic>
    <xdr:clientData/>
  </xdr:twoCellAnchor>
  <xdr:twoCellAnchor editAs="oneCell">
    <xdr:from>
      <xdr:col>3</xdr:col>
      <xdr:colOff>2129384</xdr:colOff>
      <xdr:row>1</xdr:row>
      <xdr:rowOff>90767</xdr:rowOff>
    </xdr:from>
    <xdr:to>
      <xdr:col>7</xdr:col>
      <xdr:colOff>581248</xdr:colOff>
      <xdr:row>3</xdr:row>
      <xdr:rowOff>308161</xdr:rowOff>
    </xdr:to>
    <mc:AlternateContent xmlns:mc="http://schemas.openxmlformats.org/markup-compatibility/2006" xmlns:a14="http://schemas.microsoft.com/office/drawing/2010/main">
      <mc:Choice Requires="a14">
        <xdr:graphicFrame macro="">
          <xdr:nvGraphicFramePr>
            <xdr:cNvPr id="4" name="Currency 1">
              <a:extLst>
                <a:ext uri="{FF2B5EF4-FFF2-40B4-BE49-F238E27FC236}">
                  <a16:creationId xmlns:a16="http://schemas.microsoft.com/office/drawing/2014/main" id="{0B0D3EC8-C2BA-4B7B-A8FB-3BB7CA332EC4}"/>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2564508" y="273871"/>
              <a:ext cx="3061292" cy="639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188146</xdr:colOff>
      <xdr:row>0</xdr:row>
      <xdr:rowOff>84181</xdr:rowOff>
    </xdr:from>
    <xdr:to>
      <xdr:col>4</xdr:col>
      <xdr:colOff>966955</xdr:colOff>
      <xdr:row>1</xdr:row>
      <xdr:rowOff>81589</xdr:rowOff>
    </xdr:to>
    <xdr:pic>
      <xdr:nvPicPr>
        <xdr:cNvPr id="2" name="Picture 1">
          <a:extLst>
            <a:ext uri="{FF2B5EF4-FFF2-40B4-BE49-F238E27FC236}">
              <a16:creationId xmlns:a16="http://schemas.microsoft.com/office/drawing/2014/main" id="{91B52755-AEE6-4A37-928C-FF574B5D6B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0450" y="84181"/>
          <a:ext cx="778809" cy="187908"/>
        </a:xfrm>
        <a:prstGeom prst="rect">
          <a:avLst/>
        </a:prstGeom>
      </xdr:spPr>
    </xdr:pic>
    <xdr:clientData/>
  </xdr:twoCellAnchor>
  <xdr:twoCellAnchor editAs="oneCell">
    <xdr:from>
      <xdr:col>19</xdr:col>
      <xdr:colOff>426720</xdr:colOff>
      <xdr:row>4</xdr:row>
      <xdr:rowOff>106680</xdr:rowOff>
    </xdr:from>
    <xdr:to>
      <xdr:col>21</xdr:col>
      <xdr:colOff>681992</xdr:colOff>
      <xdr:row>7</xdr:row>
      <xdr:rowOff>176640</xdr:rowOff>
    </xdr:to>
    <mc:AlternateContent xmlns:mc="http://schemas.openxmlformats.org/markup-compatibility/2006" xmlns:a14="http://schemas.microsoft.com/office/drawing/2010/main">
      <mc:Choice Requires="a14">
        <xdr:graphicFrame macro="">
          <xdr:nvGraphicFramePr>
            <xdr:cNvPr id="3" name="Currency 2">
              <a:extLst>
                <a:ext uri="{FF2B5EF4-FFF2-40B4-BE49-F238E27FC236}">
                  <a16:creationId xmlns:a16="http://schemas.microsoft.com/office/drawing/2014/main" id="{5958A574-D734-4590-9AC7-7A388DE014D1}"/>
                </a:ext>
              </a:extLst>
            </xdr:cNvPr>
            <xdr:cNvGraphicFramePr/>
          </xdr:nvGraphicFramePr>
          <xdr:xfrm>
            <a:off x="0" y="0"/>
            <a:ext cx="0" cy="0"/>
          </xdr:xfrm>
          <a:graphic>
            <a:graphicData uri="http://schemas.microsoft.com/office/drawing/2010/slicer">
              <sle:slicer xmlns:sle="http://schemas.microsoft.com/office/drawing/2010/slicer" name="Currency 2"/>
            </a:graphicData>
          </a:graphic>
        </xdr:graphicFrame>
      </mc:Choice>
      <mc:Fallback xmlns="">
        <xdr:sp macro="" textlink="">
          <xdr:nvSpPr>
            <xdr:cNvPr id="0" name=""/>
            <xdr:cNvSpPr>
              <a:spLocks noTextEdit="1"/>
            </xdr:cNvSpPr>
          </xdr:nvSpPr>
          <xdr:spPr>
            <a:xfrm>
              <a:off x="15852250" y="1054210"/>
              <a:ext cx="2216594" cy="626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227530</xdr:colOff>
      <xdr:row>10</xdr:row>
      <xdr:rowOff>17017</xdr:rowOff>
    </xdr:from>
    <xdr:to>
      <xdr:col>9</xdr:col>
      <xdr:colOff>12330</xdr:colOff>
      <xdr:row>13</xdr:row>
      <xdr:rowOff>125077</xdr:rowOff>
    </xdr:to>
    <mc:AlternateContent xmlns:mc="http://schemas.openxmlformats.org/markup-compatibility/2006" xmlns:a14="http://schemas.microsoft.com/office/drawing/2010/main">
      <mc:Choice Requires="a14">
        <xdr:graphicFrame macro="">
          <xdr:nvGraphicFramePr>
            <xdr:cNvPr id="2" name="Currency 3">
              <a:extLst>
                <a:ext uri="{FF2B5EF4-FFF2-40B4-BE49-F238E27FC236}">
                  <a16:creationId xmlns:a16="http://schemas.microsoft.com/office/drawing/2014/main" id="{43A8D53D-CF0F-424F-886C-3E38F0A38098}"/>
                </a:ext>
              </a:extLst>
            </xdr:cNvPr>
            <xdr:cNvGraphicFramePr/>
          </xdr:nvGraphicFramePr>
          <xdr:xfrm>
            <a:off x="0" y="0"/>
            <a:ext cx="0" cy="0"/>
          </xdr:xfrm>
          <a:graphic>
            <a:graphicData uri="http://schemas.microsoft.com/office/drawing/2010/slicer">
              <sle:slicer xmlns:sle="http://schemas.microsoft.com/office/drawing/2010/slicer" name="Currency 3"/>
            </a:graphicData>
          </a:graphic>
        </xdr:graphicFrame>
      </mc:Choice>
      <mc:Fallback xmlns="">
        <xdr:sp macro="" textlink="">
          <xdr:nvSpPr>
            <xdr:cNvPr id="0" name=""/>
            <xdr:cNvSpPr>
              <a:spLocks noTextEdit="1"/>
            </xdr:cNvSpPr>
          </xdr:nvSpPr>
          <xdr:spPr>
            <a:xfrm>
              <a:off x="911089" y="1922017"/>
              <a:ext cx="3045712" cy="679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oneCell">
    <xdr:from>
      <xdr:col>39</xdr:col>
      <xdr:colOff>220905</xdr:colOff>
      <xdr:row>5</xdr:row>
      <xdr:rowOff>0</xdr:rowOff>
    </xdr:from>
    <xdr:to>
      <xdr:col>44</xdr:col>
      <xdr:colOff>99732</xdr:colOff>
      <xdr:row>7</xdr:row>
      <xdr:rowOff>193785</xdr:rowOff>
    </xdr:to>
    <mc:AlternateContent xmlns:mc="http://schemas.openxmlformats.org/markup-compatibility/2006" xmlns:a14="http://schemas.microsoft.com/office/drawing/2010/main">
      <mc:Choice Requires="a14">
        <xdr:graphicFrame macro="">
          <xdr:nvGraphicFramePr>
            <xdr:cNvPr id="3" name="Currency 4">
              <a:extLst>
                <a:ext uri="{FF2B5EF4-FFF2-40B4-BE49-F238E27FC236}">
                  <a16:creationId xmlns:a16="http://schemas.microsoft.com/office/drawing/2014/main" id="{4D5DC241-7224-4F24-B078-3BEC7C54D43F}"/>
                </a:ext>
              </a:extLst>
            </xdr:cNvPr>
            <xdr:cNvGraphicFramePr/>
          </xdr:nvGraphicFramePr>
          <xdr:xfrm>
            <a:off x="0" y="0"/>
            <a:ext cx="0" cy="0"/>
          </xdr:xfrm>
          <a:graphic>
            <a:graphicData uri="http://schemas.microsoft.com/office/drawing/2010/slicer">
              <sle:slicer xmlns:sle="http://schemas.microsoft.com/office/drawing/2010/slicer" name="Currency 4"/>
            </a:graphicData>
          </a:graphic>
        </xdr:graphicFrame>
      </mc:Choice>
      <mc:Fallback xmlns="">
        <xdr:sp macro="" textlink="">
          <xdr:nvSpPr>
            <xdr:cNvPr id="0" name=""/>
            <xdr:cNvSpPr>
              <a:spLocks noTextEdit="1"/>
            </xdr:cNvSpPr>
          </xdr:nvSpPr>
          <xdr:spPr>
            <a:xfrm>
              <a:off x="23500005" y="1206500"/>
              <a:ext cx="3180827" cy="676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30</xdr:col>
      <xdr:colOff>285750</xdr:colOff>
      <xdr:row>0</xdr:row>
      <xdr:rowOff>79864</xdr:rowOff>
    </xdr:from>
    <xdr:to>
      <xdr:col>35</xdr:col>
      <xdr:colOff>87863</xdr:colOff>
      <xdr:row>4</xdr:row>
      <xdr:rowOff>17659</xdr:rowOff>
    </xdr:to>
    <mc:AlternateContent xmlns:mc="http://schemas.openxmlformats.org/markup-compatibility/2006" xmlns:a14="http://schemas.microsoft.com/office/drawing/2010/main">
      <mc:Choice Requires="a14">
        <xdr:graphicFrame macro="">
          <xdr:nvGraphicFramePr>
            <xdr:cNvPr id="15" name="Currency 7">
              <a:extLst>
                <a:ext uri="{FF2B5EF4-FFF2-40B4-BE49-F238E27FC236}">
                  <a16:creationId xmlns:a16="http://schemas.microsoft.com/office/drawing/2014/main" id="{57F5B54F-044E-4EB0-985F-E77175EFC4B4}"/>
                </a:ext>
              </a:extLst>
            </xdr:cNvPr>
            <xdr:cNvGraphicFramePr/>
          </xdr:nvGraphicFramePr>
          <xdr:xfrm>
            <a:off x="0" y="0"/>
            <a:ext cx="0" cy="0"/>
          </xdr:xfrm>
          <a:graphic>
            <a:graphicData uri="http://schemas.microsoft.com/office/drawing/2010/slicer">
              <sle:slicer xmlns:sle="http://schemas.microsoft.com/office/drawing/2010/slicer" name="Currency 7"/>
            </a:graphicData>
          </a:graphic>
        </xdr:graphicFrame>
      </mc:Choice>
      <mc:Fallback xmlns="">
        <xdr:sp macro="" textlink="">
          <xdr:nvSpPr>
            <xdr:cNvPr id="0" name=""/>
            <xdr:cNvSpPr>
              <a:spLocks noTextEdit="1"/>
            </xdr:cNvSpPr>
          </xdr:nvSpPr>
          <xdr:spPr>
            <a:xfrm>
              <a:off x="24206574" y="79864"/>
              <a:ext cx="3111583" cy="923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22598</xdr:colOff>
      <xdr:row>43</xdr:row>
      <xdr:rowOff>97790</xdr:rowOff>
    </xdr:from>
    <xdr:to>
      <xdr:col>41</xdr:col>
      <xdr:colOff>232269</xdr:colOff>
      <xdr:row>64</xdr:row>
      <xdr:rowOff>41555</xdr:rowOff>
    </xdr:to>
    <xdr:grpSp>
      <xdr:nvGrpSpPr>
        <xdr:cNvPr id="102" name="Group 101">
          <a:extLst>
            <a:ext uri="{FF2B5EF4-FFF2-40B4-BE49-F238E27FC236}">
              <a16:creationId xmlns:a16="http://schemas.microsoft.com/office/drawing/2014/main" id="{22BDD507-18D9-420A-B747-50BF19A5E47C}"/>
            </a:ext>
          </a:extLst>
        </xdr:cNvPr>
        <xdr:cNvGrpSpPr/>
      </xdr:nvGrpSpPr>
      <xdr:grpSpPr>
        <a:xfrm>
          <a:off x="27241686" y="3594025"/>
          <a:ext cx="2495671" cy="4089942"/>
          <a:chOff x="16172571" y="7403937"/>
          <a:chExt cx="2327982" cy="4135400"/>
        </a:xfrm>
      </xdr:grpSpPr>
      <xdr:grpSp>
        <xdr:nvGrpSpPr>
          <xdr:cNvPr id="103" name="Group 24">
            <a:extLst>
              <a:ext uri="{FF2B5EF4-FFF2-40B4-BE49-F238E27FC236}">
                <a16:creationId xmlns:a16="http://schemas.microsoft.com/office/drawing/2014/main" id="{D97C3F32-CD9B-EB8E-B83F-8C7220F60082}"/>
              </a:ext>
            </a:extLst>
          </xdr:cNvPr>
          <xdr:cNvGrpSpPr/>
        </xdr:nvGrpSpPr>
        <xdr:grpSpPr>
          <a:xfrm>
            <a:off x="16172571" y="7734260"/>
            <a:ext cx="2327982" cy="3805077"/>
            <a:chOff x="7697825" y="3800475"/>
            <a:chExt cx="2755769" cy="3935649"/>
          </a:xfrm>
        </xdr:grpSpPr>
        <xdr:graphicFrame macro="">
          <xdr:nvGraphicFramePr>
            <xdr:cNvPr id="105" name="Chart 3">
              <a:extLst>
                <a:ext uri="{FF2B5EF4-FFF2-40B4-BE49-F238E27FC236}">
                  <a16:creationId xmlns:a16="http://schemas.microsoft.com/office/drawing/2014/main" id="{5C40B52C-0B02-050F-53FB-1A1A92CDED90}"/>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06" name="Group 19">
              <a:extLst>
                <a:ext uri="{FF2B5EF4-FFF2-40B4-BE49-F238E27FC236}">
                  <a16:creationId xmlns:a16="http://schemas.microsoft.com/office/drawing/2014/main" id="{0EB84DFC-C789-4279-1A4D-64E959B3C37C}"/>
                </a:ext>
              </a:extLst>
            </xdr:cNvPr>
            <xdr:cNvGrpSpPr/>
          </xdr:nvGrpSpPr>
          <xdr:grpSpPr>
            <a:xfrm>
              <a:off x="8814167" y="3818680"/>
              <a:ext cx="1583474" cy="358291"/>
              <a:chOff x="3880217" y="4675930"/>
              <a:chExt cx="1583474" cy="358291"/>
            </a:xfrm>
          </xdr:grpSpPr>
          <xdr:sp macro="" textlink="$O$64">
            <xdr:nvSpPr>
              <xdr:cNvPr id="111" name="TextBox 20">
                <a:extLst>
                  <a:ext uri="{FF2B5EF4-FFF2-40B4-BE49-F238E27FC236}">
                    <a16:creationId xmlns:a16="http://schemas.microsoft.com/office/drawing/2014/main" id="{1AA884AE-225C-4951-53C1-FED81030872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B08727B-DED4-4B52-96E6-F84EE42F9CB7}"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112" name="TextBox 21">
                <a:extLst>
                  <a:ext uri="{FF2B5EF4-FFF2-40B4-BE49-F238E27FC236}">
                    <a16:creationId xmlns:a16="http://schemas.microsoft.com/office/drawing/2014/main" id="{E76642DF-9C9E-0FAC-AADE-BD25B2FBD43E}"/>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07" name="Group 26">
              <a:extLst>
                <a:ext uri="{FF2B5EF4-FFF2-40B4-BE49-F238E27FC236}">
                  <a16:creationId xmlns:a16="http://schemas.microsoft.com/office/drawing/2014/main" id="{D08F8263-316A-709A-F16D-682AF0FF0682}"/>
                </a:ext>
              </a:extLst>
            </xdr:cNvPr>
            <xdr:cNvGrpSpPr/>
          </xdr:nvGrpSpPr>
          <xdr:grpSpPr>
            <a:xfrm>
              <a:off x="7697825" y="5550324"/>
              <a:ext cx="1075761" cy="746276"/>
              <a:chOff x="5516600" y="5769399"/>
              <a:chExt cx="1075761" cy="746276"/>
            </a:xfrm>
          </xdr:grpSpPr>
          <xdr:sp macro="" textlink="$O$61">
            <xdr:nvSpPr>
              <xdr:cNvPr id="108" name="TextBox 28">
                <a:extLst>
                  <a:ext uri="{FF2B5EF4-FFF2-40B4-BE49-F238E27FC236}">
                    <a16:creationId xmlns:a16="http://schemas.microsoft.com/office/drawing/2014/main" id="{3FF46AD7-515B-6C41-E08B-317A947F993C}"/>
                  </a:ext>
                </a:extLst>
              </xdr:cNvPr>
              <xdr:cNvSpPr txBox="1"/>
            </xdr:nvSpPr>
            <xdr:spPr>
              <a:xfrm>
                <a:off x="5686426" y="5962650"/>
                <a:ext cx="641203" cy="374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BD7DB73-E070-41E8-AEAE-2B11AA952FBC}" type="TxLink">
                  <a:rPr lang="en-US" sz="1700" b="1" i="0" u="none" strike="noStrike">
                    <a:solidFill>
                      <a:srgbClr val="0033CC"/>
                    </a:solidFill>
                    <a:latin typeface="+mj-lt"/>
                    <a:cs typeface="Arial"/>
                  </a:rPr>
                  <a:pPr/>
                  <a:t>636 </a:t>
                </a:fld>
                <a:endParaRPr lang="en-US" sz="1700">
                  <a:latin typeface="+mj-lt"/>
                </a:endParaRPr>
              </a:p>
            </xdr:txBody>
          </xdr:sp>
          <xdr:sp macro="" textlink="">
            <xdr:nvSpPr>
              <xdr:cNvPr id="109" name="TextBox 29">
                <a:extLst>
                  <a:ext uri="{FF2B5EF4-FFF2-40B4-BE49-F238E27FC236}">
                    <a16:creationId xmlns:a16="http://schemas.microsoft.com/office/drawing/2014/main" id="{3ACA38AC-1A5C-E08E-84C8-24F4C108EFD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10" name="TextBox 30">
                <a:extLst>
                  <a:ext uri="{FF2B5EF4-FFF2-40B4-BE49-F238E27FC236}">
                    <a16:creationId xmlns:a16="http://schemas.microsoft.com/office/drawing/2014/main" id="{21D654B6-761C-3022-1093-7D97BB64E15C}"/>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04" name="TextBox 69">
            <a:extLst>
              <a:ext uri="{FF2B5EF4-FFF2-40B4-BE49-F238E27FC236}">
                <a16:creationId xmlns:a16="http://schemas.microsoft.com/office/drawing/2014/main" id="{1DF3F8EE-F43D-670E-72EB-065ABF267906}"/>
              </a:ext>
            </a:extLst>
          </xdr:cNvPr>
          <xdr:cNvSpPr txBox="1"/>
        </xdr:nvSpPr>
        <xdr:spPr>
          <a:xfrm>
            <a:off x="16261704" y="7403937"/>
            <a:ext cx="902045"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u="sng"/>
              <a:t>Option 6</a:t>
            </a:r>
          </a:p>
        </xdr:txBody>
      </xdr:sp>
    </xdr:grpSp>
    <xdr:clientData/>
  </xdr:twoCellAnchor>
  <xdr:twoCellAnchor editAs="oneCell">
    <xdr:from>
      <xdr:col>37</xdr:col>
      <xdr:colOff>281491</xdr:colOff>
      <xdr:row>68</xdr:row>
      <xdr:rowOff>57150</xdr:rowOff>
    </xdr:from>
    <xdr:to>
      <xdr:col>42</xdr:col>
      <xdr:colOff>197290</xdr:colOff>
      <xdr:row>88</xdr:row>
      <xdr:rowOff>143209</xdr:rowOff>
    </xdr:to>
    <xdr:grpSp>
      <xdr:nvGrpSpPr>
        <xdr:cNvPr id="37" name="Group 36">
          <a:extLst>
            <a:ext uri="{FF2B5EF4-FFF2-40B4-BE49-F238E27FC236}">
              <a16:creationId xmlns:a16="http://schemas.microsoft.com/office/drawing/2014/main" id="{50DB6BD5-376C-48B8-B1A8-F64F2C5FD02F}"/>
            </a:ext>
          </a:extLst>
        </xdr:cNvPr>
        <xdr:cNvGrpSpPr/>
      </xdr:nvGrpSpPr>
      <xdr:grpSpPr>
        <a:xfrm>
          <a:off x="27500579" y="8371915"/>
          <a:ext cx="2795711" cy="4075353"/>
          <a:chOff x="9284677" y="11615942"/>
          <a:chExt cx="2252365" cy="4102024"/>
        </a:xfrm>
      </xdr:grpSpPr>
      <xdr:grpSp>
        <xdr:nvGrpSpPr>
          <xdr:cNvPr id="38" name="Group 37">
            <a:extLst>
              <a:ext uri="{FF2B5EF4-FFF2-40B4-BE49-F238E27FC236}">
                <a16:creationId xmlns:a16="http://schemas.microsoft.com/office/drawing/2014/main" id="{F70403C8-332D-EDFD-D03B-AE4FD6FC543D}"/>
              </a:ext>
            </a:extLst>
          </xdr:cNvPr>
          <xdr:cNvGrpSpPr/>
        </xdr:nvGrpSpPr>
        <xdr:grpSpPr>
          <a:xfrm>
            <a:off x="9284677" y="11959782"/>
            <a:ext cx="2252365" cy="3758184"/>
            <a:chOff x="7743823" y="7915275"/>
            <a:chExt cx="2663385" cy="4317935"/>
          </a:xfrm>
        </xdr:grpSpPr>
        <xdr:graphicFrame macro="">
          <xdr:nvGraphicFramePr>
            <xdr:cNvPr id="40" name="Chart 39">
              <a:extLst>
                <a:ext uri="{FF2B5EF4-FFF2-40B4-BE49-F238E27FC236}">
                  <a16:creationId xmlns:a16="http://schemas.microsoft.com/office/drawing/2014/main" id="{EE445960-DA1D-17CA-7F94-77E121EECE5A}"/>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41" name="Group 40">
              <a:extLst>
                <a:ext uri="{FF2B5EF4-FFF2-40B4-BE49-F238E27FC236}">
                  <a16:creationId xmlns:a16="http://schemas.microsoft.com/office/drawing/2014/main" id="{C6761397-2F34-B48F-51A1-1030631350F5}"/>
                </a:ext>
              </a:extLst>
            </xdr:cNvPr>
            <xdr:cNvGrpSpPr/>
          </xdr:nvGrpSpPr>
          <xdr:grpSpPr>
            <a:xfrm>
              <a:off x="8748842" y="8010525"/>
              <a:ext cx="1601103" cy="385633"/>
              <a:chOff x="3662491" y="4678681"/>
              <a:chExt cx="1601103" cy="385633"/>
            </a:xfrm>
          </xdr:grpSpPr>
          <xdr:sp macro="" textlink="$O$86">
            <xdr:nvSpPr>
              <xdr:cNvPr id="46" name="TextBox 45">
                <a:extLst>
                  <a:ext uri="{FF2B5EF4-FFF2-40B4-BE49-F238E27FC236}">
                    <a16:creationId xmlns:a16="http://schemas.microsoft.com/office/drawing/2014/main" id="{2BB90E3F-6035-E8B0-8D02-A3B32D925FA9}"/>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8AAC7AE-B798-4910-A4D3-B270729CE1FC}" type="TxLink">
                  <a:rPr lang="en-US" sz="1700" b="1" i="0" u="none" strike="noStrike">
                    <a:solidFill>
                      <a:srgbClr val="0033CC"/>
                    </a:solidFill>
                    <a:latin typeface="+mn-lt"/>
                    <a:cs typeface="Arial"/>
                  </a:rPr>
                  <a:pPr/>
                  <a:t>1,744 </a:t>
                </a:fld>
                <a:endParaRPr lang="en-US" sz="1700">
                  <a:solidFill>
                    <a:srgbClr val="0033CC"/>
                  </a:solidFill>
                  <a:latin typeface="+mn-lt"/>
                  <a:cs typeface="Arial" panose="020B0604020202020204" pitchFamily="34" charset="0"/>
                </a:endParaRPr>
              </a:p>
            </xdr:txBody>
          </xdr:sp>
          <xdr:sp macro="" textlink="">
            <xdr:nvSpPr>
              <xdr:cNvPr id="47" name="TextBox 46">
                <a:extLst>
                  <a:ext uri="{FF2B5EF4-FFF2-40B4-BE49-F238E27FC236}">
                    <a16:creationId xmlns:a16="http://schemas.microsoft.com/office/drawing/2014/main" id="{67A7CC13-0761-61BD-0EA3-308A1A63A898}"/>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42" name="Group 41">
              <a:extLst>
                <a:ext uri="{FF2B5EF4-FFF2-40B4-BE49-F238E27FC236}">
                  <a16:creationId xmlns:a16="http://schemas.microsoft.com/office/drawing/2014/main" id="{361DEB4E-77B1-28F3-EA52-987B2EE44A2A}"/>
                </a:ext>
              </a:extLst>
            </xdr:cNvPr>
            <xdr:cNvGrpSpPr/>
          </xdr:nvGrpSpPr>
          <xdr:grpSpPr>
            <a:xfrm>
              <a:off x="7743823" y="9982200"/>
              <a:ext cx="1018881" cy="734000"/>
              <a:chOff x="5572123" y="5781675"/>
              <a:chExt cx="1018881" cy="734000"/>
            </a:xfrm>
          </xdr:grpSpPr>
          <xdr:sp macro="" textlink="$O$83">
            <xdr:nvSpPr>
              <xdr:cNvPr id="43" name="TextBox 42">
                <a:extLst>
                  <a:ext uri="{FF2B5EF4-FFF2-40B4-BE49-F238E27FC236}">
                    <a16:creationId xmlns:a16="http://schemas.microsoft.com/office/drawing/2014/main" id="{27F7AF85-2338-A45B-EBAC-18D1CE3FFC26}"/>
                  </a:ext>
                </a:extLst>
              </xdr:cNvPr>
              <xdr:cNvSpPr txBox="1"/>
            </xdr:nvSpPr>
            <xdr:spPr>
              <a:xfrm>
                <a:off x="5581649" y="5962651"/>
                <a:ext cx="630302"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F5F089-B9B8-4C93-950A-692EC54BD3D4}" type="TxLink">
                  <a:rPr lang="en-US" sz="1500" b="1" i="0" u="none" strike="noStrike">
                    <a:solidFill>
                      <a:srgbClr val="0033CC"/>
                    </a:solidFill>
                    <a:latin typeface="+mn-lt"/>
                    <a:cs typeface="Arial"/>
                  </a:rPr>
                  <a:pPr/>
                  <a:t>1,630 </a:t>
                </a:fld>
                <a:endParaRPr lang="en-US" sz="1500">
                  <a:latin typeface="+mn-lt"/>
                </a:endParaRPr>
              </a:p>
            </xdr:txBody>
          </xdr:sp>
          <xdr:sp macro="" textlink="">
            <xdr:nvSpPr>
              <xdr:cNvPr id="44" name="TextBox 43">
                <a:extLst>
                  <a:ext uri="{FF2B5EF4-FFF2-40B4-BE49-F238E27FC236}">
                    <a16:creationId xmlns:a16="http://schemas.microsoft.com/office/drawing/2014/main" id="{1C4FC63B-BD30-361A-47A3-4BE3420710F8}"/>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45" name="TextBox 44">
                <a:extLst>
                  <a:ext uri="{FF2B5EF4-FFF2-40B4-BE49-F238E27FC236}">
                    <a16:creationId xmlns:a16="http://schemas.microsoft.com/office/drawing/2014/main" id="{00078500-0889-C96E-1E40-F355F1E2EFE1}"/>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9" name="TextBox 38">
            <a:extLst>
              <a:ext uri="{FF2B5EF4-FFF2-40B4-BE49-F238E27FC236}">
                <a16:creationId xmlns:a16="http://schemas.microsoft.com/office/drawing/2014/main" id="{61A9146B-A3CE-8D7B-F09E-D06547B4843F}"/>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6</a:t>
            </a:r>
          </a:p>
        </xdr:txBody>
      </xdr:sp>
    </xdr:grpSp>
    <xdr:clientData/>
  </xdr:twoCellAnchor>
  <xdr:twoCellAnchor editAs="oneCell">
    <xdr:from>
      <xdr:col>19</xdr:col>
      <xdr:colOff>0</xdr:colOff>
      <xdr:row>44</xdr:row>
      <xdr:rowOff>0</xdr:rowOff>
    </xdr:from>
    <xdr:to>
      <xdr:col>22</xdr:col>
      <xdr:colOff>20340</xdr:colOff>
      <xdr:row>64</xdr:row>
      <xdr:rowOff>122835</xdr:rowOff>
    </xdr:to>
    <xdr:grpSp>
      <xdr:nvGrpSpPr>
        <xdr:cNvPr id="50" name="Group 49">
          <a:extLst>
            <a:ext uri="{FF2B5EF4-FFF2-40B4-BE49-F238E27FC236}">
              <a16:creationId xmlns:a16="http://schemas.microsoft.com/office/drawing/2014/main" id="{414ADF99-40EE-4A0F-86B4-813DF6EBAD11}"/>
            </a:ext>
          </a:extLst>
        </xdr:cNvPr>
        <xdr:cNvGrpSpPr/>
      </xdr:nvGrpSpPr>
      <xdr:grpSpPr>
        <a:xfrm>
          <a:off x="15262412" y="3675529"/>
          <a:ext cx="2429604" cy="4089718"/>
          <a:chOff x="16259705" y="7403937"/>
          <a:chExt cx="1816952" cy="4130916"/>
        </a:xfrm>
      </xdr:grpSpPr>
      <xdr:grpSp>
        <xdr:nvGrpSpPr>
          <xdr:cNvPr id="70" name="Group 24">
            <a:extLst>
              <a:ext uri="{FF2B5EF4-FFF2-40B4-BE49-F238E27FC236}">
                <a16:creationId xmlns:a16="http://schemas.microsoft.com/office/drawing/2014/main" id="{FFFB1700-D7E5-B7DF-6DDA-9BE2F80E6F08}"/>
              </a:ext>
            </a:extLst>
          </xdr:cNvPr>
          <xdr:cNvGrpSpPr/>
        </xdr:nvGrpSpPr>
        <xdr:grpSpPr>
          <a:xfrm>
            <a:off x="16259705" y="7734260"/>
            <a:ext cx="1816952" cy="3800593"/>
            <a:chOff x="7800975" y="3800475"/>
            <a:chExt cx="2150834" cy="3931011"/>
          </a:xfrm>
        </xdr:grpSpPr>
        <xdr:graphicFrame macro="">
          <xdr:nvGraphicFramePr>
            <xdr:cNvPr id="72" name="Chart 3">
              <a:extLst>
                <a:ext uri="{FF2B5EF4-FFF2-40B4-BE49-F238E27FC236}">
                  <a16:creationId xmlns:a16="http://schemas.microsoft.com/office/drawing/2014/main" id="{451859ED-12E1-40A4-36E7-7FE13719D9A9}"/>
                </a:ext>
              </a:extLst>
            </xdr:cNvPr>
            <xdr:cNvGraphicFramePr>
              <a:graphicFrameLocks/>
            </xdr:cNvGraphicFramePr>
          </xdr:nvGraphicFramePr>
          <xdr:xfrm>
            <a:off x="7800975" y="3800475"/>
            <a:ext cx="2120573" cy="3931011"/>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74" name="Group 19">
              <a:extLst>
                <a:ext uri="{FF2B5EF4-FFF2-40B4-BE49-F238E27FC236}">
                  <a16:creationId xmlns:a16="http://schemas.microsoft.com/office/drawing/2014/main" id="{75ADC932-A898-702D-C537-F4EEE00B8BF0}"/>
                </a:ext>
              </a:extLst>
            </xdr:cNvPr>
            <xdr:cNvGrpSpPr/>
          </xdr:nvGrpSpPr>
          <xdr:grpSpPr>
            <a:xfrm>
              <a:off x="8661827" y="3848497"/>
              <a:ext cx="1289982" cy="347234"/>
              <a:chOff x="3727877" y="4705747"/>
              <a:chExt cx="1289982" cy="347234"/>
            </a:xfrm>
          </xdr:grpSpPr>
          <xdr:sp macro="" textlink="$G$64">
            <xdr:nvSpPr>
              <xdr:cNvPr id="79" name="TextBox 20">
                <a:extLst>
                  <a:ext uri="{FF2B5EF4-FFF2-40B4-BE49-F238E27FC236}">
                    <a16:creationId xmlns:a16="http://schemas.microsoft.com/office/drawing/2014/main" id="{7C609F44-B53F-2DC8-1806-3C8A6167D4D3}"/>
                  </a:ext>
                </a:extLst>
              </xdr:cNvPr>
              <xdr:cNvSpPr txBox="1"/>
            </xdr:nvSpPr>
            <xdr:spPr>
              <a:xfrm>
                <a:off x="3727877" y="4705747"/>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B161A6A1-23D2-40F6-8533-3A9023E93381}" type="TxLink">
                  <a:rPr lang="en-US" sz="1700" b="1" i="0" u="none" strike="noStrike">
                    <a:solidFill>
                      <a:srgbClr val="0033CC"/>
                    </a:solidFill>
                    <a:latin typeface="Aptos Narrow (Body)"/>
                    <a:cs typeface="Arial"/>
                  </a:rPr>
                  <a:pPr/>
                  <a:t>739 </a:t>
                </a:fld>
                <a:endParaRPr lang="en-US" sz="1700">
                  <a:solidFill>
                    <a:srgbClr val="0033CC"/>
                  </a:solidFill>
                  <a:latin typeface="Aptos Narrow (Body)"/>
                  <a:cs typeface="Arial" panose="020B0604020202020204" pitchFamily="34" charset="0"/>
                </a:endParaRPr>
              </a:p>
            </xdr:txBody>
          </xdr:sp>
          <xdr:sp macro="" textlink="">
            <xdr:nvSpPr>
              <xdr:cNvPr id="113" name="TextBox 21">
                <a:extLst>
                  <a:ext uri="{FF2B5EF4-FFF2-40B4-BE49-F238E27FC236}">
                    <a16:creationId xmlns:a16="http://schemas.microsoft.com/office/drawing/2014/main" id="{B69DF44D-F5DE-2B89-C1C5-9285AABE9EDA}"/>
                  </a:ext>
                </a:extLst>
              </xdr:cNvPr>
              <xdr:cNvSpPr txBox="1"/>
            </xdr:nvSpPr>
            <xdr:spPr>
              <a:xfrm>
                <a:off x="4171529" y="4744277"/>
                <a:ext cx="846330" cy="3087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75" name="Group 26">
              <a:extLst>
                <a:ext uri="{FF2B5EF4-FFF2-40B4-BE49-F238E27FC236}">
                  <a16:creationId xmlns:a16="http://schemas.microsoft.com/office/drawing/2014/main" id="{77C0BE50-C1BC-4A1C-3812-0E4427AA2FDF}"/>
                </a:ext>
              </a:extLst>
            </xdr:cNvPr>
            <xdr:cNvGrpSpPr/>
          </xdr:nvGrpSpPr>
          <xdr:grpSpPr>
            <a:xfrm>
              <a:off x="7833238" y="5510569"/>
              <a:ext cx="1075761" cy="815848"/>
              <a:chOff x="5652013" y="5729644"/>
              <a:chExt cx="1075761" cy="815848"/>
            </a:xfrm>
          </xdr:grpSpPr>
          <xdr:sp macro="" textlink="$G$61">
            <xdr:nvSpPr>
              <xdr:cNvPr id="76" name="TextBox 28">
                <a:extLst>
                  <a:ext uri="{FF2B5EF4-FFF2-40B4-BE49-F238E27FC236}">
                    <a16:creationId xmlns:a16="http://schemas.microsoft.com/office/drawing/2014/main" id="{1B88A1DF-A4E2-4CAA-6DC6-AE7815537CF0}"/>
                  </a:ext>
                </a:extLst>
              </xdr:cNvPr>
              <xdr:cNvSpPr txBox="1"/>
            </xdr:nvSpPr>
            <xdr:spPr>
              <a:xfrm>
                <a:off x="5762596" y="5912956"/>
                <a:ext cx="493559" cy="374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BC3E5D-C4A5-465D-ABC8-1C7E9C01EA5C}" type="TxLink">
                  <a:rPr lang="en-US" sz="1700" b="1" i="0" u="none" strike="noStrike">
                    <a:solidFill>
                      <a:srgbClr val="0033CC"/>
                    </a:solidFill>
                    <a:latin typeface="Aptos Narrow (Body)"/>
                    <a:cs typeface="Arial"/>
                  </a:rPr>
                  <a:pPr/>
                  <a:t>693 </a:t>
                </a:fld>
                <a:endParaRPr lang="en-US" sz="1700">
                  <a:latin typeface="Aptos Narrow (Body)"/>
                </a:endParaRPr>
              </a:p>
            </xdr:txBody>
          </xdr:sp>
          <xdr:sp macro="" textlink="">
            <xdr:nvSpPr>
              <xdr:cNvPr id="77" name="TextBox 29">
                <a:extLst>
                  <a:ext uri="{FF2B5EF4-FFF2-40B4-BE49-F238E27FC236}">
                    <a16:creationId xmlns:a16="http://schemas.microsoft.com/office/drawing/2014/main" id="{0886AB31-7E45-88BB-418D-3F19562DA2C7}"/>
                  </a:ext>
                </a:extLst>
              </xdr:cNvPr>
              <xdr:cNvSpPr txBox="1"/>
            </xdr:nvSpPr>
            <xdr:spPr>
              <a:xfrm>
                <a:off x="5682148" y="6249642"/>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78" name="TextBox 30">
                <a:extLst>
                  <a:ext uri="{FF2B5EF4-FFF2-40B4-BE49-F238E27FC236}">
                    <a16:creationId xmlns:a16="http://schemas.microsoft.com/office/drawing/2014/main" id="{27F02691-4F7A-9E29-4E4D-719ADD7A2F2F}"/>
                  </a:ext>
                </a:extLst>
              </xdr:cNvPr>
              <xdr:cNvSpPr txBox="1"/>
            </xdr:nvSpPr>
            <xdr:spPr>
              <a:xfrm>
                <a:off x="5652013" y="5729644"/>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71" name="TextBox 69">
            <a:extLst>
              <a:ext uri="{FF2B5EF4-FFF2-40B4-BE49-F238E27FC236}">
                <a16:creationId xmlns:a16="http://schemas.microsoft.com/office/drawing/2014/main" id="{10F955EE-277A-60CD-7739-E5AD2064DAD4}"/>
              </a:ext>
            </a:extLst>
          </xdr:cNvPr>
          <xdr:cNvSpPr txBox="1"/>
        </xdr:nvSpPr>
        <xdr:spPr>
          <a:xfrm>
            <a:off x="16261704" y="7403937"/>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22</xdr:col>
      <xdr:colOff>428625</xdr:colOff>
      <xdr:row>44</xdr:row>
      <xdr:rowOff>9525</xdr:rowOff>
    </xdr:from>
    <xdr:to>
      <xdr:col>26</xdr:col>
      <xdr:colOff>272982</xdr:colOff>
      <xdr:row>64</xdr:row>
      <xdr:rowOff>134265</xdr:rowOff>
    </xdr:to>
    <xdr:grpSp>
      <xdr:nvGrpSpPr>
        <xdr:cNvPr id="125" name="Group 124">
          <a:extLst>
            <a:ext uri="{FF2B5EF4-FFF2-40B4-BE49-F238E27FC236}">
              <a16:creationId xmlns:a16="http://schemas.microsoft.com/office/drawing/2014/main" id="{930FFAD4-3669-409D-A61A-BE5F66ADF2AC}"/>
            </a:ext>
          </a:extLst>
        </xdr:cNvPr>
        <xdr:cNvGrpSpPr/>
      </xdr:nvGrpSpPr>
      <xdr:grpSpPr>
        <a:xfrm>
          <a:off x="18100301" y="3685054"/>
          <a:ext cx="2488946" cy="4091623"/>
          <a:chOff x="16172571" y="7403937"/>
          <a:chExt cx="2327981" cy="4135400"/>
        </a:xfrm>
      </xdr:grpSpPr>
      <xdr:grpSp>
        <xdr:nvGrpSpPr>
          <xdr:cNvPr id="126" name="Group 24">
            <a:extLst>
              <a:ext uri="{FF2B5EF4-FFF2-40B4-BE49-F238E27FC236}">
                <a16:creationId xmlns:a16="http://schemas.microsoft.com/office/drawing/2014/main" id="{BB0AD52F-DCBC-DBE3-4ECF-955B982CE235}"/>
              </a:ext>
            </a:extLst>
          </xdr:cNvPr>
          <xdr:cNvGrpSpPr/>
        </xdr:nvGrpSpPr>
        <xdr:grpSpPr>
          <a:xfrm>
            <a:off x="16172571" y="7734260"/>
            <a:ext cx="2327981" cy="3805077"/>
            <a:chOff x="7697825" y="3800475"/>
            <a:chExt cx="2755768" cy="3935649"/>
          </a:xfrm>
        </xdr:grpSpPr>
        <xdr:graphicFrame macro="">
          <xdr:nvGraphicFramePr>
            <xdr:cNvPr id="192" name="Chart 3">
              <a:extLst>
                <a:ext uri="{FF2B5EF4-FFF2-40B4-BE49-F238E27FC236}">
                  <a16:creationId xmlns:a16="http://schemas.microsoft.com/office/drawing/2014/main" id="{71C7450A-AFF6-0E76-CE7D-199450BCB475}"/>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93" name="Group 19">
              <a:extLst>
                <a:ext uri="{FF2B5EF4-FFF2-40B4-BE49-F238E27FC236}">
                  <a16:creationId xmlns:a16="http://schemas.microsoft.com/office/drawing/2014/main" id="{70BEA868-19D7-70A4-562F-634CC96153DB}"/>
                </a:ext>
              </a:extLst>
            </xdr:cNvPr>
            <xdr:cNvGrpSpPr/>
          </xdr:nvGrpSpPr>
          <xdr:grpSpPr>
            <a:xfrm>
              <a:off x="8814167" y="3818680"/>
              <a:ext cx="1583474" cy="358291"/>
              <a:chOff x="3880217" y="4675930"/>
              <a:chExt cx="1583474" cy="358291"/>
            </a:xfrm>
          </xdr:grpSpPr>
          <xdr:sp macro="" textlink="$I$64">
            <xdr:nvSpPr>
              <xdr:cNvPr id="198" name="TextBox 20">
                <a:extLst>
                  <a:ext uri="{FF2B5EF4-FFF2-40B4-BE49-F238E27FC236}">
                    <a16:creationId xmlns:a16="http://schemas.microsoft.com/office/drawing/2014/main" id="{165AF1ED-9908-4372-8AA8-FE224AAB2009}"/>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533E2F81-BA56-44F1-B1F9-08EFE1CDE529}" type="TxLink">
                  <a:rPr lang="en-US" sz="1700" b="1" i="0" u="none" strike="noStrike">
                    <a:solidFill>
                      <a:srgbClr val="0033CC"/>
                    </a:solidFill>
                    <a:latin typeface="+mj-lt"/>
                    <a:cs typeface="Arial"/>
                  </a:rPr>
                  <a:pPr/>
                  <a:t>719 </a:t>
                </a:fld>
                <a:endParaRPr lang="en-US" sz="1700">
                  <a:solidFill>
                    <a:srgbClr val="0033CC"/>
                  </a:solidFill>
                  <a:latin typeface="+mj-lt"/>
                  <a:cs typeface="Arial" panose="020B0604020202020204" pitchFamily="34" charset="0"/>
                </a:endParaRPr>
              </a:p>
            </xdr:txBody>
          </xdr:sp>
          <xdr:sp macro="" textlink="">
            <xdr:nvSpPr>
              <xdr:cNvPr id="199" name="TextBox 21">
                <a:extLst>
                  <a:ext uri="{FF2B5EF4-FFF2-40B4-BE49-F238E27FC236}">
                    <a16:creationId xmlns:a16="http://schemas.microsoft.com/office/drawing/2014/main" id="{FD411361-B395-09C3-9FE2-5A1B0BF9AAF4}"/>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194" name="Group 26">
              <a:extLst>
                <a:ext uri="{FF2B5EF4-FFF2-40B4-BE49-F238E27FC236}">
                  <a16:creationId xmlns:a16="http://schemas.microsoft.com/office/drawing/2014/main" id="{25E60D25-DC1E-F7F2-209E-F8BFE61DDF84}"/>
                </a:ext>
              </a:extLst>
            </xdr:cNvPr>
            <xdr:cNvGrpSpPr/>
          </xdr:nvGrpSpPr>
          <xdr:grpSpPr>
            <a:xfrm>
              <a:off x="7697825" y="5550324"/>
              <a:ext cx="1075761" cy="746276"/>
              <a:chOff x="5516600" y="5769399"/>
              <a:chExt cx="1075761" cy="746276"/>
            </a:xfrm>
          </xdr:grpSpPr>
          <xdr:sp macro="" textlink="$I$61">
            <xdr:nvSpPr>
              <xdr:cNvPr id="195" name="TextBox 28">
                <a:extLst>
                  <a:ext uri="{FF2B5EF4-FFF2-40B4-BE49-F238E27FC236}">
                    <a16:creationId xmlns:a16="http://schemas.microsoft.com/office/drawing/2014/main" id="{0C725D12-84DC-190B-4D4E-337AFE5CCFA9}"/>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078018-C306-4BB7-8DE1-CDF57B120A91}" type="TxLink">
                  <a:rPr lang="en-US" sz="1700" b="1" i="0" u="none" strike="noStrike">
                    <a:solidFill>
                      <a:srgbClr val="0033CC"/>
                    </a:solidFill>
                    <a:latin typeface="+mj-lt"/>
                    <a:cs typeface="Arial"/>
                  </a:rPr>
                  <a:pPr/>
                  <a:t>693 </a:t>
                </a:fld>
                <a:endParaRPr lang="en-US" sz="1700">
                  <a:latin typeface="+mj-lt"/>
                </a:endParaRPr>
              </a:p>
            </xdr:txBody>
          </xdr:sp>
          <xdr:sp macro="" textlink="">
            <xdr:nvSpPr>
              <xdr:cNvPr id="196" name="TextBox 29">
                <a:extLst>
                  <a:ext uri="{FF2B5EF4-FFF2-40B4-BE49-F238E27FC236}">
                    <a16:creationId xmlns:a16="http://schemas.microsoft.com/office/drawing/2014/main" id="{1CAB7BFD-15CC-4333-8493-14043ADDCDCD}"/>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197" name="TextBox 30">
                <a:extLst>
                  <a:ext uri="{FF2B5EF4-FFF2-40B4-BE49-F238E27FC236}">
                    <a16:creationId xmlns:a16="http://schemas.microsoft.com/office/drawing/2014/main" id="{4C0DBFD5-DC23-6B59-1E21-826FA3941476}"/>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7" name="TextBox 69">
            <a:extLst>
              <a:ext uri="{FF2B5EF4-FFF2-40B4-BE49-F238E27FC236}">
                <a16:creationId xmlns:a16="http://schemas.microsoft.com/office/drawing/2014/main" id="{EFC1AC02-201A-88FB-E869-E9C3CDE7F1E5}"/>
              </a:ext>
            </a:extLst>
          </xdr:cNvPr>
          <xdr:cNvSpPr txBox="1"/>
        </xdr:nvSpPr>
        <xdr:spPr>
          <a:xfrm>
            <a:off x="16261704" y="7403937"/>
            <a:ext cx="779291" cy="329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32</xdr:col>
      <xdr:colOff>80122</xdr:colOff>
      <xdr:row>44</xdr:row>
      <xdr:rowOff>19050</xdr:rowOff>
    </xdr:from>
    <xdr:to>
      <xdr:col>36</xdr:col>
      <xdr:colOff>76882</xdr:colOff>
      <xdr:row>64</xdr:row>
      <xdr:rowOff>143790</xdr:rowOff>
    </xdr:to>
    <xdr:grpSp>
      <xdr:nvGrpSpPr>
        <xdr:cNvPr id="221" name="Group 220">
          <a:extLst>
            <a:ext uri="{FF2B5EF4-FFF2-40B4-BE49-F238E27FC236}">
              <a16:creationId xmlns:a16="http://schemas.microsoft.com/office/drawing/2014/main" id="{814B51CD-2465-4814-880E-D4CCCBAAAB96}"/>
            </a:ext>
          </a:extLst>
        </xdr:cNvPr>
        <xdr:cNvGrpSpPr/>
      </xdr:nvGrpSpPr>
      <xdr:grpSpPr>
        <a:xfrm>
          <a:off x="24206387" y="3694579"/>
          <a:ext cx="2495671" cy="4091623"/>
          <a:chOff x="16172571" y="7403937"/>
          <a:chExt cx="2327982" cy="4135400"/>
        </a:xfrm>
      </xdr:grpSpPr>
      <xdr:grpSp>
        <xdr:nvGrpSpPr>
          <xdr:cNvPr id="222" name="Group 24">
            <a:extLst>
              <a:ext uri="{FF2B5EF4-FFF2-40B4-BE49-F238E27FC236}">
                <a16:creationId xmlns:a16="http://schemas.microsoft.com/office/drawing/2014/main" id="{96586DD5-B21E-470D-701A-888C0570786D}"/>
              </a:ext>
            </a:extLst>
          </xdr:cNvPr>
          <xdr:cNvGrpSpPr/>
        </xdr:nvGrpSpPr>
        <xdr:grpSpPr>
          <a:xfrm>
            <a:off x="16172571" y="7734260"/>
            <a:ext cx="2327982" cy="3805077"/>
            <a:chOff x="7697825" y="3800475"/>
            <a:chExt cx="2755769" cy="3935649"/>
          </a:xfrm>
        </xdr:grpSpPr>
        <xdr:graphicFrame macro="">
          <xdr:nvGraphicFramePr>
            <xdr:cNvPr id="224" name="Chart 3">
              <a:extLst>
                <a:ext uri="{FF2B5EF4-FFF2-40B4-BE49-F238E27FC236}">
                  <a16:creationId xmlns:a16="http://schemas.microsoft.com/office/drawing/2014/main" id="{A30C5EA3-7087-7F86-DFA3-B4137494E15F}"/>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25" name="Group 19">
              <a:extLst>
                <a:ext uri="{FF2B5EF4-FFF2-40B4-BE49-F238E27FC236}">
                  <a16:creationId xmlns:a16="http://schemas.microsoft.com/office/drawing/2014/main" id="{3E308F61-282E-37F3-2F3A-09987ACFA34B}"/>
                </a:ext>
              </a:extLst>
            </xdr:cNvPr>
            <xdr:cNvGrpSpPr/>
          </xdr:nvGrpSpPr>
          <xdr:grpSpPr>
            <a:xfrm>
              <a:off x="8814167" y="3818680"/>
              <a:ext cx="1583474" cy="358291"/>
              <a:chOff x="3880217" y="4675930"/>
              <a:chExt cx="1583474" cy="358291"/>
            </a:xfrm>
          </xdr:grpSpPr>
          <xdr:sp macro="" textlink="$M$64">
            <xdr:nvSpPr>
              <xdr:cNvPr id="231" name="TextBox 20">
                <a:extLst>
                  <a:ext uri="{FF2B5EF4-FFF2-40B4-BE49-F238E27FC236}">
                    <a16:creationId xmlns:a16="http://schemas.microsoft.com/office/drawing/2014/main" id="{92C42D0D-9201-E3C8-BCAA-DDA9EE0464B8}"/>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6D1E89B3-6320-4C52-BBF2-4B7CD5F94561}" type="TxLink">
                  <a:rPr lang="en-US" sz="1700" b="1" i="0" u="none" strike="noStrike">
                    <a:solidFill>
                      <a:srgbClr val="0033CC"/>
                    </a:solidFill>
                    <a:latin typeface="+mj-lt"/>
                    <a:cs typeface="Arial"/>
                  </a:rPr>
                  <a:pPr/>
                  <a:t>680 </a:t>
                </a:fld>
                <a:endParaRPr lang="en-US" sz="1700">
                  <a:solidFill>
                    <a:srgbClr val="0033CC"/>
                  </a:solidFill>
                  <a:latin typeface="+mj-lt"/>
                  <a:cs typeface="Arial" panose="020B0604020202020204" pitchFamily="34" charset="0"/>
                </a:endParaRPr>
              </a:p>
            </xdr:txBody>
          </xdr:sp>
          <xdr:sp macro="" textlink="">
            <xdr:nvSpPr>
              <xdr:cNvPr id="232" name="TextBox 21">
                <a:extLst>
                  <a:ext uri="{FF2B5EF4-FFF2-40B4-BE49-F238E27FC236}">
                    <a16:creationId xmlns:a16="http://schemas.microsoft.com/office/drawing/2014/main" id="{3B573BC7-7393-B29D-F051-9CAC41A6FD5C}"/>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27" name="Group 26">
              <a:extLst>
                <a:ext uri="{FF2B5EF4-FFF2-40B4-BE49-F238E27FC236}">
                  <a16:creationId xmlns:a16="http://schemas.microsoft.com/office/drawing/2014/main" id="{19BD4481-93BB-5431-933B-6F6169EECE21}"/>
                </a:ext>
              </a:extLst>
            </xdr:cNvPr>
            <xdr:cNvGrpSpPr/>
          </xdr:nvGrpSpPr>
          <xdr:grpSpPr>
            <a:xfrm>
              <a:off x="7697825" y="5550324"/>
              <a:ext cx="1075761" cy="746276"/>
              <a:chOff x="5516600" y="5769399"/>
              <a:chExt cx="1075761" cy="746276"/>
            </a:xfrm>
          </xdr:grpSpPr>
          <xdr:sp macro="" textlink="$M$61">
            <xdr:nvSpPr>
              <xdr:cNvPr id="228" name="TextBox 28">
                <a:extLst>
                  <a:ext uri="{FF2B5EF4-FFF2-40B4-BE49-F238E27FC236}">
                    <a16:creationId xmlns:a16="http://schemas.microsoft.com/office/drawing/2014/main" id="{F2EDF1C1-ADA0-BBC7-3BEC-F67E5C264C4E}"/>
                  </a:ext>
                </a:extLst>
              </xdr:cNvPr>
              <xdr:cNvSpPr txBox="1"/>
            </xdr:nvSpPr>
            <xdr:spPr>
              <a:xfrm>
                <a:off x="5686426" y="5962650"/>
                <a:ext cx="643663" cy="3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38634FC-CA05-47EC-AA15-C52F5DD8370B}" type="TxLink">
                  <a:rPr lang="en-US" sz="1700" b="1" i="0" u="none" strike="noStrike">
                    <a:solidFill>
                      <a:srgbClr val="0033CC"/>
                    </a:solidFill>
                    <a:latin typeface="+mj-lt"/>
                    <a:cs typeface="Arial"/>
                  </a:rPr>
                  <a:pPr/>
                  <a:t>672 </a:t>
                </a:fld>
                <a:endParaRPr lang="en-US" sz="1700">
                  <a:latin typeface="+mj-lt"/>
                </a:endParaRPr>
              </a:p>
            </xdr:txBody>
          </xdr:sp>
          <xdr:sp macro="" textlink="">
            <xdr:nvSpPr>
              <xdr:cNvPr id="229" name="TextBox 29">
                <a:extLst>
                  <a:ext uri="{FF2B5EF4-FFF2-40B4-BE49-F238E27FC236}">
                    <a16:creationId xmlns:a16="http://schemas.microsoft.com/office/drawing/2014/main" id="{AF934686-34D8-02DB-677C-845BA2C6A9A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30" name="TextBox 30">
                <a:extLst>
                  <a:ext uri="{FF2B5EF4-FFF2-40B4-BE49-F238E27FC236}">
                    <a16:creationId xmlns:a16="http://schemas.microsoft.com/office/drawing/2014/main" id="{C5746A22-6AC5-77F0-E157-C956ED8C1967}"/>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23" name="TextBox 69">
            <a:extLst>
              <a:ext uri="{FF2B5EF4-FFF2-40B4-BE49-F238E27FC236}">
                <a16:creationId xmlns:a16="http://schemas.microsoft.com/office/drawing/2014/main" id="{E0C00E5B-4666-3B8F-C5EC-C1D94DE7AEFF}"/>
              </a:ext>
            </a:extLst>
          </xdr:cNvPr>
          <xdr:cNvSpPr txBox="1"/>
        </xdr:nvSpPr>
        <xdr:spPr>
          <a:xfrm>
            <a:off x="16261704" y="7403937"/>
            <a:ext cx="802271" cy="330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18</xdr:col>
      <xdr:colOff>257175</xdr:colOff>
      <xdr:row>43</xdr:row>
      <xdr:rowOff>85725</xdr:rowOff>
    </xdr:from>
    <xdr:to>
      <xdr:col>18</xdr:col>
      <xdr:colOff>2718556</xdr:colOff>
      <xdr:row>64</xdr:row>
      <xdr:rowOff>32030</xdr:rowOff>
    </xdr:to>
    <xdr:grpSp>
      <xdr:nvGrpSpPr>
        <xdr:cNvPr id="244" name="Group 243">
          <a:extLst>
            <a:ext uri="{FF2B5EF4-FFF2-40B4-BE49-F238E27FC236}">
              <a16:creationId xmlns:a16="http://schemas.microsoft.com/office/drawing/2014/main" id="{74E359A3-938F-45E8-9751-0414388E0713}"/>
            </a:ext>
          </a:extLst>
        </xdr:cNvPr>
        <xdr:cNvGrpSpPr/>
      </xdr:nvGrpSpPr>
      <xdr:grpSpPr>
        <a:xfrm>
          <a:off x="11675969" y="3581960"/>
          <a:ext cx="2461381" cy="4092482"/>
          <a:chOff x="16172571" y="7403937"/>
          <a:chExt cx="2327982" cy="4135400"/>
        </a:xfrm>
      </xdr:grpSpPr>
      <xdr:grpSp>
        <xdr:nvGrpSpPr>
          <xdr:cNvPr id="245" name="Group 24">
            <a:extLst>
              <a:ext uri="{FF2B5EF4-FFF2-40B4-BE49-F238E27FC236}">
                <a16:creationId xmlns:a16="http://schemas.microsoft.com/office/drawing/2014/main" id="{DCA0FF6B-1C05-3339-8AFD-5F8B773C51C2}"/>
              </a:ext>
            </a:extLst>
          </xdr:cNvPr>
          <xdr:cNvGrpSpPr/>
        </xdr:nvGrpSpPr>
        <xdr:grpSpPr>
          <a:xfrm>
            <a:off x="16172571" y="7734260"/>
            <a:ext cx="2327982" cy="3805077"/>
            <a:chOff x="7697825" y="3800475"/>
            <a:chExt cx="2755769" cy="3935649"/>
          </a:xfrm>
        </xdr:grpSpPr>
        <xdr:graphicFrame macro="">
          <xdr:nvGraphicFramePr>
            <xdr:cNvPr id="247" name="Chart 3">
              <a:extLst>
                <a:ext uri="{FF2B5EF4-FFF2-40B4-BE49-F238E27FC236}">
                  <a16:creationId xmlns:a16="http://schemas.microsoft.com/office/drawing/2014/main" id="{83F0E64B-91AD-4090-0BE5-28C7767B3BC7}"/>
                </a:ext>
              </a:extLst>
            </xdr:cNvPr>
            <xdr:cNvGraphicFramePr>
              <a:graphicFrameLocks/>
            </xdr:cNvGraphicFramePr>
          </xdr:nvGraphicFramePr>
          <xdr:xfrm>
            <a:off x="7800975" y="3800475"/>
            <a:ext cx="2652619" cy="3935649"/>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48" name="Group 19">
              <a:extLst>
                <a:ext uri="{FF2B5EF4-FFF2-40B4-BE49-F238E27FC236}">
                  <a16:creationId xmlns:a16="http://schemas.microsoft.com/office/drawing/2014/main" id="{EB56AD98-FA01-02EB-D439-8F54BD61900D}"/>
                </a:ext>
              </a:extLst>
            </xdr:cNvPr>
            <xdr:cNvGrpSpPr/>
          </xdr:nvGrpSpPr>
          <xdr:grpSpPr>
            <a:xfrm>
              <a:off x="8814167" y="3818680"/>
              <a:ext cx="1583474" cy="358291"/>
              <a:chOff x="3880217" y="4675930"/>
              <a:chExt cx="1583474" cy="358291"/>
            </a:xfrm>
          </xdr:grpSpPr>
          <xdr:sp macro="" textlink="$E$64">
            <xdr:nvSpPr>
              <xdr:cNvPr id="253" name="TextBox 20">
                <a:extLst>
                  <a:ext uri="{FF2B5EF4-FFF2-40B4-BE49-F238E27FC236}">
                    <a16:creationId xmlns:a16="http://schemas.microsoft.com/office/drawing/2014/main" id="{03046626-FDCB-EC2B-70D2-AD7F35405F1E}"/>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61C8640-ADD3-4AC5-B05F-632C504505A0}" type="TxLink">
                  <a:rPr lang="en-US" sz="1700" b="1" i="0" u="none" strike="noStrike">
                    <a:solidFill>
                      <a:srgbClr val="0033CC"/>
                    </a:solidFill>
                    <a:latin typeface="+mn-lt"/>
                    <a:cs typeface="Arial"/>
                  </a:rPr>
                  <a:pPr/>
                  <a:t>680 </a:t>
                </a:fld>
                <a:endParaRPr lang="en-US" sz="1700">
                  <a:solidFill>
                    <a:srgbClr val="0033CC"/>
                  </a:solidFill>
                  <a:latin typeface="+mn-lt"/>
                  <a:cs typeface="Arial" panose="020B0604020202020204" pitchFamily="34" charset="0"/>
                </a:endParaRPr>
              </a:p>
            </xdr:txBody>
          </xdr:sp>
          <xdr:sp macro="" textlink="">
            <xdr:nvSpPr>
              <xdr:cNvPr id="254" name="TextBox 21">
                <a:extLst>
                  <a:ext uri="{FF2B5EF4-FFF2-40B4-BE49-F238E27FC236}">
                    <a16:creationId xmlns:a16="http://schemas.microsoft.com/office/drawing/2014/main" id="{58A9C217-8C43-1BE0-86C0-BE1AAF890373}"/>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249" name="Group 26">
              <a:extLst>
                <a:ext uri="{FF2B5EF4-FFF2-40B4-BE49-F238E27FC236}">
                  <a16:creationId xmlns:a16="http://schemas.microsoft.com/office/drawing/2014/main" id="{07C2C22D-3ECC-506F-1337-C522A152FB6A}"/>
                </a:ext>
              </a:extLst>
            </xdr:cNvPr>
            <xdr:cNvGrpSpPr/>
          </xdr:nvGrpSpPr>
          <xdr:grpSpPr>
            <a:xfrm>
              <a:off x="7697825" y="5550324"/>
              <a:ext cx="1075761" cy="746276"/>
              <a:chOff x="5516600" y="5769399"/>
              <a:chExt cx="1075761" cy="746276"/>
            </a:xfrm>
          </xdr:grpSpPr>
          <xdr:sp macro="" textlink="$E$61">
            <xdr:nvSpPr>
              <xdr:cNvPr id="250" name="TextBox 28">
                <a:extLst>
                  <a:ext uri="{FF2B5EF4-FFF2-40B4-BE49-F238E27FC236}">
                    <a16:creationId xmlns:a16="http://schemas.microsoft.com/office/drawing/2014/main" id="{3738F6DF-EE36-25CE-993F-BF8C12E651FB}"/>
                  </a:ext>
                </a:extLst>
              </xdr:cNvPr>
              <xdr:cNvSpPr txBox="1"/>
            </xdr:nvSpPr>
            <xdr:spPr>
              <a:xfrm>
                <a:off x="5686426" y="5962650"/>
                <a:ext cx="573237" cy="341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E1FB313-D67C-4FA6-AC7C-79F9FB8CD98B}" type="TxLink">
                  <a:rPr lang="en-US" sz="1500" b="1" i="0" u="none" strike="noStrike">
                    <a:solidFill>
                      <a:srgbClr val="0033CC"/>
                    </a:solidFill>
                    <a:latin typeface="+mn-lt"/>
                    <a:cs typeface="Arial"/>
                  </a:rPr>
                  <a:pPr/>
                  <a:t>611 </a:t>
                </a:fld>
                <a:endParaRPr lang="en-US" sz="1500">
                  <a:latin typeface="+mn-lt"/>
                </a:endParaRPr>
              </a:p>
            </xdr:txBody>
          </xdr:sp>
          <xdr:sp macro="" textlink="">
            <xdr:nvSpPr>
              <xdr:cNvPr id="251" name="TextBox 29">
                <a:extLst>
                  <a:ext uri="{FF2B5EF4-FFF2-40B4-BE49-F238E27FC236}">
                    <a16:creationId xmlns:a16="http://schemas.microsoft.com/office/drawing/2014/main" id="{78611ED8-56A6-087E-EA38-C873102CFC7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252" name="TextBox 30">
                <a:extLst>
                  <a:ext uri="{FF2B5EF4-FFF2-40B4-BE49-F238E27FC236}">
                    <a16:creationId xmlns:a16="http://schemas.microsoft.com/office/drawing/2014/main" id="{88AD23AE-D510-394E-56D3-03123CD6C42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46" name="TextBox 69">
            <a:extLst>
              <a:ext uri="{FF2B5EF4-FFF2-40B4-BE49-F238E27FC236}">
                <a16:creationId xmlns:a16="http://schemas.microsoft.com/office/drawing/2014/main" id="{5D9D25E2-D22E-85FB-FFB0-5954331AD20F}"/>
              </a:ext>
            </a:extLst>
          </xdr:cNvPr>
          <xdr:cNvSpPr txBox="1"/>
        </xdr:nvSpPr>
        <xdr:spPr>
          <a:xfrm>
            <a:off x="16261704" y="7403937"/>
            <a:ext cx="809247" cy="3307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18</xdr:col>
      <xdr:colOff>523875</xdr:colOff>
      <xdr:row>66</xdr:row>
      <xdr:rowOff>76200</xdr:rowOff>
    </xdr:from>
    <xdr:to>
      <xdr:col>18</xdr:col>
      <xdr:colOff>3004253</xdr:colOff>
      <xdr:row>87</xdr:row>
      <xdr:rowOff>51883</xdr:rowOff>
    </xdr:to>
    <xdr:grpSp>
      <xdr:nvGrpSpPr>
        <xdr:cNvPr id="73" name="Group 265">
          <a:extLst>
            <a:ext uri="{FF2B5EF4-FFF2-40B4-BE49-F238E27FC236}">
              <a16:creationId xmlns:a16="http://schemas.microsoft.com/office/drawing/2014/main" id="{28DC6BA2-A6B1-4066-8FE3-5F12F1CF7879}"/>
            </a:ext>
          </a:extLst>
        </xdr:cNvPr>
        <xdr:cNvGrpSpPr/>
      </xdr:nvGrpSpPr>
      <xdr:grpSpPr>
        <a:xfrm>
          <a:off x="11942669" y="8099612"/>
          <a:ext cx="2480378" cy="4065830"/>
          <a:chOff x="9284677" y="11615942"/>
          <a:chExt cx="2252365" cy="4102026"/>
        </a:xfrm>
      </xdr:grpSpPr>
      <xdr:grpSp>
        <xdr:nvGrpSpPr>
          <xdr:cNvPr id="114" name="Group 266">
            <a:extLst>
              <a:ext uri="{FF2B5EF4-FFF2-40B4-BE49-F238E27FC236}">
                <a16:creationId xmlns:a16="http://schemas.microsoft.com/office/drawing/2014/main" id="{43FE1453-2FEA-67E3-0DCF-C5437577BF0E}"/>
              </a:ext>
            </a:extLst>
          </xdr:cNvPr>
          <xdr:cNvGrpSpPr/>
        </xdr:nvGrpSpPr>
        <xdr:grpSpPr>
          <a:xfrm>
            <a:off x="9284677" y="11959783"/>
            <a:ext cx="2252365" cy="3758185"/>
            <a:chOff x="7743823" y="7915275"/>
            <a:chExt cx="2663385" cy="4317935"/>
          </a:xfrm>
        </xdr:grpSpPr>
        <xdr:graphicFrame macro="">
          <xdr:nvGraphicFramePr>
            <xdr:cNvPr id="115" name="Chart 268">
              <a:extLst>
                <a:ext uri="{FF2B5EF4-FFF2-40B4-BE49-F238E27FC236}">
                  <a16:creationId xmlns:a16="http://schemas.microsoft.com/office/drawing/2014/main" id="{FE3CA115-E6B0-4C65-C874-A164EE2AF983}"/>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7"/>
            </a:graphicData>
          </a:graphic>
        </xdr:graphicFrame>
        <xdr:grpSp>
          <xdr:nvGrpSpPr>
            <xdr:cNvPr id="116" name="Group 269">
              <a:extLst>
                <a:ext uri="{FF2B5EF4-FFF2-40B4-BE49-F238E27FC236}">
                  <a16:creationId xmlns:a16="http://schemas.microsoft.com/office/drawing/2014/main" id="{15A296C9-9D2D-40F0-8AAB-B5CD14F8380E}"/>
                </a:ext>
              </a:extLst>
            </xdr:cNvPr>
            <xdr:cNvGrpSpPr/>
          </xdr:nvGrpSpPr>
          <xdr:grpSpPr>
            <a:xfrm>
              <a:off x="8748842" y="8010525"/>
              <a:ext cx="1601103" cy="385633"/>
              <a:chOff x="3662491" y="4678681"/>
              <a:chExt cx="1601103" cy="385633"/>
            </a:xfrm>
          </xdr:grpSpPr>
          <xdr:sp macro="" textlink="$E$86">
            <xdr:nvSpPr>
              <xdr:cNvPr id="117" name="TextBox 274">
                <a:extLst>
                  <a:ext uri="{FF2B5EF4-FFF2-40B4-BE49-F238E27FC236}">
                    <a16:creationId xmlns:a16="http://schemas.microsoft.com/office/drawing/2014/main" id="{90FA6614-1B01-EB30-5B8F-3D78163394BC}"/>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D46B53A9-D853-4CEF-9842-F702B4E4F224}" type="TxLink">
                  <a:rPr lang="en-US" sz="1700" b="1" i="0" u="none" strike="noStrike">
                    <a:solidFill>
                      <a:srgbClr val="0033CC"/>
                    </a:solidFill>
                    <a:latin typeface="+mn-lt"/>
                    <a:cs typeface="Arial"/>
                  </a:rPr>
                  <a:pPr/>
                  <a:t>1,744 </a:t>
                </a:fld>
                <a:endParaRPr lang="en-US" sz="1700">
                  <a:solidFill>
                    <a:srgbClr val="0033CC"/>
                  </a:solidFill>
                  <a:latin typeface="+mn-lt"/>
                  <a:cs typeface="Arial" panose="020B0604020202020204" pitchFamily="34" charset="0"/>
                </a:endParaRPr>
              </a:p>
            </xdr:txBody>
          </xdr:sp>
          <xdr:sp macro="" textlink="">
            <xdr:nvSpPr>
              <xdr:cNvPr id="118" name="TextBox 275">
                <a:extLst>
                  <a:ext uri="{FF2B5EF4-FFF2-40B4-BE49-F238E27FC236}">
                    <a16:creationId xmlns:a16="http://schemas.microsoft.com/office/drawing/2014/main" id="{481821C8-9E52-2A8D-1008-F90593D58841}"/>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119" name="Group 270">
              <a:extLst>
                <a:ext uri="{FF2B5EF4-FFF2-40B4-BE49-F238E27FC236}">
                  <a16:creationId xmlns:a16="http://schemas.microsoft.com/office/drawing/2014/main" id="{9CBFBD68-518B-C060-7845-911C644574D2}"/>
                </a:ext>
              </a:extLst>
            </xdr:cNvPr>
            <xdr:cNvGrpSpPr/>
          </xdr:nvGrpSpPr>
          <xdr:grpSpPr>
            <a:xfrm>
              <a:off x="7743823" y="9982200"/>
              <a:ext cx="1018881" cy="734000"/>
              <a:chOff x="5572123" y="5781675"/>
              <a:chExt cx="1018881" cy="734000"/>
            </a:xfrm>
          </xdr:grpSpPr>
          <xdr:sp macro="" textlink="$E$83">
            <xdr:nvSpPr>
              <xdr:cNvPr id="120" name="TextBox 271">
                <a:extLst>
                  <a:ext uri="{FF2B5EF4-FFF2-40B4-BE49-F238E27FC236}">
                    <a16:creationId xmlns:a16="http://schemas.microsoft.com/office/drawing/2014/main" id="{BE67DA29-BBB4-ED30-77F2-F5E80B39AB70}"/>
                  </a:ext>
                </a:extLst>
              </xdr:cNvPr>
              <xdr:cNvSpPr txBox="1"/>
            </xdr:nvSpPr>
            <xdr:spPr>
              <a:xfrm>
                <a:off x="5581649" y="5962651"/>
                <a:ext cx="695946" cy="34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C29679-0CD3-451B-B4CC-AACA4DCD6359}" type="TxLink">
                  <a:rPr lang="en-US" sz="1300" b="1" i="0" u="none" strike="noStrike">
                    <a:solidFill>
                      <a:srgbClr val="0033CC"/>
                    </a:solidFill>
                    <a:latin typeface="Arial"/>
                    <a:cs typeface="Arial"/>
                  </a:rPr>
                  <a:pPr/>
                  <a:t>1,565 </a:t>
                </a:fld>
                <a:endParaRPr lang="en-US" sz="1500">
                  <a:latin typeface="Aptos Narrow (Body)"/>
                </a:endParaRPr>
              </a:p>
            </xdr:txBody>
          </xdr:sp>
          <xdr:sp macro="" textlink="">
            <xdr:nvSpPr>
              <xdr:cNvPr id="121" name="TextBox 272">
                <a:extLst>
                  <a:ext uri="{FF2B5EF4-FFF2-40B4-BE49-F238E27FC236}">
                    <a16:creationId xmlns:a16="http://schemas.microsoft.com/office/drawing/2014/main" id="{991F8CFA-C259-B500-83EF-FE23BF978B5B}"/>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122" name="TextBox 273">
                <a:extLst>
                  <a:ext uri="{FF2B5EF4-FFF2-40B4-BE49-F238E27FC236}">
                    <a16:creationId xmlns:a16="http://schemas.microsoft.com/office/drawing/2014/main" id="{C015584E-2241-C4A4-8757-66C555CDE57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123" name="TextBox 267">
            <a:extLst>
              <a:ext uri="{FF2B5EF4-FFF2-40B4-BE49-F238E27FC236}">
                <a16:creationId xmlns:a16="http://schemas.microsoft.com/office/drawing/2014/main" id="{86E11629-368C-3BFF-D9C1-C1B6A15C632B}"/>
              </a:ext>
            </a:extLst>
          </xdr:cNvPr>
          <xdr:cNvSpPr txBox="1"/>
        </xdr:nvSpPr>
        <xdr:spPr>
          <a:xfrm>
            <a:off x="9317731" y="11615942"/>
            <a:ext cx="776965" cy="33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1</a:t>
            </a:r>
          </a:p>
        </xdr:txBody>
      </xdr:sp>
    </xdr:grpSp>
    <xdr:clientData/>
  </xdr:twoCellAnchor>
  <xdr:twoCellAnchor editAs="oneCell">
    <xdr:from>
      <xdr:col>18</xdr:col>
      <xdr:colOff>3608294</xdr:colOff>
      <xdr:row>66</xdr:row>
      <xdr:rowOff>78441</xdr:rowOff>
    </xdr:from>
    <xdr:to>
      <xdr:col>22</xdr:col>
      <xdr:colOff>100699</xdr:colOff>
      <xdr:row>87</xdr:row>
      <xdr:rowOff>54122</xdr:rowOff>
    </xdr:to>
    <xdr:grpSp>
      <xdr:nvGrpSpPr>
        <xdr:cNvPr id="59" name="Group 287">
          <a:extLst>
            <a:ext uri="{FF2B5EF4-FFF2-40B4-BE49-F238E27FC236}">
              <a16:creationId xmlns:a16="http://schemas.microsoft.com/office/drawing/2014/main" id="{8FE08E97-55AE-466A-A5FC-C07E7FD8002D}"/>
            </a:ext>
          </a:extLst>
        </xdr:cNvPr>
        <xdr:cNvGrpSpPr/>
      </xdr:nvGrpSpPr>
      <xdr:grpSpPr>
        <a:xfrm>
          <a:off x="15027088" y="8101853"/>
          <a:ext cx="2745287" cy="4065828"/>
          <a:chOff x="9284677" y="11615942"/>
          <a:chExt cx="2252365" cy="4102024"/>
        </a:xfrm>
      </xdr:grpSpPr>
      <xdr:grpSp>
        <xdr:nvGrpSpPr>
          <xdr:cNvPr id="60" name="Group 288">
            <a:extLst>
              <a:ext uri="{FF2B5EF4-FFF2-40B4-BE49-F238E27FC236}">
                <a16:creationId xmlns:a16="http://schemas.microsoft.com/office/drawing/2014/main" id="{BE47776D-FAFF-19E0-7867-45CDBF6C1D82}"/>
              </a:ext>
            </a:extLst>
          </xdr:cNvPr>
          <xdr:cNvGrpSpPr/>
        </xdr:nvGrpSpPr>
        <xdr:grpSpPr>
          <a:xfrm>
            <a:off x="9284677" y="11959782"/>
            <a:ext cx="2252365" cy="3758184"/>
            <a:chOff x="7743823" y="7915275"/>
            <a:chExt cx="2663385" cy="4317935"/>
          </a:xfrm>
        </xdr:grpSpPr>
        <xdr:graphicFrame macro="">
          <xdr:nvGraphicFramePr>
            <xdr:cNvPr id="61" name="Chart 290">
              <a:extLst>
                <a:ext uri="{FF2B5EF4-FFF2-40B4-BE49-F238E27FC236}">
                  <a16:creationId xmlns:a16="http://schemas.microsoft.com/office/drawing/2014/main" id="{0028F618-CDFC-2E9F-E0A8-BF4748F33052}"/>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62" name="Group 291">
              <a:extLst>
                <a:ext uri="{FF2B5EF4-FFF2-40B4-BE49-F238E27FC236}">
                  <a16:creationId xmlns:a16="http://schemas.microsoft.com/office/drawing/2014/main" id="{5207BE1B-33A4-E9D0-AA1F-6B83C1B5A468}"/>
                </a:ext>
              </a:extLst>
            </xdr:cNvPr>
            <xdr:cNvGrpSpPr/>
          </xdr:nvGrpSpPr>
          <xdr:grpSpPr>
            <a:xfrm>
              <a:off x="8748842" y="8010525"/>
              <a:ext cx="1601103" cy="385633"/>
              <a:chOff x="3662491" y="4678681"/>
              <a:chExt cx="1601103" cy="385633"/>
            </a:xfrm>
          </xdr:grpSpPr>
          <xdr:sp macro="" textlink="$G$86">
            <xdr:nvSpPr>
              <xdr:cNvPr id="63" name="TextBox 296">
                <a:extLst>
                  <a:ext uri="{FF2B5EF4-FFF2-40B4-BE49-F238E27FC236}">
                    <a16:creationId xmlns:a16="http://schemas.microsoft.com/office/drawing/2014/main" id="{CD371D06-36B7-83A3-06C8-70F1FF1D544D}"/>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02BF55DF-FDA3-4860-9709-908E91B2F192}" type="TxLink">
                  <a:rPr lang="en-US" sz="1700" b="1" i="0" u="none" strike="noStrike">
                    <a:solidFill>
                      <a:srgbClr val="0033CC"/>
                    </a:solidFill>
                    <a:latin typeface="Aptos Narrow (Body)"/>
                    <a:cs typeface="Arial"/>
                  </a:rPr>
                  <a:pPr/>
                  <a:t>1,894 </a:t>
                </a:fld>
                <a:endParaRPr lang="en-US" sz="1700">
                  <a:solidFill>
                    <a:srgbClr val="0033CC"/>
                  </a:solidFill>
                  <a:latin typeface="Aptos Narrow (Body)"/>
                  <a:cs typeface="Arial" panose="020B0604020202020204" pitchFamily="34" charset="0"/>
                </a:endParaRPr>
              </a:p>
            </xdr:txBody>
          </xdr:sp>
          <xdr:sp macro="" textlink="">
            <xdr:nvSpPr>
              <xdr:cNvPr id="64" name="TextBox 297">
                <a:extLst>
                  <a:ext uri="{FF2B5EF4-FFF2-40B4-BE49-F238E27FC236}">
                    <a16:creationId xmlns:a16="http://schemas.microsoft.com/office/drawing/2014/main" id="{17A978AB-4ADE-CB00-1280-B1E5CE1D9190}"/>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65" name="Group 292">
              <a:extLst>
                <a:ext uri="{FF2B5EF4-FFF2-40B4-BE49-F238E27FC236}">
                  <a16:creationId xmlns:a16="http://schemas.microsoft.com/office/drawing/2014/main" id="{71F8594D-E0F3-4D20-A9DA-506E37324FDC}"/>
                </a:ext>
              </a:extLst>
            </xdr:cNvPr>
            <xdr:cNvGrpSpPr/>
          </xdr:nvGrpSpPr>
          <xdr:grpSpPr>
            <a:xfrm>
              <a:off x="7743823" y="9982200"/>
              <a:ext cx="1018881" cy="734000"/>
              <a:chOff x="5572123" y="5781675"/>
              <a:chExt cx="1018881" cy="734000"/>
            </a:xfrm>
          </xdr:grpSpPr>
          <xdr:sp macro="" textlink="$G$83">
            <xdr:nvSpPr>
              <xdr:cNvPr id="66" name="TextBox 293">
                <a:extLst>
                  <a:ext uri="{FF2B5EF4-FFF2-40B4-BE49-F238E27FC236}">
                    <a16:creationId xmlns:a16="http://schemas.microsoft.com/office/drawing/2014/main" id="{39C789B8-D24B-1D53-53F0-0F9043B249ED}"/>
                  </a:ext>
                </a:extLst>
              </xdr:cNvPr>
              <xdr:cNvSpPr txBox="1"/>
            </xdr:nvSpPr>
            <xdr:spPr>
              <a:xfrm>
                <a:off x="5581649" y="5962651"/>
                <a:ext cx="642156" cy="37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78E7FD-F651-4AAB-B214-A90AB53B85CF}" type="TxLink">
                  <a:rPr lang="en-US" sz="1500" b="1" i="0" u="none" strike="noStrike">
                    <a:solidFill>
                      <a:srgbClr val="0033CC"/>
                    </a:solidFill>
                    <a:latin typeface="Aptos Narrow (Body)"/>
                    <a:cs typeface="Arial"/>
                  </a:rPr>
                  <a:pPr/>
                  <a:t>1,777 </a:t>
                </a:fld>
                <a:endParaRPr lang="en-US" sz="1500">
                  <a:latin typeface="Aptos Narrow (Body)"/>
                </a:endParaRPr>
              </a:p>
            </xdr:txBody>
          </xdr:sp>
          <xdr:sp macro="" textlink="">
            <xdr:nvSpPr>
              <xdr:cNvPr id="67" name="TextBox 294">
                <a:extLst>
                  <a:ext uri="{FF2B5EF4-FFF2-40B4-BE49-F238E27FC236}">
                    <a16:creationId xmlns:a16="http://schemas.microsoft.com/office/drawing/2014/main" id="{EE366C20-A63B-19A4-6F17-91638BE6CBAF}"/>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68" name="TextBox 295">
                <a:extLst>
                  <a:ext uri="{FF2B5EF4-FFF2-40B4-BE49-F238E27FC236}">
                    <a16:creationId xmlns:a16="http://schemas.microsoft.com/office/drawing/2014/main" id="{31B17547-BE84-557E-69A7-5D661B6DFD6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69" name="TextBox 289">
            <a:extLst>
              <a:ext uri="{FF2B5EF4-FFF2-40B4-BE49-F238E27FC236}">
                <a16:creationId xmlns:a16="http://schemas.microsoft.com/office/drawing/2014/main" id="{B4F5B0EE-49C9-1806-E8F7-17E84E66CC2E}"/>
              </a:ext>
            </a:extLst>
          </xdr:cNvPr>
          <xdr:cNvSpPr txBox="1"/>
        </xdr:nvSpPr>
        <xdr:spPr>
          <a:xfrm>
            <a:off x="9317731" y="11615942"/>
            <a:ext cx="8556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2</a:t>
            </a:r>
          </a:p>
        </xdr:txBody>
      </xdr:sp>
    </xdr:grpSp>
    <xdr:clientData/>
  </xdr:twoCellAnchor>
  <xdr:twoCellAnchor editAs="oneCell">
    <xdr:from>
      <xdr:col>22</xdr:col>
      <xdr:colOff>627530</xdr:colOff>
      <xdr:row>66</xdr:row>
      <xdr:rowOff>168089</xdr:rowOff>
    </xdr:from>
    <xdr:to>
      <xdr:col>27</xdr:col>
      <xdr:colOff>182499</xdr:colOff>
      <xdr:row>87</xdr:row>
      <xdr:rowOff>143770</xdr:rowOff>
    </xdr:to>
    <xdr:grpSp>
      <xdr:nvGrpSpPr>
        <xdr:cNvPr id="210" name="Group 298">
          <a:extLst>
            <a:ext uri="{FF2B5EF4-FFF2-40B4-BE49-F238E27FC236}">
              <a16:creationId xmlns:a16="http://schemas.microsoft.com/office/drawing/2014/main" id="{A80493DD-8521-4C7A-A0D2-29861DEDE75D}"/>
            </a:ext>
          </a:extLst>
        </xdr:cNvPr>
        <xdr:cNvGrpSpPr/>
      </xdr:nvGrpSpPr>
      <xdr:grpSpPr>
        <a:xfrm>
          <a:off x="18299206" y="8191501"/>
          <a:ext cx="2793469" cy="4065828"/>
          <a:chOff x="9284677" y="11615942"/>
          <a:chExt cx="2252365" cy="4102024"/>
        </a:xfrm>
      </xdr:grpSpPr>
      <xdr:grpSp>
        <xdr:nvGrpSpPr>
          <xdr:cNvPr id="211" name="Group 299">
            <a:extLst>
              <a:ext uri="{FF2B5EF4-FFF2-40B4-BE49-F238E27FC236}">
                <a16:creationId xmlns:a16="http://schemas.microsoft.com/office/drawing/2014/main" id="{09C4F5A5-970C-B718-CF2B-0FA67C87C0B4}"/>
              </a:ext>
            </a:extLst>
          </xdr:cNvPr>
          <xdr:cNvGrpSpPr/>
        </xdr:nvGrpSpPr>
        <xdr:grpSpPr>
          <a:xfrm>
            <a:off x="9284677" y="11959782"/>
            <a:ext cx="2252365" cy="3758184"/>
            <a:chOff x="7743823" y="7915275"/>
            <a:chExt cx="2663385" cy="4317935"/>
          </a:xfrm>
        </xdr:grpSpPr>
        <xdr:graphicFrame macro="">
          <xdr:nvGraphicFramePr>
            <xdr:cNvPr id="213" name="Chart 301">
              <a:extLst>
                <a:ext uri="{FF2B5EF4-FFF2-40B4-BE49-F238E27FC236}">
                  <a16:creationId xmlns:a16="http://schemas.microsoft.com/office/drawing/2014/main" id="{D4B29901-94A9-D1D6-2F4E-966714FF8F39}"/>
                </a:ext>
              </a:extLst>
            </xdr:cNvPr>
            <xdr:cNvGraphicFramePr/>
          </xdr:nvGraphicFramePr>
          <xdr:xfrm>
            <a:off x="7758111" y="7915275"/>
            <a:ext cx="2649097" cy="431793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214" name="Group 302">
              <a:extLst>
                <a:ext uri="{FF2B5EF4-FFF2-40B4-BE49-F238E27FC236}">
                  <a16:creationId xmlns:a16="http://schemas.microsoft.com/office/drawing/2014/main" id="{7CA1D5A3-7FFB-4E0D-5EFE-39D0321450CE}"/>
                </a:ext>
              </a:extLst>
            </xdr:cNvPr>
            <xdr:cNvGrpSpPr/>
          </xdr:nvGrpSpPr>
          <xdr:grpSpPr>
            <a:xfrm>
              <a:off x="8748842" y="8010525"/>
              <a:ext cx="1601103" cy="385633"/>
              <a:chOff x="3662491" y="4678681"/>
              <a:chExt cx="1601103" cy="385633"/>
            </a:xfrm>
          </xdr:grpSpPr>
          <xdr:sp macro="" textlink="$I$86">
            <xdr:nvSpPr>
              <xdr:cNvPr id="219" name="TextBox 307">
                <a:extLst>
                  <a:ext uri="{FF2B5EF4-FFF2-40B4-BE49-F238E27FC236}">
                    <a16:creationId xmlns:a16="http://schemas.microsoft.com/office/drawing/2014/main" id="{E47213C6-DBDF-8E3A-1C52-7663B4C5D594}"/>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2765B8F-E4E4-4E5B-8A4F-D33C48352602}" type="TxLink">
                  <a:rPr lang="en-US" sz="1700" b="1" i="0" u="none" strike="noStrike">
                    <a:solidFill>
                      <a:srgbClr val="0033CC"/>
                    </a:solidFill>
                    <a:latin typeface="Aptos Display (Headings)"/>
                    <a:cs typeface="Arial"/>
                  </a:rPr>
                  <a:pPr/>
                  <a:t>1,844 </a:t>
                </a:fld>
                <a:endParaRPr lang="en-US" sz="1700">
                  <a:solidFill>
                    <a:srgbClr val="0033CC"/>
                  </a:solidFill>
                  <a:latin typeface="Aptos Display (Headings)"/>
                  <a:cs typeface="Arial" panose="020B0604020202020204" pitchFamily="34" charset="0"/>
                </a:endParaRPr>
              </a:p>
            </xdr:txBody>
          </xdr:sp>
          <xdr:sp macro="" textlink="">
            <xdr:nvSpPr>
              <xdr:cNvPr id="220" name="TextBox 308">
                <a:extLst>
                  <a:ext uri="{FF2B5EF4-FFF2-40B4-BE49-F238E27FC236}">
                    <a16:creationId xmlns:a16="http://schemas.microsoft.com/office/drawing/2014/main" id="{20ED415C-258E-56E6-D3E7-0354C57B1AC2}"/>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15" name="Group 303">
              <a:extLst>
                <a:ext uri="{FF2B5EF4-FFF2-40B4-BE49-F238E27FC236}">
                  <a16:creationId xmlns:a16="http://schemas.microsoft.com/office/drawing/2014/main" id="{94AFCDE9-AA2D-E539-8EC8-95DD52873BF9}"/>
                </a:ext>
              </a:extLst>
            </xdr:cNvPr>
            <xdr:cNvGrpSpPr/>
          </xdr:nvGrpSpPr>
          <xdr:grpSpPr>
            <a:xfrm>
              <a:off x="7743823" y="9982200"/>
              <a:ext cx="1018881" cy="734000"/>
              <a:chOff x="5572123" y="5781675"/>
              <a:chExt cx="1018881" cy="734000"/>
            </a:xfrm>
          </xdr:grpSpPr>
          <xdr:sp macro="" textlink="$I$83">
            <xdr:nvSpPr>
              <xdr:cNvPr id="216" name="TextBox 304">
                <a:extLst>
                  <a:ext uri="{FF2B5EF4-FFF2-40B4-BE49-F238E27FC236}">
                    <a16:creationId xmlns:a16="http://schemas.microsoft.com/office/drawing/2014/main" id="{A0D34079-B7AE-EA2E-F455-47DCF4EB1839}"/>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013814A-D749-4D8D-B1FB-F58ABA0A0E51}" type="TxLink">
                  <a:rPr lang="en-US" sz="1700" b="1" i="0" u="none" strike="noStrike">
                    <a:solidFill>
                      <a:srgbClr val="0033CC"/>
                    </a:solidFill>
                    <a:latin typeface="Aptos Display (Headings)"/>
                    <a:cs typeface="Arial"/>
                  </a:rPr>
                  <a:pPr/>
                  <a:t>1,777 </a:t>
                </a:fld>
                <a:endParaRPr lang="en-US" sz="1700">
                  <a:latin typeface="Aptos Display (Headings)"/>
                </a:endParaRPr>
              </a:p>
            </xdr:txBody>
          </xdr:sp>
          <xdr:sp macro="" textlink="">
            <xdr:nvSpPr>
              <xdr:cNvPr id="217" name="TextBox 305">
                <a:extLst>
                  <a:ext uri="{FF2B5EF4-FFF2-40B4-BE49-F238E27FC236}">
                    <a16:creationId xmlns:a16="http://schemas.microsoft.com/office/drawing/2014/main" id="{5D0A4FBD-0A95-8EAD-96E8-1C13AB5C0E70}"/>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18" name="TextBox 306">
                <a:extLst>
                  <a:ext uri="{FF2B5EF4-FFF2-40B4-BE49-F238E27FC236}">
                    <a16:creationId xmlns:a16="http://schemas.microsoft.com/office/drawing/2014/main" id="{5522434B-E0BC-E486-EB47-EFC15FFA3AD5}"/>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12" name="TextBox 300">
            <a:extLst>
              <a:ext uri="{FF2B5EF4-FFF2-40B4-BE49-F238E27FC236}">
                <a16:creationId xmlns:a16="http://schemas.microsoft.com/office/drawing/2014/main" id="{53677245-71AA-F076-1E39-09E30555F969}"/>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3</a:t>
            </a:r>
          </a:p>
        </xdr:txBody>
      </xdr:sp>
    </xdr:grpSp>
    <xdr:clientData/>
  </xdr:twoCellAnchor>
  <xdr:twoCellAnchor editAs="oneCell">
    <xdr:from>
      <xdr:col>32</xdr:col>
      <xdr:colOff>78440</xdr:colOff>
      <xdr:row>66</xdr:row>
      <xdr:rowOff>224117</xdr:rowOff>
    </xdr:from>
    <xdr:to>
      <xdr:col>36</xdr:col>
      <xdr:colOff>405496</xdr:colOff>
      <xdr:row>88</xdr:row>
      <xdr:rowOff>14901</xdr:rowOff>
    </xdr:to>
    <xdr:grpSp>
      <xdr:nvGrpSpPr>
        <xdr:cNvPr id="226" name="Group 225">
          <a:extLst>
            <a:ext uri="{FF2B5EF4-FFF2-40B4-BE49-F238E27FC236}">
              <a16:creationId xmlns:a16="http://schemas.microsoft.com/office/drawing/2014/main" id="{B91FD072-4AE9-4E83-BACD-87B2028AD17C}"/>
            </a:ext>
          </a:extLst>
        </xdr:cNvPr>
        <xdr:cNvGrpSpPr/>
      </xdr:nvGrpSpPr>
      <xdr:grpSpPr>
        <a:xfrm>
          <a:off x="24204705" y="8247529"/>
          <a:ext cx="2825967" cy="4071431"/>
          <a:chOff x="9284676" y="11615942"/>
          <a:chExt cx="2279482" cy="4102024"/>
        </a:xfrm>
      </xdr:grpSpPr>
      <xdr:grpSp>
        <xdr:nvGrpSpPr>
          <xdr:cNvPr id="233" name="Group 232">
            <a:extLst>
              <a:ext uri="{FF2B5EF4-FFF2-40B4-BE49-F238E27FC236}">
                <a16:creationId xmlns:a16="http://schemas.microsoft.com/office/drawing/2014/main" id="{3E19CAB4-B219-C26A-0A38-84A93A8BA675}"/>
              </a:ext>
            </a:extLst>
          </xdr:cNvPr>
          <xdr:cNvGrpSpPr/>
        </xdr:nvGrpSpPr>
        <xdr:grpSpPr>
          <a:xfrm>
            <a:off x="9284676" y="11959782"/>
            <a:ext cx="2279482" cy="3758184"/>
            <a:chOff x="7743823" y="7915275"/>
            <a:chExt cx="2695451" cy="4317935"/>
          </a:xfrm>
        </xdr:grpSpPr>
        <xdr:graphicFrame macro="">
          <xdr:nvGraphicFramePr>
            <xdr:cNvPr id="235" name="Chart 234">
              <a:extLst>
                <a:ext uri="{FF2B5EF4-FFF2-40B4-BE49-F238E27FC236}">
                  <a16:creationId xmlns:a16="http://schemas.microsoft.com/office/drawing/2014/main" id="{D4519C0D-476E-3625-E11A-5C9D87642632}"/>
                </a:ext>
              </a:extLst>
            </xdr:cNvPr>
            <xdr:cNvGraphicFramePr/>
          </xdr:nvGraphicFramePr>
          <xdr:xfrm>
            <a:off x="7790177" y="7915275"/>
            <a:ext cx="2649097" cy="4317935"/>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236" name="Group 235">
              <a:extLst>
                <a:ext uri="{FF2B5EF4-FFF2-40B4-BE49-F238E27FC236}">
                  <a16:creationId xmlns:a16="http://schemas.microsoft.com/office/drawing/2014/main" id="{C8283F96-3823-9FE5-AD5B-BA800DC5A117}"/>
                </a:ext>
              </a:extLst>
            </xdr:cNvPr>
            <xdr:cNvGrpSpPr/>
          </xdr:nvGrpSpPr>
          <xdr:grpSpPr>
            <a:xfrm>
              <a:off x="8748842" y="8010525"/>
              <a:ext cx="1601103" cy="385633"/>
              <a:chOff x="3662491" y="4678681"/>
              <a:chExt cx="1601103" cy="385633"/>
            </a:xfrm>
          </xdr:grpSpPr>
          <xdr:sp macro="" textlink="$M$86">
            <xdr:nvSpPr>
              <xdr:cNvPr id="241" name="TextBox 240">
                <a:extLst>
                  <a:ext uri="{FF2B5EF4-FFF2-40B4-BE49-F238E27FC236}">
                    <a16:creationId xmlns:a16="http://schemas.microsoft.com/office/drawing/2014/main" id="{0F4F09D4-1250-2CBD-BDA4-CAE632E1CE82}"/>
                  </a:ext>
                </a:extLst>
              </xdr:cNvPr>
              <xdr:cNvSpPr txBox="1"/>
            </xdr:nvSpPr>
            <xdr:spPr>
              <a:xfrm>
                <a:off x="3662491" y="4678681"/>
                <a:ext cx="831742" cy="35338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97BEF825-2D43-401F-9466-57A1B8BCB0D5}" type="TxLink">
                  <a:rPr lang="en-US" sz="1700" b="1" i="0" u="none" strike="noStrike">
                    <a:solidFill>
                      <a:srgbClr val="0033CC"/>
                    </a:solidFill>
                    <a:latin typeface="+mj-lt"/>
                    <a:cs typeface="Arial"/>
                  </a:rPr>
                  <a:pPr/>
                  <a:t>1,744 </a:t>
                </a:fld>
                <a:endParaRPr lang="en-US" sz="1700">
                  <a:solidFill>
                    <a:srgbClr val="0033CC"/>
                  </a:solidFill>
                  <a:latin typeface="+mj-lt"/>
                  <a:cs typeface="Arial" panose="020B0604020202020204" pitchFamily="34" charset="0"/>
                </a:endParaRPr>
              </a:p>
            </xdr:txBody>
          </xdr:sp>
          <xdr:sp macro="" textlink="">
            <xdr:nvSpPr>
              <xdr:cNvPr id="242" name="TextBox 241">
                <a:extLst>
                  <a:ext uri="{FF2B5EF4-FFF2-40B4-BE49-F238E27FC236}">
                    <a16:creationId xmlns:a16="http://schemas.microsoft.com/office/drawing/2014/main" id="{E9FDCDC2-71D2-2462-5137-F15BE0BBA28C}"/>
                  </a:ext>
                </a:extLst>
              </xdr:cNvPr>
              <xdr:cNvSpPr txBox="1"/>
            </xdr:nvSpPr>
            <xdr:spPr>
              <a:xfrm>
                <a:off x="4369473" y="4724401"/>
                <a:ext cx="894121" cy="339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237" name="Group 236">
              <a:extLst>
                <a:ext uri="{FF2B5EF4-FFF2-40B4-BE49-F238E27FC236}">
                  <a16:creationId xmlns:a16="http://schemas.microsoft.com/office/drawing/2014/main" id="{ADE4AE28-A89F-3D5B-A8F5-3054D16C694E}"/>
                </a:ext>
              </a:extLst>
            </xdr:cNvPr>
            <xdr:cNvGrpSpPr/>
          </xdr:nvGrpSpPr>
          <xdr:grpSpPr>
            <a:xfrm>
              <a:off x="7743823" y="9982200"/>
              <a:ext cx="1018881" cy="734000"/>
              <a:chOff x="5572123" y="5781675"/>
              <a:chExt cx="1018881" cy="734000"/>
            </a:xfrm>
          </xdr:grpSpPr>
          <xdr:sp macro="" textlink="$M$83">
            <xdr:nvSpPr>
              <xdr:cNvPr id="238" name="TextBox 237">
                <a:extLst>
                  <a:ext uri="{FF2B5EF4-FFF2-40B4-BE49-F238E27FC236}">
                    <a16:creationId xmlns:a16="http://schemas.microsoft.com/office/drawing/2014/main" id="{FCCDB2C1-9364-4487-3524-1EC14D5E02D7}"/>
                  </a:ext>
                </a:extLst>
              </xdr:cNvPr>
              <xdr:cNvSpPr txBox="1"/>
            </xdr:nvSpPr>
            <xdr:spPr>
              <a:xfrm>
                <a:off x="5581649" y="5962651"/>
                <a:ext cx="723054" cy="414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B889926-2042-4D1B-AD0C-B0F62A68A9E8}" type="TxLink">
                  <a:rPr lang="en-US" sz="1700" b="1" i="0" u="none" strike="noStrike">
                    <a:solidFill>
                      <a:srgbClr val="0033CC"/>
                    </a:solidFill>
                    <a:latin typeface="+mj-lt"/>
                    <a:cs typeface="Arial"/>
                  </a:rPr>
                  <a:pPr/>
                  <a:t>1,722 </a:t>
                </a:fld>
                <a:endParaRPr lang="en-US" sz="1700">
                  <a:latin typeface="+mj-lt"/>
                </a:endParaRPr>
              </a:p>
            </xdr:txBody>
          </xdr:sp>
          <xdr:sp macro="" textlink="">
            <xdr:nvSpPr>
              <xdr:cNvPr id="239" name="TextBox 238">
                <a:extLst>
                  <a:ext uri="{FF2B5EF4-FFF2-40B4-BE49-F238E27FC236}">
                    <a16:creationId xmlns:a16="http://schemas.microsoft.com/office/drawing/2014/main" id="{5F92CF8B-FFD7-A529-C560-10459AA96EE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240" name="TextBox 239">
                <a:extLst>
                  <a:ext uri="{FF2B5EF4-FFF2-40B4-BE49-F238E27FC236}">
                    <a16:creationId xmlns:a16="http://schemas.microsoft.com/office/drawing/2014/main" id="{301260FD-67EA-08FD-5CA9-FACA70E7FB57}"/>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234" name="TextBox 233">
            <a:extLst>
              <a:ext uri="{FF2B5EF4-FFF2-40B4-BE49-F238E27FC236}">
                <a16:creationId xmlns:a16="http://schemas.microsoft.com/office/drawing/2014/main" id="{E4003BE4-08A0-2691-636A-05949B340AB5}"/>
              </a:ext>
            </a:extLst>
          </xdr:cNvPr>
          <xdr:cNvSpPr txBox="1"/>
        </xdr:nvSpPr>
        <xdr:spPr>
          <a:xfrm>
            <a:off x="9317731" y="11615942"/>
            <a:ext cx="693359" cy="329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5</a:t>
            </a:r>
          </a:p>
        </xdr:txBody>
      </xdr:sp>
    </xdr:grpSp>
    <xdr:clientData/>
  </xdr:twoCellAnchor>
  <xdr:twoCellAnchor editAs="oneCell">
    <xdr:from>
      <xdr:col>27</xdr:col>
      <xdr:colOff>112059</xdr:colOff>
      <xdr:row>43</xdr:row>
      <xdr:rowOff>145677</xdr:rowOff>
    </xdr:from>
    <xdr:to>
      <xdr:col>31</xdr:col>
      <xdr:colOff>102093</xdr:colOff>
      <xdr:row>64</xdr:row>
      <xdr:rowOff>91123</xdr:rowOff>
    </xdr:to>
    <xdr:grpSp>
      <xdr:nvGrpSpPr>
        <xdr:cNvPr id="320" name="Group 319">
          <a:extLst>
            <a:ext uri="{FF2B5EF4-FFF2-40B4-BE49-F238E27FC236}">
              <a16:creationId xmlns:a16="http://schemas.microsoft.com/office/drawing/2014/main" id="{90D7FFCD-9F24-4249-AA1A-510B3C9B9BE3}"/>
            </a:ext>
          </a:extLst>
        </xdr:cNvPr>
        <xdr:cNvGrpSpPr/>
      </xdr:nvGrpSpPr>
      <xdr:grpSpPr>
        <a:xfrm>
          <a:off x="21022235" y="3641912"/>
          <a:ext cx="2488946" cy="4091623"/>
          <a:chOff x="16172571" y="7403937"/>
          <a:chExt cx="2327981" cy="4135400"/>
        </a:xfrm>
      </xdr:grpSpPr>
      <xdr:grpSp>
        <xdr:nvGrpSpPr>
          <xdr:cNvPr id="321" name="Group 24">
            <a:extLst>
              <a:ext uri="{FF2B5EF4-FFF2-40B4-BE49-F238E27FC236}">
                <a16:creationId xmlns:a16="http://schemas.microsoft.com/office/drawing/2014/main" id="{3A7E400A-84BD-C7CB-EC61-331BABCE6E97}"/>
              </a:ext>
            </a:extLst>
          </xdr:cNvPr>
          <xdr:cNvGrpSpPr/>
        </xdr:nvGrpSpPr>
        <xdr:grpSpPr>
          <a:xfrm>
            <a:off x="16172571" y="7734260"/>
            <a:ext cx="2327981" cy="3805077"/>
            <a:chOff x="7697825" y="3800475"/>
            <a:chExt cx="2755768" cy="3935649"/>
          </a:xfrm>
        </xdr:grpSpPr>
        <xdr:graphicFrame macro="">
          <xdr:nvGraphicFramePr>
            <xdr:cNvPr id="323" name="Chart 3">
              <a:extLst>
                <a:ext uri="{FF2B5EF4-FFF2-40B4-BE49-F238E27FC236}">
                  <a16:creationId xmlns:a16="http://schemas.microsoft.com/office/drawing/2014/main" id="{2F49B38A-8DAF-839A-CBA3-9BD428CCFF8A}"/>
                </a:ext>
              </a:extLst>
            </xdr:cNvPr>
            <xdr:cNvGraphicFramePr>
              <a:graphicFrameLocks/>
            </xdr:cNvGraphicFramePr>
          </xdr:nvGraphicFramePr>
          <xdr:xfrm>
            <a:off x="7800974" y="3800475"/>
            <a:ext cx="2652619" cy="3935649"/>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324" name="Group 19">
              <a:extLst>
                <a:ext uri="{FF2B5EF4-FFF2-40B4-BE49-F238E27FC236}">
                  <a16:creationId xmlns:a16="http://schemas.microsoft.com/office/drawing/2014/main" id="{75A0AE84-F6A7-FD46-73E8-60141AFE6DE7}"/>
                </a:ext>
              </a:extLst>
            </xdr:cNvPr>
            <xdr:cNvGrpSpPr/>
          </xdr:nvGrpSpPr>
          <xdr:grpSpPr>
            <a:xfrm>
              <a:off x="8814167" y="3818680"/>
              <a:ext cx="1583474" cy="358291"/>
              <a:chOff x="3880217" y="4675930"/>
              <a:chExt cx="1583474" cy="358291"/>
            </a:xfrm>
          </xdr:grpSpPr>
          <xdr:sp macro="" textlink="$K$64">
            <xdr:nvSpPr>
              <xdr:cNvPr id="329" name="TextBox 20">
                <a:extLst>
                  <a:ext uri="{FF2B5EF4-FFF2-40B4-BE49-F238E27FC236}">
                    <a16:creationId xmlns:a16="http://schemas.microsoft.com/office/drawing/2014/main" id="{E5D44DA8-7299-4520-A9B7-BF09EDE7823C}"/>
                  </a:ext>
                </a:extLst>
              </xdr:cNvPr>
              <xdr:cNvSpPr txBox="1"/>
            </xdr:nvSpPr>
            <xdr:spPr>
              <a:xfrm>
                <a:off x="3880217" y="4675930"/>
                <a:ext cx="806147" cy="274319"/>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83E37BA2-0A9B-4B6C-97FE-4777174FEDC0}" type="TxLink">
                  <a:rPr lang="en-US" sz="1700" b="1" i="0" u="none" strike="noStrike">
                    <a:solidFill>
                      <a:srgbClr val="0033CC"/>
                    </a:solidFill>
                    <a:latin typeface="+mj-lt"/>
                    <a:cs typeface="Arial"/>
                  </a:rPr>
                  <a:t>680 </a:t>
                </a:fld>
                <a:endParaRPr lang="en-US" sz="1700">
                  <a:solidFill>
                    <a:srgbClr val="0033CC"/>
                  </a:solidFill>
                  <a:latin typeface="+mj-lt"/>
                  <a:cs typeface="Arial" panose="020B0604020202020204" pitchFamily="34" charset="0"/>
                </a:endParaRPr>
              </a:p>
            </xdr:txBody>
          </xdr:sp>
          <xdr:sp macro="" textlink="">
            <xdr:nvSpPr>
              <xdr:cNvPr id="330" name="TextBox 21">
                <a:extLst>
                  <a:ext uri="{FF2B5EF4-FFF2-40B4-BE49-F238E27FC236}">
                    <a16:creationId xmlns:a16="http://schemas.microsoft.com/office/drawing/2014/main" id="{B2F1087F-DEEE-9ADF-CDF6-0E75B5F34ECD}"/>
                  </a:ext>
                </a:extLst>
              </xdr:cNvPr>
              <xdr:cNvSpPr txBox="1"/>
            </xdr:nvSpPr>
            <xdr:spPr>
              <a:xfrm>
                <a:off x="4408751" y="4724400"/>
                <a:ext cx="1054940" cy="30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đồng/phôi</a:t>
                </a:r>
                <a:endParaRPr lang="en-US" sz="1300" i="1">
                  <a:solidFill>
                    <a:srgbClr val="0033CC"/>
                  </a:solidFill>
                  <a:latin typeface="Aptos Narrow (Body)"/>
                </a:endParaRPr>
              </a:p>
            </xdr:txBody>
          </xdr:sp>
        </xdr:grpSp>
        <xdr:grpSp>
          <xdr:nvGrpSpPr>
            <xdr:cNvPr id="325" name="Group 26">
              <a:extLst>
                <a:ext uri="{FF2B5EF4-FFF2-40B4-BE49-F238E27FC236}">
                  <a16:creationId xmlns:a16="http://schemas.microsoft.com/office/drawing/2014/main" id="{4E7BF327-BD27-C6CE-9A4D-9EFD0372FE32}"/>
                </a:ext>
              </a:extLst>
            </xdr:cNvPr>
            <xdr:cNvGrpSpPr/>
          </xdr:nvGrpSpPr>
          <xdr:grpSpPr>
            <a:xfrm>
              <a:off x="7697825" y="5550324"/>
              <a:ext cx="1075761" cy="746276"/>
              <a:chOff x="5516600" y="5769399"/>
              <a:chExt cx="1075761" cy="746276"/>
            </a:xfrm>
          </xdr:grpSpPr>
          <xdr:sp macro="" textlink="$K$61">
            <xdr:nvSpPr>
              <xdr:cNvPr id="326" name="TextBox 28">
                <a:extLst>
                  <a:ext uri="{FF2B5EF4-FFF2-40B4-BE49-F238E27FC236}">
                    <a16:creationId xmlns:a16="http://schemas.microsoft.com/office/drawing/2014/main" id="{A395211E-E287-FD78-43AD-80801F240008}"/>
                  </a:ext>
                </a:extLst>
              </xdr:cNvPr>
              <xdr:cNvSpPr txBox="1"/>
            </xdr:nvSpPr>
            <xdr:spPr>
              <a:xfrm>
                <a:off x="5686426" y="5962650"/>
                <a:ext cx="642069" cy="374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9204574-CEF6-4245-AC0F-637E3480B53D}" type="TxLink">
                  <a:rPr lang="en-US" sz="1700" b="1" i="0" u="none" strike="noStrike">
                    <a:solidFill>
                      <a:srgbClr val="0033CC"/>
                    </a:solidFill>
                    <a:latin typeface="+mj-lt"/>
                    <a:cs typeface="Arial"/>
                  </a:rPr>
                  <a:t>644 </a:t>
                </a:fld>
                <a:endParaRPr lang="en-US" sz="1700">
                  <a:latin typeface="+mj-lt"/>
                </a:endParaRPr>
              </a:p>
            </xdr:txBody>
          </xdr:sp>
          <xdr:sp macro="" textlink="">
            <xdr:nvSpPr>
              <xdr:cNvPr id="327" name="TextBox 29">
                <a:extLst>
                  <a:ext uri="{FF2B5EF4-FFF2-40B4-BE49-F238E27FC236}">
                    <a16:creationId xmlns:a16="http://schemas.microsoft.com/office/drawing/2014/main" id="{97040170-164C-4708-D318-49256605ADE4}"/>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đồng/phôi</a:t>
                </a:r>
                <a:endParaRPr lang="en-US" sz="1100" i="1">
                  <a:solidFill>
                    <a:srgbClr val="0033CC"/>
                  </a:solidFill>
                  <a:latin typeface="Aptos Narrow (Body)"/>
                </a:endParaRPr>
              </a:p>
            </xdr:txBody>
          </xdr:sp>
          <xdr:sp macro="" textlink="">
            <xdr:nvSpPr>
              <xdr:cNvPr id="328" name="TextBox 30">
                <a:extLst>
                  <a:ext uri="{FF2B5EF4-FFF2-40B4-BE49-F238E27FC236}">
                    <a16:creationId xmlns:a16="http://schemas.microsoft.com/office/drawing/2014/main" id="{6865CA36-5F23-0A81-E08D-3517EB554AE1}"/>
                  </a:ext>
                </a:extLst>
              </xdr:cNvPr>
              <xdr:cNvSpPr txBox="1"/>
            </xdr:nvSpPr>
            <xdr:spPr>
              <a:xfrm>
                <a:off x="5516600" y="5769399"/>
                <a:ext cx="1075761" cy="277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22" name="TextBox 69">
            <a:extLst>
              <a:ext uri="{FF2B5EF4-FFF2-40B4-BE49-F238E27FC236}">
                <a16:creationId xmlns:a16="http://schemas.microsoft.com/office/drawing/2014/main" id="{2E4B32B8-80CA-A3BA-C1A1-338BDC55FC1A}"/>
              </a:ext>
            </a:extLst>
          </xdr:cNvPr>
          <xdr:cNvSpPr txBox="1"/>
        </xdr:nvSpPr>
        <xdr:spPr>
          <a:xfrm>
            <a:off x="16261704" y="7403937"/>
            <a:ext cx="800284" cy="3306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editAs="oneCell">
    <xdr:from>
      <xdr:col>27</xdr:col>
      <xdr:colOff>145676</xdr:colOff>
      <xdr:row>68</xdr:row>
      <xdr:rowOff>22412</xdr:rowOff>
    </xdr:from>
    <xdr:to>
      <xdr:col>31</xdr:col>
      <xdr:colOff>496262</xdr:colOff>
      <xdr:row>88</xdr:row>
      <xdr:rowOff>98946</xdr:rowOff>
    </xdr:to>
    <xdr:grpSp>
      <xdr:nvGrpSpPr>
        <xdr:cNvPr id="353" name="Group 298">
          <a:extLst>
            <a:ext uri="{FF2B5EF4-FFF2-40B4-BE49-F238E27FC236}">
              <a16:creationId xmlns:a16="http://schemas.microsoft.com/office/drawing/2014/main" id="{5EAA1AD7-191E-40D5-A4F2-B2FAC3BE0191}"/>
            </a:ext>
          </a:extLst>
        </xdr:cNvPr>
        <xdr:cNvGrpSpPr/>
      </xdr:nvGrpSpPr>
      <xdr:grpSpPr>
        <a:xfrm>
          <a:off x="21055852" y="8337177"/>
          <a:ext cx="2849498" cy="4065828"/>
          <a:chOff x="9284677" y="11615942"/>
          <a:chExt cx="2297541" cy="4102024"/>
        </a:xfrm>
      </xdr:grpSpPr>
      <xdr:grpSp>
        <xdr:nvGrpSpPr>
          <xdr:cNvPr id="354" name="Group 299">
            <a:extLst>
              <a:ext uri="{FF2B5EF4-FFF2-40B4-BE49-F238E27FC236}">
                <a16:creationId xmlns:a16="http://schemas.microsoft.com/office/drawing/2014/main" id="{3E08AE6C-CB74-68D8-3C0C-6A26D64BAA13}"/>
              </a:ext>
            </a:extLst>
          </xdr:cNvPr>
          <xdr:cNvGrpSpPr/>
        </xdr:nvGrpSpPr>
        <xdr:grpSpPr>
          <a:xfrm>
            <a:off x="9284677" y="11959782"/>
            <a:ext cx="2297541" cy="3758184"/>
            <a:chOff x="7743823" y="7915275"/>
            <a:chExt cx="2716805" cy="4317935"/>
          </a:xfrm>
        </xdr:grpSpPr>
        <xdr:graphicFrame macro="">
          <xdr:nvGraphicFramePr>
            <xdr:cNvPr id="356" name="Chart 301">
              <a:extLst>
                <a:ext uri="{FF2B5EF4-FFF2-40B4-BE49-F238E27FC236}">
                  <a16:creationId xmlns:a16="http://schemas.microsoft.com/office/drawing/2014/main" id="{BCF7F821-2D8B-BB93-AB2D-281CB2D91CC9}"/>
                </a:ext>
              </a:extLst>
            </xdr:cNvPr>
            <xdr:cNvGraphicFramePr/>
          </xdr:nvGraphicFramePr>
          <xdr:xfrm>
            <a:off x="7811531" y="7915275"/>
            <a:ext cx="2649097" cy="4317935"/>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357" name="Group 302">
              <a:extLst>
                <a:ext uri="{FF2B5EF4-FFF2-40B4-BE49-F238E27FC236}">
                  <a16:creationId xmlns:a16="http://schemas.microsoft.com/office/drawing/2014/main" id="{8E8F5DDB-27F0-EBD3-AE97-AC2347CAB93C}"/>
                </a:ext>
              </a:extLst>
            </xdr:cNvPr>
            <xdr:cNvGrpSpPr/>
          </xdr:nvGrpSpPr>
          <xdr:grpSpPr>
            <a:xfrm>
              <a:off x="8738158" y="7971556"/>
              <a:ext cx="1611787" cy="424602"/>
              <a:chOff x="3651807" y="4639712"/>
              <a:chExt cx="1611787" cy="424602"/>
            </a:xfrm>
          </xdr:grpSpPr>
          <xdr:sp macro="" textlink="$K$86">
            <xdr:nvSpPr>
              <xdr:cNvPr id="362" name="TextBox 307">
                <a:extLst>
                  <a:ext uri="{FF2B5EF4-FFF2-40B4-BE49-F238E27FC236}">
                    <a16:creationId xmlns:a16="http://schemas.microsoft.com/office/drawing/2014/main" id="{7B80E0B3-7A49-CC82-F972-8B0F11206716}"/>
                  </a:ext>
                </a:extLst>
              </xdr:cNvPr>
              <xdr:cNvSpPr txBox="1"/>
            </xdr:nvSpPr>
            <xdr:spPr>
              <a:xfrm>
                <a:off x="3651807" y="4639712"/>
                <a:ext cx="831742" cy="353390"/>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C541B543-5498-457A-ACE5-B17659DB398F}" type="TxLink">
                  <a:rPr lang="en-US" sz="1700" b="1" i="0" u="none" strike="noStrike">
                    <a:solidFill>
                      <a:srgbClr val="0033CC"/>
                    </a:solidFill>
                    <a:latin typeface="+mj-lt"/>
                    <a:cs typeface="Arial"/>
                  </a:rPr>
                  <a:t>1,744 </a:t>
                </a:fld>
                <a:endParaRPr lang="en-US" sz="1700">
                  <a:solidFill>
                    <a:srgbClr val="0033CC"/>
                  </a:solidFill>
                  <a:latin typeface="+mj-lt"/>
                  <a:cs typeface="Arial" panose="020B0604020202020204" pitchFamily="34" charset="0"/>
                </a:endParaRPr>
              </a:p>
            </xdr:txBody>
          </xdr:sp>
          <xdr:sp macro="" textlink="">
            <xdr:nvSpPr>
              <xdr:cNvPr id="363" name="TextBox 308">
                <a:extLst>
                  <a:ext uri="{FF2B5EF4-FFF2-40B4-BE49-F238E27FC236}">
                    <a16:creationId xmlns:a16="http://schemas.microsoft.com/office/drawing/2014/main" id="{FE66A185-07E4-DB8B-B978-32DD875F47CE}"/>
                  </a:ext>
                </a:extLst>
              </xdr:cNvPr>
              <xdr:cNvSpPr txBox="1"/>
            </xdr:nvSpPr>
            <xdr:spPr>
              <a:xfrm>
                <a:off x="4369473" y="4724400"/>
                <a:ext cx="894121" cy="339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300" i="1">
                    <a:solidFill>
                      <a:srgbClr val="0033CC"/>
                    </a:solidFill>
                    <a:latin typeface="Aptos Narrow (Body)"/>
                  </a:rPr>
                  <a:t>USD/tấn</a:t>
                </a:r>
                <a:endParaRPr lang="en-US" sz="1300" i="1">
                  <a:solidFill>
                    <a:srgbClr val="0033CC"/>
                  </a:solidFill>
                  <a:latin typeface="Aptos Narrow (Body)"/>
                </a:endParaRPr>
              </a:p>
            </xdr:txBody>
          </xdr:sp>
        </xdr:grpSp>
        <xdr:grpSp>
          <xdr:nvGrpSpPr>
            <xdr:cNvPr id="358" name="Group 303">
              <a:extLst>
                <a:ext uri="{FF2B5EF4-FFF2-40B4-BE49-F238E27FC236}">
                  <a16:creationId xmlns:a16="http://schemas.microsoft.com/office/drawing/2014/main" id="{C140BC5F-E7A6-4E75-A8DC-93B3AC324B32}"/>
                </a:ext>
              </a:extLst>
            </xdr:cNvPr>
            <xdr:cNvGrpSpPr/>
          </xdr:nvGrpSpPr>
          <xdr:grpSpPr>
            <a:xfrm>
              <a:off x="7743823" y="9982200"/>
              <a:ext cx="1018881" cy="734000"/>
              <a:chOff x="5572123" y="5781675"/>
              <a:chExt cx="1018881" cy="734000"/>
            </a:xfrm>
          </xdr:grpSpPr>
          <xdr:sp macro="" textlink="$K$83">
            <xdr:nvSpPr>
              <xdr:cNvPr id="359" name="TextBox 304">
                <a:extLst>
                  <a:ext uri="{FF2B5EF4-FFF2-40B4-BE49-F238E27FC236}">
                    <a16:creationId xmlns:a16="http://schemas.microsoft.com/office/drawing/2014/main" id="{66F2C166-06FD-8586-C3CE-2E8D36FE362E}"/>
                  </a:ext>
                </a:extLst>
              </xdr:cNvPr>
              <xdr:cNvSpPr txBox="1"/>
            </xdr:nvSpPr>
            <xdr:spPr>
              <a:xfrm>
                <a:off x="5581649" y="5962651"/>
                <a:ext cx="719428" cy="4154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E81A6E9-D8C3-4223-B6ED-EE0AF0AB49CB}" type="TxLink">
                  <a:rPr lang="en-US" sz="1700" b="1" i="0" u="none" strike="noStrike">
                    <a:solidFill>
                      <a:srgbClr val="0033CC"/>
                    </a:solidFill>
                    <a:latin typeface="+mj-lt"/>
                    <a:cs typeface="Arial"/>
                  </a:rPr>
                  <a:t>1,651 </a:t>
                </a:fld>
                <a:endParaRPr lang="en-US" sz="1700">
                  <a:latin typeface="+mj-lt"/>
                </a:endParaRPr>
              </a:p>
            </xdr:txBody>
          </xdr:sp>
          <xdr:sp macro="" textlink="">
            <xdr:nvSpPr>
              <xdr:cNvPr id="360" name="TextBox 305">
                <a:extLst>
                  <a:ext uri="{FF2B5EF4-FFF2-40B4-BE49-F238E27FC236}">
                    <a16:creationId xmlns:a16="http://schemas.microsoft.com/office/drawing/2014/main" id="{2EC2F188-9E3D-9795-58FE-7E7A46F1E843}"/>
                  </a:ext>
                </a:extLst>
              </xdr:cNvPr>
              <xdr:cNvSpPr txBox="1"/>
            </xdr:nvSpPr>
            <xdr:spPr>
              <a:xfrm>
                <a:off x="5572125" y="6219825"/>
                <a:ext cx="858055"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vi-VN" sz="1100" i="1">
                    <a:solidFill>
                      <a:srgbClr val="0033CC"/>
                    </a:solidFill>
                    <a:latin typeface="Aptos Narrow (Body)"/>
                  </a:rPr>
                  <a:t>USD/tấn</a:t>
                </a:r>
                <a:endParaRPr lang="en-US" sz="1100" i="1">
                  <a:solidFill>
                    <a:srgbClr val="0033CC"/>
                  </a:solidFill>
                  <a:latin typeface="Aptos Narrow (Body)"/>
                </a:endParaRPr>
              </a:p>
            </xdr:txBody>
          </xdr:sp>
          <xdr:sp macro="" textlink="">
            <xdr:nvSpPr>
              <xdr:cNvPr id="361" name="TextBox 306">
                <a:extLst>
                  <a:ext uri="{FF2B5EF4-FFF2-40B4-BE49-F238E27FC236}">
                    <a16:creationId xmlns:a16="http://schemas.microsoft.com/office/drawing/2014/main" id="{880A1AC0-1AD2-CA21-2D65-86139224AA4F}"/>
                  </a:ext>
                </a:extLst>
              </xdr:cNvPr>
              <xdr:cNvSpPr txBox="1"/>
            </xdr:nvSpPr>
            <xdr:spPr>
              <a:xfrm>
                <a:off x="5572123" y="5781675"/>
                <a:ext cx="1018881" cy="303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vi-VN" sz="1100" b="1">
                    <a:solidFill>
                      <a:srgbClr val="0033CC"/>
                    </a:solidFill>
                    <a:latin typeface="Aptos Narrow (Body)"/>
                  </a:rPr>
                  <a:t>GIÁ</a:t>
                </a:r>
                <a:r>
                  <a:rPr lang="vi-VN" sz="1100" b="1" baseline="0">
                    <a:solidFill>
                      <a:srgbClr val="0033CC"/>
                    </a:solidFill>
                    <a:latin typeface="Aptos Narrow (Body)"/>
                  </a:rPr>
                  <a:t> THÀNH</a:t>
                </a:r>
                <a:endParaRPr lang="en-US" sz="1100" b="1">
                  <a:solidFill>
                    <a:srgbClr val="0033CC"/>
                  </a:solidFill>
                  <a:latin typeface="Aptos Narrow (Body)"/>
                </a:endParaRPr>
              </a:p>
            </xdr:txBody>
          </xdr:sp>
        </xdr:grpSp>
      </xdr:grpSp>
      <xdr:sp macro="" textlink="">
        <xdr:nvSpPr>
          <xdr:cNvPr id="355" name="TextBox 300">
            <a:extLst>
              <a:ext uri="{FF2B5EF4-FFF2-40B4-BE49-F238E27FC236}">
                <a16:creationId xmlns:a16="http://schemas.microsoft.com/office/drawing/2014/main" id="{FB3E913D-5976-9D26-E096-C1BAED4A988C}"/>
              </a:ext>
            </a:extLst>
          </xdr:cNvPr>
          <xdr:cNvSpPr txBox="1"/>
        </xdr:nvSpPr>
        <xdr:spPr>
          <a:xfrm>
            <a:off x="9317731" y="11615942"/>
            <a:ext cx="689883" cy="3300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u="sng"/>
              <a:t>Option 4</a:t>
            </a:r>
          </a:p>
        </xdr:txBody>
      </xdr:sp>
    </xdr:grpSp>
    <xdr:clientData/>
  </xdr:twoCellAnchor>
  <xdr:twoCellAnchor>
    <xdr:from>
      <xdr:col>16</xdr:col>
      <xdr:colOff>392205</xdr:colOff>
      <xdr:row>6</xdr:row>
      <xdr:rowOff>1</xdr:rowOff>
    </xdr:from>
    <xdr:to>
      <xdr:col>19</xdr:col>
      <xdr:colOff>358587</xdr:colOff>
      <xdr:row>9</xdr:row>
      <xdr:rowOff>145677</xdr:rowOff>
    </xdr:to>
    <xdr:sp macro="" textlink="">
      <xdr:nvSpPr>
        <xdr:cNvPr id="364" name="Rectangle 363">
          <a:extLst>
            <a:ext uri="{FF2B5EF4-FFF2-40B4-BE49-F238E27FC236}">
              <a16:creationId xmlns:a16="http://schemas.microsoft.com/office/drawing/2014/main" id="{412DCC14-1569-47E3-2C25-B2CE0DF4A468}"/>
            </a:ext>
          </a:extLst>
        </xdr:cNvPr>
        <xdr:cNvSpPr/>
      </xdr:nvSpPr>
      <xdr:spPr>
        <a:xfrm>
          <a:off x="19206881" y="1355913"/>
          <a:ext cx="6387353" cy="70597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00"/>
              </a:solidFill>
            </a:rPr>
            <a:t>GROUP ẨN - </a:t>
          </a:r>
          <a:r>
            <a:rPr lang="en-US" sz="1800" b="1" u="sng">
              <a:solidFill>
                <a:srgbClr val="FFFF00"/>
              </a:solidFill>
            </a:rPr>
            <a:t>KHÔNG</a:t>
          </a:r>
          <a:r>
            <a:rPr lang="en-US" sz="1800" b="1" u="sng" baseline="0">
              <a:solidFill>
                <a:srgbClr val="FFFF00"/>
              </a:solidFill>
            </a:rPr>
            <a:t> NÊN </a:t>
          </a:r>
          <a:r>
            <a:rPr lang="en-US" sz="1800" b="1" baseline="0">
              <a:solidFill>
                <a:srgbClr val="FFFF00"/>
              </a:solidFill>
            </a:rPr>
            <a:t>HIDE CỘT DO ĐANG VẼ CHART </a:t>
          </a:r>
          <a:endParaRPr lang="en-US" sz="1800" b="1">
            <a:solidFill>
              <a:srgbClr val="FFFF00"/>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2569615</xdr:colOff>
      <xdr:row>3</xdr:row>
      <xdr:rowOff>78752</xdr:rowOff>
    </xdr:to>
    <mc:AlternateContent xmlns:mc="http://schemas.openxmlformats.org/markup-compatibility/2006" xmlns:a14="http://schemas.microsoft.com/office/drawing/2010/main">
      <mc:Choice Requires="a14">
        <xdr:graphicFrame macro="">
          <xdr:nvGraphicFramePr>
            <xdr:cNvPr id="2" name="Currency 5">
              <a:extLst>
                <a:ext uri="{FF2B5EF4-FFF2-40B4-BE49-F238E27FC236}">
                  <a16:creationId xmlns:a16="http://schemas.microsoft.com/office/drawing/2014/main" id="{6B013C97-86E5-4B42-9653-E6BAE62D703C}"/>
                </a:ext>
              </a:extLst>
            </xdr:cNvPr>
            <xdr:cNvGraphicFramePr/>
          </xdr:nvGraphicFramePr>
          <xdr:xfrm>
            <a:off x="0" y="0"/>
            <a:ext cx="0" cy="0"/>
          </xdr:xfrm>
          <a:graphic>
            <a:graphicData uri="http://schemas.microsoft.com/office/drawing/2010/slicer">
              <sle:slicer xmlns:sle="http://schemas.microsoft.com/office/drawing/2010/slicer" name="Currency 5"/>
            </a:graphicData>
          </a:graphic>
        </xdr:graphicFrame>
      </mc:Choice>
      <mc:Fallback xmlns="">
        <xdr:sp macro="" textlink="">
          <xdr:nvSpPr>
            <xdr:cNvPr id="0" name=""/>
            <xdr:cNvSpPr>
              <a:spLocks noTextEdit="1"/>
            </xdr:cNvSpPr>
          </xdr:nvSpPr>
          <xdr:spPr>
            <a:xfrm>
              <a:off x="0" y="0"/>
              <a:ext cx="2569615" cy="661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178396</xdr:colOff>
      <xdr:row>37</xdr:row>
      <xdr:rowOff>145265</xdr:rowOff>
    </xdr:from>
    <xdr:to>
      <xdr:col>2</xdr:col>
      <xdr:colOff>125764</xdr:colOff>
      <xdr:row>41</xdr:row>
      <xdr:rowOff>75428</xdr:rowOff>
    </xdr:to>
    <mc:AlternateContent xmlns:mc="http://schemas.openxmlformats.org/markup-compatibility/2006" xmlns:a14="http://schemas.microsoft.com/office/drawing/2010/main">
      <mc:Choice Requires="a14">
        <xdr:graphicFrame macro="">
          <xdr:nvGraphicFramePr>
            <xdr:cNvPr id="2" name="Currency 6">
              <a:extLst>
                <a:ext uri="{FF2B5EF4-FFF2-40B4-BE49-F238E27FC236}">
                  <a16:creationId xmlns:a16="http://schemas.microsoft.com/office/drawing/2014/main" id="{FD2C0FA8-E95D-4030-A3CD-243C8BABD4DE}"/>
                </a:ext>
              </a:extLst>
            </xdr:cNvPr>
            <xdr:cNvGraphicFramePr/>
          </xdr:nvGraphicFramePr>
          <xdr:xfrm>
            <a:off x="0" y="0"/>
            <a:ext cx="0" cy="0"/>
          </xdr:xfrm>
          <a:graphic>
            <a:graphicData uri="http://schemas.microsoft.com/office/drawing/2010/slicer">
              <sle:slicer xmlns:sle="http://schemas.microsoft.com/office/drawing/2010/slicer" name="Currency 6"/>
            </a:graphicData>
          </a:graphic>
        </xdr:graphicFrame>
      </mc:Choice>
      <mc:Fallback xmlns="">
        <xdr:sp macro="" textlink="">
          <xdr:nvSpPr>
            <xdr:cNvPr id="0" name=""/>
            <xdr:cNvSpPr>
              <a:spLocks noTextEdit="1"/>
            </xdr:cNvSpPr>
          </xdr:nvSpPr>
          <xdr:spPr>
            <a:xfrm>
              <a:off x="178396" y="6909480"/>
              <a:ext cx="2555753" cy="656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8</xdr:col>
      <xdr:colOff>472440</xdr:colOff>
      <xdr:row>6</xdr:row>
      <xdr:rowOff>38100</xdr:rowOff>
    </xdr:from>
    <xdr:to>
      <xdr:col>18</xdr:col>
      <xdr:colOff>350520</xdr:colOff>
      <xdr:row>35</xdr:row>
      <xdr:rowOff>114300</xdr:rowOff>
    </xdr:to>
    <xdr:sp macro="" textlink="">
      <xdr:nvSpPr>
        <xdr:cNvPr id="2" name="Rectangle: Rounded Corners 1">
          <a:extLst>
            <a:ext uri="{FF2B5EF4-FFF2-40B4-BE49-F238E27FC236}">
              <a16:creationId xmlns:a16="http://schemas.microsoft.com/office/drawing/2014/main" id="{0E2847CF-1569-6C05-CB44-61C97082BE1C}"/>
            </a:ext>
          </a:extLst>
        </xdr:cNvPr>
        <xdr:cNvSpPr/>
      </xdr:nvSpPr>
      <xdr:spPr>
        <a:xfrm>
          <a:off x="10767060" y="1318260"/>
          <a:ext cx="5974080" cy="5379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NOT YET</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11</xdr:col>
      <xdr:colOff>591099</xdr:colOff>
      <xdr:row>60</xdr:row>
      <xdr:rowOff>181665</xdr:rowOff>
    </xdr:to>
    <xdr:pic>
      <xdr:nvPicPr>
        <xdr:cNvPr id="3" name="Picture 2">
          <a:extLst>
            <a:ext uri="{FF2B5EF4-FFF2-40B4-BE49-F238E27FC236}">
              <a16:creationId xmlns:a16="http://schemas.microsoft.com/office/drawing/2014/main" id="{110E7892-7C86-B1CB-2A69-00B1F1AB1A54}"/>
            </a:ext>
          </a:extLst>
        </xdr:cNvPr>
        <xdr:cNvPicPr>
          <a:picLocks noChangeAspect="1"/>
        </xdr:cNvPicPr>
      </xdr:nvPicPr>
      <xdr:blipFill>
        <a:blip xmlns:r="http://schemas.openxmlformats.org/officeDocument/2006/relationships" r:embed="rId1"/>
        <a:stretch>
          <a:fillRect/>
        </a:stretch>
      </xdr:blipFill>
      <xdr:spPr>
        <a:xfrm>
          <a:off x="762000" y="6701118"/>
          <a:ext cx="11965070" cy="494416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12699</xdr:colOff>
      <xdr:row>0</xdr:row>
      <xdr:rowOff>0</xdr:rowOff>
    </xdr:from>
    <xdr:to>
      <xdr:col>9</xdr:col>
      <xdr:colOff>272284</xdr:colOff>
      <xdr:row>21</xdr:row>
      <xdr:rowOff>8890</xdr:rowOff>
    </xdr:to>
    <xdr:pic>
      <xdr:nvPicPr>
        <xdr:cNvPr id="2" name="Picture 1">
          <a:extLst>
            <a:ext uri="{FF2B5EF4-FFF2-40B4-BE49-F238E27FC236}">
              <a16:creationId xmlns:a16="http://schemas.microsoft.com/office/drawing/2014/main" id="{655ADFF3-D2F9-4780-A4C0-5679013A58EF}"/>
            </a:ext>
          </a:extLst>
        </xdr:cNvPr>
        <xdr:cNvPicPr>
          <a:picLocks noChangeAspect="1"/>
        </xdr:cNvPicPr>
      </xdr:nvPicPr>
      <xdr:blipFill>
        <a:blip xmlns:r="http://schemas.openxmlformats.org/officeDocument/2006/relationships" r:embed="rId1"/>
        <a:stretch>
          <a:fillRect/>
        </a:stretch>
      </xdr:blipFill>
      <xdr:spPr>
        <a:xfrm>
          <a:off x="12699" y="0"/>
          <a:ext cx="6435595" cy="4013200"/>
        </a:xfrm>
        <a:prstGeom prst="rect">
          <a:avLst/>
        </a:prstGeom>
      </xdr:spPr>
    </xdr:pic>
    <xdr:clientData/>
  </xdr:twoCellAnchor>
  <xdr:twoCellAnchor editAs="oneCell">
    <xdr:from>
      <xdr:col>0</xdr:col>
      <xdr:colOff>0</xdr:colOff>
      <xdr:row>22</xdr:row>
      <xdr:rowOff>88900</xdr:rowOff>
    </xdr:from>
    <xdr:to>
      <xdr:col>9</xdr:col>
      <xdr:colOff>601619</xdr:colOff>
      <xdr:row>43</xdr:row>
      <xdr:rowOff>80645</xdr:rowOff>
    </xdr:to>
    <xdr:pic>
      <xdr:nvPicPr>
        <xdr:cNvPr id="3" name="Picture 2">
          <a:extLst>
            <a:ext uri="{FF2B5EF4-FFF2-40B4-BE49-F238E27FC236}">
              <a16:creationId xmlns:a16="http://schemas.microsoft.com/office/drawing/2014/main" id="{32C67917-CE92-4538-A675-6225F979251A}"/>
            </a:ext>
          </a:extLst>
        </xdr:cNvPr>
        <xdr:cNvPicPr>
          <a:picLocks noChangeAspect="1"/>
        </xdr:cNvPicPr>
      </xdr:nvPicPr>
      <xdr:blipFill>
        <a:blip xmlns:r="http://schemas.openxmlformats.org/officeDocument/2006/relationships" r:embed="rId2"/>
        <a:stretch>
          <a:fillRect/>
        </a:stretch>
      </xdr:blipFill>
      <xdr:spPr>
        <a:xfrm>
          <a:off x="0" y="4279900"/>
          <a:ext cx="6770009" cy="3994150"/>
        </a:xfrm>
        <a:prstGeom prst="rect">
          <a:avLst/>
        </a:prstGeom>
      </xdr:spPr>
    </xdr:pic>
    <xdr:clientData/>
  </xdr:twoCellAnchor>
  <xdr:twoCellAnchor editAs="oneCell">
    <xdr:from>
      <xdr:col>13</xdr:col>
      <xdr:colOff>231912</xdr:colOff>
      <xdr:row>24</xdr:row>
      <xdr:rowOff>41413</xdr:rowOff>
    </xdr:from>
    <xdr:to>
      <xdr:col>24</xdr:col>
      <xdr:colOff>239531</xdr:colOff>
      <xdr:row>40</xdr:row>
      <xdr:rowOff>117613</xdr:rowOff>
    </xdr:to>
    <xdr:pic>
      <xdr:nvPicPr>
        <xdr:cNvPr id="4" name="Picture 3">
          <a:extLst>
            <a:ext uri="{FF2B5EF4-FFF2-40B4-BE49-F238E27FC236}">
              <a16:creationId xmlns:a16="http://schemas.microsoft.com/office/drawing/2014/main" id="{9B8F567D-CBB2-4959-FDC9-5DA8A86572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68847" y="4613413"/>
          <a:ext cx="7569641"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641405</xdr:colOff>
      <xdr:row>50</xdr:row>
      <xdr:rowOff>147762</xdr:rowOff>
    </xdr:from>
    <xdr:to>
      <xdr:col>7</xdr:col>
      <xdr:colOff>987481</xdr:colOff>
      <xdr:row>55</xdr:row>
      <xdr:rowOff>38432</xdr:rowOff>
    </xdr:to>
    <mc:AlternateContent xmlns:mc="http://schemas.openxmlformats.org/markup-compatibility/2006" xmlns:a14="http://schemas.microsoft.com/office/drawing/2010/main">
      <mc:Choice Requires="a14">
        <xdr:graphicFrame macro="">
          <xdr:nvGraphicFramePr>
            <xdr:cNvPr id="2" name="Currency 8">
              <a:extLst>
                <a:ext uri="{FF2B5EF4-FFF2-40B4-BE49-F238E27FC236}">
                  <a16:creationId xmlns:a16="http://schemas.microsoft.com/office/drawing/2014/main" id="{6A0007E1-5128-4576-AD4E-CC541C76EEA8}"/>
                </a:ext>
              </a:extLst>
            </xdr:cNvPr>
            <xdr:cNvGraphicFramePr/>
          </xdr:nvGraphicFramePr>
          <xdr:xfrm>
            <a:off x="0" y="0"/>
            <a:ext cx="0" cy="0"/>
          </xdr:xfrm>
          <a:graphic>
            <a:graphicData uri="http://schemas.microsoft.com/office/drawing/2010/slicer">
              <sle:slicer xmlns:sle="http://schemas.microsoft.com/office/drawing/2010/slicer" name="Currency 8"/>
            </a:graphicData>
          </a:graphic>
        </xdr:graphicFrame>
      </mc:Choice>
      <mc:Fallback xmlns="">
        <xdr:sp macro="" textlink="">
          <xdr:nvSpPr>
            <xdr:cNvPr id="0" name=""/>
            <xdr:cNvSpPr>
              <a:spLocks noTextEdit="1"/>
            </xdr:cNvSpPr>
          </xdr:nvSpPr>
          <xdr:spPr>
            <a:xfrm>
              <a:off x="3911130" y="9099357"/>
              <a:ext cx="2749938" cy="803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582723</xdr:colOff>
      <xdr:row>29</xdr:row>
      <xdr:rowOff>145540</xdr:rowOff>
    </xdr:to>
    <xdr:pic>
      <xdr:nvPicPr>
        <xdr:cNvPr id="2" name="Picture 1">
          <a:extLst>
            <a:ext uri="{FF2B5EF4-FFF2-40B4-BE49-F238E27FC236}">
              <a16:creationId xmlns:a16="http://schemas.microsoft.com/office/drawing/2014/main" id="{C799F09D-BD09-0632-318B-40F1089DD481}"/>
            </a:ext>
          </a:extLst>
        </xdr:cNvPr>
        <xdr:cNvPicPr>
          <a:picLocks noChangeAspect="1"/>
        </xdr:cNvPicPr>
      </xdr:nvPicPr>
      <xdr:blipFill>
        <a:blip xmlns:r="http://schemas.openxmlformats.org/officeDocument/2006/relationships" r:embed="rId1"/>
        <a:stretch>
          <a:fillRect/>
        </a:stretch>
      </xdr:blipFill>
      <xdr:spPr>
        <a:xfrm>
          <a:off x="0" y="0"/>
          <a:ext cx="12165123" cy="5449060"/>
        </a:xfrm>
        <a:prstGeom prst="rect">
          <a:avLst/>
        </a:prstGeom>
      </xdr:spPr>
    </xdr:pic>
    <xdr:clientData/>
  </xdr:twoCellAnchor>
  <xdr:twoCellAnchor editAs="oneCell">
    <xdr:from>
      <xdr:col>0</xdr:col>
      <xdr:colOff>0</xdr:colOff>
      <xdr:row>31</xdr:row>
      <xdr:rowOff>0</xdr:rowOff>
    </xdr:from>
    <xdr:to>
      <xdr:col>17</xdr:col>
      <xdr:colOff>68312</xdr:colOff>
      <xdr:row>58</xdr:row>
      <xdr:rowOff>153139</xdr:rowOff>
    </xdr:to>
    <xdr:pic>
      <xdr:nvPicPr>
        <xdr:cNvPr id="3" name="Picture 2">
          <a:extLst>
            <a:ext uri="{FF2B5EF4-FFF2-40B4-BE49-F238E27FC236}">
              <a16:creationId xmlns:a16="http://schemas.microsoft.com/office/drawing/2014/main" id="{B1FA61FF-424D-9A94-710D-E95AA32F916E}"/>
            </a:ext>
          </a:extLst>
        </xdr:cNvPr>
        <xdr:cNvPicPr>
          <a:picLocks noChangeAspect="1"/>
        </xdr:cNvPicPr>
      </xdr:nvPicPr>
      <xdr:blipFill>
        <a:blip xmlns:r="http://schemas.openxmlformats.org/officeDocument/2006/relationships" r:embed="rId2"/>
        <a:stretch>
          <a:fillRect/>
        </a:stretch>
      </xdr:blipFill>
      <xdr:spPr>
        <a:xfrm>
          <a:off x="0" y="5905500"/>
          <a:ext cx="11726912" cy="529663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350769</xdr:colOff>
      <xdr:row>10</xdr:row>
      <xdr:rowOff>117543</xdr:rowOff>
    </xdr:to>
    <xdr:pic>
      <xdr:nvPicPr>
        <xdr:cNvPr id="2" name="Picture 1">
          <a:extLst>
            <a:ext uri="{FF2B5EF4-FFF2-40B4-BE49-F238E27FC236}">
              <a16:creationId xmlns:a16="http://schemas.microsoft.com/office/drawing/2014/main" id="{69EF654A-A5D5-DAEC-389C-E4CCF37CA405}"/>
            </a:ext>
          </a:extLst>
        </xdr:cNvPr>
        <xdr:cNvPicPr>
          <a:picLocks noChangeAspect="1"/>
        </xdr:cNvPicPr>
      </xdr:nvPicPr>
      <xdr:blipFill>
        <a:blip xmlns:r="http://schemas.openxmlformats.org/officeDocument/2006/relationships" r:embed="rId1"/>
        <a:stretch>
          <a:fillRect/>
        </a:stretch>
      </xdr:blipFill>
      <xdr:spPr>
        <a:xfrm>
          <a:off x="0" y="0"/>
          <a:ext cx="2782684" cy="1941479"/>
        </a:xfrm>
        <a:prstGeom prst="rect">
          <a:avLst/>
        </a:prstGeom>
      </xdr:spPr>
    </xdr:pic>
    <xdr:clientData/>
  </xdr:twoCellAnchor>
  <xdr:twoCellAnchor editAs="oneCell">
    <xdr:from>
      <xdr:col>0</xdr:col>
      <xdr:colOff>0</xdr:colOff>
      <xdr:row>10</xdr:row>
      <xdr:rowOff>166181</xdr:rowOff>
    </xdr:from>
    <xdr:to>
      <xdr:col>5</xdr:col>
      <xdr:colOff>86541</xdr:colOff>
      <xdr:row>17</xdr:row>
      <xdr:rowOff>19455</xdr:rowOff>
    </xdr:to>
    <xdr:pic>
      <xdr:nvPicPr>
        <xdr:cNvPr id="3" name="Picture 2">
          <a:extLst>
            <a:ext uri="{FF2B5EF4-FFF2-40B4-BE49-F238E27FC236}">
              <a16:creationId xmlns:a16="http://schemas.microsoft.com/office/drawing/2014/main" id="{AB72DA4C-936B-0EA7-C722-DB6586DA436F}"/>
            </a:ext>
          </a:extLst>
        </xdr:cNvPr>
        <xdr:cNvPicPr>
          <a:picLocks noChangeAspect="1"/>
        </xdr:cNvPicPr>
      </xdr:nvPicPr>
      <xdr:blipFill>
        <a:blip xmlns:r="http://schemas.openxmlformats.org/officeDocument/2006/relationships" r:embed="rId2"/>
        <a:stretch>
          <a:fillRect/>
        </a:stretch>
      </xdr:blipFill>
      <xdr:spPr>
        <a:xfrm>
          <a:off x="0" y="1982011"/>
          <a:ext cx="3134541" cy="11243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h, Hoàng Duy" refreshedDate="45562.446680787034" createdVersion="8" refreshedVersion="8" minRefreshableVersion="3" recordCount="2" xr:uid="{2B56CDDE-2319-47FF-A6E8-0B348CA7CA97}">
  <cacheSource type="worksheet">
    <worksheetSource name="Table4"/>
  </cacheSource>
  <cacheFields count="1">
    <cacheField name="Currency" numFmtId="0">
      <sharedItems count="2">
        <s v="USD"/>
        <s v="VND"/>
      </sharedItems>
    </cacheField>
  </cacheFields>
  <extLst>
    <ext xmlns:x14="http://schemas.microsoft.com/office/spreadsheetml/2009/9/main" uri="{725AE2AE-9491-48be-B2B4-4EB974FC3084}">
      <x14:pivotCacheDefinition pivotCacheId="1109966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A0B47B-B976-4625-BF85-561C3A931E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8" firstHeaderRow="1" firstDataRow="1" firstDataCol="1"/>
  <pivotFields count="1">
    <pivotField axis="axisRow" showAll="0">
      <items count="3">
        <item h="1" x="0"/>
        <item x="1"/>
        <item t="default"/>
      </items>
    </pivotField>
  </pivotFields>
  <rowFields count="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1DD86713-44EE-487B-BA48-38CBE6116140}" sourceName="Currency">
  <pivotTables>
    <pivotTable tabId="40" name="PivotTable1"/>
  </pivotTables>
  <data>
    <tabular pivotCacheId="110996678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1" xr10:uid="{4F52B6C9-10D1-4482-AFAA-4B29C7A5A7FA}" cache="Slicer_Currency" caption="Currency: Please Choose Only 1" columnCoun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9" xr10:uid="{09438A5A-B0F2-4E30-9517-19C1D3C37D46}" cache="Slicer_Currency" caption="Currency: Please Choose Only 1" columnCoun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0" xr10:uid="{7808327D-D327-4BB3-93DB-6AAAE2177D9A}" cache="Slicer_Currency" caption="Currency: Please Choose Only 1" columnCount="2"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xr10:uid="{15594A6D-FC37-465B-B25C-334B7258DB02}" cache="Slicer_Currency" caption="Currency: Please Choose Only 1" columnCount="2"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1" xr10:uid="{B3C20844-3143-48F3-8B51-DCC05A6D4167}" cache="Slicer_Currency" caption="Currency: Please Choose Only 1" columnCount="2"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2" xr10:uid="{8656203E-7D78-470C-996F-A0467B760D2B}" cache="Slicer_Currency" caption="Currency: Please Choose Only 1" columnCount="2"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3" xr10:uid="{DB291278-5606-4C31-86F1-80D9D40BBD64}" cache="Slicer_Currency" caption="Currency: Please Choose Only 1" columnCount="2" rowHeight="25717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4" xr10:uid="{17559CC6-FEDA-4F2D-B9AC-2E36E480F118}" cache="Slicer_Currency" caption="Currency: Please Choose Only 1" columnCount="2" rowHeight="257175"/>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7" xr10:uid="{2F76C964-4950-4DB5-BD78-9C176CC60258}" cache="Slicer_Currency" caption="Currency: Please Choose Only 1" columnCount="2" rowHeight="25717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5" xr10:uid="{52CE3EBF-A1F9-4BF1-9BDD-8B06F62BF5E0}" cache="Slicer_Currency" caption="Currency: Please Choose Only 1" columnCount="2" rowHeight="25717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6" xr10:uid="{34668544-A061-48FF-8EE9-4DF7046B4468}" cache="Slicer_Currency" caption="Currency: Please Choose Only 1" columnCount="2" rowHeight="257175"/>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cy 8" xr10:uid="{3D021C18-C4E0-4B71-A1BD-13E7C7C8FD98}" cache="Slicer_Currency" caption="Currency: Please Choose Only 1"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FF02CB-BA78-4D79-8DD5-B08FA0493DE9}" name="Table4" displayName="Table4" ref="A2:A4" totalsRowShown="0">
  <autoFilter ref="A2:A4" xr:uid="{51FF02CB-BA78-4D79-8DD5-B08FA0493DE9}"/>
  <tableColumns count="1">
    <tableColumn id="1" xr3:uid="{AFA3117D-9559-4FC8-B566-39BC59FAC76D}" name="Currenc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1.vml"/><Relationship Id="rId1" Type="http://schemas.openxmlformats.org/officeDocument/2006/relationships/drawing" Target="../drawings/drawing8.xml"/><Relationship Id="rId4"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vmlDrawing" Target="../drawings/vmlDrawing2.vml"/><Relationship Id="rId1" Type="http://schemas.openxmlformats.org/officeDocument/2006/relationships/drawing" Target="../drawings/drawing9.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vmlDrawing" Target="../drawings/vmlDrawing3.vml"/><Relationship Id="rId1" Type="http://schemas.openxmlformats.org/officeDocument/2006/relationships/drawing" Target="../drawings/drawing10.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2.bin"/><Relationship Id="rId5" Type="http://schemas.openxmlformats.org/officeDocument/2006/relationships/comments" Target="../comments4.xml"/><Relationship Id="rId4" Type="http://schemas.microsoft.com/office/2007/relationships/slicer" Target="../slicers/slicer9.xml"/></Relationships>
</file>

<file path=xl/worksheets/_rels/sheet18.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vmlDrawing" Target="../drawings/vmlDrawing5.vml"/><Relationship Id="rId1" Type="http://schemas.openxmlformats.org/officeDocument/2006/relationships/drawing" Target="../drawings/drawing14.xml"/><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9BD9-F7BE-4E99-98F6-71F525AAC820}">
  <dimension ref="A1"/>
  <sheetViews>
    <sheetView showGridLines="0" workbookViewId="0">
      <selection activeCell="J22" sqref="J2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2306-711E-401B-9DAB-3BA32E73B6AD}">
  <sheetPr>
    <tabColor theme="1"/>
  </sheetPr>
  <dimension ref="A1"/>
  <sheetViews>
    <sheetView workbookViewId="0">
      <selection activeCell="J24" sqref="J2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341C-310F-411B-AF1B-F214FC9F3D1E}">
  <dimension ref="A2:I32"/>
  <sheetViews>
    <sheetView showGridLines="0" zoomScaleNormal="100" workbookViewId="0">
      <selection activeCell="J24" sqref="J24"/>
    </sheetView>
  </sheetViews>
  <sheetFormatPr defaultRowHeight="15" x14ac:dyDescent="0.25"/>
  <cols>
    <col min="1" max="1" width="5.25" bestFit="1" customWidth="1"/>
    <col min="2" max="2" width="37.625" bestFit="1" customWidth="1"/>
    <col min="3" max="3" width="15.75" bestFit="1" customWidth="1"/>
    <col min="4" max="4" width="14.75" bestFit="1" customWidth="1"/>
    <col min="5" max="5" width="2.875" customWidth="1"/>
    <col min="6" max="6" width="5.25" bestFit="1" customWidth="1"/>
    <col min="7" max="7" width="28.625" bestFit="1" customWidth="1"/>
    <col min="8" max="8" width="14" bestFit="1" customWidth="1"/>
    <col min="9" max="9" width="27.875" bestFit="1" customWidth="1"/>
  </cols>
  <sheetData>
    <row r="2" spans="1:9" ht="24" x14ac:dyDescent="0.25">
      <c r="A2" s="1069" t="s">
        <v>812</v>
      </c>
      <c r="B2" s="1069"/>
      <c r="C2" s="1069"/>
      <c r="D2" s="1069"/>
      <c r="E2" s="1069"/>
      <c r="F2" s="1069"/>
      <c r="G2" s="1069"/>
      <c r="H2" s="1069"/>
      <c r="I2" s="1069"/>
    </row>
    <row r="3" spans="1:9" x14ac:dyDescent="0.25">
      <c r="A3" s="250"/>
      <c r="B3" s="250"/>
      <c r="C3" s="250"/>
      <c r="D3" s="250"/>
      <c r="E3" s="250"/>
      <c r="F3" s="250"/>
      <c r="G3" s="250"/>
      <c r="H3" s="250"/>
      <c r="I3" s="250"/>
    </row>
    <row r="4" spans="1:9" ht="18.75" x14ac:dyDescent="0.3">
      <c r="A4" s="1042" t="s">
        <v>2</v>
      </c>
      <c r="B4" s="1042" t="s">
        <v>419</v>
      </c>
      <c r="C4" s="1042" t="s">
        <v>813</v>
      </c>
      <c r="D4" s="1042" t="s">
        <v>814</v>
      </c>
      <c r="E4" s="998"/>
      <c r="F4" s="1042" t="s">
        <v>2</v>
      </c>
      <c r="G4" s="1042" t="s">
        <v>419</v>
      </c>
      <c r="H4" s="1042" t="s">
        <v>813</v>
      </c>
      <c r="I4" s="1042" t="s">
        <v>814</v>
      </c>
    </row>
    <row r="5" spans="1:9" ht="15.75" x14ac:dyDescent="0.25">
      <c r="A5" s="999">
        <v>1</v>
      </c>
      <c r="B5" s="1000" t="s">
        <v>815</v>
      </c>
      <c r="C5" s="1001"/>
      <c r="D5" s="999"/>
      <c r="E5" s="1002"/>
      <c r="F5" s="1020">
        <v>4</v>
      </c>
      <c r="G5" s="1021" t="s">
        <v>849</v>
      </c>
      <c r="H5" s="1022">
        <f>'W3'!$L$23</f>
        <v>0.88</v>
      </c>
      <c r="I5" s="1023"/>
    </row>
    <row r="6" spans="1:9" ht="15.75" x14ac:dyDescent="0.25">
      <c r="A6" s="1004">
        <v>1.1000000000000001</v>
      </c>
      <c r="B6" s="1005" t="s">
        <v>817</v>
      </c>
      <c r="C6" s="1006" t="s">
        <v>375</v>
      </c>
      <c r="D6" s="1004"/>
      <c r="E6" s="1007"/>
      <c r="F6" s="1024"/>
      <c r="G6" s="1024"/>
      <c r="H6" s="1024"/>
      <c r="I6" s="1024"/>
    </row>
    <row r="7" spans="1:9" ht="15.75" x14ac:dyDescent="0.25">
      <c r="A7" s="1004">
        <v>1.2</v>
      </c>
      <c r="B7" s="1005" t="s">
        <v>820</v>
      </c>
      <c r="C7" s="1006">
        <v>25</v>
      </c>
      <c r="D7" s="1004" t="s">
        <v>559</v>
      </c>
      <c r="E7" s="1007"/>
      <c r="F7" s="1031">
        <v>5</v>
      </c>
      <c r="G7" s="1032" t="s">
        <v>832</v>
      </c>
      <c r="H7" s="1027">
        <f>'W3'!U27/10^3</f>
        <v>6194.1749760000002</v>
      </c>
      <c r="I7" s="1025" t="s">
        <v>833</v>
      </c>
    </row>
    <row r="8" spans="1:9" ht="15.75" x14ac:dyDescent="0.25">
      <c r="A8" s="1004">
        <v>1.3</v>
      </c>
      <c r="B8" s="1005" t="s">
        <v>823</v>
      </c>
      <c r="C8" s="1008">
        <f>IF(Currency="VND",'W1'!$I$60,'W1'!$I$60*EXR)</f>
        <v>300749800000</v>
      </c>
      <c r="D8" s="1004" t="s">
        <v>129</v>
      </c>
      <c r="E8" s="1007"/>
      <c r="F8" s="1025"/>
      <c r="G8" s="1028"/>
      <c r="H8" s="1029">
        <f>'W3'!U28</f>
        <v>412944998.40000004</v>
      </c>
      <c r="I8" s="1030" t="s">
        <v>320</v>
      </c>
    </row>
    <row r="9" spans="1:9" ht="15.75" x14ac:dyDescent="0.25">
      <c r="A9" s="1004">
        <v>1.4</v>
      </c>
      <c r="B9" s="1005" t="s">
        <v>825</v>
      </c>
      <c r="C9" s="1008">
        <f>IF(Currency="VND",'W1'!$I$60/EXR,'W1'!$I$60)</f>
        <v>11567300</v>
      </c>
      <c r="D9" s="1004" t="s">
        <v>380</v>
      </c>
      <c r="E9" s="1007"/>
      <c r="F9" s="1024"/>
      <c r="G9" s="1024"/>
      <c r="H9" s="1024"/>
      <c r="I9" s="1024"/>
    </row>
    <row r="10" spans="1:9" ht="15.75" x14ac:dyDescent="0.25">
      <c r="A10" s="1004">
        <v>1.5</v>
      </c>
      <c r="B10" s="1005" t="s">
        <v>827</v>
      </c>
      <c r="C10" s="1008">
        <f>'W1'!G13</f>
        <v>12</v>
      </c>
      <c r="D10" s="1004" t="s">
        <v>559</v>
      </c>
      <c r="E10" s="1007"/>
      <c r="F10" s="1031">
        <v>6</v>
      </c>
      <c r="G10" s="1032" t="s">
        <v>816</v>
      </c>
      <c r="H10" s="1033" t="s">
        <v>847</v>
      </c>
      <c r="I10" s="1025"/>
    </row>
    <row r="11" spans="1:9" ht="15.75" x14ac:dyDescent="0.25">
      <c r="A11" s="1004">
        <v>1.6</v>
      </c>
      <c r="B11" s="1009" t="s">
        <v>411</v>
      </c>
      <c r="C11" s="1010">
        <f>EXR</f>
        <v>26000</v>
      </c>
      <c r="D11" s="1009"/>
      <c r="E11" s="1007"/>
      <c r="F11" s="1025">
        <v>6.1</v>
      </c>
      <c r="G11" s="1026" t="s">
        <v>818</v>
      </c>
      <c r="H11" s="1027">
        <f>'W3'!L27/10^3</f>
        <v>3097.0874880000001</v>
      </c>
      <c r="I11" s="1025" t="s">
        <v>819</v>
      </c>
    </row>
    <row r="12" spans="1:9" ht="15.75" x14ac:dyDescent="0.25">
      <c r="A12" s="1004">
        <v>1.7</v>
      </c>
      <c r="B12" s="1009" t="s">
        <v>851</v>
      </c>
      <c r="C12" s="1012">
        <f>Inflation</f>
        <v>0.05</v>
      </c>
      <c r="D12" s="1009"/>
      <c r="E12" s="1007"/>
      <c r="F12" s="1025">
        <v>6.2</v>
      </c>
      <c r="G12" s="1026" t="s">
        <v>821</v>
      </c>
      <c r="H12" s="1027">
        <f>'W3'!M27/10^3</f>
        <v>4335.9224832</v>
      </c>
      <c r="I12" s="1025" t="s">
        <v>822</v>
      </c>
    </row>
    <row r="13" spans="1:9" ht="15.75" x14ac:dyDescent="0.25">
      <c r="A13" s="1004"/>
      <c r="B13" s="1005"/>
      <c r="C13" s="1008"/>
      <c r="D13" s="1004"/>
      <c r="E13" s="1007"/>
      <c r="F13" s="1025">
        <v>6.3</v>
      </c>
      <c r="G13" s="1026" t="s">
        <v>824</v>
      </c>
      <c r="H13" s="1027">
        <f>'W3'!N27/10^3</f>
        <v>6194.1749760000002</v>
      </c>
      <c r="I13" s="1025" t="s">
        <v>826</v>
      </c>
    </row>
    <row r="14" spans="1:9" ht="15.75" x14ac:dyDescent="0.25">
      <c r="A14" s="999">
        <v>2</v>
      </c>
      <c r="B14" s="1000" t="s">
        <v>846</v>
      </c>
      <c r="C14" s="1011"/>
      <c r="D14" s="999"/>
      <c r="E14" s="1002"/>
      <c r="F14" s="1025">
        <v>6.4</v>
      </c>
      <c r="G14" s="1026" t="s">
        <v>848</v>
      </c>
      <c r="H14" s="1027"/>
      <c r="I14" s="1025"/>
    </row>
    <row r="15" spans="1:9" ht="15.75" x14ac:dyDescent="0.25">
      <c r="A15" s="1004">
        <v>2.1</v>
      </c>
      <c r="B15" s="1005" t="s">
        <v>860</v>
      </c>
      <c r="C15" s="1008">
        <v>16600</v>
      </c>
      <c r="D15" s="1004" t="s">
        <v>829</v>
      </c>
      <c r="E15" s="1007"/>
      <c r="F15" s="1025"/>
      <c r="G15" s="1026"/>
      <c r="H15" s="1027"/>
      <c r="I15" s="1025"/>
    </row>
    <row r="16" spans="1:9" ht="15.75" x14ac:dyDescent="0.25">
      <c r="A16" s="1004">
        <v>2.2000000000000002</v>
      </c>
      <c r="B16" s="1005" t="s">
        <v>861</v>
      </c>
      <c r="C16" s="1008">
        <f>IF(Currency="VND",'W2'!$M$56,'W2'!$M$56*EXR)</f>
        <v>24960</v>
      </c>
      <c r="D16" s="1004" t="s">
        <v>829</v>
      </c>
      <c r="E16" s="1007"/>
      <c r="F16" s="1025"/>
      <c r="G16" s="1026"/>
      <c r="H16" s="1027"/>
      <c r="I16" s="1025"/>
    </row>
    <row r="17" spans="1:9" ht="15.75" x14ac:dyDescent="0.25">
      <c r="A17" s="1004">
        <v>2.2999999999999998</v>
      </c>
      <c r="B17" s="1005" t="s">
        <v>862</v>
      </c>
      <c r="C17" s="1003">
        <f>'W2'!M41</f>
        <v>7.0000000000000007E-2</v>
      </c>
      <c r="D17" s="1004"/>
      <c r="E17" s="1007"/>
      <c r="F17" s="1031">
        <v>7</v>
      </c>
      <c r="G17" s="1032" t="s">
        <v>78</v>
      </c>
      <c r="H17" s="1034">
        <f>'Cover Page'!H13</f>
        <v>45.333333333333336</v>
      </c>
      <c r="I17" s="1031" t="s">
        <v>828</v>
      </c>
    </row>
    <row r="18" spans="1:9" ht="15.75" x14ac:dyDescent="0.25">
      <c r="A18" s="1004">
        <v>2.4</v>
      </c>
      <c r="B18" s="1005" t="s">
        <v>857</v>
      </c>
      <c r="C18" s="1019">
        <f>'W2'!M60</f>
        <v>2.0000000000000001E-4</v>
      </c>
      <c r="D18" s="1004"/>
      <c r="E18" s="1007"/>
      <c r="F18" s="1035"/>
      <c r="G18" s="1035"/>
      <c r="H18" s="1029">
        <f>'Cover Page'!H15</f>
        <v>1743.5897435897436</v>
      </c>
      <c r="I18" s="1030" t="s">
        <v>369</v>
      </c>
    </row>
    <row r="19" spans="1:9" ht="15.75" x14ac:dyDescent="0.25">
      <c r="A19" s="1004">
        <v>2.5</v>
      </c>
      <c r="B19" s="1005" t="s">
        <v>858</v>
      </c>
      <c r="C19" s="1008">
        <f>'W2'!M64</f>
        <v>949542</v>
      </c>
      <c r="D19" s="1004" t="s">
        <v>859</v>
      </c>
      <c r="E19" s="1007"/>
      <c r="F19" s="1035"/>
      <c r="G19" s="1035"/>
      <c r="H19" s="1029">
        <f>'Cover Page'!H14</f>
        <v>680</v>
      </c>
      <c r="I19" s="1030" t="s">
        <v>368</v>
      </c>
    </row>
    <row r="20" spans="1:9" ht="15.75" x14ac:dyDescent="0.25">
      <c r="A20" s="250"/>
      <c r="B20" s="250"/>
      <c r="C20" s="250"/>
      <c r="D20" s="250"/>
      <c r="E20" s="1007"/>
      <c r="F20" s="1031">
        <v>8</v>
      </c>
      <c r="G20" s="1032" t="s">
        <v>830</v>
      </c>
      <c r="H20" s="1036"/>
      <c r="I20" s="1031"/>
    </row>
    <row r="21" spans="1:9" ht="15.75" x14ac:dyDescent="0.25">
      <c r="A21" s="999">
        <v>3</v>
      </c>
      <c r="B21" s="1000" t="s">
        <v>79</v>
      </c>
      <c r="C21" s="1011"/>
      <c r="D21" s="999"/>
      <c r="E21" s="1007"/>
      <c r="F21" s="1025">
        <v>8.1</v>
      </c>
      <c r="G21" s="1026" t="s">
        <v>831</v>
      </c>
      <c r="H21" s="1037">
        <f>'Cover Page'!H21</f>
        <v>0.7</v>
      </c>
      <c r="I21" s="1025"/>
    </row>
    <row r="22" spans="1:9" ht="15.75" x14ac:dyDescent="0.25">
      <c r="A22" s="1004">
        <v>3.1</v>
      </c>
      <c r="B22" s="1005" t="s">
        <v>836</v>
      </c>
      <c r="C22" s="1008">
        <f>IF(Currency="VND",'W2'!$M$13,'W2'!$M$13*EXR)</f>
        <v>982800000</v>
      </c>
      <c r="D22" s="1004" t="s">
        <v>837</v>
      </c>
      <c r="E22" s="1007"/>
      <c r="F22" s="1025">
        <v>8.1999999999999993</v>
      </c>
      <c r="G22" s="1026" t="s">
        <v>834</v>
      </c>
      <c r="H22" s="1037">
        <f>1-H21</f>
        <v>0.30000000000000004</v>
      </c>
      <c r="I22" s="1025"/>
    </row>
    <row r="23" spans="1:9" ht="15.75" x14ac:dyDescent="0.25">
      <c r="A23" s="1004">
        <v>3.2</v>
      </c>
      <c r="B23" s="1005" t="s">
        <v>839</v>
      </c>
      <c r="C23" s="1008">
        <f>IF(Currency="VND",'W2'!$M$17,'W2'!$M$17*EXR)</f>
        <v>5028660000</v>
      </c>
      <c r="D23" s="1004" t="s">
        <v>837</v>
      </c>
      <c r="E23" s="1007"/>
      <c r="F23" s="1025">
        <v>8.3000000000000007</v>
      </c>
      <c r="G23" s="1026" t="s">
        <v>835</v>
      </c>
      <c r="H23" s="1038">
        <f>'Cover Page'!H19</f>
        <v>7.0000000000000007E-2</v>
      </c>
      <c r="I23" s="1025"/>
    </row>
    <row r="24" spans="1:9" ht="15.75" x14ac:dyDescent="0.25">
      <c r="A24" s="1004">
        <v>3.3</v>
      </c>
      <c r="B24" s="1005" t="s">
        <v>73</v>
      </c>
      <c r="C24" s="1008">
        <f>'W2'!M45</f>
        <v>765</v>
      </c>
      <c r="D24" s="1004" t="s">
        <v>841</v>
      </c>
      <c r="E24" s="1007"/>
      <c r="F24" s="1025">
        <v>8.4</v>
      </c>
      <c r="G24" s="1026" t="s">
        <v>838</v>
      </c>
      <c r="H24" s="1038">
        <f>Tax_rate</f>
        <v>0.2</v>
      </c>
      <c r="I24" s="1025"/>
    </row>
    <row r="25" spans="1:9" ht="15.75" x14ac:dyDescent="0.25">
      <c r="A25" s="1004">
        <v>3.4</v>
      </c>
      <c r="B25" s="1005" t="s">
        <v>842</v>
      </c>
      <c r="C25" s="1008">
        <f>IF(Currency="VND",'W2'!$M$46,'W2'!$M$46*EXR)</f>
        <v>1950</v>
      </c>
      <c r="D25" s="1004" t="s">
        <v>843</v>
      </c>
      <c r="E25" s="1007"/>
      <c r="F25" s="1025">
        <v>8.5</v>
      </c>
      <c r="G25" s="1026" t="s">
        <v>840</v>
      </c>
      <c r="H25" s="1038">
        <f>Opt1_WACC</f>
        <v>7.2660000000000016E-2</v>
      </c>
      <c r="I25" s="1025"/>
    </row>
    <row r="26" spans="1:9" ht="15.75" x14ac:dyDescent="0.25">
      <c r="A26" s="1004">
        <v>3.5</v>
      </c>
      <c r="B26" s="1005" t="s">
        <v>844</v>
      </c>
      <c r="C26" s="1008">
        <f>IF(Currency="VND",'W2'!$M$28,'W2'!$M$28*EXR)</f>
        <v>9022494000</v>
      </c>
      <c r="D26" s="1004" t="s">
        <v>837</v>
      </c>
      <c r="E26" s="1007"/>
      <c r="F26" s="893"/>
      <c r="G26" s="893"/>
      <c r="H26" s="893"/>
      <c r="I26" s="893"/>
    </row>
    <row r="27" spans="1:9" ht="15.75" x14ac:dyDescent="0.25">
      <c r="A27" s="1004">
        <v>3.6</v>
      </c>
      <c r="B27" s="1005" t="s">
        <v>852</v>
      </c>
      <c r="C27" s="1008">
        <f>IF(Currency="VND",'W2'!$M$37,'W2'!$M$37*EXR)</f>
        <v>552000000</v>
      </c>
      <c r="D27" s="1004" t="s">
        <v>837</v>
      </c>
      <c r="E27" s="1007"/>
      <c r="F27" s="1035"/>
      <c r="G27" s="1026"/>
      <c r="H27" s="1039"/>
      <c r="I27" s="1040"/>
    </row>
    <row r="28" spans="1:9" ht="15.75" x14ac:dyDescent="0.25">
      <c r="A28" s="1004"/>
      <c r="B28" s="1013" t="s">
        <v>853</v>
      </c>
      <c r="C28" s="1008"/>
      <c r="D28" s="1004"/>
      <c r="E28" s="1007"/>
      <c r="F28" s="1035"/>
      <c r="G28" s="1032" t="s">
        <v>867</v>
      </c>
      <c r="H28" s="1039"/>
      <c r="I28" s="1040"/>
    </row>
    <row r="29" spans="1:9" ht="15.75" x14ac:dyDescent="0.25">
      <c r="A29" s="1004">
        <v>3.7</v>
      </c>
      <c r="B29" s="1005" t="s">
        <v>76</v>
      </c>
      <c r="C29" s="1008">
        <f>IF(Currency="VND",'W2'!$M$48,'W2'!$M$48*EXR)</f>
        <v>314.81481481481484</v>
      </c>
      <c r="D29" s="1004" t="s">
        <v>845</v>
      </c>
      <c r="E29" s="1007"/>
      <c r="F29" s="1031"/>
      <c r="G29" s="1032"/>
      <c r="H29" s="1041"/>
      <c r="I29" s="1031"/>
    </row>
    <row r="30" spans="1:9" ht="16.5" customHeight="1" x14ac:dyDescent="0.25">
      <c r="A30" s="1004">
        <v>3.8</v>
      </c>
      <c r="B30" s="1005" t="s">
        <v>850</v>
      </c>
      <c r="C30" s="1008">
        <f>IF(Currency="VND",'W2'!$M$33,'W2'!$M$33*EXR)</f>
        <v>2400000000</v>
      </c>
      <c r="D30" s="1004" t="s">
        <v>837</v>
      </c>
      <c r="E30" s="1007"/>
      <c r="F30" s="1035"/>
      <c r="G30" s="1035"/>
      <c r="H30" s="1035"/>
      <c r="I30" s="1035"/>
    </row>
    <row r="31" spans="1:9" ht="16.5" customHeight="1" x14ac:dyDescent="0.25">
      <c r="A31" s="1014">
        <v>3.9</v>
      </c>
      <c r="B31" s="1015" t="s">
        <v>854</v>
      </c>
      <c r="C31" s="1016">
        <f>'W2'!L73</f>
        <v>2E-3</v>
      </c>
      <c r="D31" s="1017" t="s">
        <v>855</v>
      </c>
      <c r="E31" s="1007"/>
      <c r="F31" s="1035"/>
      <c r="G31" s="1035"/>
      <c r="H31" s="1035"/>
      <c r="I31" s="1035"/>
    </row>
    <row r="32" spans="1:9" ht="15.75" x14ac:dyDescent="0.25">
      <c r="A32" s="1018" t="s">
        <v>252</v>
      </c>
      <c r="B32" s="1005" t="s">
        <v>166</v>
      </c>
      <c r="C32" s="1008">
        <f>'W2'!$M$77</f>
        <v>4000000</v>
      </c>
      <c r="D32" s="1004" t="s">
        <v>856</v>
      </c>
      <c r="E32" s="250"/>
      <c r="F32" s="1024"/>
      <c r="G32" s="1024"/>
      <c r="H32" s="1024"/>
      <c r="I32" s="1024"/>
    </row>
  </sheetData>
  <mergeCells count="1">
    <mergeCell ref="A2:I2"/>
  </mergeCells>
  <pageMargins left="0.7" right="0.7" top="0.75" bottom="0.75" header="0.3" footer="0.3"/>
  <ignoredErrors>
    <ignoredError sqref="A32" numberStoredAsText="1"/>
  </ignoredErrors>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BD55-A92E-4F2B-935A-CFC653B053E3}">
  <dimension ref="A2:N80"/>
  <sheetViews>
    <sheetView showGridLines="0" zoomScaleNormal="100" workbookViewId="0">
      <pane xSplit="4" ySplit="4" topLeftCell="E5" activePane="bottomRight" state="frozen"/>
      <selection activeCell="J24" sqref="J24"/>
      <selection pane="topRight" activeCell="J24" sqref="J24"/>
      <selection pane="bottomLeft" activeCell="J24" sqref="J24"/>
      <selection pane="bottomRight" activeCell="J24" sqref="J24"/>
    </sheetView>
  </sheetViews>
  <sheetFormatPr defaultRowHeight="15" x14ac:dyDescent="0.25"/>
  <cols>
    <col min="1" max="1" width="8.625" customWidth="1"/>
    <col min="2" max="2" width="37.25" bestFit="1" customWidth="1"/>
    <col min="3" max="3" width="8.625" bestFit="1" customWidth="1"/>
    <col min="4" max="4" width="2.5" customWidth="1"/>
    <col min="5" max="5" width="15.5" bestFit="1" customWidth="1"/>
    <col min="6" max="6" width="18.625" bestFit="1" customWidth="1"/>
    <col min="7" max="7" width="18.625" customWidth="1"/>
    <col min="13" max="13" width="8.875" bestFit="1" customWidth="1"/>
    <col min="14" max="14" width="17.5" bestFit="1" customWidth="1"/>
  </cols>
  <sheetData>
    <row r="2" spans="1:14" ht="31.5" x14ac:dyDescent="0.25">
      <c r="A2" s="1070" t="s">
        <v>2</v>
      </c>
      <c r="B2" s="1070" t="s">
        <v>29</v>
      </c>
      <c r="C2" s="227" t="s">
        <v>38</v>
      </c>
      <c r="E2" s="227" t="s">
        <v>39</v>
      </c>
      <c r="F2" s="227" t="s">
        <v>28</v>
      </c>
      <c r="G2" s="227" t="s">
        <v>28</v>
      </c>
      <c r="M2" s="227" t="s">
        <v>36</v>
      </c>
      <c r="N2" s="227" t="s">
        <v>190</v>
      </c>
    </row>
    <row r="3" spans="1:14" x14ac:dyDescent="0.25">
      <c r="A3" s="1070"/>
      <c r="B3" s="1070"/>
      <c r="C3" s="25" t="s">
        <v>657</v>
      </c>
      <c r="E3" s="25" t="s">
        <v>658</v>
      </c>
      <c r="F3" s="25" t="s">
        <v>658</v>
      </c>
      <c r="G3" s="25" t="s">
        <v>793</v>
      </c>
      <c r="M3" s="25" t="s">
        <v>363</v>
      </c>
      <c r="N3" s="25" t="s">
        <v>792</v>
      </c>
    </row>
    <row r="4" spans="1:14" ht="4.5" customHeight="1" x14ac:dyDescent="0.25">
      <c r="A4" s="19"/>
      <c r="B4" s="16"/>
      <c r="C4" s="16"/>
      <c r="E4" s="16"/>
      <c r="F4" s="16"/>
      <c r="G4" s="16"/>
      <c r="M4" s="16"/>
      <c r="N4" s="16"/>
    </row>
    <row r="5" spans="1:14" ht="17.25" x14ac:dyDescent="0.3">
      <c r="A5" s="21">
        <v>1</v>
      </c>
      <c r="B5" s="22" t="s">
        <v>31</v>
      </c>
      <c r="C5" s="22"/>
      <c r="E5" s="22"/>
      <c r="F5" s="990">
        <v>284499800000</v>
      </c>
      <c r="G5" s="990">
        <f>F5/26000</f>
        <v>10942300</v>
      </c>
      <c r="M5" s="989"/>
      <c r="N5" s="990">
        <v>23708316666.666668</v>
      </c>
    </row>
    <row r="6" spans="1:14" ht="4.5" customHeight="1" x14ac:dyDescent="0.25">
      <c r="A6" s="19"/>
      <c r="B6" s="16"/>
      <c r="C6" s="16"/>
      <c r="E6" s="16"/>
      <c r="F6" s="991"/>
      <c r="G6" s="991"/>
      <c r="M6" s="991"/>
      <c r="N6" s="16"/>
    </row>
    <row r="7" spans="1:14" x14ac:dyDescent="0.25">
      <c r="A7" s="37" t="s">
        <v>56</v>
      </c>
      <c r="B7" s="230" t="s">
        <v>30</v>
      </c>
      <c r="C7" s="26"/>
      <c r="E7" s="26"/>
      <c r="F7" s="993">
        <v>246389000000.00003</v>
      </c>
      <c r="G7" s="993">
        <f t="shared" ref="G7:G28" si="0">F7/26000</f>
        <v>9476500.0000000019</v>
      </c>
      <c r="M7" s="992"/>
      <c r="N7" s="993">
        <v>20532416666.666668</v>
      </c>
    </row>
    <row r="8" spans="1:14" x14ac:dyDescent="0.25">
      <c r="A8" s="610" t="s">
        <v>215</v>
      </c>
      <c r="B8" s="611" t="s">
        <v>27</v>
      </c>
      <c r="C8" s="637">
        <v>1</v>
      </c>
      <c r="E8" s="994">
        <v>128180000000</v>
      </c>
      <c r="F8" s="994">
        <v>128180000000</v>
      </c>
      <c r="G8" s="994">
        <f t="shared" si="0"/>
        <v>4930000</v>
      </c>
      <c r="M8" s="994">
        <v>12</v>
      </c>
      <c r="N8" s="994">
        <v>10681666666.666666</v>
      </c>
    </row>
    <row r="9" spans="1:14" x14ac:dyDescent="0.25">
      <c r="A9" s="496" t="s">
        <v>216</v>
      </c>
      <c r="B9" s="614" t="s">
        <v>204</v>
      </c>
      <c r="C9" s="454">
        <v>1</v>
      </c>
      <c r="E9" s="463">
        <v>67277930223.441803</v>
      </c>
      <c r="F9" s="463">
        <v>67277930223.441803</v>
      </c>
      <c r="G9" s="463">
        <f t="shared" si="0"/>
        <v>2587612.700901608</v>
      </c>
      <c r="M9" s="463">
        <v>12</v>
      </c>
      <c r="N9" s="463">
        <v>5606494185.2868166</v>
      </c>
    </row>
    <row r="10" spans="1:14" x14ac:dyDescent="0.25">
      <c r="A10" s="496" t="s">
        <v>217</v>
      </c>
      <c r="B10" s="614" t="s">
        <v>205</v>
      </c>
      <c r="C10" s="454">
        <v>1</v>
      </c>
      <c r="E10" s="463">
        <v>39322069776.55822</v>
      </c>
      <c r="F10" s="995">
        <v>39322069776.55822</v>
      </c>
      <c r="G10" s="995">
        <f t="shared" si="0"/>
        <v>1512387.2990983932</v>
      </c>
      <c r="M10" s="463">
        <v>12</v>
      </c>
      <c r="N10" s="995">
        <v>3276839148.0465183</v>
      </c>
    </row>
    <row r="11" spans="1:14" x14ac:dyDescent="0.25">
      <c r="A11" s="496" t="s">
        <v>218</v>
      </c>
      <c r="B11" s="614" t="s">
        <v>166</v>
      </c>
      <c r="C11" s="454">
        <v>1</v>
      </c>
      <c r="E11" s="463">
        <v>2600000000</v>
      </c>
      <c r="F11" s="463">
        <v>2600000000</v>
      </c>
      <c r="G11" s="463">
        <f t="shared" si="0"/>
        <v>100000</v>
      </c>
      <c r="M11" s="463">
        <v>12</v>
      </c>
      <c r="N11" s="463">
        <v>216666666.66666666</v>
      </c>
    </row>
    <row r="12" spans="1:14" x14ac:dyDescent="0.25">
      <c r="A12" s="496" t="s">
        <v>219</v>
      </c>
      <c r="B12" s="614" t="s">
        <v>35</v>
      </c>
      <c r="C12" s="454">
        <v>1</v>
      </c>
      <c r="E12" s="463">
        <v>8580000000</v>
      </c>
      <c r="F12" s="463">
        <v>8580000000</v>
      </c>
      <c r="G12" s="463">
        <f t="shared" si="0"/>
        <v>330000</v>
      </c>
      <c r="M12" s="463">
        <v>12</v>
      </c>
      <c r="N12" s="463">
        <v>715000000</v>
      </c>
    </row>
    <row r="13" spans="1:14" x14ac:dyDescent="0.25">
      <c r="A13" s="496" t="s">
        <v>601</v>
      </c>
      <c r="B13" s="614" t="s">
        <v>602</v>
      </c>
      <c r="C13" s="454">
        <v>1</v>
      </c>
      <c r="E13" s="463">
        <v>429000000</v>
      </c>
      <c r="F13" s="463">
        <v>429000000</v>
      </c>
      <c r="G13" s="463">
        <f t="shared" si="0"/>
        <v>16500</v>
      </c>
      <c r="M13" s="463">
        <v>12</v>
      </c>
      <c r="N13" s="463">
        <v>35750000</v>
      </c>
    </row>
    <row r="14" spans="1:14" ht="4.5" customHeight="1" x14ac:dyDescent="0.25">
      <c r="A14" s="19"/>
      <c r="B14" s="16"/>
      <c r="C14" s="16"/>
      <c r="E14" s="991"/>
      <c r="F14" s="991"/>
      <c r="G14" s="991"/>
      <c r="M14" s="991"/>
      <c r="N14" s="991"/>
    </row>
    <row r="15" spans="1:14" x14ac:dyDescent="0.25">
      <c r="A15" s="37" t="s">
        <v>57</v>
      </c>
      <c r="B15" s="230" t="s">
        <v>32</v>
      </c>
      <c r="C15" s="26"/>
      <c r="E15" s="993"/>
      <c r="F15" s="993">
        <v>38110800000</v>
      </c>
      <c r="G15" s="993">
        <f t="shared" si="0"/>
        <v>1465800</v>
      </c>
      <c r="M15" s="992"/>
      <c r="N15" s="993">
        <v>3175900000</v>
      </c>
    </row>
    <row r="16" spans="1:14" x14ac:dyDescent="0.25">
      <c r="A16" s="610" t="s">
        <v>220</v>
      </c>
      <c r="B16" s="611" t="s">
        <v>210</v>
      </c>
      <c r="C16" s="637">
        <v>1</v>
      </c>
      <c r="E16" s="994">
        <v>7800000000</v>
      </c>
      <c r="F16" s="994">
        <v>7800000000</v>
      </c>
      <c r="G16" s="994">
        <f t="shared" si="0"/>
        <v>300000</v>
      </c>
      <c r="M16" s="994">
        <v>12</v>
      </c>
      <c r="N16" s="994">
        <v>650000000</v>
      </c>
    </row>
    <row r="17" spans="1:14" x14ac:dyDescent="0.25">
      <c r="A17" s="496" t="s">
        <v>221</v>
      </c>
      <c r="B17" s="614" t="s">
        <v>212</v>
      </c>
      <c r="C17" s="454">
        <v>1</v>
      </c>
      <c r="E17" s="463">
        <v>7800000000</v>
      </c>
      <c r="F17" s="463">
        <v>7800000000</v>
      </c>
      <c r="G17" s="463">
        <f t="shared" si="0"/>
        <v>300000</v>
      </c>
      <c r="M17" s="463">
        <v>12</v>
      </c>
      <c r="N17" s="463">
        <v>650000000</v>
      </c>
    </row>
    <row r="18" spans="1:14" x14ac:dyDescent="0.25">
      <c r="A18" s="496" t="s">
        <v>222</v>
      </c>
      <c r="B18" s="614" t="s">
        <v>208</v>
      </c>
      <c r="C18" s="454">
        <v>1</v>
      </c>
      <c r="E18" s="463">
        <v>3900000000</v>
      </c>
      <c r="F18" s="463">
        <v>3900000000</v>
      </c>
      <c r="G18" s="463">
        <f t="shared" si="0"/>
        <v>150000</v>
      </c>
      <c r="M18" s="463">
        <v>12</v>
      </c>
      <c r="N18" s="463">
        <v>325000000</v>
      </c>
    </row>
    <row r="19" spans="1:14" x14ac:dyDescent="0.25">
      <c r="A19" s="496" t="s">
        <v>223</v>
      </c>
      <c r="B19" s="614" t="s">
        <v>33</v>
      </c>
      <c r="C19" s="454">
        <v>1</v>
      </c>
      <c r="E19" s="463">
        <v>3250000000</v>
      </c>
      <c r="F19" s="463">
        <v>3250000000</v>
      </c>
      <c r="G19" s="463">
        <f t="shared" si="0"/>
        <v>125000</v>
      </c>
      <c r="M19" s="463">
        <v>12</v>
      </c>
      <c r="N19" s="463">
        <v>270833333.33333331</v>
      </c>
    </row>
    <row r="20" spans="1:14" x14ac:dyDescent="0.25">
      <c r="A20" s="496" t="s">
        <v>214</v>
      </c>
      <c r="B20" s="614" t="s">
        <v>209</v>
      </c>
      <c r="C20" s="454">
        <v>1</v>
      </c>
      <c r="E20" s="463">
        <v>2600000000</v>
      </c>
      <c r="F20" s="463">
        <v>2600000000</v>
      </c>
      <c r="G20" s="463">
        <f t="shared" si="0"/>
        <v>100000</v>
      </c>
      <c r="M20" s="463">
        <v>12</v>
      </c>
      <c r="N20" s="463">
        <v>216666666.66666666</v>
      </c>
    </row>
    <row r="21" spans="1:14" x14ac:dyDescent="0.25">
      <c r="A21" s="496" t="s">
        <v>364</v>
      </c>
      <c r="B21" s="614" t="s">
        <v>211</v>
      </c>
      <c r="C21" s="454">
        <v>1</v>
      </c>
      <c r="E21" s="463">
        <v>2600000000</v>
      </c>
      <c r="F21" s="463">
        <v>2600000000</v>
      </c>
      <c r="G21" s="463">
        <f t="shared" si="0"/>
        <v>100000</v>
      </c>
      <c r="M21" s="463">
        <v>12</v>
      </c>
      <c r="N21" s="463">
        <v>216666666.66666666</v>
      </c>
    </row>
    <row r="22" spans="1:14" x14ac:dyDescent="0.25">
      <c r="A22" s="496" t="s">
        <v>372</v>
      </c>
      <c r="B22" s="614" t="s">
        <v>213</v>
      </c>
      <c r="C22" s="454">
        <v>1</v>
      </c>
      <c r="E22" s="463">
        <v>2600000000</v>
      </c>
      <c r="F22" s="463">
        <v>2600000000</v>
      </c>
      <c r="G22" s="463">
        <f t="shared" si="0"/>
        <v>100000</v>
      </c>
      <c r="M22" s="463">
        <v>12</v>
      </c>
      <c r="N22" s="463">
        <v>216666666.66666666</v>
      </c>
    </row>
    <row r="23" spans="1:14" x14ac:dyDescent="0.25">
      <c r="A23" s="619" t="s">
        <v>373</v>
      </c>
      <c r="B23" s="620" t="s">
        <v>366</v>
      </c>
      <c r="C23" s="996">
        <v>1</v>
      </c>
      <c r="E23" s="473">
        <v>2080000000</v>
      </c>
      <c r="F23" s="473">
        <v>2080000000</v>
      </c>
      <c r="G23" s="473">
        <f t="shared" si="0"/>
        <v>80000</v>
      </c>
      <c r="M23" s="473">
        <v>12</v>
      </c>
      <c r="N23" s="473">
        <v>173333333.33333334</v>
      </c>
    </row>
    <row r="24" spans="1:14" x14ac:dyDescent="0.25">
      <c r="A24" s="619" t="s">
        <v>413</v>
      </c>
      <c r="B24" s="620" t="s">
        <v>365</v>
      </c>
      <c r="C24" s="996">
        <v>1</v>
      </c>
      <c r="E24" s="473">
        <v>2080000000</v>
      </c>
      <c r="F24" s="473">
        <v>2080000000</v>
      </c>
      <c r="G24" s="473">
        <f t="shared" si="0"/>
        <v>80000</v>
      </c>
      <c r="M24" s="473">
        <v>12</v>
      </c>
      <c r="N24" s="473">
        <v>173333333.33333334</v>
      </c>
    </row>
    <row r="25" spans="1:14" x14ac:dyDescent="0.25">
      <c r="A25" s="496" t="s">
        <v>414</v>
      </c>
      <c r="B25" s="614" t="s">
        <v>34</v>
      </c>
      <c r="C25" s="454">
        <v>1</v>
      </c>
      <c r="E25" s="463">
        <v>1352000000</v>
      </c>
      <c r="F25" s="463">
        <v>1352000000</v>
      </c>
      <c r="G25" s="463">
        <f t="shared" si="0"/>
        <v>52000</v>
      </c>
      <c r="M25" s="463">
        <v>12</v>
      </c>
      <c r="N25" s="463">
        <v>112666666.66666667</v>
      </c>
    </row>
    <row r="26" spans="1:14" x14ac:dyDescent="0.25">
      <c r="A26" s="496" t="s">
        <v>415</v>
      </c>
      <c r="B26" s="614" t="s">
        <v>206</v>
      </c>
      <c r="C26" s="454">
        <v>1</v>
      </c>
      <c r="E26" s="463">
        <v>1248000000</v>
      </c>
      <c r="F26" s="463">
        <v>1248000000</v>
      </c>
      <c r="G26" s="463">
        <f t="shared" si="0"/>
        <v>48000</v>
      </c>
      <c r="M26" s="463">
        <v>12</v>
      </c>
      <c r="N26" s="463">
        <v>104000000</v>
      </c>
    </row>
    <row r="27" spans="1:14" x14ac:dyDescent="0.25">
      <c r="A27" s="496" t="s">
        <v>416</v>
      </c>
      <c r="B27" s="614" t="s">
        <v>207</v>
      </c>
      <c r="C27" s="454">
        <v>1</v>
      </c>
      <c r="E27" s="463">
        <v>780000000</v>
      </c>
      <c r="F27" s="463">
        <v>780000000</v>
      </c>
      <c r="G27" s="463">
        <f t="shared" si="0"/>
        <v>30000</v>
      </c>
      <c r="M27" s="463">
        <v>12</v>
      </c>
      <c r="N27" s="463">
        <v>65000000</v>
      </c>
    </row>
    <row r="28" spans="1:14" x14ac:dyDescent="0.25">
      <c r="A28" s="496" t="s">
        <v>417</v>
      </c>
      <c r="B28" s="614" t="s">
        <v>294</v>
      </c>
      <c r="C28" s="454">
        <v>1</v>
      </c>
      <c r="E28" s="463">
        <v>20800000</v>
      </c>
      <c r="F28" s="463">
        <v>20800000</v>
      </c>
      <c r="G28" s="463">
        <f t="shared" si="0"/>
        <v>800</v>
      </c>
      <c r="M28" s="463">
        <v>12</v>
      </c>
      <c r="N28" s="463">
        <v>1733333.3333333333</v>
      </c>
    </row>
    <row r="29" spans="1:14" ht="4.5" customHeight="1" x14ac:dyDescent="0.25">
      <c r="E29" s="244"/>
      <c r="F29" s="244"/>
      <c r="G29" s="244"/>
      <c r="M29" s="244"/>
      <c r="N29" s="244"/>
    </row>
    <row r="30" spans="1:14" ht="17.25" x14ac:dyDescent="0.3">
      <c r="A30" s="38"/>
      <c r="B30" s="22" t="s">
        <v>322</v>
      </c>
      <c r="C30" s="44">
        <v>2000</v>
      </c>
      <c r="E30" s="990"/>
      <c r="F30" s="990">
        <v>0</v>
      </c>
      <c r="G30" s="990"/>
      <c r="M30" s="989"/>
      <c r="N30" s="990">
        <v>0</v>
      </c>
    </row>
    <row r="31" spans="1:14" x14ac:dyDescent="0.25">
      <c r="A31" s="623"/>
      <c r="B31" s="611" t="s">
        <v>67</v>
      </c>
      <c r="C31" s="994">
        <v>1900</v>
      </c>
      <c r="E31" s="994">
        <v>75000000</v>
      </c>
      <c r="F31" s="994">
        <v>0</v>
      </c>
      <c r="G31" s="994"/>
      <c r="M31" s="994">
        <v>25</v>
      </c>
      <c r="N31" s="994">
        <v>0</v>
      </c>
    </row>
    <row r="32" spans="1:14" x14ac:dyDescent="0.25">
      <c r="A32" s="624"/>
      <c r="B32" s="614" t="s">
        <v>68</v>
      </c>
      <c r="C32" s="463">
        <v>100</v>
      </c>
      <c r="E32" s="463">
        <v>75000000</v>
      </c>
      <c r="F32" s="463">
        <v>0</v>
      </c>
      <c r="G32" s="463"/>
      <c r="M32" s="463">
        <v>25</v>
      </c>
      <c r="N32" s="463">
        <v>0</v>
      </c>
    </row>
    <row r="33" spans="1:14" ht="4.5" customHeight="1" x14ac:dyDescent="0.25">
      <c r="N33" s="244"/>
    </row>
    <row r="34" spans="1:14" ht="17.25" x14ac:dyDescent="0.3">
      <c r="A34" s="38" t="s">
        <v>42</v>
      </c>
      <c r="B34" s="22" t="s">
        <v>781</v>
      </c>
      <c r="C34" s="990"/>
      <c r="E34" s="990"/>
      <c r="F34" s="990">
        <v>16250000000</v>
      </c>
      <c r="G34" s="990">
        <f t="shared" ref="G34:G55" si="1">F34/26000</f>
        <v>625000</v>
      </c>
      <c r="M34" s="989"/>
      <c r="N34" s="990">
        <v>1354166666.666666</v>
      </c>
    </row>
    <row r="35" spans="1:14" x14ac:dyDescent="0.25">
      <c r="A35" s="623" t="s">
        <v>241</v>
      </c>
      <c r="B35" s="611" t="s">
        <v>295</v>
      </c>
      <c r="C35" s="994">
        <v>1</v>
      </c>
      <c r="E35" s="994">
        <v>5200000000</v>
      </c>
      <c r="F35" s="994">
        <v>5200000000</v>
      </c>
      <c r="G35" s="994">
        <f t="shared" si="1"/>
        <v>200000</v>
      </c>
      <c r="M35" s="994">
        <v>12</v>
      </c>
      <c r="N35" s="994">
        <v>433333333.33333331</v>
      </c>
    </row>
    <row r="36" spans="1:14" x14ac:dyDescent="0.25">
      <c r="A36" s="624" t="s">
        <v>242</v>
      </c>
      <c r="B36" s="614" t="s">
        <v>224</v>
      </c>
      <c r="C36" s="463">
        <v>1</v>
      </c>
      <c r="E36" s="463">
        <v>5200000000</v>
      </c>
      <c r="F36" s="463">
        <v>5200000000</v>
      </c>
      <c r="G36" s="463">
        <f t="shared" si="1"/>
        <v>200000</v>
      </c>
      <c r="M36" s="463">
        <v>12</v>
      </c>
      <c r="N36" s="463">
        <v>433333333.33333331</v>
      </c>
    </row>
    <row r="37" spans="1:14" x14ac:dyDescent="0.25">
      <c r="A37" s="624" t="s">
        <v>794</v>
      </c>
      <c r="B37" s="614" t="s">
        <v>225</v>
      </c>
      <c r="C37" s="463">
        <v>1</v>
      </c>
      <c r="E37" s="463">
        <v>3042000000</v>
      </c>
      <c r="F37" s="463">
        <v>3042000000</v>
      </c>
      <c r="G37" s="463">
        <f t="shared" si="1"/>
        <v>117000</v>
      </c>
      <c r="M37" s="463">
        <v>12</v>
      </c>
      <c r="N37" s="463">
        <v>253500000</v>
      </c>
    </row>
    <row r="38" spans="1:14" x14ac:dyDescent="0.25">
      <c r="A38" s="624" t="s">
        <v>795</v>
      </c>
      <c r="B38" s="614" t="s">
        <v>230</v>
      </c>
      <c r="C38" s="463">
        <v>1</v>
      </c>
      <c r="E38" s="463">
        <v>650000000</v>
      </c>
      <c r="F38" s="463">
        <v>650000000</v>
      </c>
      <c r="G38" s="463">
        <f t="shared" si="1"/>
        <v>25000</v>
      </c>
      <c r="M38" s="463">
        <v>12</v>
      </c>
      <c r="N38" s="463">
        <v>54166666.666666664</v>
      </c>
    </row>
    <row r="39" spans="1:14" x14ac:dyDescent="0.25">
      <c r="A39" s="624" t="s">
        <v>796</v>
      </c>
      <c r="B39" s="614" t="s">
        <v>236</v>
      </c>
      <c r="C39" s="463">
        <v>1</v>
      </c>
      <c r="E39" s="463">
        <v>442000000</v>
      </c>
      <c r="F39" s="463">
        <v>442000000</v>
      </c>
      <c r="G39" s="463">
        <f t="shared" si="1"/>
        <v>17000</v>
      </c>
      <c r="M39" s="463">
        <v>12</v>
      </c>
      <c r="N39" s="463">
        <v>36833333.333333336</v>
      </c>
    </row>
    <row r="40" spans="1:14" x14ac:dyDescent="0.25">
      <c r="A40" s="624" t="s">
        <v>797</v>
      </c>
      <c r="B40" s="614" t="s">
        <v>228</v>
      </c>
      <c r="C40" s="463">
        <v>1</v>
      </c>
      <c r="E40" s="463">
        <v>260000000</v>
      </c>
      <c r="F40" s="463">
        <v>260000000</v>
      </c>
      <c r="G40" s="463">
        <f t="shared" si="1"/>
        <v>10000</v>
      </c>
      <c r="M40" s="463">
        <v>12</v>
      </c>
      <c r="N40" s="463">
        <v>21666666.666666668</v>
      </c>
    </row>
    <row r="41" spans="1:14" x14ac:dyDescent="0.25">
      <c r="A41" s="624" t="s">
        <v>798</v>
      </c>
      <c r="B41" s="614" t="s">
        <v>231</v>
      </c>
      <c r="C41" s="463">
        <v>1</v>
      </c>
      <c r="E41" s="463">
        <v>143000000</v>
      </c>
      <c r="F41" s="463">
        <v>143000000</v>
      </c>
      <c r="G41" s="463">
        <f t="shared" si="1"/>
        <v>5500</v>
      </c>
      <c r="M41" s="463">
        <v>12</v>
      </c>
      <c r="N41" s="463">
        <v>11916666.666666666</v>
      </c>
    </row>
    <row r="42" spans="1:14" x14ac:dyDescent="0.25">
      <c r="A42" s="624" t="s">
        <v>799</v>
      </c>
      <c r="B42" s="614" t="s">
        <v>227</v>
      </c>
      <c r="C42" s="463">
        <v>1</v>
      </c>
      <c r="E42" s="463">
        <v>130000000</v>
      </c>
      <c r="F42" s="463">
        <v>130000000</v>
      </c>
      <c r="G42" s="463">
        <f t="shared" si="1"/>
        <v>5000</v>
      </c>
      <c r="M42" s="463">
        <v>12</v>
      </c>
      <c r="N42" s="463">
        <v>10833333.333333334</v>
      </c>
    </row>
    <row r="43" spans="1:14" x14ac:dyDescent="0.25">
      <c r="A43" s="624" t="s">
        <v>800</v>
      </c>
      <c r="B43" s="614" t="s">
        <v>549</v>
      </c>
      <c r="C43" s="463">
        <v>1</v>
      </c>
      <c r="E43" s="463">
        <v>130000000</v>
      </c>
      <c r="F43" s="463">
        <v>130000000</v>
      </c>
      <c r="G43" s="463">
        <f t="shared" si="1"/>
        <v>5000</v>
      </c>
      <c r="M43" s="463">
        <v>12</v>
      </c>
      <c r="N43" s="463">
        <v>10833333.333333334</v>
      </c>
    </row>
    <row r="44" spans="1:14" x14ac:dyDescent="0.25">
      <c r="A44" s="624" t="s">
        <v>801</v>
      </c>
      <c r="B44" s="614" t="s">
        <v>232</v>
      </c>
      <c r="C44" s="463">
        <v>1</v>
      </c>
      <c r="E44" s="463">
        <v>130000000</v>
      </c>
      <c r="F44" s="463">
        <v>130000000</v>
      </c>
      <c r="G44" s="463">
        <f t="shared" si="1"/>
        <v>5000</v>
      </c>
      <c r="M44" s="463">
        <v>12</v>
      </c>
      <c r="N44" s="463">
        <v>10833333.333333334</v>
      </c>
    </row>
    <row r="45" spans="1:14" x14ac:dyDescent="0.25">
      <c r="A45" s="624" t="s">
        <v>802</v>
      </c>
      <c r="B45" s="614" t="s">
        <v>233</v>
      </c>
      <c r="C45" s="463">
        <v>1</v>
      </c>
      <c r="E45" s="463">
        <v>130000000</v>
      </c>
      <c r="F45" s="463">
        <v>130000000</v>
      </c>
      <c r="G45" s="463">
        <f t="shared" si="1"/>
        <v>5000</v>
      </c>
      <c r="M45" s="463">
        <v>12</v>
      </c>
      <c r="N45" s="463">
        <v>10833333.333333334</v>
      </c>
    </row>
    <row r="46" spans="1:14" x14ac:dyDescent="0.25">
      <c r="A46" s="624" t="s">
        <v>803</v>
      </c>
      <c r="B46" s="614" t="s">
        <v>235</v>
      </c>
      <c r="C46" s="463">
        <v>1</v>
      </c>
      <c r="E46" s="463">
        <v>130000000</v>
      </c>
      <c r="F46" s="463">
        <v>130000000</v>
      </c>
      <c r="G46" s="463">
        <f t="shared" si="1"/>
        <v>5000</v>
      </c>
      <c r="M46" s="463">
        <v>12</v>
      </c>
      <c r="N46" s="463">
        <v>10833333.333333334</v>
      </c>
    </row>
    <row r="47" spans="1:14" x14ac:dyDescent="0.25">
      <c r="A47" s="624" t="s">
        <v>804</v>
      </c>
      <c r="B47" s="614" t="s">
        <v>237</v>
      </c>
      <c r="C47" s="463">
        <v>1</v>
      </c>
      <c r="E47" s="463">
        <v>130000000</v>
      </c>
      <c r="F47" s="463">
        <v>130000000</v>
      </c>
      <c r="G47" s="463">
        <f t="shared" si="1"/>
        <v>5000</v>
      </c>
      <c r="M47" s="463">
        <v>12</v>
      </c>
      <c r="N47" s="463">
        <v>10833333.333333334</v>
      </c>
    </row>
    <row r="48" spans="1:14" x14ac:dyDescent="0.25">
      <c r="A48" s="624" t="s">
        <v>805</v>
      </c>
      <c r="B48" s="614" t="s">
        <v>238</v>
      </c>
      <c r="C48" s="463">
        <v>1</v>
      </c>
      <c r="E48" s="463">
        <v>130000000</v>
      </c>
      <c r="F48" s="463">
        <v>130000000</v>
      </c>
      <c r="G48" s="463">
        <f t="shared" si="1"/>
        <v>5000</v>
      </c>
      <c r="M48" s="463">
        <v>12</v>
      </c>
      <c r="N48" s="463">
        <v>10833333.333333334</v>
      </c>
    </row>
    <row r="49" spans="1:14" x14ac:dyDescent="0.25">
      <c r="A49" s="624" t="s">
        <v>806</v>
      </c>
      <c r="B49" s="614" t="s">
        <v>239</v>
      </c>
      <c r="C49" s="463">
        <v>1</v>
      </c>
      <c r="E49" s="463">
        <v>130000000</v>
      </c>
      <c r="F49" s="463">
        <v>130000000</v>
      </c>
      <c r="G49" s="463">
        <f t="shared" si="1"/>
        <v>5000</v>
      </c>
      <c r="M49" s="463">
        <v>12</v>
      </c>
      <c r="N49" s="463">
        <v>10833333.333333334</v>
      </c>
    </row>
    <row r="50" spans="1:14" x14ac:dyDescent="0.25">
      <c r="A50" s="624" t="s">
        <v>807</v>
      </c>
      <c r="B50" s="614" t="s">
        <v>240</v>
      </c>
      <c r="C50" s="463">
        <v>1</v>
      </c>
      <c r="E50" s="463">
        <v>130000000</v>
      </c>
      <c r="F50" s="463">
        <v>130000000</v>
      </c>
      <c r="G50" s="463">
        <f t="shared" si="1"/>
        <v>5000</v>
      </c>
      <c r="M50" s="463">
        <v>12</v>
      </c>
      <c r="N50" s="463">
        <v>10833333.333333334</v>
      </c>
    </row>
    <row r="51" spans="1:14" x14ac:dyDescent="0.25">
      <c r="A51" s="624" t="s">
        <v>808</v>
      </c>
      <c r="B51" s="614" t="s">
        <v>229</v>
      </c>
      <c r="C51" s="463">
        <v>1</v>
      </c>
      <c r="E51" s="463">
        <v>65000000</v>
      </c>
      <c r="F51" s="463">
        <v>65000000</v>
      </c>
      <c r="G51" s="463">
        <f t="shared" si="1"/>
        <v>2500</v>
      </c>
      <c r="M51" s="463">
        <v>12</v>
      </c>
      <c r="N51" s="463">
        <v>5416666.666666667</v>
      </c>
    </row>
    <row r="52" spans="1:14" x14ac:dyDescent="0.25">
      <c r="A52" s="624" t="s">
        <v>809</v>
      </c>
      <c r="B52" s="614" t="s">
        <v>226</v>
      </c>
      <c r="C52" s="463">
        <v>1</v>
      </c>
      <c r="E52" s="463">
        <v>52000000</v>
      </c>
      <c r="F52" s="463">
        <v>52000000</v>
      </c>
      <c r="G52" s="463">
        <f t="shared" si="1"/>
        <v>2000</v>
      </c>
      <c r="M52" s="463">
        <v>12</v>
      </c>
      <c r="N52" s="463">
        <v>4333333.333333333</v>
      </c>
    </row>
    <row r="53" spans="1:14" x14ac:dyDescent="0.25">
      <c r="A53" s="624" t="s">
        <v>810</v>
      </c>
      <c r="B53" s="614" t="s">
        <v>234</v>
      </c>
      <c r="C53" s="463">
        <v>1</v>
      </c>
      <c r="E53" s="463">
        <v>26000000</v>
      </c>
      <c r="F53" s="463">
        <v>26000000</v>
      </c>
      <c r="G53" s="463">
        <f t="shared" si="1"/>
        <v>1000</v>
      </c>
      <c r="M53" s="463">
        <v>12</v>
      </c>
      <c r="N53" s="463">
        <v>2166666.6666666665</v>
      </c>
    </row>
    <row r="54" spans="1:14" ht="4.5" customHeight="1" thickBot="1" x14ac:dyDescent="0.3">
      <c r="N54" s="244"/>
    </row>
    <row r="55" spans="1:14" ht="18" thickBot="1" x14ac:dyDescent="0.3">
      <c r="A55" s="42" t="s">
        <v>66</v>
      </c>
      <c r="B55" s="42"/>
      <c r="C55" s="42"/>
      <c r="E55" s="42"/>
      <c r="F55" s="43">
        <v>300749800000</v>
      </c>
      <c r="G55" s="43">
        <f t="shared" si="1"/>
        <v>11567300</v>
      </c>
      <c r="M55" s="141"/>
      <c r="N55" s="997">
        <v>25062483333.333336</v>
      </c>
    </row>
    <row r="59" spans="1:14" ht="15.75" x14ac:dyDescent="0.25">
      <c r="A59" s="1070" t="s">
        <v>2</v>
      </c>
      <c r="B59" s="1070" t="s">
        <v>29</v>
      </c>
      <c r="C59" s="227" t="s">
        <v>38</v>
      </c>
      <c r="E59" s="227" t="s">
        <v>39</v>
      </c>
      <c r="F59" s="227" t="s">
        <v>28</v>
      </c>
      <c r="G59" s="227" t="s">
        <v>28</v>
      </c>
    </row>
    <row r="60" spans="1:14" x14ac:dyDescent="0.25">
      <c r="A60" s="1070"/>
      <c r="B60" s="1070"/>
      <c r="C60" s="25" t="s">
        <v>657</v>
      </c>
      <c r="E60" s="25" t="s">
        <v>658</v>
      </c>
      <c r="F60" s="25" t="s">
        <v>658</v>
      </c>
      <c r="G60" s="25" t="s">
        <v>793</v>
      </c>
    </row>
    <row r="61" spans="1:14" ht="17.25" x14ac:dyDescent="0.3">
      <c r="A61" s="38" t="s">
        <v>42</v>
      </c>
      <c r="B61" s="22" t="s">
        <v>781</v>
      </c>
      <c r="C61" s="990"/>
      <c r="E61" s="990"/>
      <c r="F61" s="990">
        <v>16250000000</v>
      </c>
      <c r="G61" s="990">
        <v>625000</v>
      </c>
    </row>
    <row r="62" spans="1:14" x14ac:dyDescent="0.25">
      <c r="A62" s="623" t="s">
        <v>241</v>
      </c>
      <c r="B62" s="611" t="s">
        <v>295</v>
      </c>
      <c r="C62" s="994">
        <v>1</v>
      </c>
      <c r="E62" s="994">
        <v>5200000000</v>
      </c>
      <c r="F62" s="994">
        <v>5200000000</v>
      </c>
      <c r="G62" s="994">
        <v>200000</v>
      </c>
    </row>
    <row r="63" spans="1:14" x14ac:dyDescent="0.25">
      <c r="A63" s="624" t="s">
        <v>242</v>
      </c>
      <c r="B63" s="614" t="s">
        <v>224</v>
      </c>
      <c r="C63" s="463">
        <v>1</v>
      </c>
      <c r="E63" s="463">
        <v>5200000000</v>
      </c>
      <c r="F63" s="463">
        <v>5200000000</v>
      </c>
      <c r="G63" s="463">
        <v>200000</v>
      </c>
    </row>
    <row r="64" spans="1:14" x14ac:dyDescent="0.25">
      <c r="A64" s="624" t="s">
        <v>794</v>
      </c>
      <c r="B64" s="614" t="s">
        <v>225</v>
      </c>
      <c r="C64" s="463">
        <v>1</v>
      </c>
      <c r="E64" s="463">
        <v>3042000000</v>
      </c>
      <c r="F64" s="463">
        <v>3042000000</v>
      </c>
      <c r="G64" s="463">
        <v>117000</v>
      </c>
    </row>
    <row r="65" spans="1:7" x14ac:dyDescent="0.25">
      <c r="A65" s="624" t="s">
        <v>795</v>
      </c>
      <c r="B65" s="614" t="s">
        <v>230</v>
      </c>
      <c r="C65" s="463">
        <v>1</v>
      </c>
      <c r="E65" s="463">
        <v>650000000</v>
      </c>
      <c r="F65" s="463">
        <v>650000000</v>
      </c>
      <c r="G65" s="463">
        <v>25000</v>
      </c>
    </row>
    <row r="66" spans="1:7" x14ac:dyDescent="0.25">
      <c r="A66" s="624" t="s">
        <v>796</v>
      </c>
      <c r="B66" s="614" t="s">
        <v>236</v>
      </c>
      <c r="C66" s="463">
        <v>1</v>
      </c>
      <c r="E66" s="463">
        <v>442000000</v>
      </c>
      <c r="F66" s="463">
        <v>442000000</v>
      </c>
      <c r="G66" s="463">
        <v>17000</v>
      </c>
    </row>
    <row r="67" spans="1:7" x14ac:dyDescent="0.25">
      <c r="A67" s="624" t="s">
        <v>797</v>
      </c>
      <c r="B67" s="614" t="s">
        <v>228</v>
      </c>
      <c r="C67" s="463">
        <v>1</v>
      </c>
      <c r="E67" s="463">
        <v>260000000</v>
      </c>
      <c r="F67" s="463">
        <v>260000000</v>
      </c>
      <c r="G67" s="463">
        <v>10000</v>
      </c>
    </row>
    <row r="68" spans="1:7" x14ac:dyDescent="0.25">
      <c r="A68" s="624" t="s">
        <v>798</v>
      </c>
      <c r="B68" s="614" t="s">
        <v>231</v>
      </c>
      <c r="C68" s="463">
        <v>1</v>
      </c>
      <c r="E68" s="463">
        <v>143000000</v>
      </c>
      <c r="F68" s="463">
        <v>143000000</v>
      </c>
      <c r="G68" s="463">
        <v>5500</v>
      </c>
    </row>
    <row r="69" spans="1:7" x14ac:dyDescent="0.25">
      <c r="A69" s="624" t="s">
        <v>799</v>
      </c>
      <c r="B69" s="614" t="s">
        <v>227</v>
      </c>
      <c r="C69" s="463">
        <v>1</v>
      </c>
      <c r="E69" s="463">
        <v>130000000</v>
      </c>
      <c r="F69" s="463">
        <v>130000000</v>
      </c>
      <c r="G69" s="463">
        <v>5000</v>
      </c>
    </row>
    <row r="70" spans="1:7" x14ac:dyDescent="0.25">
      <c r="A70" s="624" t="s">
        <v>800</v>
      </c>
      <c r="B70" s="614" t="s">
        <v>549</v>
      </c>
      <c r="C70" s="463">
        <v>1</v>
      </c>
      <c r="E70" s="463">
        <v>130000000</v>
      </c>
      <c r="F70" s="463">
        <v>130000000</v>
      </c>
      <c r="G70" s="463">
        <v>5000</v>
      </c>
    </row>
    <row r="71" spans="1:7" x14ac:dyDescent="0.25">
      <c r="A71" s="624" t="s">
        <v>801</v>
      </c>
      <c r="B71" s="614" t="s">
        <v>232</v>
      </c>
      <c r="C71" s="463">
        <v>1</v>
      </c>
      <c r="E71" s="463">
        <v>130000000</v>
      </c>
      <c r="F71" s="463">
        <v>130000000</v>
      </c>
      <c r="G71" s="463">
        <v>5000</v>
      </c>
    </row>
    <row r="72" spans="1:7" x14ac:dyDescent="0.25">
      <c r="A72" s="624" t="s">
        <v>802</v>
      </c>
      <c r="B72" s="614" t="s">
        <v>233</v>
      </c>
      <c r="C72" s="463">
        <v>1</v>
      </c>
      <c r="E72" s="463">
        <v>130000000</v>
      </c>
      <c r="F72" s="463">
        <v>130000000</v>
      </c>
      <c r="G72" s="463">
        <v>5000</v>
      </c>
    </row>
    <row r="73" spans="1:7" x14ac:dyDescent="0.25">
      <c r="A73" s="624" t="s">
        <v>803</v>
      </c>
      <c r="B73" s="614" t="s">
        <v>235</v>
      </c>
      <c r="C73" s="463">
        <v>1</v>
      </c>
      <c r="E73" s="463">
        <v>130000000</v>
      </c>
      <c r="F73" s="463">
        <v>130000000</v>
      </c>
      <c r="G73" s="463">
        <v>5000</v>
      </c>
    </row>
    <row r="74" spans="1:7" x14ac:dyDescent="0.25">
      <c r="A74" s="624" t="s">
        <v>804</v>
      </c>
      <c r="B74" s="614" t="s">
        <v>237</v>
      </c>
      <c r="C74" s="463">
        <v>1</v>
      </c>
      <c r="E74" s="463">
        <v>130000000</v>
      </c>
      <c r="F74" s="463">
        <v>130000000</v>
      </c>
      <c r="G74" s="463">
        <v>5000</v>
      </c>
    </row>
    <row r="75" spans="1:7" x14ac:dyDescent="0.25">
      <c r="A75" s="624" t="s">
        <v>805</v>
      </c>
      <c r="B75" s="614" t="s">
        <v>238</v>
      </c>
      <c r="C75" s="463">
        <v>1</v>
      </c>
      <c r="E75" s="463">
        <v>130000000</v>
      </c>
      <c r="F75" s="463">
        <v>130000000</v>
      </c>
      <c r="G75" s="463">
        <v>5000</v>
      </c>
    </row>
    <row r="76" spans="1:7" x14ac:dyDescent="0.25">
      <c r="A76" s="624" t="s">
        <v>806</v>
      </c>
      <c r="B76" s="614" t="s">
        <v>239</v>
      </c>
      <c r="C76" s="463">
        <v>1</v>
      </c>
      <c r="E76" s="463">
        <v>130000000</v>
      </c>
      <c r="F76" s="463">
        <v>130000000</v>
      </c>
      <c r="G76" s="463">
        <v>5000</v>
      </c>
    </row>
    <row r="77" spans="1:7" x14ac:dyDescent="0.25">
      <c r="A77" s="624" t="s">
        <v>807</v>
      </c>
      <c r="B77" s="614" t="s">
        <v>240</v>
      </c>
      <c r="C77" s="463">
        <v>1</v>
      </c>
      <c r="E77" s="463">
        <v>130000000</v>
      </c>
      <c r="F77" s="463">
        <v>130000000</v>
      </c>
      <c r="G77" s="463">
        <v>5000</v>
      </c>
    </row>
    <row r="78" spans="1:7" x14ac:dyDescent="0.25">
      <c r="A78" s="624" t="s">
        <v>808</v>
      </c>
      <c r="B78" s="614" t="s">
        <v>229</v>
      </c>
      <c r="C78" s="463">
        <v>1</v>
      </c>
      <c r="E78" s="463">
        <v>65000000</v>
      </c>
      <c r="F78" s="463">
        <v>65000000</v>
      </c>
      <c r="G78" s="463">
        <v>2500</v>
      </c>
    </row>
    <row r="79" spans="1:7" x14ac:dyDescent="0.25">
      <c r="A79" s="624" t="s">
        <v>809</v>
      </c>
      <c r="B79" s="614" t="s">
        <v>226</v>
      </c>
      <c r="C79" s="463">
        <v>1</v>
      </c>
      <c r="E79" s="463">
        <v>52000000</v>
      </c>
      <c r="F79" s="463">
        <v>52000000</v>
      </c>
      <c r="G79" s="463">
        <v>2000</v>
      </c>
    </row>
    <row r="80" spans="1:7" x14ac:dyDescent="0.25">
      <c r="A80" s="624" t="s">
        <v>810</v>
      </c>
      <c r="B80" s="614" t="s">
        <v>234</v>
      </c>
      <c r="C80" s="463">
        <v>1</v>
      </c>
      <c r="E80" s="463">
        <v>26000000</v>
      </c>
      <c r="F80" s="463">
        <v>26000000</v>
      </c>
      <c r="G80" s="463">
        <v>1000</v>
      </c>
    </row>
  </sheetData>
  <mergeCells count="4">
    <mergeCell ref="A2:A3"/>
    <mergeCell ref="B2:B3"/>
    <mergeCell ref="A59:A60"/>
    <mergeCell ref="B59:B6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91E4-4DF8-45B8-8FD0-3FAAA1EA70DC}">
  <dimension ref="A2:E21"/>
  <sheetViews>
    <sheetView showGridLines="0" zoomScale="130" zoomScaleNormal="130" workbookViewId="0">
      <selection activeCell="J24" sqref="J24"/>
    </sheetView>
  </sheetViews>
  <sheetFormatPr defaultRowHeight="15" x14ac:dyDescent="0.25"/>
  <cols>
    <col min="1" max="1" width="10.625" bestFit="1" customWidth="1"/>
    <col min="2" max="2" width="6.5" bestFit="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t="s">
        <v>297</v>
      </c>
      <c r="C3" s="427" t="s">
        <v>169</v>
      </c>
      <c r="D3" s="424" t="s">
        <v>538</v>
      </c>
      <c r="E3" s="435" t="s">
        <v>298</v>
      </c>
    </row>
    <row r="4" spans="1:5" ht="18.75" customHeight="1" x14ac:dyDescent="0.25">
      <c r="A4" s="108" t="s">
        <v>170</v>
      </c>
      <c r="B4" s="108">
        <v>1521</v>
      </c>
      <c r="C4" s="428" t="s">
        <v>300</v>
      </c>
      <c r="D4" s="840">
        <v>979.2</v>
      </c>
      <c r="E4" s="782">
        <v>0.56159999999999999</v>
      </c>
    </row>
    <row r="5" spans="1:5" ht="18.75" customHeight="1" x14ac:dyDescent="0.25">
      <c r="A5" s="110"/>
      <c r="B5" s="110"/>
      <c r="C5" s="420" t="s">
        <v>167</v>
      </c>
      <c r="D5" s="844">
        <v>979.2</v>
      </c>
      <c r="E5" s="790">
        <v>0.56159999999999999</v>
      </c>
    </row>
    <row r="6" spans="1:5" ht="18.75" customHeight="1" x14ac:dyDescent="0.25">
      <c r="A6" s="108" t="s">
        <v>176</v>
      </c>
      <c r="B6" s="108">
        <v>1522</v>
      </c>
      <c r="C6" s="428" t="s">
        <v>301</v>
      </c>
      <c r="D6" s="840">
        <v>73.703225806451741</v>
      </c>
      <c r="E6" s="782">
        <v>4.2270967741935554E-2</v>
      </c>
    </row>
    <row r="7" spans="1:5" ht="18.75" customHeight="1" x14ac:dyDescent="0.25">
      <c r="A7" s="108" t="s">
        <v>179</v>
      </c>
      <c r="B7" s="108"/>
      <c r="C7" s="428" t="s">
        <v>302</v>
      </c>
      <c r="D7" s="840">
        <v>512.52452191747943</v>
      </c>
      <c r="E7" s="782">
        <v>0.29394788757031909</v>
      </c>
    </row>
    <row r="8" spans="1:5" ht="18.75" customHeight="1" x14ac:dyDescent="0.25">
      <c r="A8" s="110">
        <v>1</v>
      </c>
      <c r="B8" s="110" t="s">
        <v>171</v>
      </c>
      <c r="C8" s="429" t="s">
        <v>303</v>
      </c>
      <c r="D8" s="758">
        <v>39.193355199141216</v>
      </c>
      <c r="E8" s="790">
        <v>2.2478541952448639E-2</v>
      </c>
    </row>
    <row r="9" spans="1:5" ht="18.75" customHeight="1" x14ac:dyDescent="0.25">
      <c r="A9" s="110">
        <v>2</v>
      </c>
      <c r="B9" s="110" t="s">
        <v>173</v>
      </c>
      <c r="C9" s="429" t="s">
        <v>190</v>
      </c>
      <c r="D9" s="758">
        <v>155.62067109850187</v>
      </c>
      <c r="E9" s="790">
        <v>8.9253031953552539E-2</v>
      </c>
    </row>
    <row r="10" spans="1:5" ht="18.75" customHeight="1" x14ac:dyDescent="0.25">
      <c r="A10" s="110">
        <v>3</v>
      </c>
      <c r="B10" s="110" t="s">
        <v>172</v>
      </c>
      <c r="C10" s="429" t="s">
        <v>304</v>
      </c>
      <c r="D10" s="758">
        <v>89.499728274380047</v>
      </c>
      <c r="E10" s="790">
        <v>5.13307265103062E-2</v>
      </c>
    </row>
    <row r="11" spans="1:5" ht="18.75" customHeight="1" x14ac:dyDescent="0.25">
      <c r="A11" s="110">
        <v>4</v>
      </c>
      <c r="B11" s="110" t="s">
        <v>174</v>
      </c>
      <c r="C11" s="430" t="s">
        <v>305</v>
      </c>
      <c r="D11" s="758">
        <v>132.27565106478349</v>
      </c>
      <c r="E11" s="790">
        <v>7.5863976345978759E-2</v>
      </c>
    </row>
    <row r="12" spans="1:5" ht="18.75" customHeight="1" x14ac:dyDescent="0.25">
      <c r="A12" s="110">
        <v>5</v>
      </c>
      <c r="B12" s="110" t="s">
        <v>182</v>
      </c>
      <c r="C12" s="429" t="s">
        <v>181</v>
      </c>
      <c r="D12" s="758">
        <v>74.974798387096769</v>
      </c>
      <c r="E12" s="790">
        <v>4.3000252016129024E-2</v>
      </c>
    </row>
    <row r="13" spans="1:5" ht="18.75" customHeight="1" x14ac:dyDescent="0.25">
      <c r="A13" s="110">
        <v>6</v>
      </c>
      <c r="B13" s="110" t="s">
        <v>306</v>
      </c>
      <c r="C13" s="430" t="s">
        <v>307</v>
      </c>
      <c r="D13" s="758">
        <v>12.713675213675215</v>
      </c>
      <c r="E13" s="790">
        <v>7.2916666666666668E-3</v>
      </c>
    </row>
    <row r="14" spans="1:5" ht="18.75" customHeight="1" x14ac:dyDescent="0.25">
      <c r="A14" s="110">
        <v>7</v>
      </c>
      <c r="B14" s="110" t="s">
        <v>177</v>
      </c>
      <c r="C14" s="430" t="s">
        <v>308</v>
      </c>
      <c r="D14" s="758">
        <v>8.2466426799007468</v>
      </c>
      <c r="E14" s="790">
        <v>4.7296921252371928E-3</v>
      </c>
    </row>
    <row r="15" spans="1:5" ht="18.75" customHeight="1" x14ac:dyDescent="0.25">
      <c r="A15" s="408">
        <v>8</v>
      </c>
      <c r="B15" s="408" t="s">
        <v>178</v>
      </c>
      <c r="C15" s="431" t="s">
        <v>309</v>
      </c>
      <c r="D15" s="759">
        <v>0</v>
      </c>
      <c r="E15" s="798">
        <v>0</v>
      </c>
    </row>
    <row r="16" spans="1:5" ht="18.75" customHeight="1" x14ac:dyDescent="0.25">
      <c r="A16" s="110">
        <v>9</v>
      </c>
      <c r="B16" s="114"/>
      <c r="C16" s="433" t="s">
        <v>310</v>
      </c>
      <c r="D16" s="848">
        <v>1565.4277477239311</v>
      </c>
      <c r="E16" s="803">
        <v>0.89781885531225458</v>
      </c>
    </row>
    <row r="17" spans="1:5" ht="18.75" customHeight="1" x14ac:dyDescent="0.25">
      <c r="A17" s="411">
        <v>10</v>
      </c>
      <c r="B17" s="411" t="s">
        <v>185</v>
      </c>
      <c r="C17" s="432" t="s">
        <v>311</v>
      </c>
      <c r="D17" s="852">
        <v>35.632399173162504</v>
      </c>
      <c r="E17" s="812">
        <v>2.0436228937549084E-2</v>
      </c>
    </row>
    <row r="18" spans="1:5" ht="18.75" customHeight="1" x14ac:dyDescent="0.25">
      <c r="A18" s="108" t="s">
        <v>312</v>
      </c>
      <c r="B18" s="108" t="s">
        <v>183</v>
      </c>
      <c r="C18" s="428" t="s">
        <v>184</v>
      </c>
      <c r="D18" s="840">
        <v>142.52959669265002</v>
      </c>
      <c r="E18" s="782">
        <v>8.1744915750196337E-2</v>
      </c>
    </row>
    <row r="19" spans="1:5" ht="18.75" customHeight="1" x14ac:dyDescent="0.25">
      <c r="A19" s="116" t="s">
        <v>313</v>
      </c>
      <c r="B19" s="114"/>
      <c r="C19" s="433" t="s">
        <v>78</v>
      </c>
      <c r="D19" s="848">
        <v>1743.5897435897436</v>
      </c>
      <c r="E19" s="803">
        <v>1</v>
      </c>
    </row>
    <row r="20" spans="1:5" ht="18.75" customHeight="1" thickBot="1" x14ac:dyDescent="0.3">
      <c r="A20" s="117"/>
      <c r="B20" s="117"/>
      <c r="C20" s="434" t="s">
        <v>314</v>
      </c>
      <c r="D20" s="819"/>
      <c r="E20" s="820">
        <v>0.43840000000000001</v>
      </c>
    </row>
    <row r="21" spans="1:5" ht="15.75" thickTop="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2A84-C9A8-4512-9FA4-9853DA03BD71}">
  <dimension ref="A2:E21"/>
  <sheetViews>
    <sheetView showGridLines="0" zoomScale="115" zoomScaleNormal="115" workbookViewId="0">
      <selection activeCell="J24" sqref="J24"/>
    </sheetView>
  </sheetViews>
  <sheetFormatPr defaultRowHeight="15" x14ac:dyDescent="0.25"/>
  <cols>
    <col min="1" max="1" width="10.625" bestFit="1" customWidth="1"/>
    <col min="2" max="2" width="6.5" bestFit="1" customWidth="1"/>
    <col min="3" max="3" width="36.25" customWidth="1"/>
    <col min="4" max="4" width="13.5" customWidth="1"/>
    <col min="5" max="5" width="16.5" customWidth="1"/>
  </cols>
  <sheetData>
    <row r="2" spans="1:5" ht="15.75" thickBot="1" x14ac:dyDescent="0.3"/>
    <row r="3" spans="1:5" ht="41.25" customHeight="1" thickTop="1" x14ac:dyDescent="0.25">
      <c r="A3" s="106" t="s">
        <v>168</v>
      </c>
      <c r="B3" s="106" t="s">
        <v>297</v>
      </c>
      <c r="C3" s="427" t="s">
        <v>169</v>
      </c>
      <c r="D3" s="424" t="s">
        <v>323</v>
      </c>
      <c r="E3" s="435" t="s">
        <v>298</v>
      </c>
    </row>
    <row r="4" spans="1:5" ht="18.75" customHeight="1" x14ac:dyDescent="0.25">
      <c r="A4" s="108" t="s">
        <v>170</v>
      </c>
      <c r="B4" s="108" t="s">
        <v>536</v>
      </c>
      <c r="C4" s="428" t="s">
        <v>300</v>
      </c>
      <c r="D4" s="840">
        <v>381.88799999999998</v>
      </c>
      <c r="E4" s="782">
        <v>0.56159999999999999</v>
      </c>
    </row>
    <row r="5" spans="1:5" ht="18.75" customHeight="1" x14ac:dyDescent="0.25">
      <c r="A5" s="110"/>
      <c r="B5" s="110" t="s">
        <v>536</v>
      </c>
      <c r="C5" s="420" t="s">
        <v>167</v>
      </c>
      <c r="D5" s="844">
        <v>381.88799999999998</v>
      </c>
      <c r="E5" s="790">
        <v>0.56159999999999999</v>
      </c>
    </row>
    <row r="6" spans="1:5" ht="18.75" customHeight="1" x14ac:dyDescent="0.25">
      <c r="A6" s="108" t="s">
        <v>176</v>
      </c>
      <c r="B6" s="108" t="s">
        <v>537</v>
      </c>
      <c r="C6" s="428" t="s">
        <v>301</v>
      </c>
      <c r="D6" s="840">
        <v>28.744258064516178</v>
      </c>
      <c r="E6" s="782">
        <v>4.2270967741935554E-2</v>
      </c>
    </row>
    <row r="7" spans="1:5" ht="18.75" customHeight="1" x14ac:dyDescent="0.25">
      <c r="A7" s="108" t="s">
        <v>179</v>
      </c>
      <c r="B7" s="108"/>
      <c r="C7" s="428" t="s">
        <v>302</v>
      </c>
      <c r="D7" s="840">
        <v>199.88456354781695</v>
      </c>
      <c r="E7" s="782">
        <v>0.29394788757031903</v>
      </c>
    </row>
    <row r="8" spans="1:5" ht="18.75" customHeight="1" x14ac:dyDescent="0.25">
      <c r="A8" s="110">
        <v>1</v>
      </c>
      <c r="B8" s="110" t="s">
        <v>171</v>
      </c>
      <c r="C8" s="429" t="s">
        <v>303</v>
      </c>
      <c r="D8" s="758">
        <v>15.285408527665071</v>
      </c>
      <c r="E8" s="790">
        <v>2.2478541952448635E-2</v>
      </c>
    </row>
    <row r="9" spans="1:5" ht="18.75" customHeight="1" x14ac:dyDescent="0.25">
      <c r="A9" s="110">
        <v>2</v>
      </c>
      <c r="B9" s="110" t="s">
        <v>173</v>
      </c>
      <c r="C9" s="429" t="s">
        <v>190</v>
      </c>
      <c r="D9" s="758">
        <v>60.692061728415723</v>
      </c>
      <c r="E9" s="790">
        <v>8.9253031953552539E-2</v>
      </c>
    </row>
    <row r="10" spans="1:5" ht="18.75" customHeight="1" x14ac:dyDescent="0.25">
      <c r="A10" s="110">
        <v>3</v>
      </c>
      <c r="B10" s="110" t="s">
        <v>182</v>
      </c>
      <c r="C10" s="429" t="s">
        <v>181</v>
      </c>
      <c r="D10" s="758">
        <v>34.904894027008218</v>
      </c>
      <c r="E10" s="790">
        <v>5.13307265103062E-2</v>
      </c>
    </row>
    <row r="11" spans="1:5" ht="18.75" customHeight="1" x14ac:dyDescent="0.25">
      <c r="A11" s="110">
        <v>4</v>
      </c>
      <c r="B11" s="110" t="s">
        <v>172</v>
      </c>
      <c r="C11" s="430" t="s">
        <v>304</v>
      </c>
      <c r="D11" s="758">
        <v>51.587503915265557</v>
      </c>
      <c r="E11" s="790">
        <v>7.5863976345978759E-2</v>
      </c>
    </row>
    <row r="12" spans="1:5" ht="18.75" customHeight="1" x14ac:dyDescent="0.25">
      <c r="A12" s="110">
        <v>5</v>
      </c>
      <c r="B12" s="110" t="s">
        <v>174</v>
      </c>
      <c r="C12" s="429" t="s">
        <v>305</v>
      </c>
      <c r="D12" s="758">
        <v>29.24017137096774</v>
      </c>
      <c r="E12" s="790">
        <v>4.3000252016129031E-2</v>
      </c>
    </row>
    <row r="13" spans="1:5" ht="18.75" customHeight="1" x14ac:dyDescent="0.25">
      <c r="A13" s="110">
        <v>6</v>
      </c>
      <c r="B13" s="110" t="s">
        <v>306</v>
      </c>
      <c r="C13" s="430" t="s">
        <v>307</v>
      </c>
      <c r="D13" s="758">
        <v>4.958333333333333</v>
      </c>
      <c r="E13" s="790">
        <v>7.2916666666666659E-3</v>
      </c>
    </row>
    <row r="14" spans="1:5" ht="18.75" customHeight="1" x14ac:dyDescent="0.25">
      <c r="A14" s="110">
        <v>7</v>
      </c>
      <c r="B14" s="110" t="s">
        <v>177</v>
      </c>
      <c r="C14" s="430" t="s">
        <v>308</v>
      </c>
      <c r="D14" s="758">
        <v>3.2161906451612912</v>
      </c>
      <c r="E14" s="790">
        <v>4.7296921252371928E-3</v>
      </c>
    </row>
    <row r="15" spans="1:5" ht="18.75" customHeight="1" x14ac:dyDescent="0.25">
      <c r="A15" s="408">
        <v>8</v>
      </c>
      <c r="B15" s="408" t="s">
        <v>178</v>
      </c>
      <c r="C15" s="431" t="s">
        <v>309</v>
      </c>
      <c r="D15" s="759">
        <v>0</v>
      </c>
      <c r="E15" s="798">
        <v>0</v>
      </c>
    </row>
    <row r="16" spans="1:5" ht="18.75" customHeight="1" x14ac:dyDescent="0.25">
      <c r="A16" s="110">
        <v>9</v>
      </c>
      <c r="B16" s="114"/>
      <c r="C16" s="433" t="s">
        <v>310</v>
      </c>
      <c r="D16" s="848">
        <v>610.51682161233316</v>
      </c>
      <c r="E16" s="803">
        <v>0.89781885531225469</v>
      </c>
    </row>
    <row r="17" spans="1:5" ht="18.75" customHeight="1" x14ac:dyDescent="0.25">
      <c r="A17" s="411">
        <v>10</v>
      </c>
      <c r="B17" s="411" t="s">
        <v>185</v>
      </c>
      <c r="C17" s="432" t="s">
        <v>311</v>
      </c>
      <c r="D17" s="852">
        <v>13.896635677533368</v>
      </c>
      <c r="E17" s="812">
        <v>2.043622893754907E-2</v>
      </c>
    </row>
    <row r="18" spans="1:5" ht="18.75" customHeight="1" x14ac:dyDescent="0.25">
      <c r="A18" s="108" t="s">
        <v>312</v>
      </c>
      <c r="B18" s="108" t="s">
        <v>183</v>
      </c>
      <c r="C18" s="428" t="s">
        <v>184</v>
      </c>
      <c r="D18" s="840">
        <v>55.586542710133472</v>
      </c>
      <c r="E18" s="782">
        <v>8.1744915750196281E-2</v>
      </c>
    </row>
    <row r="19" spans="1:5" ht="18.75" customHeight="1" x14ac:dyDescent="0.25">
      <c r="A19" s="116" t="s">
        <v>313</v>
      </c>
      <c r="B19" s="114"/>
      <c r="C19" s="433" t="s">
        <v>78</v>
      </c>
      <c r="D19" s="848">
        <v>680</v>
      </c>
      <c r="E19" s="803">
        <v>1</v>
      </c>
    </row>
    <row r="20" spans="1:5" ht="18.75" customHeight="1" thickBot="1" x14ac:dyDescent="0.3">
      <c r="A20" s="117"/>
      <c r="B20" s="117"/>
      <c r="C20" s="434" t="s">
        <v>314</v>
      </c>
      <c r="D20" s="819"/>
      <c r="E20" s="820">
        <v>0.43840000000000001</v>
      </c>
    </row>
    <row r="21" spans="1:5" ht="15.75" thickTop="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FDD6-3B59-48FD-96FA-A88F6865EDB1}">
  <dimension ref="B2:AD50"/>
  <sheetViews>
    <sheetView showGridLines="0" topLeftCell="A33" zoomScale="90" zoomScaleNormal="90" workbookViewId="0">
      <selection activeCell="J24" sqref="J24"/>
    </sheetView>
  </sheetViews>
  <sheetFormatPr defaultRowHeight="15" x14ac:dyDescent="0.25"/>
  <cols>
    <col min="2" max="2" width="4.375" style="20" bestFit="1" customWidth="1"/>
    <col min="3" max="3" width="28.875" bestFit="1" customWidth="1"/>
    <col min="4" max="4" width="6.75" bestFit="1" customWidth="1"/>
    <col min="5" max="19" width="12.875" hidden="1" customWidth="1"/>
    <col min="20" max="30" width="15.625" customWidth="1"/>
  </cols>
  <sheetData>
    <row r="2" spans="2:30" ht="17.25" x14ac:dyDescent="0.25">
      <c r="B2" s="285" t="s">
        <v>2</v>
      </c>
      <c r="C2" s="285" t="s">
        <v>428</v>
      </c>
      <c r="D2" s="285" t="s">
        <v>62</v>
      </c>
      <c r="E2" s="285">
        <v>2026</v>
      </c>
      <c r="F2" s="285">
        <v>2027</v>
      </c>
      <c r="G2" s="285">
        <v>2028</v>
      </c>
      <c r="H2" s="285">
        <v>2029</v>
      </c>
      <c r="I2" s="285">
        <v>2030</v>
      </c>
      <c r="J2" s="285">
        <v>2031</v>
      </c>
      <c r="K2" s="285">
        <v>2032</v>
      </c>
      <c r="L2" s="285">
        <v>2033</v>
      </c>
      <c r="M2" s="285">
        <v>2034</v>
      </c>
      <c r="N2" s="285">
        <v>2035</v>
      </c>
      <c r="O2" s="285">
        <v>2036</v>
      </c>
      <c r="P2" s="285">
        <v>2037</v>
      </c>
      <c r="Q2" s="285">
        <v>2038</v>
      </c>
      <c r="R2" s="285">
        <v>2039</v>
      </c>
      <c r="S2" s="285">
        <v>2040</v>
      </c>
      <c r="T2" s="285">
        <v>2041</v>
      </c>
      <c r="U2" s="285">
        <v>2042</v>
      </c>
      <c r="V2" s="285">
        <v>2043</v>
      </c>
      <c r="W2" s="285">
        <v>2044</v>
      </c>
      <c r="X2" s="285">
        <v>2045</v>
      </c>
      <c r="Y2" s="285">
        <v>2046</v>
      </c>
      <c r="Z2" s="285">
        <v>2047</v>
      </c>
      <c r="AA2" s="285">
        <v>2048</v>
      </c>
      <c r="AB2" s="285">
        <v>2049</v>
      </c>
      <c r="AC2" s="285">
        <v>2050</v>
      </c>
      <c r="AD2" s="285">
        <v>2051</v>
      </c>
    </row>
    <row r="3" spans="2:30" ht="3" customHeight="1" x14ac:dyDescent="0.25"/>
    <row r="4" spans="2:30" ht="17.25" x14ac:dyDescent="0.3">
      <c r="B4" s="635">
        <f>IF(C4&lt;&gt;"",SUBTOTAL(3,C$4:C4),"")</f>
        <v>1</v>
      </c>
      <c r="C4" s="24" t="s">
        <v>669</v>
      </c>
      <c r="D4" s="24"/>
      <c r="E4" s="635"/>
      <c r="F4" s="635"/>
      <c r="G4" s="635"/>
      <c r="H4" s="635"/>
      <c r="I4" s="635"/>
      <c r="J4" s="635"/>
      <c r="K4" s="635"/>
      <c r="L4" s="635"/>
      <c r="M4" s="635"/>
      <c r="N4" s="635"/>
    </row>
    <row r="5" spans="2:30" x14ac:dyDescent="0.25">
      <c r="B5" s="493">
        <f>IF(C5&lt;&gt;"",SUBTOTAL(3,C$4:C5),"")</f>
        <v>2</v>
      </c>
      <c r="C5" s="459" t="s">
        <v>427</v>
      </c>
      <c r="D5" s="494" t="s">
        <v>436</v>
      </c>
      <c r="E5" s="549"/>
      <c r="F5" s="549">
        <v>7568640</v>
      </c>
      <c r="G5" s="549">
        <v>7568640</v>
      </c>
      <c r="H5" s="549">
        <v>7568640</v>
      </c>
      <c r="I5" s="549">
        <v>7568640</v>
      </c>
      <c r="J5" s="549">
        <v>7568640</v>
      </c>
      <c r="K5" s="549">
        <v>7568640</v>
      </c>
      <c r="L5" s="549">
        <v>7568640</v>
      </c>
      <c r="M5" s="549">
        <v>7568640</v>
      </c>
      <c r="N5" s="549">
        <v>7568640</v>
      </c>
      <c r="O5" s="549">
        <v>7568640</v>
      </c>
      <c r="P5" s="549">
        <v>7568640</v>
      </c>
      <c r="Q5" s="549">
        <v>7568640</v>
      </c>
      <c r="R5" s="549">
        <v>7568640</v>
      </c>
      <c r="S5" s="549">
        <v>7568640</v>
      </c>
      <c r="T5" s="549">
        <v>7568640</v>
      </c>
      <c r="U5" s="549">
        <v>7568640</v>
      </c>
      <c r="V5" s="549">
        <v>7568640</v>
      </c>
      <c r="W5" s="549">
        <v>7568640</v>
      </c>
      <c r="X5" s="549">
        <v>7568640</v>
      </c>
      <c r="Y5" s="549">
        <v>7568640</v>
      </c>
      <c r="Z5" s="549">
        <v>7568640</v>
      </c>
      <c r="AA5" s="549">
        <v>7568640</v>
      </c>
      <c r="AB5" s="549">
        <v>7568640</v>
      </c>
      <c r="AC5" s="549">
        <v>7568640</v>
      </c>
      <c r="AD5" s="549">
        <v>7568640</v>
      </c>
    </row>
    <row r="6" spans="2:30" x14ac:dyDescent="0.25">
      <c r="B6" s="496">
        <f>IF(C6&lt;&gt;"",SUBTOTAL(3,C$4:C6),"")</f>
        <v>3</v>
      </c>
      <c r="C6" s="454" t="s">
        <v>427</v>
      </c>
      <c r="D6" s="497" t="s">
        <v>320</v>
      </c>
      <c r="E6" s="550"/>
      <c r="F6" s="550">
        <v>7568640</v>
      </c>
      <c r="G6" s="550">
        <v>7568640</v>
      </c>
      <c r="H6" s="550">
        <v>7568640</v>
      </c>
      <c r="I6" s="550">
        <v>7568640</v>
      </c>
      <c r="J6" s="550">
        <v>7568640</v>
      </c>
      <c r="K6" s="550">
        <v>7568640</v>
      </c>
      <c r="L6" s="550">
        <v>7568640</v>
      </c>
      <c r="M6" s="550">
        <v>7568640</v>
      </c>
      <c r="N6" s="550">
        <v>7568640</v>
      </c>
      <c r="O6" s="550">
        <v>7568640</v>
      </c>
      <c r="P6" s="550">
        <v>7568640</v>
      </c>
      <c r="Q6" s="550">
        <v>7568640</v>
      </c>
      <c r="R6" s="550">
        <v>7568640</v>
      </c>
      <c r="S6" s="550">
        <v>7568640</v>
      </c>
      <c r="T6" s="550">
        <v>7568640</v>
      </c>
      <c r="U6" s="550">
        <v>7568640</v>
      </c>
      <c r="V6" s="550">
        <v>7568640</v>
      </c>
      <c r="W6" s="550">
        <v>7568640</v>
      </c>
      <c r="X6" s="550">
        <v>7568640</v>
      </c>
      <c r="Y6" s="550">
        <v>7568640</v>
      </c>
      <c r="Z6" s="550">
        <v>7568640</v>
      </c>
      <c r="AA6" s="550">
        <v>7568640</v>
      </c>
      <c r="AB6" s="550">
        <v>7568640</v>
      </c>
      <c r="AC6" s="550">
        <v>7568640</v>
      </c>
      <c r="AD6" s="550">
        <v>7568640</v>
      </c>
    </row>
    <row r="7" spans="2:30" x14ac:dyDescent="0.25">
      <c r="B7" s="551">
        <f>IF(C7&lt;&gt;"",SUBTOTAL(3,C$4:C7),"")</f>
        <v>4</v>
      </c>
      <c r="C7" s="537" t="s">
        <v>460</v>
      </c>
      <c r="D7" s="548"/>
      <c r="E7" s="551"/>
      <c r="F7" s="552">
        <v>0.88</v>
      </c>
      <c r="G7" s="552">
        <v>0.88</v>
      </c>
      <c r="H7" s="552">
        <v>0.88</v>
      </c>
      <c r="I7" s="552">
        <v>0.88</v>
      </c>
      <c r="J7" s="552">
        <v>0.88</v>
      </c>
      <c r="K7" s="552">
        <v>0.88</v>
      </c>
      <c r="L7" s="552">
        <v>0.88</v>
      </c>
      <c r="M7" s="552">
        <v>0.88</v>
      </c>
      <c r="N7" s="552">
        <v>0.88</v>
      </c>
      <c r="O7" s="552">
        <v>0.88</v>
      </c>
      <c r="P7" s="552">
        <v>0.88</v>
      </c>
      <c r="Q7" s="552">
        <v>0.88</v>
      </c>
      <c r="R7" s="552">
        <v>0.88</v>
      </c>
      <c r="S7" s="552">
        <v>0.88</v>
      </c>
      <c r="T7" s="552">
        <v>0.88</v>
      </c>
      <c r="U7" s="552">
        <v>0.88</v>
      </c>
      <c r="V7" s="552">
        <v>0.88</v>
      </c>
      <c r="W7" s="552">
        <v>0.88</v>
      </c>
      <c r="X7" s="552">
        <v>0.88</v>
      </c>
      <c r="Y7" s="552">
        <v>0.88</v>
      </c>
      <c r="Z7" s="552">
        <v>0.88</v>
      </c>
      <c r="AA7" s="552">
        <v>0.88</v>
      </c>
      <c r="AB7" s="552">
        <v>0.88</v>
      </c>
      <c r="AC7" s="552">
        <v>0.88</v>
      </c>
      <c r="AD7" s="552">
        <v>0.88</v>
      </c>
    </row>
    <row r="8" spans="2:30" x14ac:dyDescent="0.25">
      <c r="B8" s="551">
        <f>IF(C8&lt;&gt;"",SUBTOTAL(3,C$4:C8),"")</f>
        <v>5</v>
      </c>
      <c r="C8" s="537" t="s">
        <v>461</v>
      </c>
      <c r="D8" s="548"/>
      <c r="E8" s="551"/>
      <c r="F8" s="552">
        <v>0.5</v>
      </c>
      <c r="G8" s="552">
        <v>0.7</v>
      </c>
      <c r="H8" s="552">
        <v>1</v>
      </c>
      <c r="I8" s="552">
        <v>1</v>
      </c>
      <c r="J8" s="552">
        <v>1</v>
      </c>
      <c r="K8" s="552">
        <v>1</v>
      </c>
      <c r="L8" s="552">
        <v>1</v>
      </c>
      <c r="M8" s="552">
        <v>1</v>
      </c>
      <c r="N8" s="552">
        <v>1</v>
      </c>
      <c r="O8" s="552">
        <v>1</v>
      </c>
      <c r="P8" s="552">
        <v>1</v>
      </c>
      <c r="Q8" s="552">
        <v>1</v>
      </c>
      <c r="R8" s="552">
        <v>1</v>
      </c>
      <c r="S8" s="552">
        <v>1</v>
      </c>
      <c r="T8" s="552">
        <v>1</v>
      </c>
      <c r="U8" s="552">
        <v>1</v>
      </c>
      <c r="V8" s="552">
        <v>1</v>
      </c>
      <c r="W8" s="552">
        <v>1</v>
      </c>
      <c r="X8" s="552">
        <v>1</v>
      </c>
      <c r="Y8" s="552">
        <v>1</v>
      </c>
      <c r="Z8" s="552">
        <v>1</v>
      </c>
      <c r="AA8" s="552">
        <v>1</v>
      </c>
      <c r="AB8" s="552">
        <v>1</v>
      </c>
      <c r="AC8" s="552">
        <v>1</v>
      </c>
      <c r="AD8" s="552">
        <v>1</v>
      </c>
    </row>
    <row r="9" spans="2:30" x14ac:dyDescent="0.25">
      <c r="B9" s="496">
        <f>IF(C9&lt;&gt;"",SUBTOTAL(3,C$4:C9),"")</f>
        <v>6</v>
      </c>
      <c r="C9" s="454" t="s">
        <v>70</v>
      </c>
      <c r="D9" s="497"/>
      <c r="E9" s="550"/>
      <c r="F9" s="553">
        <v>7.0000000000000007E-2</v>
      </c>
      <c r="G9" s="553">
        <v>7.0000000000000007E-2</v>
      </c>
      <c r="H9" s="553">
        <v>7.0000000000000007E-2</v>
      </c>
      <c r="I9" s="553">
        <v>7.0000000000000007E-2</v>
      </c>
      <c r="J9" s="553">
        <v>7.0000000000000007E-2</v>
      </c>
      <c r="K9" s="553">
        <v>7.0000000000000007E-2</v>
      </c>
      <c r="L9" s="553">
        <v>7.0000000000000007E-2</v>
      </c>
      <c r="M9" s="553">
        <v>7.0000000000000007E-2</v>
      </c>
      <c r="N9" s="553">
        <v>7.0000000000000007E-2</v>
      </c>
      <c r="O9" s="553">
        <v>7.0000000000000007E-2</v>
      </c>
      <c r="P9" s="553">
        <v>7.0000000000000007E-2</v>
      </c>
      <c r="Q9" s="553">
        <v>7.0000000000000007E-2</v>
      </c>
      <c r="R9" s="553">
        <v>7.0000000000000007E-2</v>
      </c>
      <c r="S9" s="553">
        <v>7.0000000000000007E-2</v>
      </c>
      <c r="T9" s="553">
        <v>7.0000000000000007E-2</v>
      </c>
      <c r="U9" s="553">
        <v>7.0000000000000007E-2</v>
      </c>
      <c r="V9" s="553">
        <v>7.0000000000000007E-2</v>
      </c>
      <c r="W9" s="553">
        <v>7.0000000000000007E-2</v>
      </c>
      <c r="X9" s="553">
        <v>7.0000000000000007E-2</v>
      </c>
      <c r="Y9" s="553">
        <v>7.0000000000000007E-2</v>
      </c>
      <c r="Z9" s="553">
        <v>7.0000000000000007E-2</v>
      </c>
      <c r="AA9" s="553">
        <v>7.0000000000000007E-2</v>
      </c>
      <c r="AB9" s="553">
        <v>7.0000000000000007E-2</v>
      </c>
      <c r="AC9" s="553">
        <v>7.0000000000000007E-2</v>
      </c>
      <c r="AD9" s="553">
        <v>7.0000000000000007E-2</v>
      </c>
    </row>
    <row r="10" spans="2:30" x14ac:dyDescent="0.25">
      <c r="B10" s="496">
        <f>IF(C10&lt;&gt;"",SUBTOTAL(3,C$4:C10),"")</f>
        <v>7</v>
      </c>
      <c r="C10" s="454" t="s">
        <v>59</v>
      </c>
      <c r="D10" s="497"/>
      <c r="E10" s="550"/>
      <c r="F10" s="550">
        <v>160.6</v>
      </c>
      <c r="G10" s="550">
        <v>224.83999999999997</v>
      </c>
      <c r="H10" s="550">
        <v>321.2</v>
      </c>
      <c r="I10" s="550">
        <v>321.2</v>
      </c>
      <c r="J10" s="550">
        <v>321.2</v>
      </c>
      <c r="K10" s="550">
        <v>321.2</v>
      </c>
      <c r="L10" s="550">
        <v>321.2</v>
      </c>
      <c r="M10" s="550">
        <v>321.2</v>
      </c>
      <c r="N10" s="550">
        <v>321.2</v>
      </c>
      <c r="O10" s="550">
        <v>321.2</v>
      </c>
      <c r="P10" s="550">
        <v>321.2</v>
      </c>
      <c r="Q10" s="550">
        <v>321.2</v>
      </c>
      <c r="R10" s="550">
        <v>321.2</v>
      </c>
      <c r="S10" s="550">
        <v>321.2</v>
      </c>
      <c r="T10" s="550">
        <v>321.2</v>
      </c>
      <c r="U10" s="550">
        <v>321.2</v>
      </c>
      <c r="V10" s="550">
        <v>321.2</v>
      </c>
      <c r="W10" s="550">
        <v>321.2</v>
      </c>
      <c r="X10" s="550">
        <v>321.2</v>
      </c>
      <c r="Y10" s="550">
        <v>321.2</v>
      </c>
      <c r="Z10" s="550">
        <v>321.2</v>
      </c>
      <c r="AA10" s="550">
        <v>321.2</v>
      </c>
      <c r="AB10" s="550">
        <v>321.2</v>
      </c>
      <c r="AC10" s="550">
        <v>321.2</v>
      </c>
      <c r="AD10" s="550">
        <v>321.2</v>
      </c>
    </row>
    <row r="11" spans="2:30" x14ac:dyDescent="0.25">
      <c r="B11" s="496">
        <f>IF(C11&lt;&gt;"",SUBTOTAL(3,C$4:C11),"")</f>
        <v>8</v>
      </c>
      <c r="C11" s="454" t="s">
        <v>202</v>
      </c>
      <c r="D11" s="497" t="s">
        <v>436</v>
      </c>
      <c r="E11" s="550"/>
      <c r="F11" s="550">
        <v>3097087.4879999999</v>
      </c>
      <c r="G11" s="550">
        <v>4335922.4831999997</v>
      </c>
      <c r="H11" s="550">
        <v>6194174.9759999998</v>
      </c>
      <c r="I11" s="550">
        <v>6194174.9759999998</v>
      </c>
      <c r="J11" s="550">
        <v>6194174.9759999998</v>
      </c>
      <c r="K11" s="550">
        <v>6194174.9759999998</v>
      </c>
      <c r="L11" s="550">
        <v>6194174.9759999998</v>
      </c>
      <c r="M11" s="550">
        <v>6194174.9759999998</v>
      </c>
      <c r="N11" s="550">
        <v>6194174.9759999998</v>
      </c>
      <c r="O11" s="550">
        <v>6194174.9759999998</v>
      </c>
      <c r="P11" s="550">
        <v>6194174.9759999998</v>
      </c>
      <c r="Q11" s="550">
        <v>6194174.9759999998</v>
      </c>
      <c r="R11" s="550">
        <v>6194174.9759999998</v>
      </c>
      <c r="S11" s="550">
        <v>6194174.9759999998</v>
      </c>
      <c r="T11" s="550">
        <v>6194174.9759999998</v>
      </c>
      <c r="U11" s="550">
        <v>6194174.9759999998</v>
      </c>
      <c r="V11" s="550">
        <v>6194174.9759999998</v>
      </c>
      <c r="W11" s="550">
        <v>6194174.9759999998</v>
      </c>
      <c r="X11" s="550">
        <v>6194174.9759999998</v>
      </c>
      <c r="Y11" s="550">
        <v>6194174.9759999998</v>
      </c>
      <c r="Z11" s="550">
        <v>6194174.9759999998</v>
      </c>
      <c r="AA11" s="550">
        <v>6194174.9759999998</v>
      </c>
      <c r="AB11" s="550">
        <v>6194174.9759999998</v>
      </c>
      <c r="AC11" s="550">
        <v>6194174.9759999998</v>
      </c>
      <c r="AD11" s="550">
        <v>6194174.9759999998</v>
      </c>
    </row>
    <row r="12" spans="2:30" x14ac:dyDescent="0.25">
      <c r="B12" s="496">
        <f>IF(C12&lt;&gt;"",SUBTOTAL(3,C$4:C12),"")</f>
        <v>9</v>
      </c>
      <c r="C12" s="454" t="s">
        <v>202</v>
      </c>
      <c r="D12" s="497" t="s">
        <v>320</v>
      </c>
      <c r="E12" s="550"/>
      <c r="F12" s="550">
        <v>206472499.20000002</v>
      </c>
      <c r="G12" s="550">
        <v>289061498.88</v>
      </c>
      <c r="H12" s="550">
        <v>412944998.40000004</v>
      </c>
      <c r="I12" s="550">
        <v>412944998.40000004</v>
      </c>
      <c r="J12" s="550">
        <v>412944998.40000004</v>
      </c>
      <c r="K12" s="550">
        <v>412944998.40000004</v>
      </c>
      <c r="L12" s="550">
        <v>412944998.40000004</v>
      </c>
      <c r="M12" s="550">
        <v>412944998.40000004</v>
      </c>
      <c r="N12" s="550">
        <v>412944998.40000004</v>
      </c>
      <c r="O12" s="550">
        <v>412944998.40000004</v>
      </c>
      <c r="P12" s="550">
        <v>412944998.40000004</v>
      </c>
      <c r="Q12" s="550">
        <v>412944998.40000004</v>
      </c>
      <c r="R12" s="550">
        <v>412944998.40000004</v>
      </c>
      <c r="S12" s="550">
        <v>412944998.40000004</v>
      </c>
      <c r="T12" s="550">
        <v>412944998.40000004</v>
      </c>
      <c r="U12" s="550">
        <v>412944998.40000004</v>
      </c>
      <c r="V12" s="550">
        <v>412944998.40000004</v>
      </c>
      <c r="W12" s="550">
        <v>412944998.40000004</v>
      </c>
      <c r="X12" s="550">
        <v>412944998.40000004</v>
      </c>
      <c r="Y12" s="550">
        <v>412944998.40000004</v>
      </c>
      <c r="Z12" s="550">
        <v>412944998.40000004</v>
      </c>
      <c r="AA12" s="550">
        <v>412944998.40000004</v>
      </c>
      <c r="AB12" s="550">
        <v>412944998.40000004</v>
      </c>
      <c r="AC12" s="550">
        <v>412944998.40000004</v>
      </c>
      <c r="AD12" s="550">
        <v>412944998.40000004</v>
      </c>
    </row>
    <row r="13" spans="2:30" ht="6.75" customHeight="1" x14ac:dyDescent="0.25">
      <c r="B13" s="20" t="str">
        <f>IF(C13&lt;&gt;"",SUBTOTAL(3,C$4:C13),"")</f>
        <v/>
      </c>
      <c r="D13" s="65"/>
      <c r="E13" s="243"/>
      <c r="F13" s="243"/>
      <c r="G13" s="243"/>
      <c r="H13" s="243"/>
      <c r="I13" s="243"/>
      <c r="J13" s="243"/>
      <c r="K13" s="243"/>
      <c r="L13" s="243"/>
      <c r="M13" s="243"/>
      <c r="N13" s="243"/>
      <c r="O13" s="243"/>
      <c r="P13" s="243"/>
      <c r="Q13" s="243"/>
      <c r="R13" s="243"/>
      <c r="S13" s="243"/>
    </row>
    <row r="14" spans="2:30" x14ac:dyDescent="0.25">
      <c r="B14" s="1114">
        <f>IF(C14&lt;&gt;"",SUBTOTAL(3,C$4:C14),"")</f>
        <v>10</v>
      </c>
      <c r="C14" s="270" t="s">
        <v>497</v>
      </c>
      <c r="D14" s="271" t="s">
        <v>672</v>
      </c>
      <c r="E14" s="270"/>
      <c r="F14" s="272">
        <v>140401.29945600001</v>
      </c>
      <c r="G14" s="272">
        <v>200493.05562316801</v>
      </c>
      <c r="H14" s="272">
        <v>292147.02390804479</v>
      </c>
      <c r="I14" s="272">
        <v>297989.96438620571</v>
      </c>
      <c r="J14" s="272">
        <v>303949.76367392979</v>
      </c>
      <c r="K14" s="272">
        <v>310028.75894740841</v>
      </c>
      <c r="L14" s="272">
        <v>316229.33412635658</v>
      </c>
      <c r="M14" s="272">
        <v>322553.92080888367</v>
      </c>
      <c r="N14" s="272">
        <v>329004.99922506133</v>
      </c>
      <c r="O14" s="272">
        <v>335585.09920956258</v>
      </c>
      <c r="P14" s="272">
        <v>342296.80119375384</v>
      </c>
      <c r="Q14" s="272">
        <v>349142.73721762892</v>
      </c>
      <c r="R14" s="272">
        <v>356125.5919619815</v>
      </c>
      <c r="S14" s="272">
        <v>363248.10380122106</v>
      </c>
      <c r="T14" s="272">
        <v>370513.06587724556</v>
      </c>
      <c r="U14" s="272">
        <v>377923.32719479036</v>
      </c>
      <c r="V14" s="272">
        <v>385481.79373868631</v>
      </c>
      <c r="W14" s="272">
        <v>393191.42961346003</v>
      </c>
      <c r="X14" s="272">
        <v>401055.25820572913</v>
      </c>
      <c r="Y14" s="272">
        <v>409076.36336984381</v>
      </c>
      <c r="Z14" s="272">
        <v>417257.89063724066</v>
      </c>
      <c r="AA14" s="272">
        <v>425603.04844998539</v>
      </c>
      <c r="AB14" s="272">
        <v>434115.1094189852</v>
      </c>
      <c r="AC14" s="272">
        <v>442797.41160736472</v>
      </c>
      <c r="AD14" s="272">
        <v>451653.35983951209</v>
      </c>
    </row>
    <row r="15" spans="2:30" ht="6.75" customHeight="1" x14ac:dyDescent="0.25">
      <c r="B15" s="20" t="str">
        <f>IF(C15&lt;&gt;"",SUBTOTAL(3,C$4:C15),"")</f>
        <v/>
      </c>
    </row>
    <row r="16" spans="2:30" x14ac:dyDescent="0.25">
      <c r="B16" s="1115">
        <f>IF(C16&lt;&gt;"",SUBTOTAL(3,C$4:C16),"")</f>
        <v>11</v>
      </c>
      <c r="C16" s="266" t="s">
        <v>434</v>
      </c>
      <c r="D16" s="267" t="s">
        <v>672</v>
      </c>
      <c r="E16" s="268">
        <v>0</v>
      </c>
      <c r="F16" s="268">
        <v>-43649.936933333331</v>
      </c>
      <c r="G16" s="268">
        <v>-43649.936933333331</v>
      </c>
      <c r="H16" s="268">
        <v>-44549.234633333333</v>
      </c>
      <c r="I16" s="268">
        <v>-45493.497218333338</v>
      </c>
      <c r="J16" s="268">
        <v>-46484.97293258334</v>
      </c>
      <c r="K16" s="268">
        <v>-47526.022432545833</v>
      </c>
      <c r="L16" s="268">
        <v>-48619.124407506461</v>
      </c>
      <c r="M16" s="268">
        <v>-49766.881481215125</v>
      </c>
      <c r="N16" s="268">
        <v>-50972.026408609207</v>
      </c>
      <c r="O16" s="268">
        <v>-52237.428582373002</v>
      </c>
      <c r="P16" s="268">
        <v>-53566.100864824984</v>
      </c>
      <c r="Q16" s="268">
        <v>-54961.20676139956</v>
      </c>
      <c r="R16" s="268">
        <v>-31363.584619469544</v>
      </c>
      <c r="S16" s="268">
        <v>-32901.688870443017</v>
      </c>
      <c r="T16" s="268">
        <v>-34516.698333965178</v>
      </c>
      <c r="U16" s="268">
        <v>-36212.458270663432</v>
      </c>
      <c r="V16" s="268">
        <v>-37993.006204196608</v>
      </c>
      <c r="W16" s="268">
        <v>-39862.581534406439</v>
      </c>
      <c r="X16" s="268">
        <v>-41825.635631126766</v>
      </c>
      <c r="Y16" s="268">
        <v>-43886.842432683101</v>
      </c>
      <c r="Z16" s="268">
        <v>-46051.109574317255</v>
      </c>
      <c r="AA16" s="268">
        <v>-48323.59007303312</v>
      </c>
      <c r="AB16" s="268">
        <v>-50709.694596684771</v>
      </c>
      <c r="AC16" s="268">
        <v>-53215.104346519009</v>
      </c>
      <c r="AD16" s="268">
        <v>-55845.784583844965</v>
      </c>
    </row>
    <row r="17" spans="2:30" x14ac:dyDescent="0.25">
      <c r="B17" s="493">
        <f>IF(C17&lt;&gt;"",SUBTOTAL(3,C$4:C17),"")</f>
        <v>12</v>
      </c>
      <c r="C17" s="459" t="s">
        <v>190</v>
      </c>
      <c r="D17" s="494" t="s">
        <v>672</v>
      </c>
      <c r="E17" s="493"/>
      <c r="F17" s="549">
        <v>-25062.483333333334</v>
      </c>
      <c r="G17" s="549">
        <v>-25062.483333333334</v>
      </c>
      <c r="H17" s="549">
        <v>-25062.483333333334</v>
      </c>
      <c r="I17" s="549">
        <v>-25062.483333333334</v>
      </c>
      <c r="J17" s="549">
        <v>-25062.483333333334</v>
      </c>
      <c r="K17" s="549">
        <v>-25062.483333333334</v>
      </c>
      <c r="L17" s="549">
        <v>-25062.483333333334</v>
      </c>
      <c r="M17" s="549">
        <v>-25062.483333333334</v>
      </c>
      <c r="N17" s="549">
        <v>-25062.483333333334</v>
      </c>
      <c r="O17" s="549">
        <v>-25062.483333333334</v>
      </c>
      <c r="P17" s="549">
        <v>-25062.483333333334</v>
      </c>
      <c r="Q17" s="549">
        <v>-25062.483333333334</v>
      </c>
      <c r="R17" s="549">
        <v>0</v>
      </c>
      <c r="S17" s="549">
        <v>0</v>
      </c>
      <c r="T17" s="549">
        <v>0</v>
      </c>
      <c r="U17" s="549">
        <v>0</v>
      </c>
      <c r="V17" s="549">
        <v>0</v>
      </c>
      <c r="W17" s="549">
        <v>0</v>
      </c>
      <c r="X17" s="549">
        <v>0</v>
      </c>
      <c r="Y17" s="549">
        <v>0</v>
      </c>
      <c r="Z17" s="549">
        <v>0</v>
      </c>
      <c r="AA17" s="549">
        <v>0</v>
      </c>
      <c r="AB17" s="549">
        <v>0</v>
      </c>
      <c r="AC17" s="549">
        <v>0</v>
      </c>
      <c r="AD17" s="549">
        <v>0</v>
      </c>
    </row>
    <row r="18" spans="2:30" x14ac:dyDescent="0.25">
      <c r="B18" s="496">
        <f>IF(C18&lt;&gt;"",SUBTOTAL(3,C$4:C18),"")</f>
        <v>13</v>
      </c>
      <c r="C18" s="454" t="s">
        <v>429</v>
      </c>
      <c r="D18" s="497" t="s">
        <v>672</v>
      </c>
      <c r="E18" s="550">
        <v>0</v>
      </c>
      <c r="F18" s="550">
        <v>-6011.46</v>
      </c>
      <c r="G18" s="550">
        <v>-6011.46</v>
      </c>
      <c r="H18" s="550">
        <v>-6312.0329999999994</v>
      </c>
      <c r="I18" s="550">
        <v>-6627.63465</v>
      </c>
      <c r="J18" s="550">
        <v>-6959.0163825000009</v>
      </c>
      <c r="K18" s="550">
        <v>-7306.9672016249997</v>
      </c>
      <c r="L18" s="550">
        <v>-7672.3155617062503</v>
      </c>
      <c r="M18" s="550">
        <v>-8055.931339791563</v>
      </c>
      <c r="N18" s="550">
        <v>-8458.7279067811414</v>
      </c>
      <c r="O18" s="550">
        <v>-8881.664302120198</v>
      </c>
      <c r="P18" s="550">
        <v>-9325.7475172262075</v>
      </c>
      <c r="Q18" s="550">
        <v>-9792.0348930875189</v>
      </c>
      <c r="R18" s="550">
        <v>-10281.636637741896</v>
      </c>
      <c r="S18" s="550">
        <v>-10795.718469628988</v>
      </c>
      <c r="T18" s="550">
        <v>-11335.504393110441</v>
      </c>
      <c r="U18" s="550">
        <v>-11902.27961276596</v>
      </c>
      <c r="V18" s="550">
        <v>-12497.39359340426</v>
      </c>
      <c r="W18" s="550">
        <v>-13122.263273074474</v>
      </c>
      <c r="X18" s="550">
        <v>-13778.376436728198</v>
      </c>
      <c r="Y18" s="550">
        <v>-14467.295258564609</v>
      </c>
      <c r="Z18" s="550">
        <v>-15190.660021492838</v>
      </c>
      <c r="AA18" s="550">
        <v>-15950.193022567481</v>
      </c>
      <c r="AB18" s="550">
        <v>-16747.702673695854</v>
      </c>
      <c r="AC18" s="550">
        <v>-17585.087807380645</v>
      </c>
      <c r="AD18" s="550">
        <v>-18464.34219774968</v>
      </c>
    </row>
    <row r="19" spans="2:30" x14ac:dyDescent="0.25">
      <c r="B19" s="1116">
        <f>IF(C19&lt;&gt;"",SUBTOTAL(3,C$4:C19),"")</f>
        <v>14</v>
      </c>
      <c r="C19" s="554" t="s">
        <v>430</v>
      </c>
      <c r="D19" s="555" t="s">
        <v>672</v>
      </c>
      <c r="E19" s="556"/>
      <c r="F19" s="556">
        <v>-982.8</v>
      </c>
      <c r="G19" s="556">
        <v>-982.8</v>
      </c>
      <c r="H19" s="556">
        <v>-1031.94</v>
      </c>
      <c r="I19" s="556">
        <v>-1083.537</v>
      </c>
      <c r="J19" s="556">
        <v>-1137.7138500000001</v>
      </c>
      <c r="K19" s="556">
        <v>-1194.5995424999999</v>
      </c>
      <c r="L19" s="556">
        <v>-1254.3295196250001</v>
      </c>
      <c r="M19" s="556">
        <v>-1317.04599560625</v>
      </c>
      <c r="N19" s="556">
        <v>-1382.8982953865627</v>
      </c>
      <c r="O19" s="556">
        <v>-1452.0432101558906</v>
      </c>
      <c r="P19" s="556">
        <v>-1524.6453706636853</v>
      </c>
      <c r="Q19" s="556">
        <v>-1600.8776391968695</v>
      </c>
      <c r="R19" s="556">
        <v>-1680.9215211567132</v>
      </c>
      <c r="S19" s="556">
        <v>-1764.9675972145485</v>
      </c>
      <c r="T19" s="556">
        <v>-1853.2159770752762</v>
      </c>
      <c r="U19" s="556">
        <v>-1945.8767759290397</v>
      </c>
      <c r="V19" s="556">
        <v>-2043.1706147254922</v>
      </c>
      <c r="W19" s="556">
        <v>-2145.3291454617665</v>
      </c>
      <c r="X19" s="556">
        <v>-2252.5956027348552</v>
      </c>
      <c r="Y19" s="556">
        <v>-2365.225382871598</v>
      </c>
      <c r="Z19" s="556">
        <v>-2483.4866520151777</v>
      </c>
      <c r="AA19" s="556">
        <v>-2607.6609846159367</v>
      </c>
      <c r="AB19" s="556">
        <v>-2738.0440338467333</v>
      </c>
      <c r="AC19" s="556">
        <v>-2874.9462355390701</v>
      </c>
      <c r="AD19" s="556">
        <v>-3018.6935473160243</v>
      </c>
    </row>
    <row r="20" spans="2:30" x14ac:dyDescent="0.25">
      <c r="B20" s="1116">
        <f>IF(C20&lt;&gt;"",SUBTOTAL(3,C$4:C20),"")</f>
        <v>15</v>
      </c>
      <c r="C20" s="554" t="s">
        <v>431</v>
      </c>
      <c r="D20" s="555" t="s">
        <v>672</v>
      </c>
      <c r="E20" s="556"/>
      <c r="F20" s="556">
        <v>-5028.66</v>
      </c>
      <c r="G20" s="556">
        <v>-5028.66</v>
      </c>
      <c r="H20" s="556">
        <v>-5280.0929999999998</v>
      </c>
      <c r="I20" s="556">
        <v>-5544.0976499999997</v>
      </c>
      <c r="J20" s="556">
        <v>-5821.3025325000008</v>
      </c>
      <c r="K20" s="556">
        <v>-6112.3676591249996</v>
      </c>
      <c r="L20" s="556">
        <v>-6417.9860420812502</v>
      </c>
      <c r="M20" s="556">
        <v>-6738.8853441853125</v>
      </c>
      <c r="N20" s="556">
        <v>-7075.8296113945789</v>
      </c>
      <c r="O20" s="556">
        <v>-7429.6210919643072</v>
      </c>
      <c r="P20" s="556">
        <v>-7801.1021465625226</v>
      </c>
      <c r="Q20" s="556">
        <v>-8191.1572538906494</v>
      </c>
      <c r="R20" s="556">
        <v>-8600.7151165851828</v>
      </c>
      <c r="S20" s="556">
        <v>-9030.7508724144391</v>
      </c>
      <c r="T20" s="556">
        <v>-9482.2884160351641</v>
      </c>
      <c r="U20" s="556">
        <v>-9956.40283683692</v>
      </c>
      <c r="V20" s="556">
        <v>-10454.222978678768</v>
      </c>
      <c r="W20" s="556">
        <v>-10976.934127612707</v>
      </c>
      <c r="X20" s="556">
        <v>-11525.780833993344</v>
      </c>
      <c r="Y20" s="556">
        <v>-12102.069875693011</v>
      </c>
      <c r="Z20" s="556">
        <v>-12707.173369477661</v>
      </c>
      <c r="AA20" s="556">
        <v>-13342.532037951543</v>
      </c>
      <c r="AB20" s="556">
        <v>-14009.65863984912</v>
      </c>
      <c r="AC20" s="556">
        <v>-14710.141571841576</v>
      </c>
      <c r="AD20" s="556">
        <v>-15445.648650433657</v>
      </c>
    </row>
    <row r="21" spans="2:30" x14ac:dyDescent="0.25">
      <c r="B21" s="496">
        <f>IF(C21&lt;&gt;"",SUBTOTAL(3,C$4:C21),"")</f>
        <v>16</v>
      </c>
      <c r="C21" s="454" t="s">
        <v>656</v>
      </c>
      <c r="D21" s="497" t="s">
        <v>672</v>
      </c>
      <c r="E21" s="550"/>
      <c r="F21" s="550">
        <v>-2400</v>
      </c>
      <c r="G21" s="550">
        <v>-2400</v>
      </c>
      <c r="H21" s="550">
        <v>-2520</v>
      </c>
      <c r="I21" s="550">
        <v>-2646</v>
      </c>
      <c r="J21" s="550">
        <v>-2778.3</v>
      </c>
      <c r="K21" s="550">
        <v>-2917.2150000000001</v>
      </c>
      <c r="L21" s="550">
        <v>-3063.0757500000004</v>
      </c>
      <c r="M21" s="550">
        <v>-3216.2295374999999</v>
      </c>
      <c r="N21" s="550">
        <v>-3377.0410143750005</v>
      </c>
      <c r="O21" s="550">
        <v>-3545.89306509375</v>
      </c>
      <c r="P21" s="550">
        <v>-3723.187718348438</v>
      </c>
      <c r="Q21" s="550">
        <v>-3909.3471042658598</v>
      </c>
      <c r="R21" s="550">
        <v>-4104.8144594791529</v>
      </c>
      <c r="S21" s="550">
        <v>-4310.0551824531103</v>
      </c>
      <c r="T21" s="550">
        <v>-4525.5579415757666</v>
      </c>
      <c r="U21" s="550">
        <v>-4751.8358386545533</v>
      </c>
      <c r="V21" s="550">
        <v>-4989.4276305872827</v>
      </c>
      <c r="W21" s="550">
        <v>-5238.8990121166462</v>
      </c>
      <c r="X21" s="550">
        <v>-5500.8439627224798</v>
      </c>
      <c r="Y21" s="550">
        <v>-5775.886160858603</v>
      </c>
      <c r="Z21" s="550">
        <v>-6064.6804689015335</v>
      </c>
      <c r="AA21" s="550">
        <v>-6367.9144923466101</v>
      </c>
      <c r="AB21" s="550">
        <v>-6686.3102169639405</v>
      </c>
      <c r="AC21" s="550">
        <v>-7020.6257278121375</v>
      </c>
      <c r="AD21" s="550">
        <v>-7371.6570142027458</v>
      </c>
    </row>
    <row r="22" spans="2:30" x14ac:dyDescent="0.25">
      <c r="B22" s="496">
        <f>IF(C22&lt;&gt;"",SUBTOTAL(3,C$4:C22),"")</f>
        <v>17</v>
      </c>
      <c r="C22" s="454" t="s">
        <v>432</v>
      </c>
      <c r="D22" s="497" t="s">
        <v>672</v>
      </c>
      <c r="E22" s="550"/>
      <c r="F22" s="550">
        <v>-9022.4939999999988</v>
      </c>
      <c r="G22" s="550">
        <v>-9022.4939999999988</v>
      </c>
      <c r="H22" s="550">
        <v>-9473.6186999999991</v>
      </c>
      <c r="I22" s="550">
        <v>-9947.2996349999994</v>
      </c>
      <c r="J22" s="550">
        <v>-10444.66461675</v>
      </c>
      <c r="K22" s="550">
        <v>-10966.897847587499</v>
      </c>
      <c r="L22" s="550">
        <v>-11515.242739966874</v>
      </c>
      <c r="M22" s="550">
        <v>-12091.004876965217</v>
      </c>
      <c r="N22" s="550">
        <v>-12695.55512081348</v>
      </c>
      <c r="O22" s="550">
        <v>-13330.332876854152</v>
      </c>
      <c r="P22" s="550">
        <v>-13996.84952069686</v>
      </c>
      <c r="Q22" s="550">
        <v>-14696.691996731704</v>
      </c>
      <c r="R22" s="550">
        <v>-15431.52659656829</v>
      </c>
      <c r="S22" s="550">
        <v>-16203.102926396703</v>
      </c>
      <c r="T22" s="550">
        <v>-17013.25807271654</v>
      </c>
      <c r="U22" s="550">
        <v>-17863.920976352365</v>
      </c>
      <c r="V22" s="550">
        <v>-18757.117025169988</v>
      </c>
      <c r="W22" s="550">
        <v>-19694.972876428485</v>
      </c>
      <c r="X22" s="550">
        <v>-20679.721520249914</v>
      </c>
      <c r="Y22" s="550">
        <v>-21713.707596262408</v>
      </c>
      <c r="Z22" s="550">
        <v>-22799.392976075527</v>
      </c>
      <c r="AA22" s="550">
        <v>-23939.362624879304</v>
      </c>
      <c r="AB22" s="550">
        <v>-25136.330756123269</v>
      </c>
      <c r="AC22" s="550">
        <v>-26393.147293929429</v>
      </c>
      <c r="AD22" s="550">
        <v>-27712.804658625908</v>
      </c>
    </row>
    <row r="23" spans="2:30" x14ac:dyDescent="0.25">
      <c r="B23" s="496">
        <f>IF(C23&lt;&gt;"",SUBTOTAL(3,C$4:C23),"")</f>
        <v>18</v>
      </c>
      <c r="C23" s="454" t="s">
        <v>433</v>
      </c>
      <c r="D23" s="497" t="s">
        <v>672</v>
      </c>
      <c r="E23" s="550"/>
      <c r="F23" s="550">
        <v>-552</v>
      </c>
      <c r="G23" s="550">
        <v>-552</v>
      </c>
      <c r="H23" s="550">
        <v>-579.6</v>
      </c>
      <c r="I23" s="550">
        <v>-608.58000000000004</v>
      </c>
      <c r="J23" s="550">
        <v>-639.00900000000001</v>
      </c>
      <c r="K23" s="550">
        <v>-670.95945000000006</v>
      </c>
      <c r="L23" s="550">
        <v>-704.50742250000008</v>
      </c>
      <c r="M23" s="550">
        <v>-739.732793625</v>
      </c>
      <c r="N23" s="550">
        <v>-776.71943330625015</v>
      </c>
      <c r="O23" s="550">
        <v>-815.55540497156255</v>
      </c>
      <c r="P23" s="550">
        <v>-856.33317522014067</v>
      </c>
      <c r="Q23" s="550">
        <v>-899.14983398114771</v>
      </c>
      <c r="R23" s="550">
        <v>-944.10732568020524</v>
      </c>
      <c r="S23" s="550">
        <v>-991.31269196421533</v>
      </c>
      <c r="T23" s="550">
        <v>-1040.8783265624263</v>
      </c>
      <c r="U23" s="550">
        <v>-1092.9222428905473</v>
      </c>
      <c r="V23" s="550">
        <v>-1147.568355035075</v>
      </c>
      <c r="W23" s="550">
        <v>-1204.9467727868287</v>
      </c>
      <c r="X23" s="550">
        <v>-1265.1941114261704</v>
      </c>
      <c r="Y23" s="550">
        <v>-1328.4538169974787</v>
      </c>
      <c r="Z23" s="550">
        <v>-1394.8765078473527</v>
      </c>
      <c r="AA23" s="550">
        <v>-1464.6203332397204</v>
      </c>
      <c r="AB23" s="550">
        <v>-1537.8513499017063</v>
      </c>
      <c r="AC23" s="550">
        <v>-1614.7439173967914</v>
      </c>
      <c r="AD23" s="550">
        <v>-1695.4811132666314</v>
      </c>
    </row>
    <row r="24" spans="2:30" x14ac:dyDescent="0.25">
      <c r="B24" s="496">
        <f>IF(C24&lt;&gt;"",SUBTOTAL(3,C$4:C24),"")</f>
        <v>19</v>
      </c>
      <c r="C24" s="454" t="s">
        <v>520</v>
      </c>
      <c r="D24" s="497" t="s">
        <v>672</v>
      </c>
      <c r="E24" s="550"/>
      <c r="F24" s="550">
        <v>-601.49959999999999</v>
      </c>
      <c r="G24" s="550">
        <v>-601.49959999999999</v>
      </c>
      <c r="H24" s="550">
        <v>-601.49959999999999</v>
      </c>
      <c r="I24" s="550">
        <v>-601.49959999999999</v>
      </c>
      <c r="J24" s="550">
        <v>-601.49959999999999</v>
      </c>
      <c r="K24" s="550">
        <v>-601.49959999999999</v>
      </c>
      <c r="L24" s="550">
        <v>-601.49959999999999</v>
      </c>
      <c r="M24" s="550">
        <v>-601.49959999999999</v>
      </c>
      <c r="N24" s="550">
        <v>-601.49959999999999</v>
      </c>
      <c r="O24" s="550">
        <v>-601.49959999999999</v>
      </c>
      <c r="P24" s="550">
        <v>-601.49959999999999</v>
      </c>
      <c r="Q24" s="550">
        <v>-601.49959999999999</v>
      </c>
      <c r="R24" s="550">
        <v>-601.49959999999999</v>
      </c>
      <c r="S24" s="550">
        <v>-601.49959999999999</v>
      </c>
      <c r="T24" s="550">
        <v>-601.49959999999999</v>
      </c>
      <c r="U24" s="550">
        <v>-601.49959999999999</v>
      </c>
      <c r="V24" s="550">
        <v>-601.49959999999999</v>
      </c>
      <c r="W24" s="550">
        <v>-601.49959999999999</v>
      </c>
      <c r="X24" s="550">
        <v>-601.49959999999999</v>
      </c>
      <c r="Y24" s="550">
        <v>-601.49959999999999</v>
      </c>
      <c r="Z24" s="550">
        <v>-601.49959999999999</v>
      </c>
      <c r="AA24" s="550">
        <v>-601.49959999999999</v>
      </c>
      <c r="AB24" s="550">
        <v>-601.49959999999999</v>
      </c>
      <c r="AC24" s="550">
        <v>-601.49959999999999</v>
      </c>
      <c r="AD24" s="550">
        <v>-601.49959999999999</v>
      </c>
    </row>
    <row r="25" spans="2:30" ht="6.75" customHeight="1" x14ac:dyDescent="0.25">
      <c r="B25" s="20" t="str">
        <f>IF(C25&lt;&gt;"",SUBTOTAL(3,C$4:C25),"")</f>
        <v/>
      </c>
      <c r="D25" s="65"/>
      <c r="E25" s="243"/>
      <c r="F25" s="243"/>
      <c r="G25" s="243"/>
      <c r="H25" s="243"/>
      <c r="I25" s="243"/>
      <c r="J25" s="243"/>
      <c r="K25" s="243"/>
      <c r="L25" s="243"/>
      <c r="M25" s="243"/>
      <c r="N25" s="243"/>
      <c r="O25" s="243"/>
      <c r="P25" s="243"/>
      <c r="Q25" s="243"/>
      <c r="R25" s="243"/>
      <c r="S25" s="243"/>
      <c r="T25" s="243"/>
      <c r="U25" s="243"/>
      <c r="V25" s="243"/>
      <c r="W25" s="243"/>
      <c r="X25" s="243"/>
      <c r="Y25" s="243"/>
      <c r="Z25" s="243"/>
      <c r="AA25" s="243"/>
      <c r="AB25" s="243"/>
      <c r="AC25" s="243"/>
      <c r="AD25" s="243"/>
    </row>
    <row r="26" spans="2:30" x14ac:dyDescent="0.25">
      <c r="B26" s="1115">
        <f>IF(C26&lt;&gt;"",SUBTOTAL(3,C$4:C26),"")</f>
        <v>20</v>
      </c>
      <c r="C26" s="266" t="s">
        <v>435</v>
      </c>
      <c r="D26" s="267" t="s">
        <v>672</v>
      </c>
      <c r="E26" s="269">
        <v>0</v>
      </c>
      <c r="F26" s="269">
        <v>-92494.065303826777</v>
      </c>
      <c r="G26" s="269">
        <v>-128793.29243442416</v>
      </c>
      <c r="H26" s="269">
        <v>-187365.60190480959</v>
      </c>
      <c r="I26" s="269">
        <v>-191595.4979197002</v>
      </c>
      <c r="J26" s="269">
        <v>-195935.14761304564</v>
      </c>
      <c r="K26" s="269">
        <v>-200388.00384632294</v>
      </c>
      <c r="L26" s="269">
        <v>-204957.65142763397</v>
      </c>
      <c r="M26" s="269">
        <v>-209647.81289510772</v>
      </c>
      <c r="N26" s="269">
        <v>-214462.35457319432</v>
      </c>
      <c r="O26" s="269">
        <v>-219405.29291516927</v>
      </c>
      <c r="P26" s="269">
        <v>-224480.80114582658</v>
      </c>
      <c r="Q26" s="269">
        <v>-229693.21621903207</v>
      </c>
      <c r="R26" s="269">
        <v>-234044.54677220009</v>
      </c>
      <c r="S26" s="269">
        <v>-239544.47809385488</v>
      </c>
      <c r="T26" s="269">
        <v>-245195.38412123729</v>
      </c>
      <c r="U26" s="269">
        <v>-251002.33315242664</v>
      </c>
      <c r="V26" s="269">
        <v>-256970.59729166192</v>
      </c>
      <c r="W26" s="269">
        <v>-263105.66164747532</v>
      </c>
      <c r="X26" s="269">
        <v>-269413.23397088796</v>
      </c>
      <c r="Y26" s="269">
        <v>-275899.25475527602</v>
      </c>
      <c r="Z26" s="269">
        <v>-282569.90782058443</v>
      </c>
      <c r="AA26" s="269">
        <v>-289431.63140569301</v>
      </c>
      <c r="AB26" s="269">
        <v>-296491.12979392271</v>
      </c>
      <c r="AC26" s="269">
        <v>-303755.38549790683</v>
      </c>
      <c r="AD26" s="269">
        <v>-311231.67203135975</v>
      </c>
    </row>
    <row r="27" spans="2:30" x14ac:dyDescent="0.25">
      <c r="B27" s="610">
        <f>IF(C27&lt;&gt;"",SUBTOTAL(3,C$4:C27),"")</f>
        <v>21</v>
      </c>
      <c r="C27" s="637" t="s">
        <v>454</v>
      </c>
      <c r="D27" s="638" t="s">
        <v>672</v>
      </c>
      <c r="E27" s="639">
        <v>0</v>
      </c>
      <c r="F27" s="639">
        <v>-83121.831936000002</v>
      </c>
      <c r="G27" s="639">
        <v>-116370.56471040001</v>
      </c>
      <c r="H27" s="639">
        <v>-169568.53714944003</v>
      </c>
      <c r="I27" s="639">
        <v>-172959.90789242883</v>
      </c>
      <c r="J27" s="639">
        <v>-176419.10605027739</v>
      </c>
      <c r="K27" s="639">
        <v>-179947.48817128292</v>
      </c>
      <c r="L27" s="639">
        <v>-183546.43793470861</v>
      </c>
      <c r="M27" s="639">
        <v>-187217.36669340279</v>
      </c>
      <c r="N27" s="639">
        <v>-190961.71402727079</v>
      </c>
      <c r="O27" s="639">
        <v>-194780.9483078162</v>
      </c>
      <c r="P27" s="639">
        <v>-198676.56727397256</v>
      </c>
      <c r="Q27" s="639">
        <v>-202650.09861945201</v>
      </c>
      <c r="R27" s="639">
        <v>-206703.10059184101</v>
      </c>
      <c r="S27" s="639">
        <v>-210837.16260367786</v>
      </c>
      <c r="T27" s="639">
        <v>-215053.90585575142</v>
      </c>
      <c r="U27" s="639">
        <v>-219354.98397286647</v>
      </c>
      <c r="V27" s="639">
        <v>-223742.08365232372</v>
      </c>
      <c r="W27" s="639">
        <v>-228216.92532537025</v>
      </c>
      <c r="X27" s="639">
        <v>-232781.26383187764</v>
      </c>
      <c r="Y27" s="639">
        <v>-237436.88910851517</v>
      </c>
      <c r="Z27" s="639">
        <v>-242185.6268906855</v>
      </c>
      <c r="AA27" s="639">
        <v>-247029.3394284992</v>
      </c>
      <c r="AB27" s="639">
        <v>-251969.92621706918</v>
      </c>
      <c r="AC27" s="639">
        <v>-257009.32474141059</v>
      </c>
      <c r="AD27" s="639">
        <v>-262149.51123623876</v>
      </c>
    </row>
    <row r="28" spans="2:30" x14ac:dyDescent="0.25">
      <c r="B28" s="1116">
        <f>IF(C28&lt;&gt;"",SUBTOTAL(3,C$4:C28),"")</f>
        <v>22</v>
      </c>
      <c r="C28" s="554" t="s">
        <v>167</v>
      </c>
      <c r="D28" s="555" t="s">
        <v>672</v>
      </c>
      <c r="E28" s="556"/>
      <c r="F28" s="556">
        <v>-77303.303700479999</v>
      </c>
      <c r="G28" s="556">
        <v>-108224.625180672</v>
      </c>
      <c r="H28" s="556">
        <v>-157698.73954897921</v>
      </c>
      <c r="I28" s="556">
        <v>-160852.71433995879</v>
      </c>
      <c r="J28" s="556">
        <v>-164069.76862675796</v>
      </c>
      <c r="K28" s="556">
        <v>-167351.16399929312</v>
      </c>
      <c r="L28" s="556">
        <v>-170698.18727927899</v>
      </c>
      <c r="M28" s="556">
        <v>-174112.15102486458</v>
      </c>
      <c r="N28" s="556">
        <v>-177594.39404536181</v>
      </c>
      <c r="O28" s="556">
        <v>-181146.28192626906</v>
      </c>
      <c r="P28" s="556">
        <v>-184769.20756479446</v>
      </c>
      <c r="Q28" s="556">
        <v>-188464.59171609036</v>
      </c>
      <c r="R28" s="556">
        <v>-192233.88355041214</v>
      </c>
      <c r="S28" s="556">
        <v>-196078.56122142039</v>
      </c>
      <c r="T28" s="556">
        <v>-200000.13244584881</v>
      </c>
      <c r="U28" s="556">
        <v>-204000.13509476581</v>
      </c>
      <c r="V28" s="556">
        <v>-208080.13779666106</v>
      </c>
      <c r="W28" s="556">
        <v>-212241.7405525943</v>
      </c>
      <c r="X28" s="556">
        <v>-216486.5753636462</v>
      </c>
      <c r="Y28" s="556">
        <v>-220816.3068709191</v>
      </c>
      <c r="Z28" s="556">
        <v>-225232.63300833749</v>
      </c>
      <c r="AA28" s="556">
        <v>-229737.28566850425</v>
      </c>
      <c r="AB28" s="556">
        <v>-234332.03138187432</v>
      </c>
      <c r="AC28" s="556">
        <v>-239018.67200951182</v>
      </c>
      <c r="AD28" s="556">
        <v>-243799.04544970201</v>
      </c>
    </row>
    <row r="29" spans="2:30" x14ac:dyDescent="0.25">
      <c r="B29" s="1116">
        <f>IF(C29&lt;&gt;"",SUBTOTAL(3,C$4:C29),"")</f>
        <v>23</v>
      </c>
      <c r="C29" s="554" t="s">
        <v>203</v>
      </c>
      <c r="D29" s="555" t="s">
        <v>672</v>
      </c>
      <c r="E29" s="640"/>
      <c r="F29" s="640">
        <v>-5818.5282355200034</v>
      </c>
      <c r="G29" s="640">
        <v>-8145.9395297280134</v>
      </c>
      <c r="H29" s="640">
        <v>-11869.797600460821</v>
      </c>
      <c r="I29" s="640">
        <v>-12107.193552470038</v>
      </c>
      <c r="J29" s="640">
        <v>-12349.337423519435</v>
      </c>
      <c r="K29" s="640">
        <v>-12596.324171989807</v>
      </c>
      <c r="L29" s="640">
        <v>-12848.250655429612</v>
      </c>
      <c r="M29" s="640">
        <v>-13105.215668538207</v>
      </c>
      <c r="N29" s="640">
        <v>-13367.319981908979</v>
      </c>
      <c r="O29" s="640">
        <v>-13634.66638154714</v>
      </c>
      <c r="P29" s="640">
        <v>-13907.359709178098</v>
      </c>
      <c r="Q29" s="640">
        <v>-14185.506903361646</v>
      </c>
      <c r="R29" s="640">
        <v>-14469.21704142887</v>
      </c>
      <c r="S29" s="640">
        <v>-14758.601382257475</v>
      </c>
      <c r="T29" s="640">
        <v>-15053.773409902613</v>
      </c>
      <c r="U29" s="640">
        <v>-15354.84887810066</v>
      </c>
      <c r="V29" s="640">
        <v>-15661.945855662663</v>
      </c>
      <c r="W29" s="640">
        <v>-15975.184772775945</v>
      </c>
      <c r="X29" s="640">
        <v>-16294.688468231441</v>
      </c>
      <c r="Y29" s="640">
        <v>-16620.582237596071</v>
      </c>
      <c r="Z29" s="640">
        <v>-16952.993882348004</v>
      </c>
      <c r="AA29" s="640">
        <v>-17292.053759994946</v>
      </c>
      <c r="AB29" s="640">
        <v>-17637.894835194864</v>
      </c>
      <c r="AC29" s="640">
        <v>-17990.652731898765</v>
      </c>
      <c r="AD29" s="640">
        <v>-18350.465786536748</v>
      </c>
    </row>
    <row r="30" spans="2:30" x14ac:dyDescent="0.25">
      <c r="B30" s="496">
        <f>IF(C30&lt;&gt;"",SUBTOTAL(3,C$4:C30),"")</f>
        <v>24</v>
      </c>
      <c r="C30" s="454" t="s">
        <v>676</v>
      </c>
      <c r="D30" s="497" t="s">
        <v>672</v>
      </c>
      <c r="E30" s="617">
        <v>0</v>
      </c>
      <c r="F30" s="617">
        <v>-632.43325753344004</v>
      </c>
      <c r="G30" s="617">
        <v>-885.40656054681608</v>
      </c>
      <c r="H30" s="617">
        <v>-1328.1098408202242</v>
      </c>
      <c r="I30" s="617">
        <v>-1394.5153328612353</v>
      </c>
      <c r="J30" s="617">
        <v>-1464.2410995042972</v>
      </c>
      <c r="K30" s="617">
        <v>-1537.453154479512</v>
      </c>
      <c r="L30" s="617">
        <v>-1614.3258122034877</v>
      </c>
      <c r="M30" s="617">
        <v>-1695.0421028136618</v>
      </c>
      <c r="N30" s="617">
        <v>-1779.7942079543452</v>
      </c>
      <c r="O30" s="617">
        <v>-1868.7839183520623</v>
      </c>
      <c r="P30" s="617">
        <v>-1962.2231142696655</v>
      </c>
      <c r="Q30" s="617">
        <v>-2060.3342699831487</v>
      </c>
      <c r="R30" s="617">
        <v>-2163.3509834823062</v>
      </c>
      <c r="S30" s="617">
        <v>-2271.5185326564215</v>
      </c>
      <c r="T30" s="617">
        <v>-2385.0944592892429</v>
      </c>
      <c r="U30" s="617">
        <v>-2504.3491822537044</v>
      </c>
      <c r="V30" s="617">
        <v>-2629.5666413663907</v>
      </c>
      <c r="W30" s="617">
        <v>-2761.0449734347098</v>
      </c>
      <c r="X30" s="617">
        <v>-2899.0972221064458</v>
      </c>
      <c r="Y30" s="617">
        <v>-3044.0520832117677</v>
      </c>
      <c r="Z30" s="617">
        <v>-3196.2546873723563</v>
      </c>
      <c r="AA30" s="617">
        <v>-3356.0674217409742</v>
      </c>
      <c r="AB30" s="617">
        <v>-3523.8707928280228</v>
      </c>
      <c r="AC30" s="617">
        <v>-3700.0643324694233</v>
      </c>
      <c r="AD30" s="617">
        <v>-3885.0675490928957</v>
      </c>
    </row>
    <row r="31" spans="2:30" x14ac:dyDescent="0.25">
      <c r="B31" s="1116">
        <f>IF(C31&lt;&gt;"",SUBTOTAL(3,C$4:C31),"")</f>
        <v>25</v>
      </c>
      <c r="C31" s="554" t="s">
        <v>673</v>
      </c>
      <c r="D31" s="555" t="s">
        <v>672</v>
      </c>
      <c r="E31" s="556"/>
      <c r="F31" s="556">
        <v>-632.43325753344004</v>
      </c>
      <c r="G31" s="556">
        <v>-885.40656054681608</v>
      </c>
      <c r="H31" s="556">
        <v>-1328.1098408202242</v>
      </c>
      <c r="I31" s="556">
        <v>-1394.5153328612353</v>
      </c>
      <c r="J31" s="556">
        <v>-1464.2410995042972</v>
      </c>
      <c r="K31" s="556">
        <v>-1537.453154479512</v>
      </c>
      <c r="L31" s="556">
        <v>-1614.3258122034877</v>
      </c>
      <c r="M31" s="556">
        <v>-1695.0421028136618</v>
      </c>
      <c r="N31" s="556">
        <v>-1779.7942079543452</v>
      </c>
      <c r="O31" s="556">
        <v>-1868.7839183520623</v>
      </c>
      <c r="P31" s="556">
        <v>-1962.2231142696655</v>
      </c>
      <c r="Q31" s="556">
        <v>-2060.3342699831487</v>
      </c>
      <c r="R31" s="556">
        <v>-2163.3509834823062</v>
      </c>
      <c r="S31" s="556">
        <v>-2271.5185326564215</v>
      </c>
      <c r="T31" s="556">
        <v>-2385.0944592892429</v>
      </c>
      <c r="U31" s="556">
        <v>-2504.3491822537044</v>
      </c>
      <c r="V31" s="556">
        <v>-2629.5666413663907</v>
      </c>
      <c r="W31" s="556">
        <v>-2761.0449734347098</v>
      </c>
      <c r="X31" s="556">
        <v>-2899.0972221064458</v>
      </c>
      <c r="Y31" s="556">
        <v>-3044.0520832117677</v>
      </c>
      <c r="Z31" s="556">
        <v>-3196.2546873723563</v>
      </c>
      <c r="AA31" s="556">
        <v>-3356.0674217409742</v>
      </c>
      <c r="AB31" s="556">
        <v>-3523.8707928280228</v>
      </c>
      <c r="AC31" s="556">
        <v>-3700.0643324694233</v>
      </c>
      <c r="AD31" s="556">
        <v>-3885.0675490928957</v>
      </c>
    </row>
    <row r="32" spans="2:30" x14ac:dyDescent="0.25">
      <c r="B32" s="1116">
        <f>IF(C32&lt;&gt;"",SUBTOTAL(3,C$4:C32),"")</f>
        <v>26</v>
      </c>
      <c r="C32" s="554" t="s">
        <v>674</v>
      </c>
      <c r="D32" s="555" t="s">
        <v>672</v>
      </c>
      <c r="E32" s="556"/>
      <c r="F32" s="556">
        <v>0</v>
      </c>
      <c r="G32" s="556">
        <v>0</v>
      </c>
      <c r="H32" s="556">
        <v>0</v>
      </c>
      <c r="I32" s="556">
        <v>0</v>
      </c>
      <c r="J32" s="556">
        <v>0</v>
      </c>
      <c r="K32" s="556">
        <v>0</v>
      </c>
      <c r="L32" s="556">
        <v>0</v>
      </c>
      <c r="M32" s="556">
        <v>0</v>
      </c>
      <c r="N32" s="556">
        <v>0</v>
      </c>
      <c r="O32" s="556">
        <v>0</v>
      </c>
      <c r="P32" s="556">
        <v>0</v>
      </c>
      <c r="Q32" s="556">
        <v>0</v>
      </c>
      <c r="R32" s="556">
        <v>0</v>
      </c>
      <c r="S32" s="556">
        <v>0</v>
      </c>
      <c r="T32" s="556">
        <v>0</v>
      </c>
      <c r="U32" s="556">
        <v>0</v>
      </c>
      <c r="V32" s="556">
        <v>0</v>
      </c>
      <c r="W32" s="556">
        <v>0</v>
      </c>
      <c r="X32" s="556">
        <v>0</v>
      </c>
      <c r="Y32" s="556">
        <v>0</v>
      </c>
      <c r="Z32" s="556">
        <v>0</v>
      </c>
      <c r="AA32" s="556">
        <v>0</v>
      </c>
      <c r="AB32" s="556">
        <v>0</v>
      </c>
      <c r="AC32" s="556">
        <v>0</v>
      </c>
      <c r="AD32" s="556">
        <v>0</v>
      </c>
    </row>
    <row r="33" spans="2:30" x14ac:dyDescent="0.25">
      <c r="B33" s="496">
        <f>IF(C33&lt;&gt;"",SUBTOTAL(3,C$4:C33),"")</f>
        <v>27</v>
      </c>
      <c r="C33" s="454" t="s">
        <v>180</v>
      </c>
      <c r="D33" s="497" t="s">
        <v>672</v>
      </c>
      <c r="E33" s="617">
        <v>0</v>
      </c>
      <c r="F33" s="617">
        <v>-8739.800110293334</v>
      </c>
      <c r="G33" s="617">
        <v>-11537.321163477332</v>
      </c>
      <c r="H33" s="617">
        <v>-16468.954914549333</v>
      </c>
      <c r="I33" s="617">
        <v>-17241.074694410134</v>
      </c>
      <c r="J33" s="617">
        <v>-18051.800463263975</v>
      </c>
      <c r="K33" s="617">
        <v>-18903.062520560507</v>
      </c>
      <c r="L33" s="617">
        <v>-19796.887680721866</v>
      </c>
      <c r="M33" s="617">
        <v>-20735.404098891289</v>
      </c>
      <c r="N33" s="617">
        <v>-21720.846337969193</v>
      </c>
      <c r="O33" s="617">
        <v>-22755.560689000984</v>
      </c>
      <c r="P33" s="617">
        <v>-23842.010757584365</v>
      </c>
      <c r="Q33" s="617">
        <v>-24982.783329596918</v>
      </c>
      <c r="R33" s="617">
        <v>-25178.095196876766</v>
      </c>
      <c r="S33" s="617">
        <v>-26435.796957520601</v>
      </c>
      <c r="T33" s="617">
        <v>-27756.383806196634</v>
      </c>
      <c r="U33" s="617">
        <v>-29142.999997306459</v>
      </c>
      <c r="V33" s="617">
        <v>-30598.946997971794</v>
      </c>
      <c r="W33" s="617">
        <v>-32127.691348670378</v>
      </c>
      <c r="X33" s="617">
        <v>-33732.8729169039</v>
      </c>
      <c r="Y33" s="617">
        <v>-35418.313563549098</v>
      </c>
      <c r="Z33" s="617">
        <v>-37188.026242526554</v>
      </c>
      <c r="AA33" s="617">
        <v>-39046.224555452871</v>
      </c>
      <c r="AB33" s="617">
        <v>-40997.332784025515</v>
      </c>
      <c r="AC33" s="617">
        <v>-43045.996424026795</v>
      </c>
      <c r="AD33" s="617">
        <v>-45197.093246028147</v>
      </c>
    </row>
    <row r="34" spans="2:30" x14ac:dyDescent="0.25">
      <c r="B34" s="1116">
        <f>IF(C34&lt;&gt;"",SUBTOTAL(3,C$4:C34),"")</f>
        <v>28</v>
      </c>
      <c r="C34" s="554" t="s">
        <v>73</v>
      </c>
      <c r="D34" s="555" t="s">
        <v>672</v>
      </c>
      <c r="E34" s="556"/>
      <c r="F34" s="556">
        <v>-5749.8011999999999</v>
      </c>
      <c r="G34" s="556">
        <v>-8049.7216799999978</v>
      </c>
      <c r="H34" s="556">
        <v>-12074.58252</v>
      </c>
      <c r="I34" s="556">
        <v>-12678.311646</v>
      </c>
      <c r="J34" s="556">
        <v>-13312.227228300002</v>
      </c>
      <c r="K34" s="556">
        <v>-13977.838589715</v>
      </c>
      <c r="L34" s="556">
        <v>-14676.730519200752</v>
      </c>
      <c r="M34" s="556">
        <v>-15410.567045160788</v>
      </c>
      <c r="N34" s="556">
        <v>-16181.095397418829</v>
      </c>
      <c r="O34" s="556">
        <v>-16990.150167289768</v>
      </c>
      <c r="P34" s="556">
        <v>-17839.657675654256</v>
      </c>
      <c r="Q34" s="556">
        <v>-18731.640559436972</v>
      </c>
      <c r="R34" s="556">
        <v>-19668.222587408822</v>
      </c>
      <c r="S34" s="556">
        <v>-20651.633716779259</v>
      </c>
      <c r="T34" s="556">
        <v>-21684.215402618225</v>
      </c>
      <c r="U34" s="556">
        <v>-22768.426172749132</v>
      </c>
      <c r="V34" s="556">
        <v>-23906.847481386598</v>
      </c>
      <c r="W34" s="556">
        <v>-25102.189855455923</v>
      </c>
      <c r="X34" s="556">
        <v>-26357.299348228724</v>
      </c>
      <c r="Y34" s="556">
        <v>-27675.164315640159</v>
      </c>
      <c r="Z34" s="556">
        <v>-29058.922531422166</v>
      </c>
      <c r="AA34" s="556">
        <v>-30511.868657993273</v>
      </c>
      <c r="AB34" s="556">
        <v>-32037.462090892936</v>
      </c>
      <c r="AC34" s="556">
        <v>-33639.335195437583</v>
      </c>
      <c r="AD34" s="556">
        <v>-35321.30195520947</v>
      </c>
    </row>
    <row r="35" spans="2:30" x14ac:dyDescent="0.25">
      <c r="B35" s="1116">
        <f>IF(C35&lt;&gt;"",SUBTOTAL(3,C$4:C35),"")</f>
        <v>29</v>
      </c>
      <c r="C35" s="554" t="s">
        <v>192</v>
      </c>
      <c r="D35" s="555" t="s">
        <v>672</v>
      </c>
      <c r="E35" s="556"/>
      <c r="F35" s="556">
        <v>-975.00902399999995</v>
      </c>
      <c r="G35" s="556">
        <v>-1365.0126335999998</v>
      </c>
      <c r="H35" s="556">
        <v>-2047.5189504</v>
      </c>
      <c r="I35" s="556">
        <v>-2149.8948979199999</v>
      </c>
      <c r="J35" s="556">
        <v>-2257.3896428160001</v>
      </c>
      <c r="K35" s="556">
        <v>-2370.2591249568</v>
      </c>
      <c r="L35" s="556">
        <v>-2488.77208120464</v>
      </c>
      <c r="M35" s="556">
        <v>-2613.2106852648717</v>
      </c>
      <c r="N35" s="556">
        <v>-2743.8712195281159</v>
      </c>
      <c r="O35" s="556">
        <v>-2881.0647805045214</v>
      </c>
      <c r="P35" s="556">
        <v>-3025.1180195297475</v>
      </c>
      <c r="Q35" s="556">
        <v>-3176.3739205062352</v>
      </c>
      <c r="R35" s="556">
        <v>-3335.1926165315472</v>
      </c>
      <c r="S35" s="556">
        <v>-3501.9522473581237</v>
      </c>
      <c r="T35" s="556">
        <v>-3677.0498597260307</v>
      </c>
      <c r="U35" s="556">
        <v>-3860.9023527123313</v>
      </c>
      <c r="V35" s="556">
        <v>-4053.9474703479491</v>
      </c>
      <c r="W35" s="556">
        <v>-4256.644843865346</v>
      </c>
      <c r="X35" s="556">
        <v>-4469.4770860586141</v>
      </c>
      <c r="Y35" s="556">
        <v>-4692.9509403615448</v>
      </c>
      <c r="Z35" s="556">
        <v>-4927.5984873796224</v>
      </c>
      <c r="AA35" s="556">
        <v>-5173.9784117486033</v>
      </c>
      <c r="AB35" s="556">
        <v>-5432.677332336033</v>
      </c>
      <c r="AC35" s="556">
        <v>-5704.3111989528343</v>
      </c>
      <c r="AD35" s="556">
        <v>-5989.526758900477</v>
      </c>
    </row>
    <row r="36" spans="2:30" x14ac:dyDescent="0.25">
      <c r="B36" s="1116">
        <f>IF(C36&lt;&gt;"",SUBTOTAL(3,C$4:C36),"")</f>
        <v>30</v>
      </c>
      <c r="C36" s="554" t="s">
        <v>175</v>
      </c>
      <c r="D36" s="555" t="s">
        <v>672</v>
      </c>
      <c r="E36" s="556"/>
      <c r="F36" s="556">
        <v>-2014.9898862933333</v>
      </c>
      <c r="G36" s="556">
        <v>-2122.5868498773334</v>
      </c>
      <c r="H36" s="556">
        <v>-2346.8534441493334</v>
      </c>
      <c r="I36" s="556">
        <v>-2412.8681504901338</v>
      </c>
      <c r="J36" s="556">
        <v>-2482.1835921479737</v>
      </c>
      <c r="K36" s="556">
        <v>-2554.9648058887055</v>
      </c>
      <c r="L36" s="556">
        <v>-2631.3850803164742</v>
      </c>
      <c r="M36" s="556">
        <v>-2711.6263684656315</v>
      </c>
      <c r="N36" s="556">
        <v>-2795.879721022246</v>
      </c>
      <c r="O36" s="556">
        <v>-2884.3457412066919</v>
      </c>
      <c r="P36" s="556">
        <v>-2977.2350624003593</v>
      </c>
      <c r="Q36" s="556">
        <v>-3074.7688496537107</v>
      </c>
      <c r="R36" s="556">
        <v>-2174.6799929363965</v>
      </c>
      <c r="S36" s="556">
        <v>-2282.2109933832162</v>
      </c>
      <c r="T36" s="556">
        <v>-2395.1185438523776</v>
      </c>
      <c r="U36" s="556">
        <v>-2513.6714718449957</v>
      </c>
      <c r="V36" s="556">
        <v>-2638.1520462372464</v>
      </c>
      <c r="W36" s="556">
        <v>-2768.8566493491085</v>
      </c>
      <c r="X36" s="556">
        <v>-2906.0964826165641</v>
      </c>
      <c r="Y36" s="556">
        <v>-3050.1983075473922</v>
      </c>
      <c r="Z36" s="556">
        <v>-3201.5052237247619</v>
      </c>
      <c r="AA36" s="556">
        <v>-3360.3774857109997</v>
      </c>
      <c r="AB36" s="556">
        <v>-3527.1933607965498</v>
      </c>
      <c r="AC36" s="556">
        <v>-3702.3500296363773</v>
      </c>
      <c r="AD36" s="556">
        <v>-3886.2645319181966</v>
      </c>
    </row>
    <row r="37" spans="2:30" ht="6.75" customHeight="1" x14ac:dyDescent="0.25">
      <c r="B37" s="20" t="str">
        <f>IF(C37&lt;&gt;"",SUBTOTAL(3,C$4:C37),"")</f>
        <v/>
      </c>
      <c r="D37" s="65"/>
      <c r="E37" s="15"/>
      <c r="F37" s="263"/>
      <c r="G37" s="15"/>
      <c r="H37" s="15"/>
      <c r="I37" s="15"/>
      <c r="J37" s="15"/>
      <c r="K37" s="15"/>
      <c r="L37" s="15"/>
      <c r="M37" s="15"/>
      <c r="N37" s="15"/>
      <c r="O37" s="15"/>
      <c r="P37" s="15"/>
      <c r="Q37" s="15"/>
      <c r="R37" s="15"/>
      <c r="S37" s="15"/>
      <c r="T37" s="15"/>
      <c r="U37" s="15"/>
      <c r="V37" s="15"/>
      <c r="W37" s="15"/>
      <c r="X37" s="15"/>
      <c r="Y37" s="15"/>
      <c r="Z37" s="15"/>
      <c r="AA37" s="15"/>
      <c r="AB37" s="15"/>
      <c r="AC37" s="15"/>
      <c r="AD37" s="15"/>
    </row>
    <row r="38" spans="2:30" x14ac:dyDescent="0.25">
      <c r="B38" s="1117">
        <f>IF(C38&lt;&gt;"",SUBTOTAL(3,C$4:C38),"")</f>
        <v>31</v>
      </c>
      <c r="C38" s="301" t="s">
        <v>464</v>
      </c>
      <c r="D38" s="302" t="s">
        <v>672</v>
      </c>
      <c r="E38" s="303">
        <v>0</v>
      </c>
      <c r="F38" s="303">
        <v>-136144.00223716011</v>
      </c>
      <c r="G38" s="303">
        <v>-172443.22936775751</v>
      </c>
      <c r="H38" s="303">
        <v>-231914.83653814293</v>
      </c>
      <c r="I38" s="303">
        <v>-237088.99513803353</v>
      </c>
      <c r="J38" s="303">
        <v>-242420.12054562898</v>
      </c>
      <c r="K38" s="303">
        <v>-247914.02627886878</v>
      </c>
      <c r="L38" s="303">
        <v>-253576.77583514043</v>
      </c>
      <c r="M38" s="303">
        <v>-259414.69437632285</v>
      </c>
      <c r="N38" s="303">
        <v>-265434.38098180352</v>
      </c>
      <c r="O38" s="303">
        <v>-271642.72149754228</v>
      </c>
      <c r="P38" s="303">
        <v>-278046.90201065154</v>
      </c>
      <c r="Q38" s="303">
        <v>-284654.42298043164</v>
      </c>
      <c r="R38" s="303">
        <v>-265408.13139166962</v>
      </c>
      <c r="S38" s="303">
        <v>-272446.16696429788</v>
      </c>
      <c r="T38" s="303">
        <v>-279712.08245520247</v>
      </c>
      <c r="U38" s="303">
        <v>-287214.79142309009</v>
      </c>
      <c r="V38" s="303">
        <v>-294963.60349585855</v>
      </c>
      <c r="W38" s="303">
        <v>-302968.24318188179</v>
      </c>
      <c r="X38" s="303">
        <v>-311238.86960201472</v>
      </c>
      <c r="Y38" s="303">
        <v>-319786.09718795912</v>
      </c>
      <c r="Z38" s="303">
        <v>-328621.01739490166</v>
      </c>
      <c r="AA38" s="303">
        <v>-337755.22147872613</v>
      </c>
      <c r="AB38" s="303">
        <v>-347200.82439060748</v>
      </c>
      <c r="AC38" s="303">
        <v>-356970.48984442581</v>
      </c>
      <c r="AD38" s="303">
        <v>-367077.45661520469</v>
      </c>
    </row>
    <row r="39" spans="2:30" x14ac:dyDescent="0.25">
      <c r="B39" s="20" t="str">
        <f>IF(C39&lt;&gt;"",SUBTOTAL(3,C$4:C39),"")</f>
        <v/>
      </c>
      <c r="D39" s="6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row>
    <row r="40" spans="2:30" x14ac:dyDescent="0.25">
      <c r="B40" s="493">
        <f>IF(C40&lt;&gt;"",SUBTOTAL(3,C$4:C40),"")</f>
        <v>32</v>
      </c>
      <c r="C40" s="459" t="s">
        <v>166</v>
      </c>
      <c r="D40" s="494" t="s">
        <v>672</v>
      </c>
      <c r="E40" s="461"/>
      <c r="F40" s="461">
        <v>-2752.9666560000001</v>
      </c>
      <c r="G40" s="461">
        <v>-3854.1533183999995</v>
      </c>
      <c r="H40" s="461">
        <v>-5781.2299776</v>
      </c>
      <c r="I40" s="461">
        <v>-6070.2914764800007</v>
      </c>
      <c r="J40" s="461">
        <v>-6373.8060503040006</v>
      </c>
      <c r="K40" s="461">
        <v>-6692.4963528192002</v>
      </c>
      <c r="L40" s="461">
        <v>-7027.121170460161</v>
      </c>
      <c r="M40" s="461">
        <v>-7378.4772289831681</v>
      </c>
      <c r="N40" s="461">
        <v>-7747.4010904323277</v>
      </c>
      <c r="O40" s="461">
        <v>-8134.7711449539429</v>
      </c>
      <c r="P40" s="461">
        <v>-8541.5097022016416</v>
      </c>
      <c r="Q40" s="461">
        <v>-8968.5851873117226</v>
      </c>
      <c r="R40" s="461">
        <v>-9417.014446677309</v>
      </c>
      <c r="S40" s="461">
        <v>-9887.8651690111747</v>
      </c>
      <c r="T40" s="461">
        <v>-10382.258427461735</v>
      </c>
      <c r="U40" s="461">
        <v>-10901.371348834818</v>
      </c>
      <c r="V40" s="461">
        <v>-11446.439916276564</v>
      </c>
      <c r="W40" s="461">
        <v>-12018.761912090391</v>
      </c>
      <c r="X40" s="461">
        <v>-12619.700007694912</v>
      </c>
      <c r="Y40" s="461">
        <v>-13250.685008079656</v>
      </c>
      <c r="Z40" s="461">
        <v>-13913.219258483639</v>
      </c>
      <c r="AA40" s="461">
        <v>-14608.88022140782</v>
      </c>
      <c r="AB40" s="461">
        <v>-15339.324232478211</v>
      </c>
      <c r="AC40" s="461">
        <v>-16106.290444102122</v>
      </c>
      <c r="AD40" s="461">
        <v>-16911.60496630723</v>
      </c>
    </row>
    <row r="41" spans="2:30" x14ac:dyDescent="0.25">
      <c r="B41" s="496">
        <f>IF(C41&lt;&gt;"",SUBTOTAL(3,C$4:C41),"")</f>
        <v>33</v>
      </c>
      <c r="C41" s="454" t="s">
        <v>469</v>
      </c>
      <c r="D41" s="497" t="s">
        <v>672</v>
      </c>
      <c r="E41" s="457"/>
      <c r="F41" s="457">
        <v>0</v>
      </c>
      <c r="G41" s="457">
        <v>0</v>
      </c>
      <c r="H41" s="457">
        <v>0</v>
      </c>
      <c r="I41" s="457">
        <v>0</v>
      </c>
      <c r="J41" s="457">
        <v>0</v>
      </c>
      <c r="K41" s="457">
        <v>0</v>
      </c>
      <c r="L41" s="457">
        <v>0</v>
      </c>
      <c r="M41" s="457">
        <v>0</v>
      </c>
      <c r="N41" s="457">
        <v>0</v>
      </c>
      <c r="O41" s="457">
        <v>0</v>
      </c>
      <c r="P41" s="457">
        <v>0</v>
      </c>
      <c r="Q41" s="457">
        <v>0</v>
      </c>
      <c r="R41" s="457">
        <v>0</v>
      </c>
      <c r="S41" s="457">
        <v>0</v>
      </c>
      <c r="T41" s="457">
        <v>0</v>
      </c>
      <c r="U41" s="457">
        <v>0</v>
      </c>
      <c r="V41" s="457">
        <v>0</v>
      </c>
      <c r="W41" s="457">
        <v>0</v>
      </c>
      <c r="X41" s="457">
        <v>0</v>
      </c>
      <c r="Y41" s="457">
        <v>0</v>
      </c>
      <c r="Z41" s="457">
        <v>0</v>
      </c>
      <c r="AA41" s="457">
        <v>0</v>
      </c>
      <c r="AB41" s="457">
        <v>0</v>
      </c>
      <c r="AC41" s="457">
        <v>0</v>
      </c>
      <c r="AD41" s="457">
        <v>0</v>
      </c>
    </row>
    <row r="42" spans="2:30" x14ac:dyDescent="0.25">
      <c r="B42" s="496">
        <f>IF(C42&lt;&gt;"",SUBTOTAL(3,C$4:C42),"")</f>
        <v>34</v>
      </c>
      <c r="C42" s="454" t="s">
        <v>468</v>
      </c>
      <c r="D42" s="497" t="s">
        <v>672</v>
      </c>
      <c r="E42" s="454"/>
      <c r="F42" s="457">
        <v>0</v>
      </c>
      <c r="G42" s="457">
        <v>0</v>
      </c>
      <c r="H42" s="457">
        <v>0</v>
      </c>
      <c r="I42" s="457">
        <v>0</v>
      </c>
      <c r="J42" s="457">
        <v>0</v>
      </c>
      <c r="K42" s="457">
        <v>0</v>
      </c>
      <c r="L42" s="457">
        <v>0</v>
      </c>
      <c r="M42" s="457">
        <v>0</v>
      </c>
      <c r="N42" s="457">
        <v>0</v>
      </c>
      <c r="O42" s="457">
        <v>0</v>
      </c>
      <c r="P42" s="457">
        <v>0</v>
      </c>
      <c r="Q42" s="457">
        <v>0</v>
      </c>
      <c r="R42" s="457">
        <v>0</v>
      </c>
      <c r="S42" s="457">
        <v>0</v>
      </c>
      <c r="T42" s="457">
        <v>0</v>
      </c>
      <c r="U42" s="457">
        <v>0</v>
      </c>
      <c r="V42" s="457">
        <v>0</v>
      </c>
      <c r="W42" s="457">
        <v>0</v>
      </c>
      <c r="X42" s="457">
        <v>0</v>
      </c>
      <c r="Y42" s="457">
        <v>0</v>
      </c>
      <c r="Z42" s="457">
        <v>0</v>
      </c>
      <c r="AA42" s="457">
        <v>0</v>
      </c>
      <c r="AB42" s="457">
        <v>0</v>
      </c>
      <c r="AC42" s="457">
        <v>0</v>
      </c>
      <c r="AD42" s="457">
        <v>0</v>
      </c>
    </row>
    <row r="43" spans="2:30" x14ac:dyDescent="0.25">
      <c r="B43" s="496">
        <f>IF(C43&lt;&gt;"",SUBTOTAL(3,C$4:C43),"")</f>
        <v>35</v>
      </c>
      <c r="C43" s="454" t="s">
        <v>470</v>
      </c>
      <c r="D43" s="497" t="s">
        <v>672</v>
      </c>
      <c r="E43" s="454"/>
      <c r="F43" s="457">
        <v>-14736.740200000002</v>
      </c>
      <c r="G43" s="457">
        <v>-14580.731121804387</v>
      </c>
      <c r="H43" s="457">
        <v>-14413.801408135079</v>
      </c>
      <c r="I43" s="457">
        <v>-14235.186614508921</v>
      </c>
      <c r="J43" s="457">
        <v>-14044.068785328929</v>
      </c>
      <c r="K43" s="457">
        <v>-13839.57270810634</v>
      </c>
      <c r="L43" s="457">
        <v>-13620.761905478172</v>
      </c>
      <c r="M43" s="457">
        <v>-13386.634346666031</v>
      </c>
      <c r="N43" s="457">
        <v>-13136.117858737038</v>
      </c>
      <c r="O43" s="457">
        <v>-12868.065216653014</v>
      </c>
      <c r="P43" s="457">
        <v>-12581.248889623112</v>
      </c>
      <c r="Q43" s="457">
        <v>-12274.355419701116</v>
      </c>
      <c r="R43" s="457">
        <v>-11945.97940688458</v>
      </c>
      <c r="S43" s="457">
        <v>-11594.617073170886</v>
      </c>
      <c r="T43" s="457">
        <v>-11218.659376097234</v>
      </c>
      <c r="U43" s="457">
        <v>-10816.384640228427</v>
      </c>
      <c r="V43" s="457">
        <v>-10385.950672848801</v>
      </c>
      <c r="W43" s="457">
        <v>-9925.3863277526052</v>
      </c>
      <c r="X43" s="457">
        <v>-9432.582478499673</v>
      </c>
      <c r="Y43" s="457">
        <v>-8905.2823597990355</v>
      </c>
      <c r="Z43" s="457">
        <v>-8341.0712327893543</v>
      </c>
      <c r="AA43" s="457">
        <v>-7737.3653268889948</v>
      </c>
      <c r="AB43" s="457">
        <v>-7091.4000075756112</v>
      </c>
      <c r="AC43" s="457">
        <v>-6400.2171159102882</v>
      </c>
      <c r="AD43" s="457">
        <v>-5660.6514218283955</v>
      </c>
    </row>
    <row r="44" spans="2:30" ht="6.75" customHeight="1" x14ac:dyDescent="0.25">
      <c r="B44" s="20" t="str">
        <f>IF(C44&lt;&gt;"",SUBTOTAL(3,C$4:C44),"")</f>
        <v/>
      </c>
      <c r="D44" s="6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row>
    <row r="45" spans="2:30" x14ac:dyDescent="0.25">
      <c r="B45" s="1114">
        <f>IF(C45&lt;&gt;"",SUBTOTAL(3,C$4:C45),"")</f>
        <v>36</v>
      </c>
      <c r="C45" s="270" t="s">
        <v>472</v>
      </c>
      <c r="D45" s="271" t="s">
        <v>672</v>
      </c>
      <c r="E45" s="272">
        <v>0</v>
      </c>
      <c r="F45" s="272">
        <v>-153633.70909316011</v>
      </c>
      <c r="G45" s="272">
        <v>-190878.1138079619</v>
      </c>
      <c r="H45" s="272">
        <v>-252109.86792387802</v>
      </c>
      <c r="I45" s="272">
        <v>-257394.47322902246</v>
      </c>
      <c r="J45" s="272">
        <v>-262837.99538126192</v>
      </c>
      <c r="K45" s="272">
        <v>-268446.09533979429</v>
      </c>
      <c r="L45" s="272">
        <v>-274224.65891107876</v>
      </c>
      <c r="M45" s="272">
        <v>-280179.80595197203</v>
      </c>
      <c r="N45" s="272">
        <v>-286317.8999309729</v>
      </c>
      <c r="O45" s="272">
        <v>-292645.55785914924</v>
      </c>
      <c r="P45" s="272">
        <v>-299169.66060247627</v>
      </c>
      <c r="Q45" s="272">
        <v>-305897.36358744447</v>
      </c>
      <c r="R45" s="272">
        <v>-286771.12524523149</v>
      </c>
      <c r="S45" s="272">
        <v>-293928.64920647995</v>
      </c>
      <c r="T45" s="272">
        <v>-301313.00025876146</v>
      </c>
      <c r="U45" s="272">
        <v>-308932.54741215333</v>
      </c>
      <c r="V45" s="272">
        <v>-316795.99408498395</v>
      </c>
      <c r="W45" s="272">
        <v>-324912.39142172481</v>
      </c>
      <c r="X45" s="272">
        <v>-333291.15208820929</v>
      </c>
      <c r="Y45" s="272">
        <v>-341942.06455583783</v>
      </c>
      <c r="Z45" s="272">
        <v>-350875.30788617465</v>
      </c>
      <c r="AA45" s="272">
        <v>-360101.46702702297</v>
      </c>
      <c r="AB45" s="272">
        <v>-369631.54863066133</v>
      </c>
      <c r="AC45" s="272">
        <v>-379476.99740443821</v>
      </c>
      <c r="AD45" s="272">
        <v>-389649.71300334029</v>
      </c>
    </row>
    <row r="46" spans="2:30" ht="6.75" customHeight="1" x14ac:dyDescent="0.25">
      <c r="B46" s="20" t="str">
        <f>IF(C46&lt;&gt;"",SUBTOTAL(3,C$4:C46),"")</f>
        <v/>
      </c>
    </row>
    <row r="47" spans="2:30" x14ac:dyDescent="0.25">
      <c r="B47" s="1115">
        <f>IF(C47&lt;&gt;"",SUBTOTAL(3,C$4:C47),"")</f>
        <v>37</v>
      </c>
      <c r="C47" s="266" t="s">
        <v>495</v>
      </c>
      <c r="D47" s="267" t="s">
        <v>672</v>
      </c>
      <c r="E47" s="266"/>
      <c r="F47" s="269">
        <v>-13232.409637160104</v>
      </c>
      <c r="G47" s="269">
        <v>9614.9418152061116</v>
      </c>
      <c r="H47" s="269">
        <v>40037.155984166777</v>
      </c>
      <c r="I47" s="269">
        <v>40595.491157183249</v>
      </c>
      <c r="J47" s="269">
        <v>41111.768292667868</v>
      </c>
      <c r="K47" s="269">
        <v>41582.663607614115</v>
      </c>
      <c r="L47" s="269">
        <v>42004.675215277821</v>
      </c>
      <c r="M47" s="269">
        <v>42374.114856911649</v>
      </c>
      <c r="N47" s="269">
        <v>42687.099294088432</v>
      </c>
      <c r="O47" s="269">
        <v>42939.541350413347</v>
      </c>
      <c r="P47" s="269">
        <v>43127.140591277566</v>
      </c>
      <c r="Q47" s="269">
        <v>43245.373630184447</v>
      </c>
      <c r="R47" s="269">
        <v>69354.466716750001</v>
      </c>
      <c r="S47" s="269">
        <v>69319.45459474111</v>
      </c>
      <c r="T47" s="269">
        <v>69200.065618484106</v>
      </c>
      <c r="U47" s="269">
        <v>68990.779782637022</v>
      </c>
      <c r="V47" s="269">
        <v>68685.799653702357</v>
      </c>
      <c r="W47" s="269">
        <v>68279.038191735221</v>
      </c>
      <c r="X47" s="269">
        <v>67764.106117519841</v>
      </c>
      <c r="Y47" s="269">
        <v>67134.298814005975</v>
      </c>
      <c r="Z47" s="269">
        <v>66382.582751066016</v>
      </c>
      <c r="AA47" s="269">
        <v>65501.581422962423</v>
      </c>
      <c r="AB47" s="269">
        <v>64483.56078832387</v>
      </c>
      <c r="AC47" s="269">
        <v>63320.414202926506</v>
      </c>
      <c r="AD47" s="269">
        <v>62003.6468361718</v>
      </c>
    </row>
    <row r="48" spans="2:30" x14ac:dyDescent="0.25">
      <c r="B48" s="1118">
        <f>IF(C48&lt;&gt;"",SUBTOTAL(3,C$4:C48),"")</f>
        <v>38</v>
      </c>
      <c r="C48" s="146" t="s">
        <v>496</v>
      </c>
      <c r="D48" s="144"/>
      <c r="E48" s="146"/>
      <c r="F48" s="147">
        <v>-9.4247059595819305E-2</v>
      </c>
      <c r="G48" s="147">
        <v>4.7956483007958385E-2</v>
      </c>
      <c r="H48" s="147">
        <v>0.13704454506703698</v>
      </c>
      <c r="I48" s="147">
        <v>0.13623106818647768</v>
      </c>
      <c r="J48" s="147">
        <v>0.13525843151097697</v>
      </c>
      <c r="K48" s="147">
        <v>0.13412518164054571</v>
      </c>
      <c r="L48" s="147">
        <v>0.13282978737985737</v>
      </c>
      <c r="M48" s="147">
        <v>0.13137063952175215</v>
      </c>
      <c r="N48" s="147">
        <v>0.12974605065161218</v>
      </c>
      <c r="O48" s="147">
        <v>0.12795425497602003</v>
      </c>
      <c r="P48" s="147">
        <v>0.12599340817931237</v>
      </c>
      <c r="Q48" s="147">
        <v>0.12386158731186375</v>
      </c>
      <c r="R48" s="147">
        <v>0.19474721357333397</v>
      </c>
      <c r="S48" s="147">
        <v>0.1908322545096465</v>
      </c>
      <c r="T48" s="147">
        <v>0.1867682195083796</v>
      </c>
      <c r="U48" s="147">
        <v>0.18255231899743937</v>
      </c>
      <c r="V48" s="147">
        <v>0.17818169565814482</v>
      </c>
      <c r="W48" s="147">
        <v>0.17365342438633316</v>
      </c>
      <c r="X48" s="147">
        <v>0.16896451232353352</v>
      </c>
      <c r="Y48" s="147">
        <v>0.16411189896422884</v>
      </c>
      <c r="Z48" s="147">
        <v>0.15909245634560878</v>
      </c>
      <c r="AA48" s="147">
        <v>0.15390298932659036</v>
      </c>
      <c r="AB48" s="147">
        <v>0.14854023596328619</v>
      </c>
      <c r="AC48" s="147">
        <v>0.14300086798852765</v>
      </c>
      <c r="AD48" s="147">
        <v>0.13728149140350426</v>
      </c>
    </row>
    <row r="49" spans="2:30" x14ac:dyDescent="0.25">
      <c r="B49" s="1114">
        <f>IF(C49&lt;&gt;"",SUBTOTAL(3,C$4:C49),"")</f>
        <v>39</v>
      </c>
      <c r="C49" s="270" t="s">
        <v>488</v>
      </c>
      <c r="D49" s="271" t="s">
        <v>672</v>
      </c>
      <c r="E49" s="270"/>
      <c r="F49" s="272">
        <v>-10585.927709728085</v>
      </c>
      <c r="G49" s="272">
        <v>7691.9534521648893</v>
      </c>
      <c r="H49" s="272">
        <v>32029.724787333424</v>
      </c>
      <c r="I49" s="272">
        <v>32476.392925746601</v>
      </c>
      <c r="J49" s="272">
        <v>32889.414634134293</v>
      </c>
      <c r="K49" s="272">
        <v>33266.13088609129</v>
      </c>
      <c r="L49" s="272">
        <v>33603.740172222257</v>
      </c>
      <c r="M49" s="272">
        <v>33899.291885529317</v>
      </c>
      <c r="N49" s="272">
        <v>34149.679435270744</v>
      </c>
      <c r="O49" s="272">
        <v>34351.633080330677</v>
      </c>
      <c r="P49" s="272">
        <v>34501.712473022053</v>
      </c>
      <c r="Q49" s="272">
        <v>34596.298904147559</v>
      </c>
      <c r="R49" s="272">
        <v>55483.573373400002</v>
      </c>
      <c r="S49" s="272">
        <v>55455.563675792888</v>
      </c>
      <c r="T49" s="272">
        <v>55360.052494787291</v>
      </c>
      <c r="U49" s="272">
        <v>55192.623826109622</v>
      </c>
      <c r="V49" s="272">
        <v>54948.639722961889</v>
      </c>
      <c r="W49" s="272">
        <v>54623.230553388181</v>
      </c>
      <c r="X49" s="272">
        <v>54211.284894015873</v>
      </c>
      <c r="Y49" s="272">
        <v>53707.439051204783</v>
      </c>
      <c r="Z49" s="272">
        <v>53106.066200852816</v>
      </c>
      <c r="AA49" s="272">
        <v>52401.265138369941</v>
      </c>
      <c r="AB49" s="272">
        <v>51586.8486306591</v>
      </c>
      <c r="AC49" s="272">
        <v>50656.33136234121</v>
      </c>
      <c r="AD49" s="272">
        <v>49602.917468937441</v>
      </c>
    </row>
    <row r="50" spans="2:30" x14ac:dyDescent="0.25">
      <c r="B50" s="1118">
        <f>IF(C50&lt;&gt;"",SUBTOTAL(3,C$4:C50),"")</f>
        <v>40</v>
      </c>
      <c r="C50" s="146" t="s">
        <v>489</v>
      </c>
      <c r="D50" s="144"/>
      <c r="E50" s="146"/>
      <c r="F50" s="147">
        <v>-7.5397647676655452E-2</v>
      </c>
      <c r="G50" s="147">
        <v>3.8365186406366707E-2</v>
      </c>
      <c r="H50" s="147">
        <v>0.1096356360536296</v>
      </c>
      <c r="I50" s="147">
        <v>0.10898485454918215</v>
      </c>
      <c r="J50" s="147">
        <v>0.10820674520878157</v>
      </c>
      <c r="K50" s="147">
        <v>0.10730014531243656</v>
      </c>
      <c r="L50" s="147">
        <v>0.1062638299038859</v>
      </c>
      <c r="M50" s="147">
        <v>0.10509651161740172</v>
      </c>
      <c r="N50" s="147">
        <v>0.10379684052128973</v>
      </c>
      <c r="O50" s="147">
        <v>0.10236340398081602</v>
      </c>
      <c r="P50" s="147">
        <v>0.1007947265434499</v>
      </c>
      <c r="Q50" s="147">
        <v>9.9089269849491013E-2</v>
      </c>
      <c r="R50" s="147">
        <v>0.15579777085866719</v>
      </c>
      <c r="S50" s="147">
        <v>0.1526658036077172</v>
      </c>
      <c r="T50" s="147">
        <v>0.14941457560670368</v>
      </c>
      <c r="U50" s="147">
        <v>0.14604185519795151</v>
      </c>
      <c r="V50" s="147">
        <v>0.14254535652651587</v>
      </c>
      <c r="W50" s="147">
        <v>0.13892273950906656</v>
      </c>
      <c r="X50" s="147">
        <v>0.13517160985882681</v>
      </c>
      <c r="Y50" s="147">
        <v>0.1312895191713831</v>
      </c>
      <c r="Z50" s="147">
        <v>0.12727396507648703</v>
      </c>
      <c r="AA50" s="147">
        <v>0.1231223914612723</v>
      </c>
      <c r="AB50" s="147">
        <v>0.11883218877062897</v>
      </c>
      <c r="AC50" s="147">
        <v>0.11440069439082214</v>
      </c>
      <c r="AD50" s="147">
        <v>0.10982519312280342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78EC-EDB8-4D31-9FF3-1B1695768DA5}">
  <dimension ref="A3:D29"/>
  <sheetViews>
    <sheetView showGridLines="0" zoomScale="115" zoomScaleNormal="115" workbookViewId="0">
      <pane xSplit="1" ySplit="3" topLeftCell="B4" activePane="bottomRight" state="frozen"/>
      <selection activeCell="J24" sqref="J24"/>
      <selection pane="topRight" activeCell="J24" sqref="J24"/>
      <selection pane="bottomLeft" activeCell="J24" sqref="J24"/>
      <selection pane="bottomRight" activeCell="J24" sqref="J24"/>
    </sheetView>
  </sheetViews>
  <sheetFormatPr defaultRowHeight="15" x14ac:dyDescent="0.25"/>
  <cols>
    <col min="2" max="2" width="10.375" customWidth="1"/>
    <col min="3" max="3" width="17.5" bestFit="1" customWidth="1"/>
    <col min="4" max="4" width="23" bestFit="1" customWidth="1"/>
  </cols>
  <sheetData>
    <row r="3" spans="1:4" x14ac:dyDescent="0.25">
      <c r="A3" s="1119" t="s">
        <v>559</v>
      </c>
      <c r="B3" s="1119" t="s">
        <v>868</v>
      </c>
      <c r="C3" s="1119" t="s">
        <v>869</v>
      </c>
      <c r="D3" s="1119" t="s">
        <v>870</v>
      </c>
    </row>
    <row r="4" spans="1:4" x14ac:dyDescent="0.25">
      <c r="A4" s="20">
        <v>2026</v>
      </c>
      <c r="B4" s="1120" cm="1">
        <f t="array" ref="B4:B29">TRANSPOSE('W3'!K168:AJ168)</f>
        <v>-300749.80000000005</v>
      </c>
      <c r="C4" s="1120" cm="1">
        <f t="array" ref="C4:C29">TRANSPOSE('W3'!K170:AJ170)</f>
        <v>-300749.80000000005</v>
      </c>
      <c r="D4" s="1121">
        <f>SUM(C$4:C4)</f>
        <v>-300749.80000000005</v>
      </c>
    </row>
    <row r="5" spans="1:4" x14ac:dyDescent="0.25">
      <c r="A5" s="20">
        <f>A4+1</f>
        <v>2027</v>
      </c>
      <c r="B5" s="1120">
        <v>26265.947783605254</v>
      </c>
      <c r="C5" s="1120">
        <v>24486.741170179979</v>
      </c>
      <c r="D5" s="1121">
        <f>SUM(C$4:C5)</f>
        <v>-276263.05882982007</v>
      </c>
    </row>
    <row r="6" spans="1:4" x14ac:dyDescent="0.25">
      <c r="A6" s="20">
        <f t="shared" ref="A6:A29" si="0">A5+1</f>
        <v>2028</v>
      </c>
      <c r="B6" s="1120">
        <v>44419.021682941733</v>
      </c>
      <c r="C6" s="1120">
        <v>38605.11205237484</v>
      </c>
      <c r="D6" s="1121">
        <f>SUM(C$4:C6)</f>
        <v>-237657.94677744524</v>
      </c>
    </row>
    <row r="7" spans="1:4" x14ac:dyDescent="0.25">
      <c r="A7" s="20">
        <f t="shared" si="0"/>
        <v>2029</v>
      </c>
      <c r="B7" s="1120">
        <v>68623.249247174812</v>
      </c>
      <c r="C7" s="1120">
        <v>55601.309497709786</v>
      </c>
      <c r="D7" s="1121">
        <f>SUM(C$4:C7)</f>
        <v>-182056.63727973544</v>
      </c>
    </row>
    <row r="8" spans="1:4" x14ac:dyDescent="0.25">
      <c r="A8" s="20">
        <f t="shared" si="0"/>
        <v>2030</v>
      </c>
      <c r="B8" s="1120">
        <v>68927.025550687074</v>
      </c>
      <c r="C8" s="1120">
        <v>52064.439100370939</v>
      </c>
      <c r="D8" s="1121">
        <f>SUM(C$4:C8)</f>
        <v>-129992.1981793645</v>
      </c>
    </row>
    <row r="9" spans="1:4" x14ac:dyDescent="0.25">
      <c r="A9" s="20">
        <f t="shared" si="0"/>
        <v>2031</v>
      </c>
      <c r="B9" s="1120">
        <v>69187.152995730779</v>
      </c>
      <c r="C9" s="1120">
        <v>48720.869534269332</v>
      </c>
      <c r="D9" s="1121">
        <f>SUM(C$4:C9)</f>
        <v>-81271.328645095171</v>
      </c>
    </row>
    <row r="10" spans="1:4" x14ac:dyDescent="0.25">
      <c r="A10" s="20">
        <f t="shared" si="0"/>
        <v>2032</v>
      </c>
      <c r="B10" s="1120">
        <v>69400.272385909702</v>
      </c>
      <c r="C10" s="1120">
        <v>45560.518691746511</v>
      </c>
      <c r="D10" s="1121">
        <f>SUM(C$4:C10)</f>
        <v>-35710.80995334866</v>
      </c>
    </row>
    <row r="11" spans="1:4" x14ac:dyDescent="0.25">
      <c r="A11" s="20">
        <f t="shared" si="0"/>
        <v>2033</v>
      </c>
      <c r="B11" s="1120">
        <v>69562.833029938134</v>
      </c>
      <c r="C11" s="1120">
        <v>42573.823927480807</v>
      </c>
      <c r="D11" s="1121">
        <f>SUM(C$4:C11)</f>
        <v>6863.0139741321473</v>
      </c>
    </row>
    <row r="12" spans="1:4" x14ac:dyDescent="0.25">
      <c r="A12" s="20">
        <f t="shared" si="0"/>
        <v>2034</v>
      </c>
      <c r="B12" s="1120">
        <v>69671.082696195474</v>
      </c>
      <c r="C12" s="1120">
        <v>39751.715226932414</v>
      </c>
      <c r="D12" s="1121">
        <f>SUM(C$4:C12)</f>
        <v>46614.729201064561</v>
      </c>
    </row>
    <row r="13" spans="1:4" x14ac:dyDescent="0.25">
      <c r="A13" s="20">
        <f t="shared" si="0"/>
        <v>2035</v>
      </c>
      <c r="B13" s="1120">
        <v>69721.057055593716</v>
      </c>
      <c r="C13" s="1120">
        <v>37085.589775120716</v>
      </c>
      <c r="D13" s="1121">
        <f>SUM(C$4:C13)</f>
        <v>83700.318976185285</v>
      </c>
    </row>
    <row r="14" spans="1:4" x14ac:dyDescent="0.25">
      <c r="A14" s="20">
        <f t="shared" si="0"/>
        <v>2036</v>
      </c>
      <c r="B14" s="1120">
        <v>69708.568586986425</v>
      </c>
      <c r="C14" s="1120">
        <v>34567.287851507026</v>
      </c>
      <c r="D14" s="1121">
        <f>SUM(C$4:C14)</f>
        <v>118267.6068276923</v>
      </c>
    </row>
    <row r="15" spans="1:4" x14ac:dyDescent="0.25">
      <c r="A15" s="20">
        <f t="shared" si="0"/>
        <v>2037</v>
      </c>
      <c r="B15" s="1120">
        <v>69629.19491805388</v>
      </c>
      <c r="C15" s="1120">
        <v>32189.069980766992</v>
      </c>
      <c r="D15" s="1121">
        <f>SUM(C$4:C15)</f>
        <v>150456.67680845931</v>
      </c>
    </row>
    <row r="16" spans="1:4" x14ac:dyDescent="0.25">
      <c r="A16" s="20">
        <f t="shared" si="0"/>
        <v>2038</v>
      </c>
      <c r="B16" s="1120">
        <v>69478.266573241781</v>
      </c>
      <c r="C16" s="1120">
        <v>29943.595273027313</v>
      </c>
      <c r="D16" s="1121">
        <f>SUM(C$4:C16)</f>
        <v>180400.27208148662</v>
      </c>
    </row>
    <row r="17" spans="1:4" x14ac:dyDescent="0.25">
      <c r="A17" s="20">
        <f t="shared" si="0"/>
        <v>2039</v>
      </c>
      <c r="B17" s="1120">
        <v>65040.356898907667</v>
      </c>
      <c r="C17" s="1120">
        <v>26132.189527479521</v>
      </c>
      <c r="D17" s="1121">
        <f>SUM(C$4:C17)</f>
        <v>206532.46160896614</v>
      </c>
    </row>
    <row r="18" spans="1:4" x14ac:dyDescent="0.25">
      <c r="A18" s="20">
        <f t="shared" si="0"/>
        <v>2040</v>
      </c>
      <c r="B18" s="1120">
        <v>64731.257334329595</v>
      </c>
      <c r="C18" s="1120">
        <v>24246.264611177809</v>
      </c>
      <c r="D18" s="1121">
        <f>SUM(C$4:C18)</f>
        <v>230778.72622014396</v>
      </c>
    </row>
    <row r="19" spans="1:4" x14ac:dyDescent="0.25">
      <c r="A19" s="20">
        <f t="shared" si="0"/>
        <v>2041</v>
      </c>
      <c r="B19" s="1120">
        <v>64334.979995665068</v>
      </c>
      <c r="C19" s="1120">
        <v>22465.489305138792</v>
      </c>
      <c r="D19" s="1121">
        <f>SUM(C$4:C19)</f>
        <v>253244.21552528275</v>
      </c>
    </row>
    <row r="20" spans="1:4" x14ac:dyDescent="0.25">
      <c r="A20" s="20">
        <f t="shared" si="0"/>
        <v>2042</v>
      </c>
      <c r="B20" s="1120">
        <v>63845.731538292355</v>
      </c>
      <c r="C20" s="1120">
        <v>20784.447929967704</v>
      </c>
      <c r="D20" s="1121">
        <f>SUM(C$4:C20)</f>
        <v>274028.66345525044</v>
      </c>
    </row>
    <row r="21" spans="1:4" x14ac:dyDescent="0.25">
      <c r="A21" s="20">
        <f t="shared" si="0"/>
        <v>2043</v>
      </c>
      <c r="B21" s="1120">
        <v>63257.400261240931</v>
      </c>
      <c r="C21" s="1120">
        <v>19197.995232747857</v>
      </c>
      <c r="D21" s="1121">
        <f>SUM(C$4:C21)</f>
        <v>293226.65868799831</v>
      </c>
    </row>
    <row r="22" spans="1:4" x14ac:dyDescent="0.25">
      <c r="A22" s="20">
        <f t="shared" si="0"/>
        <v>2044</v>
      </c>
      <c r="B22" s="1120">
        <v>62563.539615590264</v>
      </c>
      <c r="C22" s="1120">
        <v>17701.243069108514</v>
      </c>
      <c r="D22" s="1121">
        <f>SUM(C$4:C22)</f>
        <v>310927.90175710683</v>
      </c>
    </row>
    <row r="23" spans="1:4" x14ac:dyDescent="0.25">
      <c r="A23" s="20">
        <f t="shared" si="0"/>
        <v>2045</v>
      </c>
      <c r="B23" s="1120">
        <v>61757.350876815617</v>
      </c>
      <c r="C23" s="1120">
        <v>16289.547736315768</v>
      </c>
      <c r="D23" s="1121">
        <f>SUM(C$4:C23)</f>
        <v>327217.44949342258</v>
      </c>
    </row>
    <row r="24" spans="1:4" x14ac:dyDescent="0.25">
      <c r="A24" s="20">
        <f t="shared" si="0"/>
        <v>2046</v>
      </c>
      <c r="B24" s="1120">
        <v>60831.664939044007</v>
      </c>
      <c r="C24" s="1120">
        <v>14958.497925732501</v>
      </c>
      <c r="D24" s="1121">
        <f>SUM(C$4:C24)</f>
        <v>342175.9474191551</v>
      </c>
    </row>
    <row r="25" spans="1:4" x14ac:dyDescent="0.25">
      <c r="A25" s="20">
        <f t="shared" si="0"/>
        <v>2047</v>
      </c>
      <c r="B25" s="1120">
        <v>59778.9231870843</v>
      </c>
      <c r="C25" s="1120">
        <v>13703.903264526534</v>
      </c>
      <c r="D25" s="1121">
        <f>SUM(C$4:C25)</f>
        <v>355879.85068368161</v>
      </c>
    </row>
    <row r="26" spans="1:4" x14ac:dyDescent="0.25">
      <c r="A26" s="20">
        <f t="shared" si="0"/>
        <v>2048</v>
      </c>
      <c r="B26" s="1120">
        <v>58591.157399881129</v>
      </c>
      <c r="C26" s="1120">
        <v>12521.783417962006</v>
      </c>
      <c r="D26" s="1121">
        <f>SUM(C$4:C26)</f>
        <v>368401.63410164363</v>
      </c>
    </row>
    <row r="27" spans="1:4" x14ac:dyDescent="0.25">
      <c r="A27" s="20">
        <f t="shared" si="0"/>
        <v>2049</v>
      </c>
      <c r="B27" s="1120">
        <v>57259.968636719583</v>
      </c>
      <c r="C27" s="1120">
        <v>11408.35772499602</v>
      </c>
      <c r="D27" s="1121">
        <f>SUM(C$4:C27)</f>
        <v>379809.99182663963</v>
      </c>
    </row>
    <row r="28" spans="1:4" x14ac:dyDescent="0.25">
      <c r="A28" s="20">
        <f t="shared" si="0"/>
        <v>2050</v>
      </c>
      <c r="B28" s="1120">
        <v>55776.505055069436</v>
      </c>
      <c r="C28" s="1120">
        <v>10360.035341223091</v>
      </c>
      <c r="D28" s="1121">
        <f>SUM(C$4:C28)</f>
        <v>390170.02716786275</v>
      </c>
    </row>
    <row r="29" spans="1:4" x14ac:dyDescent="0.25">
      <c r="A29" s="20">
        <f t="shared" si="0"/>
        <v>2051</v>
      </c>
      <c r="B29" s="1120">
        <v>54131.438606400159</v>
      </c>
      <c r="C29" s="1120">
        <v>9373.4058644672732</v>
      </c>
      <c r="D29" s="1121">
        <f>SUM(C$4:C29)</f>
        <v>399543.43303233001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A798-BA9D-49D6-B81D-6488C310300A}">
  <dimension ref="A1"/>
  <sheetViews>
    <sheetView workbookViewId="0">
      <selection activeCell="K22" sqref="K22"/>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569B-B227-47EF-9220-A5F2AC96DE6E}">
  <sheetPr>
    <tabColor rgb="FF000099"/>
  </sheetPr>
  <dimension ref="A1:S31"/>
  <sheetViews>
    <sheetView showGridLines="0" zoomScale="130" zoomScaleNormal="130" workbookViewId="0">
      <pane xSplit="4" ySplit="9" topLeftCell="E10" activePane="bottomRight" state="frozen"/>
      <selection pane="topRight" activeCell="E1" sqref="E1"/>
      <selection pane="bottomLeft" activeCell="A10" sqref="A10"/>
      <selection pane="bottomRight" activeCell="F31" sqref="F31"/>
    </sheetView>
  </sheetViews>
  <sheetFormatPr defaultRowHeight="15" x14ac:dyDescent="0.25"/>
  <cols>
    <col min="1" max="1" width="5.875" style="20" customWidth="1"/>
    <col min="2" max="2" width="26.5" customWidth="1"/>
    <col min="3" max="3" width="9" style="20"/>
    <col min="4" max="4" width="1" customWidth="1"/>
    <col min="5" max="5" width="13.5" bestFit="1" customWidth="1"/>
    <col min="6" max="6" width="15" customWidth="1"/>
    <col min="7" max="7" width="1.5" customWidth="1"/>
    <col min="8" max="8" width="15.5" customWidth="1"/>
    <col min="9" max="9" width="15.875" customWidth="1"/>
    <col min="10" max="10" width="1.375" customWidth="1"/>
    <col min="11" max="11" width="16" customWidth="1"/>
  </cols>
  <sheetData>
    <row r="1" spans="1:19" x14ac:dyDescent="0.25">
      <c r="B1" s="915" t="s">
        <v>0</v>
      </c>
    </row>
    <row r="2" spans="1:19" x14ac:dyDescent="0.25">
      <c r="B2" s="915" t="s">
        <v>1</v>
      </c>
    </row>
    <row r="3" spans="1:19" ht="19.5" x14ac:dyDescent="0.3">
      <c r="B3" s="916" t="s">
        <v>44</v>
      </c>
    </row>
    <row r="4" spans="1:19" ht="27" thickBot="1" x14ac:dyDescent="0.45">
      <c r="B4" s="917" t="s">
        <v>771</v>
      </c>
    </row>
    <row r="5" spans="1:19" s="881" customFormat="1" ht="21" customHeight="1" thickBot="1" x14ac:dyDescent="0.3">
      <c r="A5" s="935"/>
      <c r="B5" s="934" t="s">
        <v>780</v>
      </c>
      <c r="C5" s="935"/>
      <c r="F5" s="936"/>
      <c r="G5" s="937"/>
      <c r="H5" s="938" t="s">
        <v>774</v>
      </c>
      <c r="I5" s="939">
        <v>680</v>
      </c>
    </row>
    <row r="6" spans="1:19" ht="15.75" thickBot="1" x14ac:dyDescent="0.3">
      <c r="E6" s="902"/>
      <c r="F6" s="902"/>
    </row>
    <row r="7" spans="1:19" s="881" customFormat="1" ht="28.5" customHeight="1" thickTop="1" x14ac:dyDescent="0.25">
      <c r="A7" s="1075" t="s">
        <v>2</v>
      </c>
      <c r="B7" s="1076" t="s">
        <v>556</v>
      </c>
      <c r="C7" s="1075" t="s">
        <v>62</v>
      </c>
      <c r="E7" s="1081" t="s">
        <v>753</v>
      </c>
      <c r="F7" s="1081" t="s">
        <v>754</v>
      </c>
      <c r="H7" s="1073" t="s">
        <v>775</v>
      </c>
      <c r="I7" s="1074"/>
      <c r="K7" s="940" t="s">
        <v>779</v>
      </c>
      <c r="S7" s="930"/>
    </row>
    <row r="8" spans="1:19" s="881" customFormat="1" ht="16.5" customHeight="1" x14ac:dyDescent="0.25">
      <c r="A8" s="1075"/>
      <c r="B8" s="1076"/>
      <c r="C8" s="1075"/>
      <c r="E8" s="1081"/>
      <c r="F8" s="1081"/>
      <c r="H8" s="1077" t="s">
        <v>751</v>
      </c>
      <c r="I8" s="1079" t="s">
        <v>752</v>
      </c>
      <c r="K8" s="1071" t="s">
        <v>752</v>
      </c>
    </row>
    <row r="9" spans="1:19" s="232" customFormat="1" x14ac:dyDescent="0.25">
      <c r="A9" s="1075"/>
      <c r="B9" s="1076"/>
      <c r="C9" s="1075"/>
      <c r="E9" s="928" t="s">
        <v>755</v>
      </c>
      <c r="F9" s="928" t="s">
        <v>786</v>
      </c>
      <c r="H9" s="1078"/>
      <c r="I9" s="1080"/>
      <c r="K9" s="1072"/>
    </row>
    <row r="10" spans="1:19" s="1" customFormat="1" x14ac:dyDescent="0.25">
      <c r="A10" s="883">
        <v>1</v>
      </c>
      <c r="B10" s="884" t="s">
        <v>768</v>
      </c>
      <c r="C10" s="883" t="s">
        <v>369</v>
      </c>
      <c r="E10" s="885">
        <f>E11*(1000000/'Cover Page'!$F$25)/EXR</f>
        <v>1893.5897435897436</v>
      </c>
      <c r="F10" s="885">
        <f>F11*(1000000/'Cover Page'!$F$25)/EXR</f>
        <v>1843.5897435897436</v>
      </c>
      <c r="H10" s="954">
        <f>H11*(1000000/'Cover Page'!$F$25)/EXR</f>
        <v>1743.5897435897436</v>
      </c>
      <c r="I10" s="955">
        <f>I11*(1000000/'Cover Page'!$F$25)/EXR</f>
        <v>1743.5897435897436</v>
      </c>
      <c r="K10" s="941">
        <f>K11*(1000000/'Cover Page'!$F$25)/EXR</f>
        <v>1743.5897435897436</v>
      </c>
    </row>
    <row r="11" spans="1:19" s="923" customFormat="1" x14ac:dyDescent="0.25">
      <c r="A11" s="921">
        <v>2</v>
      </c>
      <c r="B11" s="922" t="s">
        <v>768</v>
      </c>
      <c r="C11" s="921" t="s">
        <v>368</v>
      </c>
      <c r="E11" s="924">
        <f>'W5'!G4</f>
        <v>738.5</v>
      </c>
      <c r="F11" s="924">
        <f>'W5'!I4</f>
        <v>719</v>
      </c>
      <c r="H11" s="956">
        <f>I5</f>
        <v>680</v>
      </c>
      <c r="I11" s="957">
        <f>H11</f>
        <v>680</v>
      </c>
      <c r="K11" s="942">
        <f>I5</f>
        <v>680</v>
      </c>
    </row>
    <row r="12" spans="1:19" s="1" customFormat="1" x14ac:dyDescent="0.25">
      <c r="A12" s="883">
        <v>3</v>
      </c>
      <c r="B12" s="884" t="s">
        <v>769</v>
      </c>
      <c r="C12" s="883" t="s">
        <v>369</v>
      </c>
      <c r="E12" s="885">
        <f>E13*(1000000/'Cover Page'!$F$25)/EXR</f>
        <v>1777.0703160928099</v>
      </c>
      <c r="F12" s="885">
        <f>F13*(1000000/'Cover Page'!$F$25)/EXR</f>
        <v>1777.0703160928099</v>
      </c>
      <c r="H12" s="954">
        <f>H13*(1000000/'Cover Page'!$F$25)/EXR</f>
        <v>1722.3213986785561</v>
      </c>
      <c r="I12" s="955">
        <f>I13*(1000000/'Cover Page'!$F$25)/EXR</f>
        <v>1630.4375093719268</v>
      </c>
      <c r="K12" s="941">
        <f>K13*(1000000/'Cover Page'!$F$25)/EXR</f>
        <v>1565.4277477239314</v>
      </c>
    </row>
    <row r="13" spans="1:19" x14ac:dyDescent="0.25">
      <c r="A13" s="496">
        <v>4</v>
      </c>
      <c r="B13" s="454" t="s">
        <v>769</v>
      </c>
      <c r="C13" s="496" t="s">
        <v>368</v>
      </c>
      <c r="E13" s="457">
        <f>'W5'!G6</f>
        <v>693.05742327619578</v>
      </c>
      <c r="F13" s="457">
        <f>'W5'!I6</f>
        <v>693.05742327619578</v>
      </c>
      <c r="H13" s="958">
        <f>'W5'!M6</f>
        <v>671.70534548463684</v>
      </c>
      <c r="I13" s="959">
        <f>'W5'!O6</f>
        <v>635.87062865505141</v>
      </c>
      <c r="K13" s="943">
        <f>'W5'!E6</f>
        <v>610.51682161233316</v>
      </c>
    </row>
    <row r="14" spans="1:19" s="913" customFormat="1" x14ac:dyDescent="0.25">
      <c r="A14" s="918">
        <v>5</v>
      </c>
      <c r="B14" s="919" t="s">
        <v>765</v>
      </c>
      <c r="C14" s="918" t="s">
        <v>369</v>
      </c>
      <c r="E14" s="920">
        <f>E15*(1000000/'Cover Page'!$F$25)/EXR</f>
        <v>93.215541997547135</v>
      </c>
      <c r="F14" s="920">
        <f>F15*(1000000/'Cover Page'!$F$25)/EXR</f>
        <v>53.215541997547128</v>
      </c>
      <c r="H14" s="960">
        <f>H15*(1000000/'Cover Page'!$F$25)/EXR</f>
        <v>17.01467592895008</v>
      </c>
      <c r="I14" s="961">
        <f>I15*(1000000/'Cover Page'!$F$25)/EXR</f>
        <v>90.521787374253549</v>
      </c>
      <c r="K14" s="944">
        <f>K15*(1000000/'Cover Page'!$F$25)/EXR</f>
        <v>142.52959669264993</v>
      </c>
    </row>
    <row r="15" spans="1:19" s="913" customFormat="1" x14ac:dyDescent="0.25">
      <c r="A15" s="911">
        <v>6</v>
      </c>
      <c r="B15" s="912" t="s">
        <v>765</v>
      </c>
      <c r="C15" s="911" t="s">
        <v>368</v>
      </c>
      <c r="E15" s="914">
        <f>'W5'!G8</f>
        <v>36.35406137904338</v>
      </c>
      <c r="F15" s="914">
        <f>'W5'!I8</f>
        <v>20.754061379043378</v>
      </c>
      <c r="H15" s="962">
        <f>'W5'!M8</f>
        <v>6.6357236122905308</v>
      </c>
      <c r="I15" s="963">
        <f>'W5'!O8</f>
        <v>35.30349707595888</v>
      </c>
      <c r="K15" s="945">
        <f>'W5'!E8</f>
        <v>55.586542710133472</v>
      </c>
    </row>
    <row r="16" spans="1:19" s="146" customFormat="1" x14ac:dyDescent="0.25">
      <c r="A16" s="925"/>
      <c r="B16" s="926" t="s">
        <v>773</v>
      </c>
      <c r="C16" s="925"/>
      <c r="E16" s="927">
        <f>'W5'!G10</f>
        <v>4.9226894216714154E-2</v>
      </c>
      <c r="F16" s="927">
        <f>'W5'!I10</f>
        <v>2.8865175770574972E-2</v>
      </c>
      <c r="G16" s="147"/>
      <c r="H16" s="964">
        <f>'W5'!M10</f>
        <v>9.7584170768979291E-3</v>
      </c>
      <c r="I16" s="965">
        <f>'W5'!O10</f>
        <v>5.1916907464645376E-2</v>
      </c>
      <c r="K16" s="946">
        <f>'W5'!E10</f>
        <v>8.1744915750196337E-2</v>
      </c>
    </row>
    <row r="17" spans="1:11" s="1" customFormat="1" x14ac:dyDescent="0.25">
      <c r="A17" s="886">
        <v>7</v>
      </c>
      <c r="B17" s="887" t="s">
        <v>770</v>
      </c>
      <c r="C17" s="886" t="s">
        <v>380</v>
      </c>
      <c r="E17" s="888">
        <f>IF(Currency="USD",'W1'!$N$60,'W1'!$N$60/EXR)</f>
        <v>18708230.769230768</v>
      </c>
      <c r="F17" s="888">
        <f>IF(Currency="USD",'W1'!$S$60,'W1'!$S$60/EXR)</f>
        <v>18708230.769230768</v>
      </c>
      <c r="H17" s="966">
        <f>IF(Currency="USD",'W1'!$AC$60,'W1'!$AC$60/EXR)</f>
        <v>17884230.769230768</v>
      </c>
      <c r="I17" s="967">
        <f>IF(Currency="USD",'W1'!$AH$60,'W1'!$AH$60/EXR)</f>
        <v>12115000</v>
      </c>
      <c r="K17" s="947">
        <f>IF(Currency="USD",'W1'!$I$60,'W1'!$I$60/EXR)</f>
        <v>11567300</v>
      </c>
    </row>
    <row r="18" spans="1:11" x14ac:dyDescent="0.25">
      <c r="A18" s="889">
        <v>8</v>
      </c>
      <c r="B18" s="890" t="s">
        <v>749</v>
      </c>
      <c r="C18" s="889" t="s">
        <v>750</v>
      </c>
      <c r="E18" s="891">
        <f>E17*EXR/10^9</f>
        <v>486.41399999999999</v>
      </c>
      <c r="F18" s="891">
        <f>F17*EXR/10^9</f>
        <v>486.41399999999999</v>
      </c>
      <c r="H18" s="968">
        <f>H17*EXR/10^9</f>
        <v>464.99</v>
      </c>
      <c r="I18" s="969">
        <f>I17*EXR/10^9</f>
        <v>314.99</v>
      </c>
      <c r="K18" s="948">
        <f>K17*EXR/10^9</f>
        <v>300.74979999999999</v>
      </c>
    </row>
    <row r="19" spans="1:11" s="1" customFormat="1" x14ac:dyDescent="0.25">
      <c r="A19" s="895">
        <v>9</v>
      </c>
      <c r="B19" s="896" t="s">
        <v>515</v>
      </c>
      <c r="C19" s="895" t="s">
        <v>750</v>
      </c>
      <c r="E19" s="897">
        <f>'W5'!G15/10^3</f>
        <v>293.0227602769973</v>
      </c>
      <c r="F19" s="897">
        <f>'W5'!I15/10^3</f>
        <v>214.92889480032682</v>
      </c>
      <c r="H19" s="970">
        <f>'W5'!M15/10^3</f>
        <v>258.17370240424083</v>
      </c>
      <c r="I19" s="971">
        <f>'W5'!O15/10^3</f>
        <v>131.84101554431149</v>
      </c>
      <c r="K19" s="949">
        <f>'W5'!E15/10^3</f>
        <v>399.54343303233003</v>
      </c>
    </row>
    <row r="20" spans="1:11" x14ac:dyDescent="0.25">
      <c r="A20" s="892">
        <v>10</v>
      </c>
      <c r="B20" s="893" t="s">
        <v>554</v>
      </c>
      <c r="C20" s="892" t="s">
        <v>290</v>
      </c>
      <c r="E20" s="894" t="str">
        <f>'W5'!G13</f>
        <v>10 năm 04 tháng</v>
      </c>
      <c r="F20" s="892" t="str">
        <f>'W5'!I13</f>
        <v>11 năm 08 tháng</v>
      </c>
      <c r="G20" s="20"/>
      <c r="H20" s="972" t="str">
        <f>'W5'!M13</f>
        <v>13 năm 08 tháng</v>
      </c>
      <c r="I20" s="973" t="str">
        <f>'W5'!O13</f>
        <v>8 năm 02 tháng</v>
      </c>
      <c r="K20" s="950" t="str">
        <f>'W5'!E13</f>
        <v>6 năm 11 tháng</v>
      </c>
    </row>
    <row r="21" spans="1:11" s="900" customFormat="1" x14ac:dyDescent="0.25">
      <c r="A21" s="898">
        <v>11</v>
      </c>
      <c r="B21" s="899" t="s">
        <v>314</v>
      </c>
      <c r="C21" s="898" t="s">
        <v>71</v>
      </c>
      <c r="E21" s="901">
        <f>'W5'!H108</f>
        <v>0.46489979831303851</v>
      </c>
      <c r="F21" s="901">
        <f>'W5'!J108</f>
        <v>0.45038734499885802</v>
      </c>
      <c r="H21" s="974">
        <f>'W5'!N108</f>
        <v>0.43840000000000001</v>
      </c>
      <c r="I21" s="975">
        <f>'W5'!P108</f>
        <v>0.43840000000000001</v>
      </c>
      <c r="K21" s="951">
        <f>'W5'!F108</f>
        <v>0.43840000000000001</v>
      </c>
    </row>
    <row r="22" spans="1:11" ht="5.25" customHeight="1" x14ac:dyDescent="0.25">
      <c r="H22" s="976"/>
      <c r="I22" s="977"/>
      <c r="K22" s="952"/>
    </row>
    <row r="23" spans="1:11" ht="15.75" thickBot="1" x14ac:dyDescent="0.3">
      <c r="B23" s="41" t="s">
        <v>778</v>
      </c>
      <c r="H23" s="978"/>
      <c r="I23" s="979"/>
      <c r="K23" s="953"/>
    </row>
    <row r="27" spans="1:11" x14ac:dyDescent="0.25">
      <c r="K27" s="15"/>
    </row>
    <row r="29" spans="1:11" x14ac:dyDescent="0.25">
      <c r="I29" s="15"/>
    </row>
    <row r="31" spans="1:11" x14ac:dyDescent="0.25">
      <c r="I31" s="64"/>
    </row>
  </sheetData>
  <mergeCells count="9">
    <mergeCell ref="K8:K9"/>
    <mergeCell ref="H7:I7"/>
    <mergeCell ref="A7:A9"/>
    <mergeCell ref="B7:B9"/>
    <mergeCell ref="C7:C9"/>
    <mergeCell ref="H8:H9"/>
    <mergeCell ref="I8:I9"/>
    <mergeCell ref="E7:E8"/>
    <mergeCell ref="F7:F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3A28-E922-4F10-B41F-0DE1C569F962}">
  <sheetPr>
    <tabColor rgb="FF000099"/>
  </sheetPr>
  <dimension ref="A1:U32"/>
  <sheetViews>
    <sheetView showGridLines="0" tabSelected="1" zoomScale="115" zoomScaleNormal="115" workbookViewId="0">
      <pane xSplit="4" ySplit="10" topLeftCell="G11" activePane="bottomRight" state="frozen"/>
      <selection pane="topRight" activeCell="E1" sqref="E1"/>
      <selection pane="bottomLeft" activeCell="A10" sqref="A10"/>
      <selection pane="bottomRight" activeCell="R46" sqref="R46"/>
    </sheetView>
  </sheetViews>
  <sheetFormatPr defaultRowHeight="15" outlineLevelCol="1" x14ac:dyDescent="0.25"/>
  <cols>
    <col min="1" max="1" width="5.875" style="20" customWidth="1"/>
    <col min="2" max="2" width="26.5" customWidth="1"/>
    <col min="3" max="3" width="9" style="20"/>
    <col min="4" max="4" width="1" customWidth="1"/>
    <col min="5" max="5" width="13.5" hidden="1" customWidth="1" outlineLevel="1"/>
    <col min="6" max="6" width="15" hidden="1" customWidth="1" outlineLevel="1"/>
    <col min="7" max="7" width="1.375" customWidth="1" collapsed="1"/>
    <col min="8" max="9" width="16" customWidth="1"/>
    <col min="10" max="10" width="1.5" customWidth="1"/>
    <col min="11" max="11" width="15.875" hidden="1" customWidth="1" outlineLevel="1"/>
    <col min="12" max="12" width="15.5" hidden="1" customWidth="1" outlineLevel="1"/>
    <col min="13" max="13" width="9.125" customWidth="1" collapsed="1"/>
    <col min="14" max="14" width="18" hidden="1" customWidth="1" outlineLevel="1"/>
    <col min="15" max="15" width="17.875" hidden="1" customWidth="1" outlineLevel="1"/>
    <col min="16" max="16" width="9" collapsed="1"/>
  </cols>
  <sheetData>
    <row r="1" spans="1:21" x14ac:dyDescent="0.25">
      <c r="B1" s="915" t="s">
        <v>0</v>
      </c>
    </row>
    <row r="2" spans="1:21" x14ac:dyDescent="0.25">
      <c r="B2" s="915" t="s">
        <v>1</v>
      </c>
    </row>
    <row r="3" spans="1:21" ht="19.5" x14ac:dyDescent="0.3">
      <c r="B3" s="916" t="s">
        <v>44</v>
      </c>
    </row>
    <row r="4" spans="1:21" ht="26.25" x14ac:dyDescent="0.4">
      <c r="B4" s="917" t="s">
        <v>771</v>
      </c>
    </row>
    <row r="5" spans="1:21" s="881" customFormat="1" ht="21" customHeight="1" x14ac:dyDescent="0.25">
      <c r="A5" s="935"/>
      <c r="B5" s="934" t="s">
        <v>780</v>
      </c>
      <c r="C5" s="935"/>
      <c r="D5" s="1105"/>
      <c r="E5" s="1105"/>
      <c r="F5" s="1105"/>
      <c r="G5" s="1105"/>
      <c r="H5" s="1109" t="s">
        <v>774</v>
      </c>
      <c r="I5" s="1110"/>
      <c r="J5" s="1106"/>
      <c r="L5" s="1105"/>
    </row>
    <row r="6" spans="1:21" x14ac:dyDescent="0.25">
      <c r="D6" s="1107"/>
      <c r="E6" s="1108"/>
      <c r="F6" s="1108"/>
      <c r="G6" s="1107"/>
      <c r="H6" s="1111"/>
      <c r="I6" s="1111">
        <v>680</v>
      </c>
      <c r="J6" s="1107"/>
      <c r="L6" s="1107"/>
    </row>
    <row r="7" spans="1:21" ht="15.75" thickBot="1" x14ac:dyDescent="0.3">
      <c r="E7" s="902" t="s">
        <v>811</v>
      </c>
      <c r="F7" s="902" t="s">
        <v>811</v>
      </c>
      <c r="N7" s="902" t="s">
        <v>811</v>
      </c>
      <c r="O7" s="902" t="s">
        <v>811</v>
      </c>
    </row>
    <row r="8" spans="1:21" s="881" customFormat="1" ht="19.5" customHeight="1" thickTop="1" x14ac:dyDescent="0.25">
      <c r="A8" s="1075" t="s">
        <v>2</v>
      </c>
      <c r="B8" s="1076" t="s">
        <v>556</v>
      </c>
      <c r="C8" s="1075" t="s">
        <v>62</v>
      </c>
      <c r="E8" s="1081" t="s">
        <v>753</v>
      </c>
      <c r="F8" s="1081" t="s">
        <v>754</v>
      </c>
      <c r="H8" s="1083" t="s">
        <v>779</v>
      </c>
      <c r="I8" s="1084"/>
      <c r="K8" s="1073" t="s">
        <v>863</v>
      </c>
      <c r="L8" s="1074"/>
      <c r="N8" s="1081" t="s">
        <v>789</v>
      </c>
      <c r="O8" s="1081" t="s">
        <v>788</v>
      </c>
      <c r="U8" s="930"/>
    </row>
    <row r="9" spans="1:21" s="881" customFormat="1" ht="19.5" customHeight="1" x14ac:dyDescent="0.25">
      <c r="A9" s="1075"/>
      <c r="B9" s="1076"/>
      <c r="C9" s="1075"/>
      <c r="E9" s="1081"/>
      <c r="F9" s="1081"/>
      <c r="H9" s="1082" t="s">
        <v>752</v>
      </c>
      <c r="I9" s="1085" t="s">
        <v>866</v>
      </c>
      <c r="K9" s="1077" t="s">
        <v>752</v>
      </c>
      <c r="L9" s="1079" t="s">
        <v>751</v>
      </c>
      <c r="N9" s="1081"/>
      <c r="O9" s="1081"/>
    </row>
    <row r="10" spans="1:21" s="232" customFormat="1" x14ac:dyDescent="0.25">
      <c r="A10" s="1075"/>
      <c r="B10" s="1076"/>
      <c r="C10" s="1075"/>
      <c r="E10" s="928" t="s">
        <v>755</v>
      </c>
      <c r="F10" s="928" t="s">
        <v>786</v>
      </c>
      <c r="H10" s="1082"/>
      <c r="I10" s="1086"/>
      <c r="K10" s="1078"/>
      <c r="L10" s="1080"/>
      <c r="N10" s="928" t="s">
        <v>755</v>
      </c>
      <c r="O10" s="928" t="s">
        <v>786</v>
      </c>
    </row>
    <row r="11" spans="1:21" s="1" customFormat="1" x14ac:dyDescent="0.25">
      <c r="A11" s="883">
        <v>1</v>
      </c>
      <c r="B11" s="884" t="s">
        <v>768</v>
      </c>
      <c r="C11" s="883" t="s">
        <v>369</v>
      </c>
      <c r="E11" s="885">
        <v>1969.3333333333335</v>
      </c>
      <c r="F11" s="885">
        <v>1916</v>
      </c>
      <c r="H11" s="1046">
        <f>H12*(1000000/'Cover Page'!$F$25)/EXR</f>
        <v>1743.5897435897436</v>
      </c>
      <c r="I11" s="1059">
        <f>I12*(1000000/'Cover Page'!$F$25)/EXR</f>
        <v>1743.5897435897436</v>
      </c>
      <c r="K11" s="954">
        <f>K12*(1000000/'Cover Page'!$F$25)/EXR</f>
        <v>1743.5897435897436</v>
      </c>
      <c r="L11" s="955">
        <f>L12*(1000000/'Cover Page'!$F$25)/EXR</f>
        <v>1743.5897435897436</v>
      </c>
      <c r="N11" s="885">
        <v>1941.3333333333335</v>
      </c>
      <c r="O11" s="885">
        <v>1941.3333333333335</v>
      </c>
    </row>
    <row r="12" spans="1:21" s="923" customFormat="1" x14ac:dyDescent="0.25">
      <c r="A12" s="921">
        <v>2</v>
      </c>
      <c r="B12" s="922" t="s">
        <v>768</v>
      </c>
      <c r="C12" s="921" t="s">
        <v>368</v>
      </c>
      <c r="E12" s="924">
        <v>738.5</v>
      </c>
      <c r="F12" s="924">
        <v>718.5</v>
      </c>
      <c r="H12" s="1047">
        <f>I6</f>
        <v>680</v>
      </c>
      <c r="I12" s="1060">
        <f>I6</f>
        <v>680</v>
      </c>
      <c r="K12" s="956">
        <f>L12</f>
        <v>680</v>
      </c>
      <c r="L12" s="957">
        <f>I6</f>
        <v>680</v>
      </c>
      <c r="N12" s="924">
        <v>728</v>
      </c>
      <c r="O12" s="924">
        <v>728</v>
      </c>
    </row>
    <row r="13" spans="1:21" s="1" customFormat="1" x14ac:dyDescent="0.25">
      <c r="A13" s="883">
        <v>3</v>
      </c>
      <c r="B13" s="884" t="s">
        <v>769</v>
      </c>
      <c r="C13" s="883" t="s">
        <v>369</v>
      </c>
      <c r="E13" s="885">
        <v>1860.5769597725002</v>
      </c>
      <c r="F13" s="885">
        <v>1793.6348656424102</v>
      </c>
      <c r="H13" s="1046">
        <f>H14*(1000000/'Cover Page'!$F$25)/EXR</f>
        <v>1565.4277477239314</v>
      </c>
      <c r="I13" s="1061">
        <f>I14*(1000000/'Cover Page'!$F$25)/EXR</f>
        <v>1650.7494300180031</v>
      </c>
      <c r="K13" s="954">
        <f>K14*(1000000/'Cover Page'!$F$25)/EXR</f>
        <v>1630.4375093719268</v>
      </c>
      <c r="L13" s="955">
        <f>L14*(1000000/'Cover Page'!$F$25)/EXR</f>
        <v>1722.3213986785561</v>
      </c>
      <c r="N13" s="885">
        <v>1669.9634563198611</v>
      </c>
      <c r="O13" s="885">
        <v>1609.1597605209818</v>
      </c>
    </row>
    <row r="14" spans="1:21" x14ac:dyDescent="0.25">
      <c r="A14" s="496">
        <v>4</v>
      </c>
      <c r="B14" s="454" t="s">
        <v>769</v>
      </c>
      <c r="C14" s="496" t="s">
        <v>368</v>
      </c>
      <c r="E14" s="457">
        <v>697.71635991468747</v>
      </c>
      <c r="F14" s="457">
        <v>672.61307461590388</v>
      </c>
      <c r="H14" s="1048">
        <f>'W5'!E6</f>
        <v>610.51682161233316</v>
      </c>
      <c r="I14" s="1062">
        <f>'W5'!K6</f>
        <v>643.79227770702119</v>
      </c>
      <c r="K14" s="958">
        <f>'W5'!O6</f>
        <v>635.87062865505141</v>
      </c>
      <c r="L14" s="959">
        <f>'W5'!M6</f>
        <v>671.70534548463684</v>
      </c>
      <c r="N14" s="457">
        <v>626.23629611994784</v>
      </c>
      <c r="O14" s="457">
        <v>603.43491019536816</v>
      </c>
    </row>
    <row r="15" spans="1:21" s="913" customFormat="1" x14ac:dyDescent="0.25">
      <c r="A15" s="918">
        <v>5</v>
      </c>
      <c r="B15" s="919" t="s">
        <v>765</v>
      </c>
      <c r="C15" s="918" t="s">
        <v>369</v>
      </c>
      <c r="E15" s="920">
        <v>87.005098848666606</v>
      </c>
      <c r="F15" s="920">
        <v>97.892107486071836</v>
      </c>
      <c r="H15" s="1049">
        <f>H16*(1000000/'Cover Page'!$F$25)/EXR</f>
        <v>142.52959669264993</v>
      </c>
      <c r="I15" s="1063">
        <f>I16*(1000000/'Cover Page'!$F$25)/EXR</f>
        <v>74.27225085739245</v>
      </c>
      <c r="K15" s="960">
        <f>K16*(1000000/'Cover Page'!$F$25)/EXR</f>
        <v>90.521787374253549</v>
      </c>
      <c r="L15" s="961">
        <f>L16*(1000000/'Cover Page'!$F$25)/EXR</f>
        <v>17.01467592895008</v>
      </c>
      <c r="N15" s="920">
        <v>199.32165469776047</v>
      </c>
      <c r="O15" s="920">
        <v>247.96461133686353</v>
      </c>
    </row>
    <row r="16" spans="1:21" s="913" customFormat="1" x14ac:dyDescent="0.25">
      <c r="A16" s="911">
        <v>6</v>
      </c>
      <c r="B16" s="912" t="s">
        <v>765</v>
      </c>
      <c r="C16" s="911" t="s">
        <v>368</v>
      </c>
      <c r="E16" s="914">
        <v>32.626912068250022</v>
      </c>
      <c r="F16" s="914">
        <v>36.709540307276896</v>
      </c>
      <c r="H16" s="1050">
        <f>'W5'!E8</f>
        <v>55.586542710133472</v>
      </c>
      <c r="I16" s="1064">
        <f>'W5'!K8</f>
        <v>28.966177834383053</v>
      </c>
      <c r="K16" s="962">
        <f>'W5'!O8</f>
        <v>35.30349707595888</v>
      </c>
      <c r="L16" s="963">
        <f>'W5'!M8</f>
        <v>6.6357236122905308</v>
      </c>
      <c r="N16" s="914">
        <v>74.745620511660135</v>
      </c>
      <c r="O16" s="914">
        <v>92.98672925132378</v>
      </c>
    </row>
    <row r="17" spans="1:15" s="146" customFormat="1" x14ac:dyDescent="0.25">
      <c r="A17" s="925"/>
      <c r="B17" s="926" t="s">
        <v>773</v>
      </c>
      <c r="C17" s="925"/>
      <c r="E17" s="927">
        <v>4.4179975718686496E-2</v>
      </c>
      <c r="F17" s="927">
        <v>5.1091914136780707E-2</v>
      </c>
      <c r="H17" s="1051">
        <f>'W5'!E10</f>
        <v>8.1744915750196337E-2</v>
      </c>
      <c r="I17" s="1065">
        <f>'W5'!K10</f>
        <v>4.2597320344681076E-2</v>
      </c>
      <c r="J17" s="147"/>
      <c r="K17" s="964">
        <f>'W5'!O10</f>
        <v>5.1916907464645376E-2</v>
      </c>
      <c r="L17" s="965">
        <f>'W5'!M10</f>
        <v>9.7584170768979291E-3</v>
      </c>
      <c r="N17" s="927">
        <v>0.11182824602203534</v>
      </c>
      <c r="O17" s="927">
        <v>0.12772902369687336</v>
      </c>
    </row>
    <row r="18" spans="1:15" s="1" customFormat="1" x14ac:dyDescent="0.25">
      <c r="A18" s="886">
        <v>7</v>
      </c>
      <c r="B18" s="887" t="s">
        <v>770</v>
      </c>
      <c r="C18" s="886" t="s">
        <v>380</v>
      </c>
      <c r="E18" s="888">
        <v>17070000</v>
      </c>
      <c r="F18" s="888">
        <v>17070000</v>
      </c>
      <c r="H18" s="1052">
        <f>IF(Currency="USD",'W1'!$I$60,'W1'!$I$60/EXR)</f>
        <v>11567300</v>
      </c>
      <c r="I18" s="1061">
        <f>IF(Currency="USD",'W1'!$X$60,'W1'!$X$60/EXR)</f>
        <v>17336530.769230768</v>
      </c>
      <c r="K18" s="966">
        <f>IF(Currency="USD",'W1'!$AH$60,'W1'!$AH$60/EXR)</f>
        <v>12115000</v>
      </c>
      <c r="L18" s="967">
        <f>IF(Currency="USD",'W1'!$AC$60,'W1'!$AC$60/EXR)</f>
        <v>17884230.769230768</v>
      </c>
      <c r="N18" s="888">
        <v>10054912.700901607</v>
      </c>
      <c r="O18" s="888">
        <v>10054912.700901607</v>
      </c>
    </row>
    <row r="19" spans="1:15" x14ac:dyDescent="0.25">
      <c r="A19" s="889">
        <v>8</v>
      </c>
      <c r="B19" s="890" t="s">
        <v>749</v>
      </c>
      <c r="C19" s="889" t="s">
        <v>750</v>
      </c>
      <c r="E19" s="891">
        <v>426.75</v>
      </c>
      <c r="F19" s="891">
        <v>426.75</v>
      </c>
      <c r="H19" s="1053">
        <f>H18*EXR/10^9</f>
        <v>300.74979999999999</v>
      </c>
      <c r="I19" s="1066">
        <f>I18*EXR/10^9</f>
        <v>450.74979999999999</v>
      </c>
      <c r="K19" s="968">
        <f>K18*EXR/10^9</f>
        <v>314.99</v>
      </c>
      <c r="L19" s="969">
        <f>L18*EXR/10^9</f>
        <v>464.99</v>
      </c>
      <c r="N19" s="891">
        <v>251.37281752254</v>
      </c>
      <c r="O19" s="891">
        <v>251.37281752254</v>
      </c>
    </row>
    <row r="20" spans="1:15" s="1" customFormat="1" x14ac:dyDescent="0.25">
      <c r="A20" s="895">
        <v>9</v>
      </c>
      <c r="B20" s="896" t="s">
        <v>515</v>
      </c>
      <c r="C20" s="895" t="s">
        <v>750</v>
      </c>
      <c r="E20" s="897">
        <v>284.37183123217</v>
      </c>
      <c r="F20" s="897">
        <v>240.81878352913401</v>
      </c>
      <c r="H20" s="1054">
        <f>'W5'!E15/10^3</f>
        <v>399.54343303233003</v>
      </c>
      <c r="I20" s="1061">
        <f>'W5'!K15/10^3</f>
        <v>258.17370240424083</v>
      </c>
      <c r="K20" s="970">
        <f>'W5'!O15/10^3</f>
        <v>131.84101554431149</v>
      </c>
      <c r="L20" s="971">
        <f>'W5'!M15/10^3</f>
        <v>258.17370240424083</v>
      </c>
      <c r="N20" s="897">
        <v>491.97502445455098</v>
      </c>
      <c r="O20" s="897">
        <v>487.89217992528</v>
      </c>
    </row>
    <row r="21" spans="1:15" x14ac:dyDescent="0.25">
      <c r="A21" s="892">
        <v>10</v>
      </c>
      <c r="B21" s="893" t="s">
        <v>554</v>
      </c>
      <c r="C21" s="892" t="s">
        <v>290</v>
      </c>
      <c r="E21" s="894" t="s">
        <v>785</v>
      </c>
      <c r="F21" s="892" t="s">
        <v>787</v>
      </c>
      <c r="H21" s="1055" t="str">
        <f>'W5'!E13</f>
        <v>6 năm 11 tháng</v>
      </c>
      <c r="I21" s="1067" t="str">
        <f>'W5'!K13</f>
        <v>10 năm 11 tháng</v>
      </c>
      <c r="J21" s="20"/>
      <c r="K21" s="1112" t="str">
        <f>'W5'!O13</f>
        <v>8 năm 02 tháng</v>
      </c>
      <c r="L21" s="1113" t="str">
        <f>'W5'!M13</f>
        <v>13 năm 08 tháng</v>
      </c>
      <c r="N21" s="892" t="s">
        <v>790</v>
      </c>
      <c r="O21" s="892" t="s">
        <v>791</v>
      </c>
    </row>
    <row r="22" spans="1:15" s="900" customFormat="1" x14ac:dyDescent="0.25">
      <c r="A22" s="898">
        <v>11</v>
      </c>
      <c r="B22" s="899" t="s">
        <v>314</v>
      </c>
      <c r="C22" s="898" t="s">
        <v>71</v>
      </c>
      <c r="E22" s="901">
        <v>0.4648997983130384</v>
      </c>
      <c r="F22" s="901">
        <v>0.45000487272676248</v>
      </c>
      <c r="H22" s="1056">
        <f>'W5'!F108</f>
        <v>0.43840000000000001</v>
      </c>
      <c r="I22" s="1068">
        <f>'W5'!L108</f>
        <v>0.43840000000000012</v>
      </c>
      <c r="K22" s="974">
        <f>'W5'!P108</f>
        <v>0.43840000000000001</v>
      </c>
      <c r="L22" s="975">
        <f>'W5'!N108</f>
        <v>0.43840000000000001</v>
      </c>
      <c r="N22" s="901">
        <v>0.4571820069425534</v>
      </c>
      <c r="O22" s="901">
        <v>0.4571820069425534</v>
      </c>
    </row>
    <row r="23" spans="1:15" ht="5.25" customHeight="1" x14ac:dyDescent="0.25">
      <c r="H23" s="1057"/>
      <c r="I23" s="1044"/>
      <c r="K23" s="976"/>
      <c r="L23" s="977"/>
    </row>
    <row r="24" spans="1:15" ht="15.75" thickBot="1" x14ac:dyDescent="0.3">
      <c r="B24" s="41"/>
      <c r="H24" s="1058"/>
      <c r="I24" s="1045"/>
      <c r="K24" s="978"/>
      <c r="L24" s="979"/>
    </row>
    <row r="25" spans="1:15" ht="15.75" thickTop="1" x14ac:dyDescent="0.25"/>
    <row r="26" spans="1:15" x14ac:dyDescent="0.25">
      <c r="A26" s="981"/>
      <c r="B26" s="982" t="s">
        <v>783</v>
      </c>
      <c r="C26" s="983"/>
      <c r="D26" s="987"/>
      <c r="E26" s="983"/>
      <c r="F26" s="983"/>
      <c r="G26" s="987"/>
      <c r="H26" s="983" t="s">
        <v>747</v>
      </c>
      <c r="I26" s="983" t="s">
        <v>747</v>
      </c>
      <c r="J26" s="987"/>
      <c r="K26" s="983" t="s">
        <v>747</v>
      </c>
      <c r="L26" s="983" t="s">
        <v>747</v>
      </c>
      <c r="N26" s="983"/>
      <c r="O26" s="983"/>
    </row>
    <row r="27" spans="1:15" x14ac:dyDescent="0.25">
      <c r="A27" s="984"/>
      <c r="B27" s="985" t="s">
        <v>784</v>
      </c>
      <c r="C27" s="986"/>
      <c r="D27" s="988"/>
      <c r="E27" s="986" t="s">
        <v>747</v>
      </c>
      <c r="F27" s="986" t="s">
        <v>747</v>
      </c>
      <c r="G27" s="988"/>
      <c r="H27" s="986"/>
      <c r="I27" s="986" t="s">
        <v>747</v>
      </c>
      <c r="J27" s="988"/>
      <c r="K27" s="986"/>
      <c r="L27" s="986" t="s">
        <v>747</v>
      </c>
      <c r="N27" s="986"/>
      <c r="O27" s="986"/>
    </row>
    <row r="28" spans="1:15" x14ac:dyDescent="0.25">
      <c r="H28" s="15"/>
      <c r="I28" s="15"/>
    </row>
    <row r="29" spans="1:15" x14ac:dyDescent="0.25">
      <c r="B29" t="s">
        <v>167</v>
      </c>
      <c r="E29" s="980">
        <v>1033</v>
      </c>
      <c r="F29" s="980">
        <v>1033</v>
      </c>
    </row>
    <row r="30" spans="1:15" x14ac:dyDescent="0.25">
      <c r="K30" s="15"/>
    </row>
    <row r="32" spans="1:15" x14ac:dyDescent="0.25">
      <c r="K32" s="64"/>
    </row>
  </sheetData>
  <mergeCells count="13">
    <mergeCell ref="O8:O9"/>
    <mergeCell ref="N8:N9"/>
    <mergeCell ref="H9:H10"/>
    <mergeCell ref="A8:A10"/>
    <mergeCell ref="B8:B10"/>
    <mergeCell ref="C8:C10"/>
    <mergeCell ref="E8:E9"/>
    <mergeCell ref="F8:F9"/>
    <mergeCell ref="K8:L8"/>
    <mergeCell ref="L9:L10"/>
    <mergeCell ref="K9:K10"/>
    <mergeCell ref="H8:I8"/>
    <mergeCell ref="I9:I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8146-0FC4-4AF9-95A2-D75A93947B6C}">
  <dimension ref="A3:AH124"/>
  <sheetViews>
    <sheetView showGridLines="0" zoomScaleNormal="100" workbookViewId="0">
      <pane ySplit="5" topLeftCell="A6" activePane="bottomLeft" state="frozen"/>
      <selection activeCell="C1" sqref="C1"/>
      <selection pane="bottomLeft" activeCell="D38" sqref="D38"/>
    </sheetView>
  </sheetViews>
  <sheetFormatPr defaultRowHeight="15" outlineLevelRow="1" outlineLevelCol="1" x14ac:dyDescent="0.25"/>
  <cols>
    <col min="1" max="2" width="8.75" hidden="1" customWidth="1" outlineLevel="1"/>
    <col min="3" max="3" width="5" style="20" customWidth="1" collapsed="1"/>
    <col min="4" max="4" width="25.375" bestFit="1" customWidth="1"/>
    <col min="5" max="5" width="11.75" style="65" bestFit="1" customWidth="1"/>
    <col min="6" max="6" width="8.375" bestFit="1" customWidth="1"/>
    <col min="7" max="7" width="1.625" customWidth="1"/>
    <col min="8" max="8" width="12.875" customWidth="1"/>
    <col min="9" max="9" width="11" customWidth="1"/>
    <col min="10" max="10" width="1.625" customWidth="1"/>
    <col min="11" max="11" width="11.875" hidden="1" customWidth="1" outlineLevel="1"/>
    <col min="12" max="12" width="7.25" style="65" hidden="1" customWidth="1" outlineLevel="1"/>
    <col min="13" max="13" width="1.625" customWidth="1" collapsed="1"/>
    <col min="14" max="14" width="17.125" hidden="1" customWidth="1" outlineLevel="1"/>
    <col min="15" max="15" width="7.5" style="65" hidden="1" customWidth="1" outlineLevel="1"/>
    <col min="16" max="16" width="1.625" customWidth="1" collapsed="1"/>
    <col min="17" max="17" width="16.875" customWidth="1"/>
    <col min="18" max="18" width="8.25" style="65" customWidth="1"/>
    <col min="19" max="19" width="1.625" customWidth="1"/>
    <col min="20" max="20" width="13.625" hidden="1" customWidth="1" outlineLevel="1"/>
    <col min="21" max="21" width="8.25" hidden="1" customWidth="1" outlineLevel="1"/>
    <col min="22" max="22" width="1.625" customWidth="1" collapsed="1"/>
    <col min="23" max="23" width="13.25" hidden="1" customWidth="1" outlineLevel="1"/>
    <col min="24" max="24" width="7.375" hidden="1" customWidth="1" outlineLevel="1"/>
    <col min="25" max="25" width="1.875" customWidth="1" collapsed="1"/>
    <col min="26" max="26" width="15.75" style="250" bestFit="1" customWidth="1"/>
    <col min="29" max="29" width="18.75" bestFit="1" customWidth="1"/>
    <col min="30" max="30" width="14.75" bestFit="1" customWidth="1"/>
  </cols>
  <sheetData>
    <row r="3" spans="3:26" s="254" customFormat="1" ht="19.5" x14ac:dyDescent="0.3">
      <c r="C3" s="253"/>
      <c r="D3" s="31" t="s">
        <v>408</v>
      </c>
      <c r="E3" s="308"/>
      <c r="F3" s="31"/>
      <c r="G3"/>
      <c r="J3"/>
      <c r="L3" s="717"/>
      <c r="M3"/>
      <c r="O3" s="717"/>
      <c r="P3"/>
      <c r="R3" s="717"/>
      <c r="S3"/>
      <c r="U3"/>
      <c r="V3"/>
    </row>
    <row r="4" spans="3:26" s="715" customFormat="1" ht="31.9" customHeight="1" x14ac:dyDescent="0.25">
      <c r="C4" s="714"/>
      <c r="D4" s="1087" t="s">
        <v>556</v>
      </c>
      <c r="E4" s="1087"/>
      <c r="G4"/>
      <c r="H4" s="1088" t="s">
        <v>717</v>
      </c>
      <c r="I4" s="1088"/>
      <c r="J4"/>
      <c r="K4" s="1088" t="s">
        <v>720</v>
      </c>
      <c r="L4" s="1088"/>
      <c r="M4"/>
      <c r="N4" s="1088" t="s">
        <v>721</v>
      </c>
      <c r="O4" s="1088"/>
      <c r="P4"/>
      <c r="Q4" s="1088" t="s">
        <v>865</v>
      </c>
      <c r="R4" s="1088"/>
      <c r="S4"/>
      <c r="T4" s="1088" t="s">
        <v>730</v>
      </c>
      <c r="U4" s="1088"/>
      <c r="V4"/>
      <c r="W4" s="1088" t="s">
        <v>741</v>
      </c>
      <c r="X4" s="1088"/>
      <c r="Z4" s="716" t="s">
        <v>718</v>
      </c>
    </row>
    <row r="5" spans="3:26" s="286" customFormat="1" ht="17.25" x14ac:dyDescent="0.3">
      <c r="C5" s="306" t="s">
        <v>2</v>
      </c>
      <c r="D5" s="307" t="s">
        <v>419</v>
      </c>
      <c r="E5" s="252" t="s">
        <v>62</v>
      </c>
      <c r="F5" s="306" t="s">
        <v>421</v>
      </c>
      <c r="G5"/>
      <c r="H5" s="306" t="s">
        <v>422</v>
      </c>
      <c r="I5" s="306"/>
      <c r="J5"/>
      <c r="K5" s="306" t="s">
        <v>423</v>
      </c>
      <c r="L5" s="718"/>
      <c r="M5"/>
      <c r="N5" s="306" t="s">
        <v>424</v>
      </c>
      <c r="O5" s="718"/>
      <c r="P5"/>
      <c r="Q5" s="306" t="s">
        <v>696</v>
      </c>
      <c r="R5" s="718"/>
      <c r="S5"/>
      <c r="T5" s="306" t="s">
        <v>697</v>
      </c>
      <c r="U5" s="306"/>
      <c r="V5"/>
      <c r="W5" s="306" t="s">
        <v>695</v>
      </c>
      <c r="X5" s="306"/>
      <c r="Z5" s="22" t="s">
        <v>718</v>
      </c>
    </row>
    <row r="6" spans="3:26" x14ac:dyDescent="0.25">
      <c r="C6" s="493">
        <v>1</v>
      </c>
      <c r="D6" s="459" t="s">
        <v>409</v>
      </c>
      <c r="E6" s="494"/>
      <c r="F6" s="459"/>
      <c r="H6" s="493" t="s">
        <v>567</v>
      </c>
      <c r="I6" s="493"/>
      <c r="K6" s="878">
        <v>7.0000000000000007E-2</v>
      </c>
      <c r="L6" s="878"/>
      <c r="M6" s="878"/>
      <c r="N6" s="878">
        <v>7.0000000000000007E-2</v>
      </c>
      <c r="O6" s="878"/>
      <c r="P6" s="878"/>
      <c r="Q6" s="878">
        <v>0</v>
      </c>
      <c r="R6" s="878"/>
      <c r="S6" s="878"/>
      <c r="T6" s="882">
        <v>0</v>
      </c>
      <c r="U6" s="878"/>
      <c r="V6" s="878"/>
      <c r="W6" s="882">
        <v>0</v>
      </c>
      <c r="X6" s="495"/>
    </row>
    <row r="7" spans="3:26" x14ac:dyDescent="0.25">
      <c r="C7" s="496">
        <v>2</v>
      </c>
      <c r="D7" s="454" t="s">
        <v>79</v>
      </c>
      <c r="E7" s="497"/>
      <c r="F7" s="454"/>
      <c r="H7" s="496" t="s">
        <v>567</v>
      </c>
      <c r="I7" s="496"/>
      <c r="K7" s="878">
        <v>0.05</v>
      </c>
      <c r="L7" s="878"/>
      <c r="M7" s="878"/>
      <c r="N7" s="878">
        <v>0.05</v>
      </c>
      <c r="O7" s="878"/>
      <c r="P7" s="878"/>
      <c r="Q7" s="878">
        <v>0</v>
      </c>
      <c r="R7" s="878"/>
      <c r="S7" s="878"/>
      <c r="T7" s="878">
        <v>0.05</v>
      </c>
      <c r="U7" s="878"/>
      <c r="V7" s="878"/>
      <c r="W7" s="878">
        <v>0.05</v>
      </c>
      <c r="X7" s="498"/>
    </row>
    <row r="8" spans="3:26" x14ac:dyDescent="0.25">
      <c r="C8" s="496"/>
      <c r="D8" s="454" t="s">
        <v>614</v>
      </c>
      <c r="E8" s="497"/>
      <c r="F8" s="454"/>
      <c r="H8" s="499">
        <v>0.02</v>
      </c>
      <c r="I8" s="499"/>
      <c r="K8" s="878">
        <v>0.02</v>
      </c>
      <c r="L8" s="878"/>
      <c r="M8" s="878"/>
      <c r="N8" s="878">
        <v>0.02</v>
      </c>
      <c r="O8" s="878"/>
      <c r="P8" s="878"/>
      <c r="Q8" s="878">
        <v>0.02</v>
      </c>
      <c r="R8" s="878"/>
      <c r="S8" s="878"/>
      <c r="T8" s="878">
        <v>0.02</v>
      </c>
      <c r="U8" s="878"/>
      <c r="V8" s="878"/>
      <c r="W8" s="878">
        <v>0.02</v>
      </c>
      <c r="X8" s="498"/>
    </row>
    <row r="9" spans="3:26" x14ac:dyDescent="0.25">
      <c r="C9" s="496">
        <v>3</v>
      </c>
      <c r="D9" s="454" t="s">
        <v>410</v>
      </c>
      <c r="E9" s="497"/>
      <c r="F9" s="500">
        <v>0.05</v>
      </c>
      <c r="H9" s="499"/>
      <c r="I9" s="499"/>
      <c r="K9" s="499"/>
      <c r="L9" s="499"/>
      <c r="N9" s="499"/>
      <c r="O9" s="499"/>
      <c r="Q9" s="499"/>
      <c r="R9" s="719"/>
      <c r="T9" s="499"/>
      <c r="U9" s="499"/>
      <c r="W9" s="499"/>
      <c r="X9" s="499"/>
    </row>
    <row r="10" spans="3:26" x14ac:dyDescent="0.25">
      <c r="C10" s="496">
        <v>4</v>
      </c>
      <c r="D10" s="454" t="s">
        <v>411</v>
      </c>
      <c r="E10" s="497"/>
      <c r="F10" s="463">
        <v>26000</v>
      </c>
      <c r="H10" s="454"/>
      <c r="I10" s="454"/>
      <c r="K10" s="454"/>
      <c r="L10" s="454"/>
      <c r="N10" s="454"/>
      <c r="O10" s="454"/>
      <c r="Q10" s="454"/>
      <c r="R10" s="497"/>
      <c r="T10" s="454"/>
      <c r="U10" s="454"/>
      <c r="W10" s="454"/>
      <c r="X10" s="454"/>
    </row>
    <row r="11" spans="3:26" x14ac:dyDescent="0.25">
      <c r="C11" s="496">
        <v>5</v>
      </c>
      <c r="D11" s="454" t="s">
        <v>46</v>
      </c>
      <c r="E11" s="497"/>
      <c r="F11" s="500">
        <v>0.2</v>
      </c>
      <c r="H11" s="454"/>
      <c r="I11" s="454"/>
      <c r="K11" s="454"/>
      <c r="L11" s="454"/>
      <c r="N11" s="454"/>
      <c r="O11" s="454"/>
      <c r="Q11" s="454"/>
      <c r="R11" s="497"/>
      <c r="T11" s="454"/>
      <c r="U11" s="454"/>
      <c r="W11" s="454"/>
      <c r="X11" s="454"/>
    </row>
    <row r="12" spans="3:26" x14ac:dyDescent="0.25">
      <c r="C12" s="496">
        <v>6</v>
      </c>
      <c r="D12" s="454" t="s">
        <v>568</v>
      </c>
      <c r="E12" s="497"/>
      <c r="F12" s="500"/>
      <c r="H12" s="500">
        <f t="shared" ref="H12:W12" si="0">5%/(1-Tax_rate-5%)</f>
        <v>6.6666666666666666E-2</v>
      </c>
      <c r="I12" s="500"/>
      <c r="K12" s="500">
        <f t="shared" si="0"/>
        <v>6.6666666666666666E-2</v>
      </c>
      <c r="L12" s="500"/>
      <c r="N12" s="500">
        <f t="shared" si="0"/>
        <v>6.6666666666666666E-2</v>
      </c>
      <c r="O12" s="500"/>
      <c r="Q12" s="500">
        <f t="shared" si="0"/>
        <v>6.6666666666666666E-2</v>
      </c>
      <c r="R12" s="720"/>
      <c r="T12" s="500">
        <f t="shared" si="0"/>
        <v>6.6666666666666666E-2</v>
      </c>
      <c r="U12" s="500"/>
      <c r="W12" s="500">
        <f t="shared" si="0"/>
        <v>6.6666666666666666E-2</v>
      </c>
      <c r="X12" s="500"/>
    </row>
    <row r="13" spans="3:26" x14ac:dyDescent="0.25">
      <c r="C13" s="501" t="s">
        <v>440</v>
      </c>
      <c r="D13" s="502" t="s">
        <v>508</v>
      </c>
      <c r="E13" s="503" t="s">
        <v>475</v>
      </c>
      <c r="F13" s="504"/>
      <c r="H13" s="505">
        <f t="shared" ref="H13:W13" si="1">H14*PHOI_KG*10^3/10^6</f>
        <v>45.333333333333336</v>
      </c>
      <c r="I13" s="505"/>
      <c r="K13" s="505">
        <f t="shared" si="1"/>
        <v>49.233333333333334</v>
      </c>
      <c r="L13" s="505"/>
      <c r="N13" s="505">
        <f t="shared" si="1"/>
        <v>47.933333333333337</v>
      </c>
      <c r="O13" s="505"/>
      <c r="Q13" s="505">
        <f t="shared" si="1"/>
        <v>45.333333333333336</v>
      </c>
      <c r="R13" s="721"/>
      <c r="T13" s="505">
        <f t="shared" si="1"/>
        <v>45.333333333333336</v>
      </c>
      <c r="U13" s="505"/>
      <c r="W13" s="505">
        <f t="shared" si="1"/>
        <v>45.333333333333336</v>
      </c>
      <c r="X13" s="739"/>
    </row>
    <row r="14" spans="3:26" x14ac:dyDescent="0.25">
      <c r="C14" s="506" t="s">
        <v>441</v>
      </c>
      <c r="D14" s="507" t="s">
        <v>508</v>
      </c>
      <c r="E14" s="508" t="s">
        <v>368</v>
      </c>
      <c r="F14" s="509"/>
      <c r="H14" s="510">
        <f>'W5'!U2</f>
        <v>680</v>
      </c>
      <c r="I14" s="510"/>
      <c r="K14" s="510">
        <f>'W5'!V2</f>
        <v>738.5</v>
      </c>
      <c r="L14" s="510"/>
      <c r="N14" s="510">
        <f>'W5'!W2</f>
        <v>719</v>
      </c>
      <c r="O14" s="510"/>
      <c r="Q14" s="510">
        <f>'W5'!X2</f>
        <v>680</v>
      </c>
      <c r="R14" s="722"/>
      <c r="T14" s="510">
        <f>'W5'!Y2</f>
        <v>680</v>
      </c>
      <c r="U14" s="510"/>
      <c r="W14" s="510">
        <f>'W5'!Z2</f>
        <v>680</v>
      </c>
      <c r="X14" s="740"/>
      <c r="Y14" t="s">
        <v>626</v>
      </c>
    </row>
    <row r="15" spans="3:26" x14ac:dyDescent="0.25">
      <c r="C15" s="496" t="s">
        <v>442</v>
      </c>
      <c r="D15" s="454" t="s">
        <v>508</v>
      </c>
      <c r="E15" s="497" t="s">
        <v>369</v>
      </c>
      <c r="F15" s="500"/>
      <c r="H15" s="463">
        <f t="shared" ref="H15:W15" si="2">H13/EXR*10^6</f>
        <v>1743.5897435897436</v>
      </c>
      <c r="I15" s="463"/>
      <c r="K15" s="463">
        <f t="shared" si="2"/>
        <v>1893.5897435897436</v>
      </c>
      <c r="L15" s="463"/>
      <c r="N15" s="463">
        <f t="shared" si="2"/>
        <v>1843.5897435897436</v>
      </c>
      <c r="O15" s="463"/>
      <c r="Q15" s="463">
        <f t="shared" si="2"/>
        <v>1743.5897435897436</v>
      </c>
      <c r="R15" s="723"/>
      <c r="T15" s="463">
        <f t="shared" si="2"/>
        <v>1743.5897435897436</v>
      </c>
      <c r="U15" s="463"/>
      <c r="W15" s="463">
        <f t="shared" si="2"/>
        <v>1743.5897435897436</v>
      </c>
      <c r="X15" s="221"/>
    </row>
    <row r="16" spans="3:26" x14ac:dyDescent="0.25">
      <c r="C16" s="496" t="s">
        <v>443</v>
      </c>
      <c r="D16" s="454" t="s">
        <v>508</v>
      </c>
      <c r="E16" s="497" t="s">
        <v>494</v>
      </c>
      <c r="F16" s="500"/>
      <c r="H16" s="463">
        <f>H15/PHOI_KG</f>
        <v>26.153846153846153</v>
      </c>
      <c r="I16" s="463"/>
      <c r="K16" s="463">
        <f>K15/PHOI_KG</f>
        <v>28.403846153846153</v>
      </c>
      <c r="L16" s="463"/>
      <c r="N16" s="463"/>
      <c r="O16" s="463"/>
      <c r="Q16" s="463"/>
      <c r="R16" s="723"/>
      <c r="T16" s="463"/>
      <c r="U16" s="463"/>
      <c r="W16" s="463">
        <f>W15/PHOI_KG</f>
        <v>26.153846153846153</v>
      </c>
      <c r="X16" s="221"/>
    </row>
    <row r="17" spans="3:25" x14ac:dyDescent="0.25">
      <c r="C17" s="511">
        <v>8</v>
      </c>
      <c r="D17" s="512" t="s">
        <v>507</v>
      </c>
      <c r="E17" s="513"/>
      <c r="F17" s="514"/>
      <c r="H17" s="514">
        <v>0.02</v>
      </c>
      <c r="I17" s="514"/>
      <c r="K17" s="514">
        <v>0.02</v>
      </c>
      <c r="L17" s="514"/>
      <c r="N17" s="514">
        <v>0.02</v>
      </c>
      <c r="O17" s="514"/>
      <c r="Q17" s="514">
        <v>0.02</v>
      </c>
      <c r="R17" s="724"/>
      <c r="T17" s="514">
        <v>0.02</v>
      </c>
      <c r="U17" s="514"/>
      <c r="W17" s="514">
        <v>0.02</v>
      </c>
      <c r="X17" s="741"/>
      <c r="Y17" t="s">
        <v>572</v>
      </c>
    </row>
    <row r="18" spans="3:25" ht="15.75" thickBot="1" x14ac:dyDescent="0.3">
      <c r="F18" s="32"/>
      <c r="H18" s="32"/>
      <c r="I18" s="32"/>
      <c r="K18" s="32"/>
      <c r="L18" s="32"/>
      <c r="N18" s="32"/>
      <c r="O18" s="32"/>
      <c r="Q18" s="32"/>
      <c r="R18" s="725"/>
      <c r="T18" s="32"/>
      <c r="U18" s="32"/>
      <c r="W18" s="32"/>
      <c r="X18" s="32"/>
    </row>
    <row r="19" spans="3:25" x14ac:dyDescent="0.25">
      <c r="C19" s="515" t="s">
        <v>509</v>
      </c>
      <c r="D19" s="516" t="s">
        <v>48</v>
      </c>
      <c r="E19" s="517"/>
      <c r="F19" s="516"/>
      <c r="G19" s="743"/>
      <c r="H19" s="687">
        <v>7.0000000000000007E-2</v>
      </c>
      <c r="I19" s="518"/>
      <c r="J19" s="743"/>
      <c r="K19" s="687">
        <v>0.08</v>
      </c>
      <c r="L19" s="518"/>
      <c r="M19" s="743"/>
      <c r="N19" s="687">
        <v>0.08</v>
      </c>
      <c r="O19" s="518"/>
      <c r="P19" s="743"/>
      <c r="Q19" s="687">
        <v>7.0000000000000007E-2</v>
      </c>
      <c r="R19" s="726"/>
      <c r="S19" s="743"/>
      <c r="T19" s="687">
        <v>0.08</v>
      </c>
      <c r="U19" s="518"/>
      <c r="V19" s="743"/>
      <c r="W19" s="749">
        <v>0.08</v>
      </c>
      <c r="X19" s="751"/>
    </row>
    <row r="20" spans="3:25" x14ac:dyDescent="0.25">
      <c r="C20" s="519" t="s">
        <v>510</v>
      </c>
      <c r="D20" s="454" t="s">
        <v>689</v>
      </c>
      <c r="E20" s="497"/>
      <c r="F20" s="454"/>
      <c r="H20" s="929">
        <v>0.1</v>
      </c>
      <c r="I20" s="500"/>
      <c r="K20" s="500">
        <v>0.1</v>
      </c>
      <c r="L20" s="500"/>
      <c r="N20" s="500">
        <v>0.1</v>
      </c>
      <c r="O20" s="500"/>
      <c r="Q20" s="500">
        <v>0.1</v>
      </c>
      <c r="R20" s="720"/>
      <c r="T20" s="500">
        <v>0.1</v>
      </c>
      <c r="U20" s="500"/>
      <c r="W20" s="500">
        <v>0.1</v>
      </c>
      <c r="X20" s="752"/>
    </row>
    <row r="21" spans="3:25" x14ac:dyDescent="0.25">
      <c r="C21" s="519" t="s">
        <v>511</v>
      </c>
      <c r="D21" s="454" t="s">
        <v>49</v>
      </c>
      <c r="E21" s="497"/>
      <c r="F21" s="454"/>
      <c r="H21" s="929">
        <v>0.7</v>
      </c>
      <c r="I21" s="500"/>
      <c r="K21" s="500">
        <v>0.7</v>
      </c>
      <c r="L21" s="500"/>
      <c r="N21" s="500">
        <v>0.7</v>
      </c>
      <c r="O21" s="500"/>
      <c r="Q21" s="500">
        <v>0.7</v>
      </c>
      <c r="R21" s="720"/>
      <c r="T21" s="500">
        <v>0.7</v>
      </c>
      <c r="U21" s="500"/>
      <c r="W21" s="500">
        <v>0.7</v>
      </c>
      <c r="X21" s="752"/>
    </row>
    <row r="22" spans="3:25" x14ac:dyDescent="0.25">
      <c r="C22" s="519" t="s">
        <v>512</v>
      </c>
      <c r="D22" s="454" t="s">
        <v>50</v>
      </c>
      <c r="E22" s="497"/>
      <c r="F22" s="454"/>
      <c r="H22" s="929">
        <f>1-H21</f>
        <v>0.30000000000000004</v>
      </c>
      <c r="I22" s="500"/>
      <c r="K22" s="500">
        <f t="shared" ref="K22:W22" si="3">1-K21</f>
        <v>0.30000000000000004</v>
      </c>
      <c r="L22" s="500"/>
      <c r="N22" s="500">
        <f t="shared" ref="N22:T22" si="4">1-N21</f>
        <v>0.30000000000000004</v>
      </c>
      <c r="O22" s="500"/>
      <c r="Q22" s="500">
        <f t="shared" si="4"/>
        <v>0.30000000000000004</v>
      </c>
      <c r="R22" s="720"/>
      <c r="T22" s="500">
        <f t="shared" si="4"/>
        <v>0.30000000000000004</v>
      </c>
      <c r="U22" s="500"/>
      <c r="W22" s="500">
        <f t="shared" si="3"/>
        <v>0.30000000000000004</v>
      </c>
      <c r="X22" s="752"/>
    </row>
    <row r="23" spans="3:25" ht="15.75" thickBot="1" x14ac:dyDescent="0.3">
      <c r="C23" s="520" t="s">
        <v>513</v>
      </c>
      <c r="D23" s="521" t="s">
        <v>51</v>
      </c>
      <c r="E23" s="522"/>
      <c r="F23" s="521"/>
      <c r="G23" s="744"/>
      <c r="H23" s="523">
        <f t="shared" ref="H23:W23" si="5">(H19*H21*(1-Tax_rate)+H20*H22)*(1+Inflation)</f>
        <v>7.2660000000000016E-2</v>
      </c>
      <c r="I23" s="523"/>
      <c r="J23" s="744"/>
      <c r="K23" s="523">
        <f t="shared" si="5"/>
        <v>7.8540000000000013E-2</v>
      </c>
      <c r="L23" s="523"/>
      <c r="M23" s="744"/>
      <c r="N23" s="523">
        <f t="shared" si="5"/>
        <v>7.8540000000000013E-2</v>
      </c>
      <c r="O23" s="523"/>
      <c r="P23" s="744"/>
      <c r="Q23" s="523">
        <f t="shared" si="5"/>
        <v>7.2660000000000016E-2</v>
      </c>
      <c r="R23" s="727"/>
      <c r="S23" s="744"/>
      <c r="T23" s="523">
        <f t="shared" si="5"/>
        <v>7.8540000000000013E-2</v>
      </c>
      <c r="U23" s="523"/>
      <c r="V23" s="744"/>
      <c r="W23" s="750">
        <f t="shared" si="5"/>
        <v>7.8540000000000013E-2</v>
      </c>
      <c r="X23" s="753"/>
    </row>
    <row r="25" spans="3:25" x14ac:dyDescent="0.25">
      <c r="C25" s="72" t="s">
        <v>581</v>
      </c>
      <c r="D25" s="127" t="s">
        <v>425</v>
      </c>
      <c r="E25" s="213" t="s">
        <v>318</v>
      </c>
      <c r="F25" s="211">
        <v>15</v>
      </c>
    </row>
    <row r="26" spans="3:25" x14ac:dyDescent="0.25">
      <c r="C26" s="72" t="s">
        <v>582</v>
      </c>
      <c r="D26" s="127" t="s">
        <v>195</v>
      </c>
      <c r="E26" s="213" t="s">
        <v>426</v>
      </c>
      <c r="F26" s="211">
        <v>128</v>
      </c>
    </row>
    <row r="27" spans="3:25" ht="15.75" thickBot="1" x14ac:dyDescent="0.3">
      <c r="C27" s="72" t="s">
        <v>583</v>
      </c>
      <c r="D27" s="127" t="s">
        <v>188</v>
      </c>
      <c r="E27" s="213" t="s">
        <v>189</v>
      </c>
      <c r="F27" s="211">
        <v>8</v>
      </c>
    </row>
    <row r="28" spans="3:25" ht="15.75" thickBot="1" x14ac:dyDescent="0.3">
      <c r="C28" s="258" t="s">
        <v>584</v>
      </c>
      <c r="D28" s="33" t="s">
        <v>201</v>
      </c>
      <c r="E28" s="102" t="s">
        <v>200</v>
      </c>
      <c r="F28" s="103">
        <f>60*60/F27*F26*F25/10^3</f>
        <v>864</v>
      </c>
      <c r="K28" s="15"/>
      <c r="L28" s="728"/>
      <c r="N28" s="15"/>
      <c r="O28" s="728"/>
      <c r="Q28" s="15"/>
      <c r="R28" s="728"/>
      <c r="T28" s="15"/>
    </row>
    <row r="29" spans="3:25" x14ac:dyDescent="0.25">
      <c r="C29" s="258" t="s">
        <v>585</v>
      </c>
      <c r="D29" s="48" t="s">
        <v>201</v>
      </c>
      <c r="E29" s="255" t="s">
        <v>319</v>
      </c>
      <c r="F29" s="256">
        <f>Capacity/F25*10^3</f>
        <v>57600</v>
      </c>
      <c r="K29" s="15"/>
      <c r="L29" s="728"/>
      <c r="N29" s="15"/>
      <c r="O29" s="728"/>
      <c r="Q29" s="15"/>
      <c r="R29" s="728"/>
      <c r="T29" s="15"/>
    </row>
    <row r="30" spans="3:25" x14ac:dyDescent="0.25">
      <c r="C30" s="72" t="s">
        <v>586</v>
      </c>
      <c r="D30" s="127" t="s">
        <v>438</v>
      </c>
      <c r="E30" s="213" t="s">
        <v>439</v>
      </c>
      <c r="F30" s="257">
        <f>1000/F25</f>
        <v>66.666666666666671</v>
      </c>
      <c r="K30" s="15"/>
      <c r="L30" s="728"/>
      <c r="N30" s="15"/>
      <c r="O30" s="728"/>
      <c r="Q30" s="15"/>
      <c r="R30" s="728"/>
      <c r="T30" s="15"/>
    </row>
    <row r="33" spans="1:34" s="1" customFormat="1" ht="17.25" x14ac:dyDescent="0.3">
      <c r="A33" s="216" t="str">
        <f>MD!A7</f>
        <v>VND</v>
      </c>
      <c r="C33" s="335"/>
      <c r="D33" s="336" t="s">
        <v>418</v>
      </c>
      <c r="E33" s="337"/>
      <c r="F33" s="338"/>
      <c r="G33"/>
      <c r="H33" s="338"/>
      <c r="I33" s="338"/>
      <c r="J33"/>
      <c r="K33" s="338"/>
      <c r="L33" s="337"/>
      <c r="M33"/>
      <c r="N33" s="338"/>
      <c r="O33" s="337"/>
      <c r="P33"/>
      <c r="Q33" s="338"/>
      <c r="R33" s="337"/>
      <c r="S33"/>
      <c r="T33" s="338"/>
      <c r="U33"/>
      <c r="V33"/>
      <c r="W33" s="338"/>
      <c r="X33" s="338"/>
      <c r="Z33" s="16"/>
    </row>
    <row r="34" spans="1:34" x14ac:dyDescent="0.25">
      <c r="A34">
        <f>IF(Currency="USD",1,0.000001)</f>
        <v>9.9999999999999995E-7</v>
      </c>
      <c r="C34" s="72">
        <v>11</v>
      </c>
      <c r="D34" s="1" t="s">
        <v>471</v>
      </c>
      <c r="E34" s="66" t="str">
        <f>IF(Currency="USD","USD","triệu VND")</f>
        <v>triệu VND</v>
      </c>
      <c r="F34" s="1"/>
      <c r="H34" s="39">
        <f>'W1'!I60*$A$34</f>
        <v>300749.8</v>
      </c>
      <c r="I34" s="39"/>
      <c r="K34" s="39">
        <f>'W1'!N60*$A$34</f>
        <v>486414</v>
      </c>
      <c r="L34" s="729"/>
      <c r="N34" s="39">
        <f>'W1'!S60*$A$34</f>
        <v>486414</v>
      </c>
      <c r="O34" s="729"/>
      <c r="Q34" s="39">
        <f>'W1'!X60*$A$34</f>
        <v>450749.8</v>
      </c>
      <c r="R34" s="729"/>
      <c r="T34" s="39">
        <f>'W1'!AC60*$A$34</f>
        <v>464990</v>
      </c>
      <c r="W34" s="39">
        <f>'W1'!AH60*$A$34</f>
        <v>314990</v>
      </c>
      <c r="X34" s="39"/>
    </row>
    <row r="35" spans="1:34" x14ac:dyDescent="0.25">
      <c r="B35" t="s">
        <v>517</v>
      </c>
      <c r="C35" s="72">
        <v>12</v>
      </c>
      <c r="D35" t="s">
        <v>484</v>
      </c>
      <c r="E35" s="65" t="s">
        <v>290</v>
      </c>
      <c r="H35" s="263">
        <f>SUMIFS('W3'!$K$18:$K$1018,'W3'!$A$18:$A$1018,H$5,'W3'!$D$18:$D$1018,$B$35)</f>
        <v>6.8999999999999995</v>
      </c>
      <c r="I35" s="263"/>
      <c r="K35" s="263">
        <f>SUMIFS('W3'!$K$18:$K$1018,'W3'!$A$18:$A$1018,K$5,'W3'!$D$18:$D$1018,$B$35)</f>
        <v>10.299999999999999</v>
      </c>
      <c r="L35" s="730"/>
      <c r="N35" s="263">
        <f>SUMIFS('W3'!$K$18:$K$1018,'W3'!$A$18:$A$1018,N$5,'W3'!$D$18:$D$1018,$B$35)</f>
        <v>11.7</v>
      </c>
      <c r="O35" s="730"/>
      <c r="Q35" s="263">
        <f>SUMIFS('W3'!$K$18:$K$1018,'W3'!$A$18:$A$1018,Q$5,'W3'!$D$18:$D$1018,$B$35)</f>
        <v>10.9</v>
      </c>
      <c r="R35" s="730"/>
      <c r="T35" s="263">
        <f>SUMIFS('W3'!$K$18:$K$1018,'W3'!$A$18:$A$1018,T$5,'W3'!$D$18:$D$1018,$B$35)</f>
        <v>13.7</v>
      </c>
      <c r="W35" s="263">
        <f>SUMIFS('W3'!$K$18:$K$1018,'W3'!$A$18:$A$1018,W$5,'W3'!$D$18:$D$1018,$B$35)</f>
        <v>8.1999999999999993</v>
      </c>
      <c r="X35" s="263"/>
    </row>
    <row r="36" spans="1:34" x14ac:dyDescent="0.25">
      <c r="H36" s="320" t="str">
        <f>INT(H35)&amp;" năm "&amp;IF(MOD(H35,1)*12=0,,TEXT(MOD(H35,1)*12,"00")&amp;" tháng")</f>
        <v>6 năm 11 tháng</v>
      </c>
      <c r="I36" s="320"/>
      <c r="K36" s="320" t="str">
        <f>INT(K35)&amp;" năm "&amp;IF(MOD(K35,1)*12=0,,TEXT(MOD(K35,1)*12,"00")&amp;" tháng")</f>
        <v>10 năm 04 tháng</v>
      </c>
      <c r="L36" s="320"/>
      <c r="N36" s="320" t="str">
        <f t="shared" ref="N36:T36" si="6">INT(N35)&amp;" năm "&amp;IF(MOD(N35,1)*12=0,,TEXT(MOD(N35,1)*12,"00")&amp;" tháng")</f>
        <v>11 năm 08 tháng</v>
      </c>
      <c r="O36" s="320"/>
      <c r="Q36" s="320" t="str">
        <f t="shared" si="6"/>
        <v>10 năm 11 tháng</v>
      </c>
      <c r="R36" s="320"/>
      <c r="T36" s="320" t="str">
        <f t="shared" si="6"/>
        <v>13 năm 08 tháng</v>
      </c>
      <c r="W36" s="320" t="str">
        <f>INT(W35)&amp;" năm "&amp;IF(MOD(W35,1)*12=0,,TEXT(MOD(W35,1)*12,"00")&amp;" tháng")</f>
        <v>8 năm 02 tháng</v>
      </c>
      <c r="X36" s="320"/>
    </row>
    <row r="37" spans="1:34" x14ac:dyDescent="0.25">
      <c r="B37" t="s">
        <v>516</v>
      </c>
      <c r="C37" s="72">
        <v>13</v>
      </c>
      <c r="D37" t="s">
        <v>402</v>
      </c>
      <c r="E37" s="65" t="s">
        <v>71</v>
      </c>
      <c r="H37" s="666">
        <f>SUMIFS('W3'!$K$18:$K$1018,'W3'!$A$18:$A$1018,H$5,'W3'!$D$18:$D$1018,$B$37)</f>
        <v>0.19092375284645668</v>
      </c>
      <c r="I37" s="263"/>
      <c r="K37" s="666">
        <f>SUMIFS('W3'!$K$18:$K$1018,'W3'!$A$18:$A$1018,K$5,'W3'!$D$18:$D$1018,$B$37)</f>
        <v>0.13870388131184574</v>
      </c>
      <c r="L37" s="730"/>
      <c r="N37" s="666">
        <f>SUMIFS('W3'!$K$18:$K$1018,'W3'!$A$18:$A$1018,N$5,'W3'!$D$18:$D$1018,$B$37)</f>
        <v>0.12432693572564824</v>
      </c>
      <c r="O37" s="730"/>
      <c r="Q37" s="666">
        <f>SUMIFS('W3'!$K$18:$K$1018,'W3'!$A$18:$A$1018,Q$5,'W3'!$D$18:$D$1018,$B$37)</f>
        <v>0.12851890486329265</v>
      </c>
      <c r="R37" s="730"/>
      <c r="T37" s="666">
        <f>SUMIFS('W3'!$K$18:$K$1018,'W3'!$A$18:$A$1018,T$5,'W3'!$D$18:$D$1018,$B$37)</f>
        <v>0.10937321578809911</v>
      </c>
      <c r="W37" s="666">
        <f>SUMIFS('W3'!$K$18:$K$1018,'W3'!$A$18:$A$1018,W$5,'W3'!$D$18:$D$1018,$B$37)</f>
        <v>0.16522194305779858</v>
      </c>
      <c r="X37" s="263"/>
    </row>
    <row r="39" spans="1:34" s="300" customFormat="1" x14ac:dyDescent="0.25">
      <c r="C39" s="745"/>
      <c r="D39" s="300" t="s">
        <v>719</v>
      </c>
      <c r="E39" s="746" t="s">
        <v>368</v>
      </c>
      <c r="G39" s="1"/>
      <c r="H39" s="747">
        <f>H14</f>
        <v>680</v>
      </c>
      <c r="I39" s="747"/>
      <c r="J39" s="1"/>
      <c r="K39" s="747">
        <f>K14</f>
        <v>738.5</v>
      </c>
      <c r="L39" s="748"/>
      <c r="M39" s="1"/>
      <c r="N39" s="747">
        <f>N14</f>
        <v>719</v>
      </c>
      <c r="O39" s="748"/>
      <c r="P39" s="1"/>
      <c r="Q39" s="747">
        <f>Q14</f>
        <v>680</v>
      </c>
      <c r="R39" s="748"/>
      <c r="S39" s="1"/>
      <c r="T39" s="754">
        <f>T14</f>
        <v>680</v>
      </c>
      <c r="U39" s="1"/>
      <c r="V39" s="1"/>
      <c r="W39" s="300">
        <f>W14</f>
        <v>680</v>
      </c>
      <c r="Z39" s="16"/>
    </row>
    <row r="40" spans="1:34" s="300" customFormat="1" x14ac:dyDescent="0.25">
      <c r="C40" s="745"/>
      <c r="D40" s="300" t="s">
        <v>719</v>
      </c>
      <c r="E40" s="746" t="s">
        <v>369</v>
      </c>
      <c r="G40" s="1"/>
      <c r="H40" s="747">
        <f>H15</f>
        <v>1743.5897435897436</v>
      </c>
      <c r="I40" s="747"/>
      <c r="J40" s="1"/>
      <c r="K40" s="747">
        <f>K15</f>
        <v>1893.5897435897436</v>
      </c>
      <c r="L40" s="748"/>
      <c r="M40" s="1"/>
      <c r="N40" s="747">
        <f>N15</f>
        <v>1843.5897435897436</v>
      </c>
      <c r="O40" s="748"/>
      <c r="P40" s="1"/>
      <c r="Q40" s="747">
        <f>Q15</f>
        <v>1743.5897435897436</v>
      </c>
      <c r="R40" s="748"/>
      <c r="S40" s="1"/>
      <c r="T40" s="754">
        <f>T15</f>
        <v>1743.5897435897436</v>
      </c>
      <c r="U40" s="1"/>
      <c r="V40" s="1"/>
      <c r="W40" s="754">
        <f>W15</f>
        <v>1743.5897435897436</v>
      </c>
      <c r="Z40" s="16"/>
    </row>
    <row r="42" spans="1:34" ht="15.75" thickBot="1" x14ac:dyDescent="0.3">
      <c r="B42" t="s">
        <v>515</v>
      </c>
      <c r="C42" s="20">
        <v>14</v>
      </c>
      <c r="D42" s="339" t="s">
        <v>545</v>
      </c>
      <c r="E42" s="342" t="str">
        <f t="shared" ref="E42:E68" si="7">IF(Currency="USD","USD","triệu VND")</f>
        <v>triệu VND</v>
      </c>
      <c r="F42" s="340"/>
      <c r="H42" s="341">
        <f>SUM(H43:H68)</f>
        <v>399543.43303233001</v>
      </c>
      <c r="I42" s="341"/>
      <c r="K42" s="341">
        <f>SUM(K43:K68)</f>
        <v>293022.76027699729</v>
      </c>
      <c r="L42" s="731"/>
      <c r="N42" s="341">
        <f t="shared" ref="N42:W42" si="8">SUM(N43:N68)</f>
        <v>214928.89480032682</v>
      </c>
      <c r="O42" s="731"/>
      <c r="Q42" s="341">
        <f t="shared" si="8"/>
        <v>258173.70240424084</v>
      </c>
      <c r="R42" s="731"/>
      <c r="T42" s="341">
        <f t="shared" si="8"/>
        <v>131841.01554431149</v>
      </c>
      <c r="U42" s="341"/>
      <c r="W42" s="341">
        <f t="shared" si="8"/>
        <v>273643.27122101426</v>
      </c>
      <c r="X42" s="731"/>
    </row>
    <row r="43" spans="1:34" outlineLevel="1" x14ac:dyDescent="0.25">
      <c r="D43" s="539">
        <v>0</v>
      </c>
      <c r="E43" s="540" t="str">
        <f t="shared" si="7"/>
        <v>triệu VND</v>
      </c>
      <c r="F43" s="541"/>
      <c r="H43" s="542" cm="1">
        <f t="array" ref="H43">SUMPRODUCT('W3'!$K$18:$AJ$1018*('W3'!$A$18:$A$1018=H$5)*('W3'!$D$18:$D$1018=$B$42)*('W3'!$K$14:$AJ$14='Cover Page'!$D43))</f>
        <v>-300749.80000000005</v>
      </c>
      <c r="I43" s="542"/>
      <c r="K43" s="542" cm="1">
        <f t="array" ref="K43">SUMPRODUCT('W3'!$K$18:$AJ$1018*('W3'!$A$18:$A$1018=K$5)*('W3'!$D$18:$D$1018=$B$42)*('W3'!$K$14:$AJ$14='Cover Page'!$D43))</f>
        <v>-486414</v>
      </c>
      <c r="L43" s="732"/>
      <c r="N43" s="542" cm="1">
        <f t="array" ref="N43">SUMPRODUCT('W3'!$K$18:$AJ$1018*('W3'!$A$18:$A$1018=N$5)*('W3'!$D$18:$D$1018=$B$42)*('W3'!$K$14:$AJ$14='Cover Page'!$D43))</f>
        <v>-486414</v>
      </c>
      <c r="O43" s="732"/>
      <c r="Q43" s="542" cm="1">
        <f t="array" ref="Q43">SUMPRODUCT('W3'!$K$18:$AJ$1018*('W3'!$A$18:$A$1018=Q$5)*('W3'!$D$18:$D$1018=$B$42)*('W3'!$K$14:$AJ$14='Cover Page'!$D43))</f>
        <v>-450749.80000000005</v>
      </c>
      <c r="R43" s="732"/>
      <c r="T43" s="542" cm="1">
        <f t="array" ref="T43">SUMPRODUCT('W3'!$K$18:$AJ$1018*('W3'!$A$18:$A$1018=T$5)*('W3'!$D$18:$D$1018=$B$42)*('W3'!$K$14:$AJ$14='Cover Page'!$D43))</f>
        <v>-464990</v>
      </c>
      <c r="U43" s="542"/>
      <c r="W43" s="542" cm="1">
        <f t="array" ref="W43">SUMPRODUCT('W3'!$K$18:$AJ$1018*('W3'!$A$18:$A$1018=W$5)*('W3'!$D$18:$D$1018=$B$42)*('W3'!$K$14:$AJ$14='Cover Page'!$D43))</f>
        <v>-314990</v>
      </c>
      <c r="X43" s="742"/>
      <c r="AH43" t="s">
        <v>571</v>
      </c>
    </row>
    <row r="44" spans="1:34" outlineLevel="1" x14ac:dyDescent="0.25">
      <c r="D44" s="543">
        <v>1</v>
      </c>
      <c r="E44" s="497" t="str">
        <f t="shared" si="7"/>
        <v>triệu VND</v>
      </c>
      <c r="F44" s="454"/>
      <c r="H44" s="457" cm="1">
        <f t="array" ref="H44">SUMPRODUCT('W3'!$K$18:$AJ$1018*('W3'!$A$18:$A$1018=H$5)*('W3'!$D$18:$D$1018=$B$42)*('W3'!$K$14:$AJ$14='Cover Page'!$D44))</f>
        <v>24486.741170179979</v>
      </c>
      <c r="I44" s="457"/>
      <c r="K44" s="457" cm="1">
        <f t="array" ref="K44">SUMPRODUCT('W3'!$K$18:$AJ$1018*('W3'!$A$18:$A$1018=K$5)*('W3'!$D$18:$D$1018=$B$42)*('W3'!$K$14:$AJ$14='Cover Page'!$D44))</f>
        <v>28874.472518050847</v>
      </c>
      <c r="L44" s="733"/>
      <c r="N44" s="457" cm="1">
        <f t="array" ref="N44">SUMPRODUCT('W3'!$K$18:$AJ$1018*('W3'!$A$18:$A$1018=N$5)*('W3'!$D$18:$D$1018=$B$42)*('W3'!$K$14:$AJ$14='Cover Page'!$D44))</f>
        <v>25888.054779700858</v>
      </c>
      <c r="O44" s="733"/>
      <c r="Q44" s="457" cm="1">
        <f t="array" ref="Q44">SUMPRODUCT('W3'!$K$18:$AJ$1018*('W3'!$A$18:$A$1018=Q$5)*('W3'!$D$18:$D$1018=$B$42)*('W3'!$K$14:$AJ$14='Cover Page'!$D44))</f>
        <v>25193.768560033237</v>
      </c>
      <c r="R44" s="733"/>
      <c r="T44" s="457" cm="1">
        <f t="array" ref="T44">SUMPRODUCT('W3'!$K$18:$AJ$1018*('W3'!$A$18:$A$1018=T$5)*('W3'!$D$18:$D$1018=$B$42)*('W3'!$K$14:$AJ$14='Cover Page'!$D44))</f>
        <v>22047.470538038266</v>
      </c>
      <c r="U44" s="457"/>
      <c r="W44" s="457" cm="1">
        <f t="array" ref="W44">SUMPRODUCT('W3'!$K$18:$AJ$1018*('W3'!$A$18:$A$1018=W$5)*('W3'!$D$18:$D$1018=$B$42)*('W3'!$K$14:$AJ$14='Cover Page'!$D44))</f>
        <v>21344.297730353803</v>
      </c>
      <c r="X44" s="742"/>
    </row>
    <row r="45" spans="1:34" outlineLevel="1" x14ac:dyDescent="0.25">
      <c r="D45" s="543">
        <v>2</v>
      </c>
      <c r="E45" s="497" t="str">
        <f t="shared" si="7"/>
        <v>triệu VND</v>
      </c>
      <c r="F45" s="454"/>
      <c r="H45" s="457" cm="1">
        <f t="array" ref="H45">SUMPRODUCT('W3'!$K$18:$AJ$1018*('W3'!$A$18:$A$1018=H$5)*('W3'!$D$18:$D$1018=$B$42)*('W3'!$K$14:$AJ$14='Cover Page'!$D45))</f>
        <v>38605.11205237484</v>
      </c>
      <c r="I45" s="457"/>
      <c r="K45" s="457" cm="1">
        <f t="array" ref="K45">SUMPRODUCT('W3'!$K$18:$AJ$1018*('W3'!$A$18:$A$1018=K$5)*('W3'!$D$18:$D$1018=$B$42)*('W3'!$K$14:$AJ$14='Cover Page'!$D45))</f>
        <v>44790.182642541367</v>
      </c>
      <c r="L45" s="733"/>
      <c r="N45" s="457" cm="1">
        <f t="array" ref="N45">SUMPRODUCT('W3'!$K$18:$AJ$1018*('W3'!$A$18:$A$1018=N$5)*('W3'!$D$18:$D$1018=$B$42)*('W3'!$K$14:$AJ$14='Cover Page'!$D45))</f>
        <v>40836.129449925618</v>
      </c>
      <c r="O45" s="733"/>
      <c r="Q45" s="457" cm="1">
        <f t="array" ref="Q45">SUMPRODUCT('W3'!$K$18:$AJ$1018*('W3'!$A$18:$A$1018=Q$5)*('W3'!$D$18:$D$1018=$B$42)*('W3'!$K$14:$AJ$14='Cover Page'!$D45))</f>
        <v>39264.246717462811</v>
      </c>
      <c r="R45" s="733"/>
      <c r="T45" s="457" cm="1">
        <f t="array" ref="T45">SUMPRODUCT('W3'!$K$18:$AJ$1018*('W3'!$A$18:$A$1018=T$5)*('W3'!$D$18:$D$1018=$B$42)*('W3'!$K$14:$AJ$14='Cover Page'!$D45))</f>
        <v>35572.147081099756</v>
      </c>
      <c r="U45" s="457"/>
      <c r="W45" s="457" cm="1">
        <f t="array" ref="W45">SUMPRODUCT('W3'!$K$18:$AJ$1018*('W3'!$A$18:$A$1018=W$5)*('W3'!$D$18:$D$1018=$B$42)*('W3'!$K$14:$AJ$14='Cover Page'!$D45))</f>
        <v>34920.179784861815</v>
      </c>
      <c r="X45" s="742"/>
    </row>
    <row r="46" spans="1:34" outlineLevel="1" x14ac:dyDescent="0.25">
      <c r="D46" s="543">
        <v>3</v>
      </c>
      <c r="E46" s="497" t="str">
        <f t="shared" si="7"/>
        <v>triệu VND</v>
      </c>
      <c r="F46" s="454"/>
      <c r="H46" s="457" cm="1">
        <f t="array" ref="H46">SUMPRODUCT('W3'!$K$18:$AJ$1018*('W3'!$A$18:$A$1018=H$5)*('W3'!$D$18:$D$1018=$B$42)*('W3'!$K$14:$AJ$14='Cover Page'!$D46))</f>
        <v>55601.309497709786</v>
      </c>
      <c r="I46" s="457"/>
      <c r="K46" s="457" cm="1">
        <f t="array" ref="K46">SUMPRODUCT('W3'!$K$18:$AJ$1018*('W3'!$A$18:$A$1018=K$5)*('W3'!$D$18:$D$1018=$B$42)*('W3'!$K$14:$AJ$14='Cover Page'!$D46))</f>
        <v>63999.379533032792</v>
      </c>
      <c r="L46" s="733"/>
      <c r="N46" s="457" cm="1">
        <f t="array" ref="N46">SUMPRODUCT('W3'!$K$18:$AJ$1018*('W3'!$A$18:$A$1018=N$5)*('W3'!$D$18:$D$1018=$B$42)*('W3'!$K$14:$AJ$14='Cover Page'!$D46))</f>
        <v>58657.324193051936</v>
      </c>
      <c r="O46" s="733"/>
      <c r="Q46" s="457" cm="1">
        <f t="array" ref="Q46">SUMPRODUCT('W3'!$K$18:$AJ$1018*('W3'!$A$18:$A$1018=Q$5)*('W3'!$D$18:$D$1018=$B$42)*('W3'!$K$14:$AJ$14='Cover Page'!$D46))</f>
        <v>56215.795602428872</v>
      </c>
      <c r="R46" s="733"/>
      <c r="T46" s="457" cm="1">
        <f t="array" ref="T46">SUMPRODUCT('W3'!$K$18:$AJ$1018*('W3'!$A$18:$A$1018=T$5)*('W3'!$D$18:$D$1018=$B$42)*('W3'!$K$14:$AJ$14='Cover Page'!$D46))</f>
        <v>51421.521005553397</v>
      </c>
      <c r="U46" s="457"/>
      <c r="W46" s="457" cm="1">
        <f t="array" ref="W46">SUMPRODUCT('W3'!$K$18:$AJ$1018*('W3'!$A$18:$A$1018=W$5)*('W3'!$D$18:$D$1018=$B$42)*('W3'!$K$14:$AJ$14='Cover Page'!$D46))</f>
        <v>50817.030401368167</v>
      </c>
      <c r="X46" s="742"/>
    </row>
    <row r="47" spans="1:34" outlineLevel="1" x14ac:dyDescent="0.25">
      <c r="D47" s="543">
        <v>4</v>
      </c>
      <c r="E47" s="497" t="str">
        <f t="shared" si="7"/>
        <v>triệu VND</v>
      </c>
      <c r="F47" s="454"/>
      <c r="H47" s="457" cm="1">
        <f t="array" ref="H47">SUMPRODUCT('W3'!$K$18:$AJ$1018*('W3'!$A$18:$A$1018=H$5)*('W3'!$D$18:$D$1018=$B$42)*('W3'!$K$14:$AJ$14='Cover Page'!$D47))</f>
        <v>52064.439100370939</v>
      </c>
      <c r="I47" s="457"/>
      <c r="K47" s="457" cm="1">
        <f t="array" ref="K47">SUMPRODUCT('W3'!$K$18:$AJ$1018*('W3'!$A$18:$A$1018=K$5)*('W3'!$D$18:$D$1018=$B$42)*('W3'!$K$14:$AJ$14='Cover Page'!$D47))</f>
        <v>59609.212245366631</v>
      </c>
      <c r="L47" s="733"/>
      <c r="N47" s="457" cm="1">
        <f t="array" ref="N47">SUMPRODUCT('W3'!$K$18:$AJ$1018*('W3'!$A$18:$A$1018=N$5)*('W3'!$D$18:$D$1018=$B$42)*('W3'!$K$14:$AJ$14='Cover Page'!$D47))</f>
        <v>54557.108061209787</v>
      </c>
      <c r="O47" s="733"/>
      <c r="Q47" s="457" cm="1">
        <f t="array" ref="Q47">SUMPRODUCT('W3'!$K$18:$AJ$1018*('W3'!$A$18:$A$1018=Q$5)*('W3'!$D$18:$D$1018=$B$42)*('W3'!$K$14:$AJ$14='Cover Page'!$D47))</f>
        <v>52637.301055435077</v>
      </c>
      <c r="R47" s="733"/>
      <c r="T47" s="457" cm="1">
        <f t="array" ref="T47">SUMPRODUCT('W3'!$K$18:$AJ$1018*('W3'!$A$18:$A$1018=T$5)*('W3'!$D$18:$D$1018=$B$42)*('W3'!$K$14:$AJ$14='Cover Page'!$D47))</f>
        <v>47715.11117926921</v>
      </c>
      <c r="U47" s="457"/>
      <c r="W47" s="457" cm="1">
        <f t="array" ref="W47">SUMPRODUCT('W3'!$K$18:$AJ$1018*('W3'!$A$18:$A$1018=W$5)*('W3'!$D$18:$D$1018=$B$42)*('W3'!$K$14:$AJ$14='Cover Page'!$D47))</f>
        <v>47154.639982850706</v>
      </c>
      <c r="X47" s="742"/>
    </row>
    <row r="48" spans="1:34" outlineLevel="1" x14ac:dyDescent="0.25">
      <c r="D48" s="543">
        <v>5</v>
      </c>
      <c r="E48" s="497" t="str">
        <f t="shared" si="7"/>
        <v>triệu VND</v>
      </c>
      <c r="F48" s="454"/>
      <c r="H48" s="457" cm="1">
        <f t="array" ref="H48">SUMPRODUCT('W3'!$K$18:$AJ$1018*('W3'!$A$18:$A$1018=H$5)*('W3'!$D$18:$D$1018=$B$42)*('W3'!$K$14:$AJ$14='Cover Page'!$D48))</f>
        <v>48720.869534269332</v>
      </c>
      <c r="I48" s="457"/>
      <c r="K48" s="457" cm="1">
        <f t="array" ref="K48">SUMPRODUCT('W3'!$K$18:$AJ$1018*('W3'!$A$18:$A$1018=K$5)*('W3'!$D$18:$D$1018=$B$42)*('W3'!$K$14:$AJ$14='Cover Page'!$D48))</f>
        <v>55484.944958031061</v>
      </c>
      <c r="L48" s="733"/>
      <c r="N48" s="457" cm="1">
        <f t="array" ref="N48">SUMPRODUCT('W3'!$K$18:$AJ$1018*('W3'!$A$18:$A$1018=N$5)*('W3'!$D$18:$D$1018=$B$42)*('W3'!$K$14:$AJ$14='Cover Page'!$D48))</f>
        <v>50707.054228118439</v>
      </c>
      <c r="O48" s="733"/>
      <c r="Q48" s="457" cm="1">
        <f t="array" ref="Q48">SUMPRODUCT('W3'!$K$18:$AJ$1018*('W3'!$A$18:$A$1018=Q$5)*('W3'!$D$18:$D$1018=$B$42)*('W3'!$K$14:$AJ$14='Cover Page'!$D48))</f>
        <v>49254.926882417029</v>
      </c>
      <c r="R48" s="733"/>
      <c r="T48" s="457" cm="1">
        <f t="array" ref="T48">SUMPRODUCT('W3'!$K$18:$AJ$1018*('W3'!$A$18:$A$1018=T$5)*('W3'!$D$18:$D$1018=$B$42)*('W3'!$K$14:$AJ$14='Cover Page'!$D48))</f>
        <v>44237.279644005386</v>
      </c>
      <c r="U48" s="457"/>
      <c r="W48" s="457" cm="1">
        <f t="array" ref="W48">SUMPRODUCT('W3'!$K$18:$AJ$1018*('W3'!$A$18:$A$1018=W$5)*('W3'!$D$18:$D$1018=$B$42)*('W3'!$K$14:$AJ$14='Cover Page'!$D48))</f>
        <v>43717.622332808307</v>
      </c>
      <c r="X48" s="742"/>
    </row>
    <row r="49" spans="4:24" outlineLevel="1" x14ac:dyDescent="0.25">
      <c r="D49" s="543">
        <v>6</v>
      </c>
      <c r="E49" s="497" t="str">
        <f t="shared" si="7"/>
        <v>triệu VND</v>
      </c>
      <c r="F49" s="454"/>
      <c r="H49" s="457" cm="1">
        <f t="array" ref="H49">SUMPRODUCT('W3'!$K$18:$AJ$1018*('W3'!$A$18:$A$1018=H$5)*('W3'!$D$18:$D$1018=$B$42)*('W3'!$K$14:$AJ$14='Cover Page'!$D49))</f>
        <v>45560.518691746511</v>
      </c>
      <c r="I49" s="457"/>
      <c r="K49" s="457" cm="1">
        <f t="array" ref="K49">SUMPRODUCT('W3'!$K$18:$AJ$1018*('W3'!$A$18:$A$1018=K$5)*('W3'!$D$18:$D$1018=$B$42)*('W3'!$K$14:$AJ$14='Cover Page'!$D49))</f>
        <v>51611.169754108436</v>
      </c>
      <c r="L49" s="733"/>
      <c r="N49" s="457" cm="1">
        <f t="array" ref="N49">SUMPRODUCT('W3'!$K$18:$AJ$1018*('W3'!$A$18:$A$1018=N$5)*('W3'!$D$18:$D$1018=$B$42)*('W3'!$K$14:$AJ$14='Cover Page'!$D49))</f>
        <v>47092.608973320654</v>
      </c>
      <c r="O49" s="733"/>
      <c r="Q49" s="457" cm="1">
        <f t="array" ref="Q49">SUMPRODUCT('W3'!$K$18:$AJ$1018*('W3'!$A$18:$A$1018=Q$5)*('W3'!$D$18:$D$1018=$B$42)*('W3'!$K$14:$AJ$14='Cover Page'!$D49))</f>
        <v>46058.399985117831</v>
      </c>
      <c r="R49" s="733"/>
      <c r="T49" s="457" cm="1">
        <f t="array" ref="T49">SUMPRODUCT('W3'!$K$18:$AJ$1018*('W3'!$A$18:$A$1018=T$5)*('W3'!$D$18:$D$1018=$B$42)*('W3'!$K$14:$AJ$14='Cover Page'!$D49))</f>
        <v>40974.662923061864</v>
      </c>
      <c r="U49" s="457"/>
      <c r="W49" s="457" cm="1">
        <f t="array" ref="W49">SUMPRODUCT('W3'!$K$18:$AJ$1018*('W3'!$A$18:$A$1018=W$5)*('W3'!$D$18:$D$1018=$B$42)*('W3'!$K$14:$AJ$14='Cover Page'!$D49))</f>
        <v>40492.847402824205</v>
      </c>
      <c r="X49" s="742"/>
    </row>
    <row r="50" spans="4:24" outlineLevel="1" x14ac:dyDescent="0.25">
      <c r="D50" s="543">
        <v>7</v>
      </c>
      <c r="E50" s="497" t="str">
        <f t="shared" si="7"/>
        <v>triệu VND</v>
      </c>
      <c r="F50" s="454"/>
      <c r="H50" s="457" cm="1">
        <f t="array" ref="H50">SUMPRODUCT('W3'!$K$18:$AJ$1018*('W3'!$A$18:$A$1018=H$5)*('W3'!$D$18:$D$1018=$B$42)*('W3'!$K$14:$AJ$14='Cover Page'!$D50))</f>
        <v>42573.823927480807</v>
      </c>
      <c r="I50" s="457"/>
      <c r="K50" s="457" cm="1">
        <f t="array" ref="K50">SUMPRODUCT('W3'!$K$18:$AJ$1018*('W3'!$A$18:$A$1018=K$5)*('W3'!$D$18:$D$1018=$B$42)*('W3'!$K$14:$AJ$14='Cover Page'!$D50))</f>
        <v>47973.358665331303</v>
      </c>
      <c r="L50" s="733"/>
      <c r="N50" s="457" cm="1">
        <f t="array" ref="N50">SUMPRODUCT('W3'!$K$18:$AJ$1018*('W3'!$A$18:$A$1018=N$5)*('W3'!$D$18:$D$1018=$B$42)*('W3'!$K$14:$AJ$14='Cover Page'!$D50))</f>
        <v>43700.052161721294</v>
      </c>
      <c r="O50" s="733"/>
      <c r="Q50" s="457" cm="1">
        <f t="array" ref="Q50">SUMPRODUCT('W3'!$K$18:$AJ$1018*('W3'!$A$18:$A$1018=Q$5)*('W3'!$D$18:$D$1018=$B$42)*('W3'!$K$14:$AJ$14='Cover Page'!$D50))</f>
        <v>43037.979664966457</v>
      </c>
      <c r="R50" s="733"/>
      <c r="T50" s="457" cm="1">
        <f t="array" ref="T50">SUMPRODUCT('W3'!$K$18:$AJ$1018*('W3'!$A$18:$A$1018=T$5)*('W3'!$D$18:$D$1018=$B$42)*('W3'!$K$14:$AJ$14='Cover Page'!$D50))</f>
        <v>37914.665066310619</v>
      </c>
      <c r="U50" s="457"/>
      <c r="W50" s="457" cm="1">
        <f t="array" ref="W50">SUMPRODUCT('W3'!$K$18:$AJ$1018*('W3'!$A$18:$A$1018=W$5)*('W3'!$D$18:$D$1018=$B$42)*('W3'!$K$14:$AJ$14='Cover Page'!$D50))</f>
        <v>37467.935672651016</v>
      </c>
      <c r="X50" s="742"/>
    </row>
    <row r="51" spans="4:24" outlineLevel="1" x14ac:dyDescent="0.25">
      <c r="D51" s="543">
        <v>8</v>
      </c>
      <c r="E51" s="497" t="str">
        <f t="shared" si="7"/>
        <v>triệu VND</v>
      </c>
      <c r="F51" s="454"/>
      <c r="H51" s="457" cm="1">
        <f t="array" ref="H51">SUMPRODUCT('W3'!$K$18:$AJ$1018*('W3'!$A$18:$A$1018=H$5)*('W3'!$D$18:$D$1018=$B$42)*('W3'!$K$14:$AJ$14='Cover Page'!$D51))</f>
        <v>39751.715226932414</v>
      </c>
      <c r="I51" s="457"/>
      <c r="K51" s="457" cm="1">
        <f t="array" ref="K51">SUMPRODUCT('W3'!$K$18:$AJ$1018*('W3'!$A$18:$A$1018=K$5)*('W3'!$D$18:$D$1018=$B$42)*('W3'!$K$14:$AJ$14='Cover Page'!$D51))</f>
        <v>44557.813457194148</v>
      </c>
      <c r="L51" s="733"/>
      <c r="N51" s="457" cm="1">
        <f t="array" ref="N51">SUMPRODUCT('W3'!$K$18:$AJ$1018*('W3'!$A$18:$A$1018=N$5)*('W3'!$D$18:$D$1018=$B$42)*('W3'!$K$14:$AJ$14='Cover Page'!$D51))</f>
        <v>40516.449545162897</v>
      </c>
      <c r="O51" s="733"/>
      <c r="Q51" s="457" cm="1">
        <f t="array" ref="Q51">SUMPRODUCT('W3'!$K$18:$AJ$1018*('W3'!$A$18:$A$1018=Q$5)*('W3'!$D$18:$D$1018=$B$42)*('W3'!$K$14:$AJ$14='Cover Page'!$D51))</f>
        <v>40184.429915170665</v>
      </c>
      <c r="R51" s="733"/>
      <c r="T51" s="457" cm="1">
        <f t="array" ref="T51">SUMPRODUCT('W3'!$K$18:$AJ$1018*('W3'!$A$18:$A$1018=T$5)*('W3'!$D$18:$D$1018=$B$42)*('W3'!$K$14:$AJ$14='Cover Page'!$D51))</f>
        <v>35045.413645702924</v>
      </c>
      <c r="U51" s="457"/>
      <c r="W51" s="457" cm="1">
        <f t="array" ref="W51">SUMPRODUCT('W3'!$K$18:$AJ$1018*('W3'!$A$18:$A$1018=W$5)*('W3'!$D$18:$D$1018=$B$42)*('W3'!$K$14:$AJ$14='Cover Page'!$D51))</f>
        <v>34631.215383552619</v>
      </c>
      <c r="X51" s="742"/>
    </row>
    <row r="52" spans="4:24" outlineLevel="1" x14ac:dyDescent="0.25">
      <c r="D52" s="543">
        <v>9</v>
      </c>
      <c r="E52" s="497" t="str">
        <f t="shared" si="7"/>
        <v>triệu VND</v>
      </c>
      <c r="F52" s="454"/>
      <c r="H52" s="457" cm="1">
        <f t="array" ref="H52">SUMPRODUCT('W3'!$K$18:$AJ$1018*('W3'!$A$18:$A$1018=H$5)*('W3'!$D$18:$D$1018=$B$42)*('W3'!$K$14:$AJ$14='Cover Page'!$D52))</f>
        <v>37085.589775120716</v>
      </c>
      <c r="I52" s="457"/>
      <c r="K52" s="457" cm="1">
        <f t="array" ref="K52">SUMPRODUCT('W3'!$K$18:$AJ$1018*('W3'!$A$18:$A$1018=K$5)*('W3'!$D$18:$D$1018=$B$42)*('W3'!$K$14:$AJ$14='Cover Page'!$D52))</f>
        <v>41351.618299091264</v>
      </c>
      <c r="L52" s="733"/>
      <c r="N52" s="457" cm="1">
        <f t="array" ref="N52">SUMPRODUCT('W3'!$K$18:$AJ$1018*('W3'!$A$18:$A$1018=N$5)*('W3'!$D$18:$D$1018=$B$42)*('W3'!$K$14:$AJ$14='Cover Page'!$D52))</f>
        <v>37529.607812440881</v>
      </c>
      <c r="O52" s="733"/>
      <c r="Q52" s="457" cm="1">
        <f t="array" ref="Q52">SUMPRODUCT('W3'!$K$18:$AJ$1018*('W3'!$A$18:$A$1018=Q$5)*('W3'!$D$18:$D$1018=$B$42)*('W3'!$K$14:$AJ$14='Cover Page'!$D52))</f>
        <v>37488.993172505026</v>
      </c>
      <c r="R52" s="733"/>
      <c r="T52" s="457" cm="1">
        <f t="array" ref="T52">SUMPRODUCT('W3'!$K$18:$AJ$1018*('W3'!$A$18:$A$1018=T$5)*('W3'!$D$18:$D$1018=$B$42)*('W3'!$K$14:$AJ$14='Cover Page'!$D52))</f>
        <v>32355.718290757104</v>
      </c>
      <c r="U52" s="457"/>
      <c r="W52" s="457" cm="1">
        <f t="array" ref="W52">SUMPRODUCT('W3'!$K$18:$AJ$1018*('W3'!$A$18:$A$1018=W$5)*('W3'!$D$18:$D$1018=$B$42)*('W3'!$K$14:$AJ$14='Cover Page'!$D52))</f>
        <v>31971.682221487237</v>
      </c>
      <c r="X52" s="742"/>
    </row>
    <row r="53" spans="4:24" outlineLevel="1" x14ac:dyDescent="0.25">
      <c r="D53" s="543">
        <v>10</v>
      </c>
      <c r="E53" s="497" t="str">
        <f t="shared" si="7"/>
        <v>triệu VND</v>
      </c>
      <c r="F53" s="454"/>
      <c r="H53" s="457" cm="1">
        <f t="array" ref="H53">SUMPRODUCT('W3'!$K$18:$AJ$1018*('W3'!$A$18:$A$1018=H$5)*('W3'!$D$18:$D$1018=$B$42)*('W3'!$K$14:$AJ$14='Cover Page'!$D53))</f>
        <v>34567.287851507026</v>
      </c>
      <c r="I53" s="457"/>
      <c r="K53" s="457" cm="1">
        <f t="array" ref="K53">SUMPRODUCT('W3'!$K$18:$AJ$1018*('W3'!$A$18:$A$1018=K$5)*('W3'!$D$18:$D$1018=$B$42)*('W3'!$K$14:$AJ$14='Cover Page'!$D53))</f>
        <v>38342.595151780704</v>
      </c>
      <c r="L53" s="733"/>
      <c r="N53" s="457" cm="1">
        <f t="array" ref="N53">SUMPRODUCT('W3'!$K$18:$AJ$1018*('W3'!$A$18:$A$1018=N$5)*('W3'!$D$18:$D$1018=$B$42)*('W3'!$K$14:$AJ$14='Cover Page'!$D53))</f>
        <v>34728.032227472511</v>
      </c>
      <c r="O53" s="733"/>
      <c r="Q53" s="457" cm="1">
        <f t="array" ref="Q53">SUMPRODUCT('W3'!$K$18:$AJ$1018*('W3'!$A$18:$A$1018=Q$5)*('W3'!$D$18:$D$1018=$B$42)*('W3'!$K$14:$AJ$14='Cover Page'!$D53))</f>
        <v>34943.365450545207</v>
      </c>
      <c r="R53" s="733"/>
      <c r="T53" s="457" cm="1">
        <f t="array" ref="T53">SUMPRODUCT('W3'!$K$18:$AJ$1018*('W3'!$A$18:$A$1018=T$5)*('W3'!$D$18:$D$1018=$B$42)*('W3'!$K$14:$AJ$14='Cover Page'!$D53))</f>
        <v>29835.031615639091</v>
      </c>
      <c r="U53" s="457"/>
      <c r="W53" s="457" cm="1">
        <f t="array" ref="W53">SUMPRODUCT('W3'!$K$18:$AJ$1018*('W3'!$A$18:$A$1018=W$5)*('W3'!$D$18:$D$1018=$B$42)*('W3'!$K$14:$AJ$14='Cover Page'!$D53))</f>
        <v>29478.961308307087</v>
      </c>
      <c r="X53" s="742"/>
    </row>
    <row r="54" spans="4:24" outlineLevel="1" x14ac:dyDescent="0.25">
      <c r="D54" s="543">
        <v>11</v>
      </c>
      <c r="E54" s="497" t="str">
        <f t="shared" si="7"/>
        <v>triệu VND</v>
      </c>
      <c r="F54" s="454"/>
      <c r="H54" s="457" cm="1">
        <f t="array" ref="H54">SUMPRODUCT('W3'!$K$18:$AJ$1018*('W3'!$A$18:$A$1018=H$5)*('W3'!$D$18:$D$1018=$B$42)*('W3'!$K$14:$AJ$14='Cover Page'!$D54))</f>
        <v>32189.069980766992</v>
      </c>
      <c r="I54" s="457"/>
      <c r="K54" s="457" cm="1">
        <f t="array" ref="K54">SUMPRODUCT('W3'!$K$18:$AJ$1018*('W3'!$A$18:$A$1018=K$5)*('W3'!$D$18:$D$1018=$B$42)*('W3'!$K$14:$AJ$14='Cover Page'!$D54))</f>
        <v>35519.261714375229</v>
      </c>
      <c r="L54" s="733"/>
      <c r="N54" s="457" cm="1">
        <f t="array" ref="N54">SUMPRODUCT('W3'!$K$18:$AJ$1018*('W3'!$A$18:$A$1018=N$5)*('W3'!$D$18:$D$1018=$B$42)*('W3'!$K$14:$AJ$14='Cover Page'!$D54))</f>
        <v>32100.886704830533</v>
      </c>
      <c r="O54" s="733"/>
      <c r="Q54" s="457" cm="1">
        <f t="array" ref="Q54">SUMPRODUCT('W3'!$K$18:$AJ$1018*('W3'!$A$18:$A$1018=Q$5)*('W3'!$D$18:$D$1018=$B$42)*('W3'!$K$14:$AJ$14='Cover Page'!$D54))</f>
        <v>32539.672780384946</v>
      </c>
      <c r="R54" s="733"/>
      <c r="T54" s="457" cm="1">
        <f t="array" ref="T54">SUMPRODUCT('W3'!$K$18:$AJ$1018*('W3'!$A$18:$A$1018=T$5)*('W3'!$D$18:$D$1018=$B$42)*('W3'!$K$14:$AJ$14='Cover Page'!$D54))</f>
        <v>27473.412398253091</v>
      </c>
      <c r="U54" s="457"/>
      <c r="W54" s="457" cm="1">
        <f t="array" ref="W54">SUMPRODUCT('W3'!$K$18:$AJ$1018*('W3'!$A$18:$A$1018=W$5)*('W3'!$D$18:$D$1018=$B$42)*('W3'!$K$14:$AJ$14='Cover Page'!$D54))</f>
        <v>27143.271367478148</v>
      </c>
      <c r="X54" s="742"/>
    </row>
    <row r="55" spans="4:24" outlineLevel="1" x14ac:dyDescent="0.25">
      <c r="D55" s="543">
        <v>12</v>
      </c>
      <c r="E55" s="497" t="str">
        <f t="shared" si="7"/>
        <v>triệu VND</v>
      </c>
      <c r="F55" s="454"/>
      <c r="H55" s="457" cm="1">
        <f t="array" ref="H55">SUMPRODUCT('W3'!$K$18:$AJ$1018*('W3'!$A$18:$A$1018=H$5)*('W3'!$D$18:$D$1018=$B$42)*('W3'!$K$14:$AJ$14='Cover Page'!$D55))</f>
        <v>29943.595273027313</v>
      </c>
      <c r="I55" s="457"/>
      <c r="K55" s="457" cm="1">
        <f t="array" ref="K55">SUMPRODUCT('W3'!$K$18:$AJ$1018*('W3'!$A$18:$A$1018=K$5)*('W3'!$D$18:$D$1018=$B$42)*('W3'!$K$14:$AJ$14='Cover Page'!$D55))</f>
        <v>32870.791782360153</v>
      </c>
      <c r="L55" s="733"/>
      <c r="N55" s="457" cm="1">
        <f t="array" ref="N55">SUMPRODUCT('W3'!$K$18:$AJ$1018*('W3'!$A$18:$A$1018=N$5)*('W3'!$D$18:$D$1018=$B$42)*('W3'!$K$14:$AJ$14='Cover Page'!$D55))</f>
        <v>29637.956180773181</v>
      </c>
      <c r="O55" s="733"/>
      <c r="Q55" s="457" cm="1">
        <f t="array" ref="Q55">SUMPRODUCT('W3'!$K$18:$AJ$1018*('W3'!$A$18:$A$1018=Q$5)*('W3'!$D$18:$D$1018=$B$42)*('W3'!$K$14:$AJ$14='Cover Page'!$D55))</f>
        <v>30270.448888914878</v>
      </c>
      <c r="R55" s="733"/>
      <c r="T55" s="457" cm="1">
        <f t="array" ref="T55">SUMPRODUCT('W3'!$K$18:$AJ$1018*('W3'!$A$18:$A$1018=T$5)*('W3'!$D$18:$D$1018=$B$42)*('W3'!$K$14:$AJ$14='Cover Page'!$D55))</f>
        <v>25261.490880035308</v>
      </c>
      <c r="U55" s="457"/>
      <c r="W55" s="457" cm="1">
        <f t="array" ref="W55">SUMPRODUCT('W3'!$K$18:$AJ$1018*('W3'!$A$18:$A$1018=W$5)*('W3'!$D$18:$D$1018=$B$42)*('W3'!$K$14:$AJ$14='Cover Page'!$D55))</f>
        <v>24955.390938656277</v>
      </c>
      <c r="X55" s="742"/>
    </row>
    <row r="56" spans="4:24" outlineLevel="1" x14ac:dyDescent="0.25">
      <c r="D56" s="543">
        <v>13</v>
      </c>
      <c r="E56" s="497" t="str">
        <f t="shared" si="7"/>
        <v>triệu VND</v>
      </c>
      <c r="F56" s="454"/>
      <c r="H56" s="457" cm="1">
        <f t="array" ref="H56">SUMPRODUCT('W3'!$K$18:$AJ$1018*('W3'!$A$18:$A$1018=H$5)*('W3'!$D$18:$D$1018=$B$42)*('W3'!$K$14:$AJ$14='Cover Page'!$D56))</f>
        <v>26132.189527479521</v>
      </c>
      <c r="I56" s="457"/>
      <c r="K56" s="457" cm="1">
        <f t="array" ref="K56">SUMPRODUCT('W3'!$K$18:$AJ$1018*('W3'!$A$18:$A$1018=K$5)*('W3'!$D$18:$D$1018=$B$42)*('W3'!$K$14:$AJ$14='Cover Page'!$D56))</f>
        <v>28624.471235637244</v>
      </c>
      <c r="L56" s="733"/>
      <c r="N56" s="457" cm="1">
        <f t="array" ref="N56">SUMPRODUCT('W3'!$K$18:$AJ$1018*('W3'!$A$18:$A$1018=N$5)*('W3'!$D$18:$D$1018=$B$42)*('W3'!$K$14:$AJ$14='Cover Page'!$D56))</f>
        <v>25567.104505039664</v>
      </c>
      <c r="O56" s="733"/>
      <c r="Q56" s="457" cm="1">
        <f t="array" ref="Q56">SUMPRODUCT('W3'!$K$18:$AJ$1018*('W3'!$A$18:$A$1018=Q$5)*('W3'!$D$18:$D$1018=$B$42)*('W3'!$K$14:$AJ$14='Cover Page'!$D56))</f>
        <v>26436.902685318495</v>
      </c>
      <c r="R56" s="733"/>
      <c r="T56" s="457" cm="1">
        <f t="array" ref="T56">SUMPRODUCT('W3'!$K$18:$AJ$1018*('W3'!$A$18:$A$1018=T$5)*('W3'!$D$18:$D$1018=$B$42)*('W3'!$K$14:$AJ$14='Cover Page'!$D56))</f>
        <v>21540.171903499042</v>
      </c>
      <c r="U56" s="457"/>
      <c r="W56" s="457" cm="1">
        <f t="array" ref="W56">SUMPRODUCT('W3'!$K$18:$AJ$1018*('W3'!$A$18:$A$1018=W$5)*('W3'!$D$18:$D$1018=$B$42)*('W3'!$K$14:$AJ$14='Cover Page'!$D56))</f>
        <v>21256.362363399421</v>
      </c>
      <c r="X56" s="742"/>
    </row>
    <row r="57" spans="4:24" outlineLevel="1" x14ac:dyDescent="0.25">
      <c r="D57" s="543">
        <v>14</v>
      </c>
      <c r="E57" s="497" t="str">
        <f t="shared" si="7"/>
        <v>triệu VND</v>
      </c>
      <c r="F57" s="454"/>
      <c r="H57" s="457" cm="1">
        <f t="array" ref="H57">SUMPRODUCT('W3'!$K$18:$AJ$1018*('W3'!$A$18:$A$1018=H$5)*('W3'!$D$18:$D$1018=$B$42)*('W3'!$K$14:$AJ$14='Cover Page'!$D57))</f>
        <v>24246.264611177809</v>
      </c>
      <c r="I57" s="457"/>
      <c r="K57" s="457" cm="1">
        <f t="array" ref="K57">SUMPRODUCT('W3'!$K$18:$AJ$1018*('W3'!$A$18:$A$1018=K$5)*('W3'!$D$18:$D$1018=$B$42)*('W3'!$K$14:$AJ$14='Cover Page'!$D57))</f>
        <v>26424.036278187854</v>
      </c>
      <c r="L57" s="733"/>
      <c r="N57" s="457" cm="1">
        <f t="array" ref="N57">SUMPRODUCT('W3'!$K$18:$AJ$1018*('W3'!$A$18:$A$1018=N$5)*('W3'!$D$18:$D$1018=$B$42)*('W3'!$K$14:$AJ$14='Cover Page'!$D57))</f>
        <v>23532.614480934586</v>
      </c>
      <c r="O57" s="733"/>
      <c r="Q57" s="457" cm="1">
        <f t="array" ref="Q57">SUMPRODUCT('W3'!$K$18:$AJ$1018*('W3'!$A$18:$A$1018=Q$5)*('W3'!$D$18:$D$1018=$B$42)*('W3'!$K$14:$AJ$14='Cover Page'!$D57))</f>
        <v>24530.337064554446</v>
      </c>
      <c r="R57" s="733"/>
      <c r="T57" s="457" cm="1">
        <f t="array" ref="T57">SUMPRODUCT('W3'!$K$18:$AJ$1018*('W3'!$A$18:$A$1018=T$5)*('W3'!$D$18:$D$1018=$B$42)*('W3'!$K$14:$AJ$14='Cover Page'!$D57))</f>
        <v>19721.834061291371</v>
      </c>
      <c r="U57" s="457"/>
      <c r="W57" s="457" cm="1">
        <f t="array" ref="W57">SUMPRODUCT('W3'!$K$18:$AJ$1018*('W3'!$A$18:$A$1018=W$5)*('W3'!$D$18:$D$1018=$B$42)*('W3'!$K$14:$AJ$14='Cover Page'!$D57))</f>
        <v>19458.691720627496</v>
      </c>
      <c r="X57" s="742"/>
    </row>
    <row r="58" spans="4:24" outlineLevel="1" x14ac:dyDescent="0.25">
      <c r="D58" s="543">
        <v>15</v>
      </c>
      <c r="E58" s="497" t="str">
        <f t="shared" si="7"/>
        <v>triệu VND</v>
      </c>
      <c r="F58" s="454"/>
      <c r="H58" s="457" cm="1">
        <f t="array" ref="H58">SUMPRODUCT('W3'!$K$18:$AJ$1018*('W3'!$A$18:$A$1018=H$5)*('W3'!$D$18:$D$1018=$B$42)*('W3'!$K$14:$AJ$14='Cover Page'!$D58))</f>
        <v>22465.489305138792</v>
      </c>
      <c r="I58" s="457"/>
      <c r="K58" s="457" cm="1">
        <f t="array" ref="K58">SUMPRODUCT('W3'!$K$18:$AJ$1018*('W3'!$A$18:$A$1018=K$5)*('W3'!$D$18:$D$1018=$B$42)*('W3'!$K$14:$AJ$14='Cover Page'!$D58))</f>
        <v>24360.213351629554</v>
      </c>
      <c r="L58" s="733"/>
      <c r="N58" s="457" cm="1">
        <f t="array" ref="N58">SUMPRODUCT('W3'!$K$18:$AJ$1018*('W3'!$A$18:$A$1018=N$5)*('W3'!$D$18:$D$1018=$B$42)*('W3'!$K$14:$AJ$14='Cover Page'!$D58))</f>
        <v>21625.729481584593</v>
      </c>
      <c r="O58" s="733"/>
      <c r="Q58" s="457" cm="1">
        <f t="array" ref="Q58">SUMPRODUCT('W3'!$K$18:$AJ$1018*('W3'!$A$18:$A$1018=Q$5)*('W3'!$D$18:$D$1018=$B$42)*('W3'!$K$14:$AJ$14='Cover Page'!$D58))</f>
        <v>22730.319217111493</v>
      </c>
      <c r="R58" s="733"/>
      <c r="T58" s="457" cm="1">
        <f t="array" ref="T58">SUMPRODUCT('W3'!$K$18:$AJ$1018*('W3'!$A$18:$A$1018=T$5)*('W3'!$D$18:$D$1018=$B$42)*('W3'!$K$14:$AJ$14='Cover Page'!$D58))</f>
        <v>18019.444586705431</v>
      </c>
      <c r="U58" s="457"/>
      <c r="W58" s="457" cm="1">
        <f t="array" ref="W58">SUMPRODUCT('W3'!$K$18:$AJ$1018*('W3'!$A$18:$A$1018=W$5)*('W3'!$D$18:$D$1018=$B$42)*('W3'!$K$14:$AJ$14='Cover Page'!$D58))</f>
        <v>17775.464446271264</v>
      </c>
      <c r="X58" s="742"/>
    </row>
    <row r="59" spans="4:24" outlineLevel="1" x14ac:dyDescent="0.25">
      <c r="D59" s="543">
        <v>16</v>
      </c>
      <c r="E59" s="497" t="str">
        <f t="shared" si="7"/>
        <v>triệu VND</v>
      </c>
      <c r="F59" s="454"/>
      <c r="H59" s="457" cm="1">
        <f t="array" ref="H59">SUMPRODUCT('W3'!$K$18:$AJ$1018*('W3'!$A$18:$A$1018=H$5)*('W3'!$D$18:$D$1018=$B$42)*('W3'!$K$14:$AJ$14='Cover Page'!$D59))</f>
        <v>20784.447929967704</v>
      </c>
      <c r="I59" s="457"/>
      <c r="K59" s="457" cm="1">
        <f t="array" ref="K59">SUMPRODUCT('W3'!$K$18:$AJ$1018*('W3'!$A$18:$A$1018=K$5)*('W3'!$D$18:$D$1018=$B$42)*('W3'!$K$14:$AJ$14='Cover Page'!$D59))</f>
        <v>22425.128319806117</v>
      </c>
      <c r="L59" s="733"/>
      <c r="N59" s="457" cm="1">
        <f t="array" ref="N59">SUMPRODUCT('W3'!$K$18:$AJ$1018*('W3'!$A$18:$A$1018=N$5)*('W3'!$D$18:$D$1018=$B$42)*('W3'!$K$14:$AJ$14='Cover Page'!$D59))</f>
        <v>19839.064244810419</v>
      </c>
      <c r="O59" s="733"/>
      <c r="Q59" s="457" cm="1">
        <f t="array" ref="Q59">SUMPRODUCT('W3'!$K$18:$AJ$1018*('W3'!$A$18:$A$1018=Q$5)*('W3'!$D$18:$D$1018=$B$42)*('W3'!$K$14:$AJ$14='Cover Page'!$D59))</f>
        <v>21031.338754621094</v>
      </c>
      <c r="R59" s="733"/>
      <c r="T59" s="457" cm="1">
        <f t="array" ref="T59">SUMPRODUCT('W3'!$K$18:$AJ$1018*('W3'!$A$18:$A$1018=T$5)*('W3'!$D$18:$D$1018=$B$42)*('W3'!$K$14:$AJ$14='Cover Page'!$D59))</f>
        <v>16426.248075121504</v>
      </c>
      <c r="U59" s="457"/>
      <c r="W59" s="457" cm="1">
        <f t="array" ref="W59">SUMPRODUCT('W3'!$K$18:$AJ$1018*('W3'!$A$18:$A$1018=W$5)*('W3'!$D$18:$D$1018=$B$42)*('W3'!$K$14:$AJ$14='Cover Page'!$D59))</f>
        <v>16200.03473075395</v>
      </c>
      <c r="X59" s="742"/>
    </row>
    <row r="60" spans="4:24" outlineLevel="1" x14ac:dyDescent="0.25">
      <c r="D60" s="543">
        <v>17</v>
      </c>
      <c r="E60" s="497" t="str">
        <f t="shared" si="7"/>
        <v>triệu VND</v>
      </c>
      <c r="F60" s="454"/>
      <c r="H60" s="457" cm="1">
        <f t="array" ref="H60">SUMPRODUCT('W3'!$K$18:$AJ$1018*('W3'!$A$18:$A$1018=H$5)*('W3'!$D$18:$D$1018=$B$42)*('W3'!$K$14:$AJ$14='Cover Page'!$D60))</f>
        <v>19197.995232747857</v>
      </c>
      <c r="I60" s="457"/>
      <c r="K60" s="457" cm="1">
        <f t="array" ref="K60">SUMPRODUCT('W3'!$K$18:$AJ$1018*('W3'!$A$18:$A$1018=K$5)*('W3'!$D$18:$D$1018=$B$42)*('W3'!$K$14:$AJ$14='Cover Page'!$D60))</f>
        <v>20611.346922597462</v>
      </c>
      <c r="L60" s="733"/>
      <c r="N60" s="457" cm="1">
        <f t="array" ref="N60">SUMPRODUCT('W3'!$K$18:$AJ$1018*('W3'!$A$18:$A$1018=N$5)*('W3'!$D$18:$D$1018=$B$42)*('W3'!$K$14:$AJ$14='Cover Page'!$D60))</f>
        <v>18165.646849817913</v>
      </c>
      <c r="O60" s="733"/>
      <c r="Q60" s="457" cm="1">
        <f t="array" ref="Q60">SUMPRODUCT('W3'!$K$18:$AJ$1018*('W3'!$A$18:$A$1018=Q$5)*('W3'!$D$18:$D$1018=$B$42)*('W3'!$K$14:$AJ$14='Cover Page'!$D60))</f>
        <v>19428.162130603083</v>
      </c>
      <c r="R60" s="733"/>
      <c r="T60" s="457" cm="1">
        <f t="array" ref="T60">SUMPRODUCT('W3'!$K$18:$AJ$1018*('W3'!$A$18:$A$1018=T$5)*('W3'!$D$18:$D$1018=$B$42)*('W3'!$K$14:$AJ$14='Cover Page'!$D60))</f>
        <v>14935.868412225527</v>
      </c>
      <c r="U60" s="457"/>
      <c r="W60" s="457" cm="1">
        <f t="array" ref="W60">SUMPRODUCT('W3'!$K$18:$AJ$1018*('W3'!$A$18:$A$1018=W$5)*('W3'!$D$18:$D$1018=$B$42)*('W3'!$K$14:$AJ$14='Cover Page'!$D60))</f>
        <v>14726.128074020598</v>
      </c>
      <c r="X60" s="742"/>
    </row>
    <row r="61" spans="4:24" outlineLevel="1" x14ac:dyDescent="0.25">
      <c r="D61" s="543">
        <v>18</v>
      </c>
      <c r="E61" s="497" t="str">
        <f t="shared" si="7"/>
        <v>triệu VND</v>
      </c>
      <c r="F61" s="454"/>
      <c r="H61" s="457" cm="1">
        <f t="array" ref="H61">SUMPRODUCT('W3'!$K$18:$AJ$1018*('W3'!$A$18:$A$1018=H$5)*('W3'!$D$18:$D$1018=$B$42)*('W3'!$K$14:$AJ$14='Cover Page'!$D61))</f>
        <v>17701.243069108514</v>
      </c>
      <c r="I61" s="457"/>
      <c r="K61" s="457" cm="1">
        <f t="array" ref="K61">SUMPRODUCT('W3'!$K$18:$AJ$1018*('W3'!$A$18:$A$1018=K$5)*('W3'!$D$18:$D$1018=$B$42)*('W3'!$K$14:$AJ$14='Cover Page'!$D61))</f>
        <v>18911.850545529524</v>
      </c>
      <c r="L61" s="733"/>
      <c r="N61" s="457" cm="1">
        <f t="array" ref="N61">SUMPRODUCT('W3'!$K$18:$AJ$1018*('W3'!$A$18:$A$1018=N$5)*('W3'!$D$18:$D$1018=$B$42)*('W3'!$K$14:$AJ$14='Cover Page'!$D61))</f>
        <v>16598.895927031266</v>
      </c>
      <c r="O61" s="733"/>
      <c r="Q61" s="457" cm="1">
        <f t="array" ref="Q61">SUMPRODUCT('W3'!$K$18:$AJ$1018*('W3'!$A$18:$A$1018=Q$5)*('W3'!$D$18:$D$1018=$B$42)*('W3'!$K$14:$AJ$14='Cover Page'!$D61))</f>
        <v>17915.818887965586</v>
      </c>
      <c r="R61" s="733"/>
      <c r="T61" s="457" cm="1">
        <f t="array" ref="T61">SUMPRODUCT('W3'!$K$18:$AJ$1018*('W3'!$A$18:$A$1018=T$5)*('W3'!$D$18:$D$1018=$B$42)*('W3'!$K$14:$AJ$14='Cover Page'!$D61))</f>
        <v>13542.287824014542</v>
      </c>
      <c r="U61" s="457"/>
      <c r="W61" s="457" cm="1">
        <f t="array" ref="W61">SUMPRODUCT('W3'!$K$18:$AJ$1018*('W3'!$A$18:$A$1018=W$5)*('W3'!$D$18:$D$1018=$B$42)*('W3'!$K$14:$AJ$14='Cover Page'!$D61))</f>
        <v>13347.820916709357</v>
      </c>
      <c r="X61" s="742"/>
    </row>
    <row r="62" spans="4:24" outlineLevel="1" x14ac:dyDescent="0.25">
      <c r="D62" s="543">
        <v>19</v>
      </c>
      <c r="E62" s="497" t="str">
        <f t="shared" si="7"/>
        <v>triệu VND</v>
      </c>
      <c r="F62" s="454"/>
      <c r="H62" s="457" cm="1">
        <f t="array" ref="H62">SUMPRODUCT('W3'!$K$18:$AJ$1018*('W3'!$A$18:$A$1018=H$5)*('W3'!$D$18:$D$1018=$B$42)*('W3'!$K$14:$AJ$14='Cover Page'!$D62))</f>
        <v>16289.547736315768</v>
      </c>
      <c r="I62" s="457"/>
      <c r="K62" s="457" cm="1">
        <f t="array" ref="K62">SUMPRODUCT('W3'!$K$18:$AJ$1018*('W3'!$A$18:$A$1018=K$5)*('W3'!$D$18:$D$1018=$B$42)*('W3'!$K$14:$AJ$14='Cover Page'!$D62))</f>
        <v>17320.013315735348</v>
      </c>
      <c r="L62" s="733"/>
      <c r="N62" s="457" cm="1">
        <f t="array" ref="N62">SUMPRODUCT('W3'!$K$18:$AJ$1018*('W3'!$A$18:$A$1018=N$5)*('W3'!$D$18:$D$1018=$B$42)*('W3'!$K$14:$AJ$14='Cover Page'!$D62))</f>
        <v>15132.599116105992</v>
      </c>
      <c r="O62" s="733"/>
      <c r="Q62" s="457" cm="1">
        <f t="array" ref="Q62">SUMPRODUCT('W3'!$K$18:$AJ$1018*('W3'!$A$18:$A$1018=Q$5)*('W3'!$D$18:$D$1018=$B$42)*('W3'!$K$14:$AJ$14='Cover Page'!$D62))</f>
        <v>16489.588586964681</v>
      </c>
      <c r="R62" s="733"/>
      <c r="T62" s="457" cm="1">
        <f t="array" ref="T62">SUMPRODUCT('W3'!$K$18:$AJ$1018*('W3'!$A$18:$A$1018=T$5)*('W3'!$D$18:$D$1018=$B$42)*('W3'!$K$14:$AJ$14='Cover Page'!$D62))</f>
        <v>12239.827075637855</v>
      </c>
      <c r="U62" s="457"/>
      <c r="W62" s="457" cm="1">
        <f t="array" ref="W62">SUMPRODUCT('W3'!$K$18:$AJ$1018*('W3'!$A$18:$A$1018=W$5)*('W3'!$D$18:$D$1018=$B$42)*('W3'!$K$14:$AJ$14='Cover Page'!$D62))</f>
        <v>12059.521377837884</v>
      </c>
      <c r="X62" s="742"/>
    </row>
    <row r="63" spans="4:24" outlineLevel="1" x14ac:dyDescent="0.25">
      <c r="D63" s="543">
        <v>20</v>
      </c>
      <c r="E63" s="497" t="str">
        <f t="shared" si="7"/>
        <v>triệu VND</v>
      </c>
      <c r="F63" s="454"/>
      <c r="H63" s="457" cm="1">
        <f t="array" ref="H63">SUMPRODUCT('W3'!$K$18:$AJ$1018*('W3'!$A$18:$A$1018=H$5)*('W3'!$D$18:$D$1018=$B$42)*('W3'!$K$14:$AJ$14='Cover Page'!$D63))</f>
        <v>14958.497925732501</v>
      </c>
      <c r="I63" s="457"/>
      <c r="K63" s="457" cm="1">
        <f t="array" ref="K63">SUMPRODUCT('W3'!$K$18:$AJ$1018*('W3'!$A$18:$A$1018=K$5)*('W3'!$D$18:$D$1018=$B$42)*('W3'!$K$14:$AJ$14='Cover Page'!$D63))</f>
        <v>15829.580451849075</v>
      </c>
      <c r="L63" s="733"/>
      <c r="N63" s="457" cm="1">
        <f t="array" ref="N63">SUMPRODUCT('W3'!$K$18:$AJ$1018*('W3'!$A$18:$A$1018=N$5)*('W3'!$D$18:$D$1018=$B$42)*('W3'!$K$14:$AJ$14='Cover Page'!$D63))</f>
        <v>13760.892703947335</v>
      </c>
      <c r="O63" s="733"/>
      <c r="Q63" s="457" cm="1">
        <f t="array" ref="Q63">SUMPRODUCT('W3'!$K$18:$AJ$1018*('W3'!$A$18:$A$1018=Q$5)*('W3'!$D$18:$D$1018=$B$42)*('W3'!$K$14:$AJ$14='Cover Page'!$D63))</f>
        <v>15144.988379976085</v>
      </c>
      <c r="R63" s="733"/>
      <c r="T63" s="457" cm="1">
        <f t="array" ref="T63">SUMPRODUCT('W3'!$K$18:$AJ$1018*('W3'!$A$18:$A$1018=T$5)*('W3'!$D$18:$D$1018=$B$42)*('W3'!$K$14:$AJ$14='Cover Page'!$D63))</f>
        <v>11023.126756252974</v>
      </c>
      <c r="U63" s="457"/>
      <c r="W63" s="457" cm="1">
        <f t="array" ref="W63">SUMPRODUCT('W3'!$K$18:$AJ$1018*('W3'!$A$18:$A$1018=W$5)*('W3'!$D$18:$D$1018=$B$42)*('W3'!$K$14:$AJ$14='Cover Page'!$D63))</f>
        <v>10855.95103926523</v>
      </c>
      <c r="X63" s="742"/>
    </row>
    <row r="64" spans="4:24" outlineLevel="1" x14ac:dyDescent="0.25">
      <c r="D64" s="543">
        <v>21</v>
      </c>
      <c r="E64" s="497" t="str">
        <f t="shared" si="7"/>
        <v>triệu VND</v>
      </c>
      <c r="F64" s="454"/>
      <c r="H64" s="457" cm="1">
        <f t="array" ref="H64">SUMPRODUCT('W3'!$K$18:$AJ$1018*('W3'!$A$18:$A$1018=H$5)*('W3'!$D$18:$D$1018=$B$42)*('W3'!$K$14:$AJ$14='Cover Page'!$D64))</f>
        <v>13703.903264526534</v>
      </c>
      <c r="I64" s="457"/>
      <c r="K64" s="457" cm="1">
        <f t="array" ref="K64">SUMPRODUCT('W3'!$K$18:$AJ$1018*('W3'!$A$18:$A$1018=K$5)*('W3'!$D$18:$D$1018=$B$42)*('W3'!$K$14:$AJ$14='Cover Page'!$D64))</f>
        <v>14434.647799366872</v>
      </c>
      <c r="L64" s="733"/>
      <c r="N64" s="457" cm="1">
        <f t="array" ref="N64">SUMPRODUCT('W3'!$K$18:$AJ$1018*('W3'!$A$18:$A$1018=N$5)*('W3'!$D$18:$D$1018=$B$42)*('W3'!$K$14:$AJ$14='Cover Page'!$D64))</f>
        <v>12478.24237827933</v>
      </c>
      <c r="O64" s="733"/>
      <c r="Q64" s="457" cm="1">
        <f t="array" ref="Q64">SUMPRODUCT('W3'!$K$18:$AJ$1018*('W3'!$A$18:$A$1018=Q$5)*('W3'!$D$18:$D$1018=$B$42)*('W3'!$K$14:$AJ$14='Cover Page'!$D64))</f>
        <v>13877.761201098776</v>
      </c>
      <c r="R64" s="733"/>
      <c r="T64" s="457" cm="1">
        <f t="array" ref="T64">SUMPRODUCT('W3'!$K$18:$AJ$1018*('W3'!$A$18:$A$1018=T$5)*('W3'!$D$18:$D$1018=$B$42)*('W3'!$K$14:$AJ$14='Cover Page'!$D64))</f>
        <v>9887.1295905094976</v>
      </c>
      <c r="U64" s="457"/>
      <c r="W64" s="457" cm="1">
        <f t="array" ref="W64">SUMPRODUCT('W3'!$K$18:$AJ$1018*('W3'!$A$18:$A$1018=W$5)*('W3'!$D$18:$D$1018=$B$42)*('W3'!$K$14:$AJ$14='Cover Page'!$D64))</f>
        <v>9732.1277204001308</v>
      </c>
      <c r="X64" s="742"/>
    </row>
    <row r="65" spans="2:30" outlineLevel="1" x14ac:dyDescent="0.25">
      <c r="D65" s="543">
        <v>22</v>
      </c>
      <c r="E65" s="497" t="str">
        <f t="shared" si="7"/>
        <v>triệu VND</v>
      </c>
      <c r="F65" s="454"/>
      <c r="H65" s="457" cm="1">
        <f t="array" ref="H65">SUMPRODUCT('W3'!$K$18:$AJ$1018*('W3'!$A$18:$A$1018=H$5)*('W3'!$D$18:$D$1018=$B$42)*('W3'!$K$14:$AJ$14='Cover Page'!$D65))</f>
        <v>12521.783417962006</v>
      </c>
      <c r="I65" s="457"/>
      <c r="K65" s="457" cm="1">
        <f t="array" ref="K65">SUMPRODUCT('W3'!$K$18:$AJ$1018*('W3'!$A$18:$A$1018=K$5)*('W3'!$D$18:$D$1018=$B$42)*('W3'!$K$14:$AJ$14='Cover Page'!$D65))</f>
        <v>13129.642486745139</v>
      </c>
      <c r="L65" s="733"/>
      <c r="N65" s="457" cm="1">
        <f t="array" ref="N65">SUMPRODUCT('W3'!$K$18:$AJ$1018*('W3'!$A$18:$A$1018=N$5)*('W3'!$D$18:$D$1018=$B$42)*('W3'!$K$14:$AJ$14='Cover Page'!$D65))</f>
        <v>11279.425035830658</v>
      </c>
      <c r="O65" s="733"/>
      <c r="Q65" s="457" cm="1">
        <f t="array" ref="Q65">SUMPRODUCT('W3'!$K$18:$AJ$1018*('W3'!$A$18:$A$1018=Q$5)*('W3'!$D$18:$D$1018=$B$42)*('W3'!$K$14:$AJ$14='Cover Page'!$D65))</f>
        <v>12683.864540192948</v>
      </c>
      <c r="R65" s="733"/>
      <c r="T65" s="457" cm="1">
        <f t="array" ref="T65">SUMPRODUCT('W3'!$K$18:$AJ$1018*('W3'!$A$18:$A$1018=T$5)*('W3'!$D$18:$D$1018=$B$42)*('W3'!$K$14:$AJ$14='Cover Page'!$D65))</f>
        <v>8827.0637205200201</v>
      </c>
      <c r="U65" s="457"/>
      <c r="W65" s="457" cm="1">
        <f t="array" ref="W65">SUMPRODUCT('W3'!$K$18:$AJ$1018*('W3'!$A$18:$A$1018=W$5)*('W3'!$D$18:$D$1018=$B$42)*('W3'!$K$14:$AJ$14='Cover Page'!$D65))</f>
        <v>8683.3491896640789</v>
      </c>
      <c r="X65" s="742"/>
    </row>
    <row r="66" spans="2:30" outlineLevel="1" x14ac:dyDescent="0.25">
      <c r="D66" s="543">
        <v>23</v>
      </c>
      <c r="E66" s="497" t="str">
        <f t="shared" si="7"/>
        <v>triệu VND</v>
      </c>
      <c r="F66" s="454"/>
      <c r="H66" s="457" cm="1">
        <f t="array" ref="H66">SUMPRODUCT('W3'!$K$18:$AJ$1018*('W3'!$A$18:$A$1018=H$5)*('W3'!$D$18:$D$1018=$B$42)*('W3'!$K$14:$AJ$14='Cover Page'!$D66))</f>
        <v>11408.35772499602</v>
      </c>
      <c r="I66" s="457"/>
      <c r="K66" s="457" cm="1">
        <f t="array" ref="K66">SUMPRODUCT('W3'!$K$18:$AJ$1018*('W3'!$A$18:$A$1018=K$5)*('W3'!$D$18:$D$1018=$B$42)*('W3'!$K$14:$AJ$14='Cover Page'!$D66))</f>
        <v>11909.304641036204</v>
      </c>
      <c r="L66" s="733"/>
      <c r="N66" s="457" cm="1">
        <f t="array" ref="N66">SUMPRODUCT('W3'!$K$18:$AJ$1018*('W3'!$A$18:$A$1018=N$5)*('W3'!$D$18:$D$1018=$B$42)*('W3'!$K$14:$AJ$14='Cover Page'!$D66))</f>
        <v>10159.511587526114</v>
      </c>
      <c r="O66" s="733"/>
      <c r="Q66" s="457" cm="1">
        <f t="array" ref="Q66">SUMPRODUCT('W3'!$K$18:$AJ$1018*('W3'!$A$18:$A$1018=Q$5)*('W3'!$D$18:$D$1018=$B$42)*('W3'!$K$14:$AJ$14='Cover Page'!$D66))</f>
        <v>11559.459772458353</v>
      </c>
      <c r="R66" s="733"/>
      <c r="T66" s="457" cm="1">
        <f t="array" ref="T66">SUMPRODUCT('W3'!$K$18:$AJ$1018*('W3'!$A$18:$A$1018=T$5)*('W3'!$D$18:$D$1018=$B$42)*('W3'!$K$14:$AJ$14='Cover Page'!$D66))</f>
        <v>7838.4269052439549</v>
      </c>
      <c r="U66" s="457"/>
      <c r="W66" s="457" cm="1">
        <f t="array" ref="W66">SUMPRODUCT('W3'!$K$18:$AJ$1018*('W3'!$A$18:$A$1018=W$5)*('W3'!$D$18:$D$1018=$B$42)*('W3'!$K$14:$AJ$14='Cover Page'!$D66))</f>
        <v>7705.1777620912344</v>
      </c>
      <c r="X66" s="742"/>
    </row>
    <row r="67" spans="2:30" outlineLevel="1" x14ac:dyDescent="0.25">
      <c r="D67" s="543">
        <v>24</v>
      </c>
      <c r="E67" s="497" t="str">
        <f t="shared" si="7"/>
        <v>triệu VND</v>
      </c>
      <c r="F67" s="454"/>
      <c r="H67" s="457" cm="1">
        <f t="array" ref="H67">SUMPRODUCT('W3'!$K$18:$AJ$1018*('W3'!$A$18:$A$1018=H$5)*('W3'!$D$18:$D$1018=$B$42)*('W3'!$K$14:$AJ$14='Cover Page'!$D67))</f>
        <v>10360.035341223091</v>
      </c>
      <c r="I67" s="457"/>
      <c r="K67" s="457" cm="1">
        <f t="array" ref="K67">SUMPRODUCT('W3'!$K$18:$AJ$1018*('W3'!$A$18:$A$1018=K$5)*('W3'!$D$18:$D$1018=$B$42)*('W3'!$K$14:$AJ$14='Cover Page'!$D67))</f>
        <v>10768.670105203062</v>
      </c>
      <c r="L67" s="733"/>
      <c r="N67" s="457" cm="1">
        <f t="array" ref="N67">SUMPRODUCT('W3'!$K$18:$AJ$1018*('W3'!$A$18:$A$1018=N$5)*('W3'!$D$18:$D$1018=$B$42)*('W3'!$K$14:$AJ$14='Cover Page'!$D67))</f>
        <v>9113.8507062189728</v>
      </c>
      <c r="O67" s="733"/>
      <c r="Q67" s="457" cm="1">
        <f t="array" ref="Q67">SUMPRODUCT('W3'!$K$18:$AJ$1018*('W3'!$A$18:$A$1018=Q$5)*('W3'!$D$18:$D$1018=$B$42)*('W3'!$K$14:$AJ$14='Cover Page'!$D67))</f>
        <v>10500.902016089618</v>
      </c>
      <c r="R67" s="733"/>
      <c r="T67" s="457" cm="1">
        <f t="array" ref="T67">SUMPRODUCT('W3'!$K$18:$AJ$1018*('W3'!$A$18:$A$1018=T$5)*('W3'!$D$18:$D$1018=$B$42)*('W3'!$K$14:$AJ$14='Cover Page'!$D67))</f>
        <v>6916.9715871109674</v>
      </c>
      <c r="U67" s="457"/>
      <c r="W67" s="457" cm="1">
        <f t="array" ref="W67">SUMPRODUCT('W3'!$K$18:$AJ$1018*('W3'!$A$18:$A$1018=W$5)*('W3'!$D$18:$D$1018=$B$42)*('W3'!$K$14:$AJ$14='Cover Page'!$D67))</f>
        <v>6793.4257351697061</v>
      </c>
      <c r="X67" s="742"/>
    </row>
    <row r="68" spans="2:30" outlineLevel="1" x14ac:dyDescent="0.25">
      <c r="D68" s="543">
        <v>25</v>
      </c>
      <c r="E68" s="497" t="str">
        <f t="shared" si="7"/>
        <v>triệu VND</v>
      </c>
      <c r="F68" s="454"/>
      <c r="H68" s="457" cm="1">
        <f t="array" ref="H68">SUMPRODUCT('W3'!$K$18:$AJ$1018*('W3'!$A$18:$A$1018=H$5)*('W3'!$D$18:$D$1018=$B$42)*('W3'!$K$14:$AJ$14='Cover Page'!$D68))</f>
        <v>9373.4058644672732</v>
      </c>
      <c r="I68" s="457"/>
      <c r="K68" s="457" cm="1">
        <f t="array" ref="K68">SUMPRODUCT('W3'!$K$18:$AJ$1018*('W3'!$A$18:$A$1018=K$5)*('W3'!$D$18:$D$1018=$B$42)*('W3'!$K$14:$AJ$14='Cover Page'!$D68))</f>
        <v>9703.0541024098711</v>
      </c>
      <c r="L68" s="733"/>
      <c r="N68" s="457" cm="1">
        <f t="array" ref="N68">SUMPRODUCT('W3'!$K$18:$AJ$1018*('W3'!$A$18:$A$1018=N$5)*('W3'!$D$18:$D$1018=$B$42)*('W3'!$K$14:$AJ$14='Cover Page'!$D68))</f>
        <v>8138.0534654712847</v>
      </c>
      <c r="O68" s="733"/>
      <c r="Q68" s="457" cm="1">
        <f t="array" ref="Q68">SUMPRODUCT('W3'!$K$18:$AJ$1018*('W3'!$A$18:$A$1018=Q$5)*('W3'!$D$18:$D$1018=$B$42)*('W3'!$K$14:$AJ$14='Cover Page'!$D68))</f>
        <v>9504.7304919042272</v>
      </c>
      <c r="R68" s="733"/>
      <c r="T68" s="457" cm="1">
        <f t="array" ref="T68">SUMPRODUCT('W3'!$K$18:$AJ$1018*('W3'!$A$18:$A$1018=T$5)*('W3'!$D$18:$D$1018=$B$42)*('W3'!$K$14:$AJ$14='Cover Page'!$D68))</f>
        <v>6058.6907784527857</v>
      </c>
      <c r="U68" s="457"/>
      <c r="W68" s="457" cm="1">
        <f t="array" ref="W68">SUMPRODUCT('W3'!$K$18:$AJ$1018*('W3'!$A$18:$A$1018=W$5)*('W3'!$D$18:$D$1018=$B$42)*('W3'!$K$14:$AJ$14='Cover Page'!$D68))</f>
        <v>5944.1416176045386</v>
      </c>
      <c r="X68" s="742"/>
    </row>
    <row r="70" spans="2:30" x14ac:dyDescent="0.25">
      <c r="I70" s="734" t="s">
        <v>724</v>
      </c>
      <c r="L70" s="734" t="s">
        <v>724</v>
      </c>
      <c r="O70" s="734" t="s">
        <v>724</v>
      </c>
      <c r="R70" s="734" t="s">
        <v>724</v>
      </c>
      <c r="U70" s="734" t="s">
        <v>724</v>
      </c>
      <c r="X70" s="734" t="s">
        <v>724</v>
      </c>
    </row>
    <row r="71" spans="2:30" ht="15.75" thickBot="1" x14ac:dyDescent="0.3">
      <c r="B71" t="s">
        <v>488</v>
      </c>
      <c r="C71" s="20">
        <v>15</v>
      </c>
      <c r="D71" s="339" t="s">
        <v>488</v>
      </c>
      <c r="E71" s="342" t="str">
        <f t="shared" ref="E71:E123" si="9">IF(Currency="USD","USD","triệu VND")</f>
        <v>triệu VND</v>
      </c>
      <c r="F71" s="340"/>
      <c r="H71" s="341">
        <f>SUM(H72:H96)</f>
        <v>1029205.8813190861</v>
      </c>
      <c r="I71" s="735">
        <f>IFERROR(H71/H98,0)</f>
        <v>0.11738387151969612</v>
      </c>
      <c r="K71" s="341">
        <f>SUM(K72:K96)</f>
        <v>914820.16555138177</v>
      </c>
      <c r="L71" s="735">
        <f>IFERROR(K71/K98,0)</f>
        <v>9.6072769918777529E-2</v>
      </c>
      <c r="N71" s="341">
        <f t="shared" ref="N71:W71" si="10">SUM(N72:N96)</f>
        <v>713675.03852303524</v>
      </c>
      <c r="O71" s="735">
        <f>IFERROR(N71/N98,0)</f>
        <v>7.6981558532708258E-2</v>
      </c>
      <c r="Q71" s="341">
        <f t="shared" si="10"/>
        <v>785179.14008167875</v>
      </c>
      <c r="R71" s="735">
        <f>IFERROR(Q71/Q98,0)</f>
        <v>8.9551924422707888E-2</v>
      </c>
      <c r="T71" s="341">
        <f t="shared" si="10"/>
        <v>485708.60156893026</v>
      </c>
      <c r="U71" s="735">
        <f>IFERROR(T71/T98,0)</f>
        <v>5.5396453826620083E-2</v>
      </c>
      <c r="W71" s="341">
        <f t="shared" si="10"/>
        <v>749077.83520987467</v>
      </c>
      <c r="X71" s="735">
        <f>IFERROR(W71/W98,0)</f>
        <v>8.5434467449634677E-2</v>
      </c>
      <c r="AC71" s="15"/>
      <c r="AD71" s="64"/>
    </row>
    <row r="72" spans="2:30" outlineLevel="1" x14ac:dyDescent="0.25">
      <c r="D72" s="539">
        <v>1</v>
      </c>
      <c r="E72" s="540" t="str">
        <f t="shared" si="9"/>
        <v>triệu VND</v>
      </c>
      <c r="F72" s="541"/>
      <c r="H72" s="542" cm="1">
        <f t="array" ref="H72">SUMPRODUCT('W3'!$K$18:$AJ$1018*('W3'!$A$18:$A$1018=H$5)*('W3'!$D$18:$D$1018=$B$71)*('W3'!$K$14:$AJ$14='Cover Page'!$D72))</f>
        <v>-10585.927709728085</v>
      </c>
      <c r="I72" s="736">
        <f>IFERROR(H72/H99,0)</f>
        <v>-7.5397647676655452E-2</v>
      </c>
      <c r="K72" s="542" cm="1">
        <f t="array" ref="K72">SUMPRODUCT('W3'!$K$18:$AJ$1018*('W3'!$A$18:$A$1018=K$5)*('W3'!$D$18:$D$1018=$B$71)*('W3'!$K$14:$AJ$14='Cover Page'!$D72))</f>
        <v>-24683.573610381434</v>
      </c>
      <c r="L72" s="736">
        <f>IFERROR(K72/K99,0)</f>
        <v>-0.16188079234337063</v>
      </c>
      <c r="N72" s="542" cm="1">
        <f t="array" ref="N72">SUMPRODUCT('W3'!$K$18:$AJ$1018*('W3'!$A$18:$A$1018=N$5)*('W3'!$D$18:$D$1018=$B$71)*('W3'!$K$14:$AJ$14='Cover Page'!$D72))</f>
        <v>-27904.544597901429</v>
      </c>
      <c r="O72" s="736">
        <f>IFERROR(N72/N99,0)</f>
        <v>-0.18796796265031876</v>
      </c>
      <c r="Q72" s="542" cm="1">
        <f t="array" ref="Q72">SUMPRODUCT('W3'!$K$18:$AJ$1018*('W3'!$A$18:$A$1018=Q$5)*('W3'!$D$18:$D$1018=$B$71)*('W3'!$K$14:$AJ$14='Cover Page'!$D72))</f>
        <v>-21707.527709728085</v>
      </c>
      <c r="R72" s="736">
        <f>IFERROR(Q72/Q99,0)</f>
        <v>-0.15461058974408531</v>
      </c>
      <c r="T72" s="542" cm="1">
        <f t="array" ref="T72">SUMPRODUCT('W3'!$K$18:$AJ$1018*('W3'!$A$18:$A$1018=T$5)*('W3'!$D$18:$D$1018=$B$71)*('W3'!$K$14:$AJ$14='Cover Page'!$D72))</f>
        <v>-29301.63979257087</v>
      </c>
      <c r="U72" s="736">
        <f>IFERROR(T72/T99,0)</f>
        <v>-0.20869920653229876</v>
      </c>
      <c r="W72" s="542" cm="1">
        <f t="array" ref="W72">SUMPRODUCT('W3'!$K$18:$AJ$1018*('W3'!$A$18:$A$1018=W$5)*('W3'!$D$18:$D$1018=$B$71)*('W3'!$K$14:$AJ$14='Cover Page'!$D72))</f>
        <v>-17340.039792570868</v>
      </c>
      <c r="X72" s="736">
        <f>IFERROR(W72/W99,0)</f>
        <v>-0.12350341385554638</v>
      </c>
      <c r="Z72" s="712" cm="1">
        <f t="array" ref="Z72:Z96">TRANSPOSE('W3'!L23:AJ23*'W3'!L24:AJ24)</f>
        <v>0.44</v>
      </c>
    </row>
    <row r="73" spans="2:30" outlineLevel="1" x14ac:dyDescent="0.25">
      <c r="D73" s="543">
        <v>2</v>
      </c>
      <c r="E73" s="497" t="str">
        <f t="shared" si="9"/>
        <v>triệu VND</v>
      </c>
      <c r="F73" s="454"/>
      <c r="H73" s="457" cm="1">
        <f t="array" ref="H73">SUMPRODUCT('W3'!$K$18:$AJ$1018*('W3'!$A$18:$A$1018=H$5)*('W3'!$D$18:$D$1018=$B$71)*('W3'!$K$14:$AJ$14='Cover Page'!$D73))</f>
        <v>7691.9534521648893</v>
      </c>
      <c r="I73" s="737">
        <f t="shared" ref="I73:I96" si="11">IFERROR(H73/H100,0)</f>
        <v>3.8365186406366707E-2</v>
      </c>
      <c r="K73" s="457" cm="1">
        <f t="array" ref="K73">SUMPRODUCT('W3'!$K$18:$AJ$1018*('W3'!$A$18:$A$1018=K$5)*('W3'!$D$18:$D$1018=$B$71)*('W3'!$K$14:$AJ$14='Cover Page'!$D73))</f>
        <v>-3531.3713451410181</v>
      </c>
      <c r="L73" s="737">
        <f t="shared" ref="L73:O96" si="12">IFERROR(K73/K100,0)</f>
        <v>-1.6218193098424479E-2</v>
      </c>
      <c r="N73" s="457" cm="1">
        <f t="array" ref="N73">SUMPRODUCT('W3'!$K$18:$AJ$1018*('W3'!$A$18:$A$1018=N$5)*('W3'!$D$18:$D$1018=$B$71)*('W3'!$K$14:$AJ$14='Cover Page'!$D73))</f>
        <v>-8130.9179153195819</v>
      </c>
      <c r="O73" s="737">
        <f t="shared" si="12"/>
        <v>-3.8354847848659931E-2</v>
      </c>
      <c r="Q73" s="457" cm="1">
        <f t="array" ref="Q73">SUMPRODUCT('W3'!$K$18:$AJ$1018*('W3'!$A$18:$A$1018=Q$5)*('W3'!$D$18:$D$1018=$B$71)*('W3'!$K$14:$AJ$14='Cover Page'!$D73))</f>
        <v>-3367.398495189776</v>
      </c>
      <c r="R73" s="737">
        <f t="shared" ref="R73" si="13">IFERROR(Q73/Q100,0)</f>
        <v>-1.6795586683654971E-2</v>
      </c>
      <c r="T73" s="457" cm="1">
        <f t="array" ref="T73">SUMPRODUCT('W3'!$K$18:$AJ$1018*('W3'!$A$18:$A$1018=T$5)*('W3'!$D$18:$D$1018=$B$71)*('W3'!$K$14:$AJ$14='Cover Page'!$D73))</f>
        <v>-11517.58167108465</v>
      </c>
      <c r="U73" s="737">
        <f t="shared" ref="U73:U96" si="14">IFERROR(T73/T100,0)</f>
        <v>-5.7446287280554238E-2</v>
      </c>
      <c r="W73" s="457" cm="1">
        <f t="array" ref="W73">SUMPRODUCT('W3'!$K$18:$AJ$1018*('W3'!$A$18:$A$1018=W$5)*('W3'!$D$18:$D$1018=$B$71)*('W3'!$K$14:$AJ$14='Cover Page'!$D73))</f>
        <v>384.6979765528813</v>
      </c>
      <c r="X73" s="737">
        <f t="shared" ref="X73:X96" si="15">IFERROR(W73/W100,0)</f>
        <v>1.9187596066964599E-3</v>
      </c>
      <c r="Z73" s="713">
        <v>0.61599999999999999</v>
      </c>
    </row>
    <row r="74" spans="2:30" outlineLevel="1" x14ac:dyDescent="0.25">
      <c r="D74" s="543">
        <v>3</v>
      </c>
      <c r="E74" s="497" t="str">
        <f t="shared" si="9"/>
        <v>triệu VND</v>
      </c>
      <c r="F74" s="454"/>
      <c r="H74" s="457" cm="1">
        <f t="array" ref="H74">SUMPRODUCT('W3'!$K$18:$AJ$1018*('W3'!$A$18:$A$1018=H$5)*('W3'!$D$18:$D$1018=$B$71)*('W3'!$K$14:$AJ$14='Cover Page'!$D74))</f>
        <v>32029.724787333424</v>
      </c>
      <c r="I74" s="737">
        <f t="shared" si="11"/>
        <v>0.1096356360536296</v>
      </c>
      <c r="K74" s="457" cm="1">
        <f t="array" ref="K74">SUMPRODUCT('W3'!$K$18:$AJ$1018*('W3'!$A$18:$A$1018=K$5)*('W3'!$D$18:$D$1018=$B$71)*('W3'!$K$14:$AJ$14='Cover Page'!$D74))</f>
        <v>24868.531182213363</v>
      </c>
      <c r="L74" s="737">
        <f t="shared" si="12"/>
        <v>7.8380328928022339E-2</v>
      </c>
      <c r="N74" s="457" cm="1">
        <f t="array" ref="N74">SUMPRODUCT('W3'!$K$18:$AJ$1018*('W3'!$A$18:$A$1018=N$5)*('W3'!$D$18:$D$1018=$B$71)*('W3'!$K$14:$AJ$14='Cover Page'!$D74))</f>
        <v>18166.334751381724</v>
      </c>
      <c r="O74" s="737">
        <f t="shared" si="12"/>
        <v>5.8809280825235684E-2</v>
      </c>
      <c r="Q74" s="457" cm="1">
        <f t="array" ref="Q74">SUMPRODUCT('W3'!$K$18:$AJ$1018*('W3'!$A$18:$A$1018=Q$5)*('W3'!$D$18:$D$1018=$B$71)*('W3'!$K$14:$AJ$14='Cover Page'!$D74))</f>
        <v>21036.978256309267</v>
      </c>
      <c r="R74" s="737">
        <f t="shared" ref="R74" si="16">IFERROR(Q74/Q101,0)</f>
        <v>7.2008189489312729E-2</v>
      </c>
      <c r="T74" s="457" cm="1">
        <f t="array" ref="T74">SUMPRODUCT('W3'!$K$18:$AJ$1018*('W3'!$A$18:$A$1018=T$5)*('W3'!$D$18:$D$1018=$B$71)*('W3'!$K$14:$AJ$14='Cover Page'!$D74))</f>
        <v>11815.728873296037</v>
      </c>
      <c r="U74" s="737">
        <f t="shared" si="14"/>
        <v>4.0444460858225673E-2</v>
      </c>
      <c r="W74" s="457" cm="1">
        <f t="array" ref="W74">SUMPRODUCT('W3'!$K$18:$AJ$1018*('W3'!$A$18:$A$1018=W$5)*('W3'!$D$18:$D$1018=$B$71)*('W3'!$K$14:$AJ$14='Cover Page'!$D74))</f>
        <v>23653.942540382082</v>
      </c>
      <c r="X74" s="737">
        <f t="shared" si="15"/>
        <v>8.0965885683050173E-2</v>
      </c>
      <c r="Z74" s="713">
        <v>0.88</v>
      </c>
    </row>
    <row r="75" spans="2:30" outlineLevel="1" x14ac:dyDescent="0.25">
      <c r="D75" s="543">
        <v>4</v>
      </c>
      <c r="E75" s="497" t="str">
        <f t="shared" si="9"/>
        <v>triệu VND</v>
      </c>
      <c r="F75" s="454"/>
      <c r="H75" s="457" cm="1">
        <f t="array" ref="H75">SUMPRODUCT('W3'!$K$18:$AJ$1018*('W3'!$A$18:$A$1018=H$5)*('W3'!$D$18:$D$1018=$B$71)*('W3'!$K$14:$AJ$14='Cover Page'!$D75))</f>
        <v>32476.392925746601</v>
      </c>
      <c r="I75" s="737">
        <f t="shared" si="11"/>
        <v>0.10898485454918215</v>
      </c>
      <c r="K75" s="457" cm="1">
        <f t="array" ref="K75">SUMPRODUCT('W3'!$K$18:$AJ$1018*('W3'!$A$18:$A$1018=K$5)*('W3'!$D$18:$D$1018=$B$71)*('W3'!$K$14:$AJ$14='Cover Page'!$D75))</f>
        <v>25458.671153134666</v>
      </c>
      <c r="L75" s="737">
        <f t="shared" si="12"/>
        <v>7.8666985085949007E-2</v>
      </c>
      <c r="N75" s="457" cm="1">
        <f t="array" ref="N75">SUMPRODUCT('W3'!$K$18:$AJ$1018*('W3'!$A$18:$A$1018=N$5)*('W3'!$D$18:$D$1018=$B$71)*('W3'!$K$14:$AJ$14='Cover Page'!$D75))</f>
        <v>18622.430793686352</v>
      </c>
      <c r="O75" s="737">
        <f t="shared" si="12"/>
        <v>5.910371138522004E-2</v>
      </c>
      <c r="Q75" s="457" cm="1">
        <f t="array" ref="Q75">SUMPRODUCT('W3'!$K$18:$AJ$1018*('W3'!$A$18:$A$1018=Q$5)*('W3'!$D$18:$D$1018=$B$71)*('W3'!$K$14:$AJ$14='Cover Page'!$D75))</f>
        <v>21554.914190196108</v>
      </c>
      <c r="R75" s="737">
        <f t="shared" ref="R75" si="17">IFERROR(Q75/Q102,0)</f>
        <v>7.2334362784983466E-2</v>
      </c>
      <c r="T75" s="457" cm="1">
        <f t="array" ref="T75">SUMPRODUCT('W3'!$K$18:$AJ$1018*('W3'!$A$18:$A$1018=T$5)*('W3'!$D$18:$D$1018=$B$71)*('W3'!$K$14:$AJ$14='Cover Page'!$D75))</f>
        <v>12081.825555909472</v>
      </c>
      <c r="U75" s="737">
        <f t="shared" si="14"/>
        <v>4.0544404174131826E-2</v>
      </c>
      <c r="W75" s="457" cm="1">
        <f t="array" ref="W75">SUMPRODUCT('W3'!$K$18:$AJ$1018*('W3'!$A$18:$A$1018=W$5)*('W3'!$D$18:$D$1018=$B$71)*('W3'!$K$14:$AJ$14='Cover Page'!$D75))</f>
        <v>23850.847963999957</v>
      </c>
      <c r="X75" s="737">
        <f t="shared" si="15"/>
        <v>8.0039098004952944E-2</v>
      </c>
      <c r="Z75" s="713">
        <v>0.88</v>
      </c>
    </row>
    <row r="76" spans="2:30" outlineLevel="1" x14ac:dyDescent="0.25">
      <c r="D76" s="543">
        <v>5</v>
      </c>
      <c r="E76" s="497" t="str">
        <f t="shared" si="9"/>
        <v>triệu VND</v>
      </c>
      <c r="F76" s="454"/>
      <c r="H76" s="457" cm="1">
        <f t="array" ref="H76">SUMPRODUCT('W3'!$K$18:$AJ$1018*('W3'!$A$18:$A$1018=H$5)*('W3'!$D$18:$D$1018=$B$71)*('W3'!$K$14:$AJ$14='Cover Page'!$D76))</f>
        <v>32889.414634134293</v>
      </c>
      <c r="I76" s="737">
        <f t="shared" si="11"/>
        <v>0.10820674520878157</v>
      </c>
      <c r="K76" s="457" cm="1">
        <f t="array" ref="K76">SUMPRODUCT('W3'!$K$18:$AJ$1018*('W3'!$A$18:$A$1018=K$5)*('W3'!$D$18:$D$1018=$B$71)*('W3'!$K$14:$AJ$14='Cover Page'!$D76))</f>
        <v>26016.978765477383</v>
      </c>
      <c r="L76" s="737">
        <f t="shared" si="12"/>
        <v>7.8815832192760671E-2</v>
      </c>
      <c r="N76" s="457" cm="1">
        <f t="array" ref="N76">SUMPRODUCT('W3'!$K$18:$AJ$1018*('W3'!$A$18:$A$1018=N$5)*('W3'!$D$18:$D$1018=$B$71)*('W3'!$K$14:$AJ$14='Cover Page'!$D76))</f>
        <v>19044.013598840127</v>
      </c>
      <c r="O76" s="737">
        <f t="shared" si="12"/>
        <v>5.9256595374622627E-2</v>
      </c>
      <c r="Q76" s="457" cm="1">
        <f t="array" ref="Q76">SUMPRODUCT('W3'!$K$18:$AJ$1018*('W3'!$A$18:$A$1018=Q$5)*('W3'!$D$18:$D$1018=$B$71)*('W3'!$K$14:$AJ$14='Cover Page'!$D76))</f>
        <v>22044.192439740571</v>
      </c>
      <c r="R76" s="737">
        <f t="shared" ref="R76" si="18">IFERROR(Q76/Q103,0)</f>
        <v>7.2525775882454929E-2</v>
      </c>
      <c r="T76" s="457" cm="1">
        <f t="array" ref="T76">SUMPRODUCT('W3'!$K$18:$AJ$1018*('W3'!$A$18:$A$1018=T$5)*('W3'!$D$18:$D$1018=$B$71)*('W3'!$K$14:$AJ$14='Cover Page'!$D76))</f>
        <v>12308.824047713495</v>
      </c>
      <c r="U76" s="737">
        <f t="shared" si="14"/>
        <v>4.0496244836426699E-2</v>
      </c>
      <c r="W76" s="457" cm="1">
        <f t="array" ref="W76">SUMPRODUCT('W3'!$K$18:$AJ$1018*('W3'!$A$18:$A$1018=W$5)*('W3'!$D$18:$D$1018=$B$71)*('W3'!$K$14:$AJ$14='Cover Page'!$D76))</f>
        <v>24003.119896088774</v>
      </c>
      <c r="X76" s="737">
        <f t="shared" si="15"/>
        <v>7.8970681226910783E-2</v>
      </c>
      <c r="Z76" s="713">
        <v>0.88</v>
      </c>
    </row>
    <row r="77" spans="2:30" outlineLevel="1" x14ac:dyDescent="0.25">
      <c r="D77" s="543">
        <v>6</v>
      </c>
      <c r="E77" s="497" t="str">
        <f t="shared" si="9"/>
        <v>triệu VND</v>
      </c>
      <c r="F77" s="454"/>
      <c r="H77" s="457" cm="1">
        <f t="array" ref="H77">SUMPRODUCT('W3'!$K$18:$AJ$1018*('W3'!$A$18:$A$1018=H$5)*('W3'!$D$18:$D$1018=$B$71)*('W3'!$K$14:$AJ$14='Cover Page'!$D77))</f>
        <v>33266.13088609129</v>
      </c>
      <c r="I77" s="737">
        <f t="shared" si="11"/>
        <v>0.10730014531243656</v>
      </c>
      <c r="K77" s="457" cm="1">
        <f t="array" ref="K77">SUMPRODUCT('W3'!$K$18:$AJ$1018*('W3'!$A$18:$A$1018=K$5)*('W3'!$D$18:$D$1018=$B$71)*('W3'!$K$14:$AJ$14='Cover Page'!$D77))</f>
        <v>26541.039481334716</v>
      </c>
      <c r="L77" s="737">
        <f t="shared" si="12"/>
        <v>7.8826883979727744E-2</v>
      </c>
      <c r="N77" s="457" cm="1">
        <f t="array" ref="N77">SUMPRODUCT('W3'!$K$18:$AJ$1018*('W3'!$A$18:$A$1018=N$5)*('W3'!$D$18:$D$1018=$B$71)*('W3'!$K$14:$AJ$14='Cover Page'!$D77))</f>
        <v>19428.615011364735</v>
      </c>
      <c r="O77" s="737">
        <f t="shared" si="12"/>
        <v>5.9267946897119464E-2</v>
      </c>
      <c r="Q77" s="457" cm="1">
        <f t="array" ref="Q77">SUMPRODUCT('W3'!$K$18:$AJ$1018*('W3'!$A$18:$A$1018=Q$5)*('W3'!$D$18:$D$1018=$B$71)*('W3'!$K$14:$AJ$14='Cover Page'!$D77))</f>
        <v>22502.503190735311</v>
      </c>
      <c r="R77" s="737">
        <f t="shared" ref="R77" si="19">IFERROR(Q77/Q104,0)</f>
        <v>7.2581986481300959E-2</v>
      </c>
      <c r="T77" s="457" cm="1">
        <f t="array" ref="T77">SUMPRODUCT('W3'!$K$18:$AJ$1018*('W3'!$A$18:$A$1018=T$5)*('W3'!$D$18:$D$1018=$B$71)*('W3'!$K$14:$AJ$14='Cover Page'!$D77))</f>
        <v>12494.107457591221</v>
      </c>
      <c r="U77" s="737">
        <f t="shared" si="14"/>
        <v>4.0299833796098423E-2</v>
      </c>
      <c r="W77" s="457" cm="1">
        <f t="array" ref="W77">SUMPRODUCT('W3'!$K$18:$AJ$1018*('W3'!$A$18:$A$1018=W$5)*('W3'!$D$18:$D$1018=$B$71)*('W3'!$K$14:$AJ$14='Cover Page'!$D77))</f>
        <v>24107.698621473974</v>
      </c>
      <c r="X77" s="737">
        <f t="shared" si="15"/>
        <v>7.7759555930627305E-2</v>
      </c>
      <c r="Z77" s="713">
        <v>0.88</v>
      </c>
    </row>
    <row r="78" spans="2:30" outlineLevel="1" x14ac:dyDescent="0.25">
      <c r="D78" s="543">
        <v>7</v>
      </c>
      <c r="E78" s="497" t="str">
        <f t="shared" si="9"/>
        <v>triệu VND</v>
      </c>
      <c r="F78" s="454"/>
      <c r="H78" s="457" cm="1">
        <f t="array" ref="H78">SUMPRODUCT('W3'!$K$18:$AJ$1018*('W3'!$A$18:$A$1018=H$5)*('W3'!$D$18:$D$1018=$B$71)*('W3'!$K$14:$AJ$14='Cover Page'!$D78))</f>
        <v>33603.740172222257</v>
      </c>
      <c r="I78" s="737">
        <f t="shared" si="11"/>
        <v>0.1062638299038859</v>
      </c>
      <c r="K78" s="457" cm="1">
        <f t="array" ref="K78">SUMPRODUCT('W3'!$K$18:$AJ$1018*('W3'!$A$18:$A$1018=K$5)*('W3'!$D$18:$D$1018=$B$71)*('W3'!$K$14:$AJ$14='Cover Page'!$D78))</f>
        <v>27028.333886878194</v>
      </c>
      <c r="L78" s="737">
        <f t="shared" si="12"/>
        <v>7.8700145396052912E-2</v>
      </c>
      <c r="N78" s="457" cm="1">
        <f t="array" ref="N78">SUMPRODUCT('W3'!$K$18:$AJ$1018*('W3'!$A$18:$A$1018=N$5)*('W3'!$D$18:$D$1018=$B$71)*('W3'!$K$14:$AJ$14='Cover Page'!$D78))</f>
        <v>19773.660927508819</v>
      </c>
      <c r="O78" s="737">
        <f t="shared" si="12"/>
        <v>5.9137771036140534E-2</v>
      </c>
      <c r="Q78" s="457" cm="1">
        <f t="array" ref="Q78">SUMPRODUCT('W3'!$K$18:$AJ$1018*('W3'!$A$18:$A$1018=Q$5)*('W3'!$D$18:$D$1018=$B$71)*('W3'!$K$14:$AJ$14='Cover Page'!$D78))</f>
        <v>22927.41859083674</v>
      </c>
      <c r="R78" s="737">
        <f t="shared" ref="R78" si="20">IFERROR(Q78/Q105,0)</f>
        <v>7.2502504089881722E-2</v>
      </c>
      <c r="T78" s="457" cm="1">
        <f t="array" ref="T78">SUMPRODUCT('W3'!$K$18:$AJ$1018*('W3'!$A$18:$A$1018=T$5)*('W3'!$D$18:$D$1018=$B$71)*('W3'!$K$14:$AJ$14='Cover Page'!$D78))</f>
        <v>12634.945696551773</v>
      </c>
      <c r="U78" s="737">
        <f t="shared" si="14"/>
        <v>3.9955008384842609E-2</v>
      </c>
      <c r="W78" s="457" cm="1">
        <f t="array" ref="W78">SUMPRODUCT('W3'!$K$18:$AJ$1018*('W3'!$A$18:$A$1018=W$5)*('W3'!$D$18:$D$1018=$B$71)*('W3'!$K$14:$AJ$14='Cover Page'!$D78))</f>
        <v>24161.375801182727</v>
      </c>
      <c r="X78" s="737">
        <f t="shared" si="15"/>
        <v>7.6404600060058003E-2</v>
      </c>
      <c r="Z78" s="713">
        <v>0.88</v>
      </c>
    </row>
    <row r="79" spans="2:30" outlineLevel="1" x14ac:dyDescent="0.25">
      <c r="D79" s="543">
        <v>8</v>
      </c>
      <c r="E79" s="497" t="str">
        <f t="shared" si="9"/>
        <v>triệu VND</v>
      </c>
      <c r="F79" s="454"/>
      <c r="H79" s="457" cm="1">
        <f t="array" ref="H79">SUMPRODUCT('W3'!$K$18:$AJ$1018*('W3'!$A$18:$A$1018=H$5)*('W3'!$D$18:$D$1018=$B$71)*('W3'!$K$14:$AJ$14='Cover Page'!$D79))</f>
        <v>33899.291885529317</v>
      </c>
      <c r="I79" s="737">
        <f t="shared" si="11"/>
        <v>0.10509651161740172</v>
      </c>
      <c r="K79" s="457" cm="1">
        <f t="array" ref="K79">SUMPRODUCT('W3'!$K$18:$AJ$1018*('W3'!$A$18:$A$1018=K$5)*('W3'!$D$18:$D$1018=$B$71)*('W3'!$K$14:$AJ$14='Cover Page'!$D79))</f>
        <v>27476.235350330688</v>
      </c>
      <c r="L79" s="737">
        <f t="shared" si="12"/>
        <v>7.8435616681159184E-2</v>
      </c>
      <c r="N79" s="457" cm="1">
        <f t="array" ref="N79">SUMPRODUCT('W3'!$K$18:$AJ$1018*('W3'!$A$18:$A$1018=N$5)*('W3'!$D$18:$D$1018=$B$71)*('W3'!$K$14:$AJ$14='Cover Page'!$D79))</f>
        <v>20076.468931773958</v>
      </c>
      <c r="O79" s="737">
        <f t="shared" si="12"/>
        <v>5.8866068037602338E-2</v>
      </c>
      <c r="Q79" s="457" cm="1">
        <f t="array" ref="Q79">SUMPRODUCT('W3'!$K$18:$AJ$1018*('W3'!$A$18:$A$1018=Q$5)*('W3'!$D$18:$D$1018=$B$71)*('W3'!$K$14:$AJ$14='Cover Page'!$D79))</f>
        <v>23316.387846092137</v>
      </c>
      <c r="R79" s="737">
        <f t="shared" ref="R79" si="21">IFERROR(Q79/Q106,0)</f>
        <v>7.228679095768091E-2</v>
      </c>
      <c r="T79" s="457" cm="1">
        <f t="array" ref="T79">SUMPRODUCT('W3'!$K$18:$AJ$1018*('W3'!$A$18:$A$1018=T$5)*('W3'!$D$18:$D$1018=$B$71)*('W3'!$K$14:$AJ$14='Cover Page'!$D79))</f>
        <v>12728.492641676172</v>
      </c>
      <c r="U79" s="737">
        <f t="shared" si="14"/>
        <v>3.9461596404583549E-2</v>
      </c>
      <c r="W79" s="457" cm="1">
        <f t="array" ref="W79">SUMPRODUCT('W3'!$K$18:$AJ$1018*('W3'!$A$18:$A$1018=W$5)*('W3'!$D$18:$D$1018=$B$71)*('W3'!$K$14:$AJ$14='Cover Page'!$D79))</f>
        <v>24160.788802315157</v>
      </c>
      <c r="X79" s="737">
        <f t="shared" si="15"/>
        <v>7.4904650799860098E-2</v>
      </c>
      <c r="Z79" s="713">
        <v>0.88</v>
      </c>
    </row>
    <row r="80" spans="2:30" outlineLevel="1" x14ac:dyDescent="0.25">
      <c r="D80" s="543">
        <v>9</v>
      </c>
      <c r="E80" s="497" t="str">
        <f t="shared" si="9"/>
        <v>triệu VND</v>
      </c>
      <c r="F80" s="454"/>
      <c r="H80" s="457" cm="1">
        <f t="array" ref="H80">SUMPRODUCT('W3'!$K$18:$AJ$1018*('W3'!$A$18:$A$1018=H$5)*('W3'!$D$18:$D$1018=$B$71)*('W3'!$K$14:$AJ$14='Cover Page'!$D80))</f>
        <v>34149.679435270744</v>
      </c>
      <c r="I80" s="737">
        <f t="shared" si="11"/>
        <v>0.10379684052128973</v>
      </c>
      <c r="K80" s="457" cm="1">
        <f t="array" ref="K80">SUMPRODUCT('W3'!$K$18:$AJ$1018*('W3'!$A$18:$A$1018=K$5)*('W3'!$D$18:$D$1018=$B$71)*('W3'!$K$14:$AJ$14='Cover Page'!$D80))</f>
        <v>27882.007827654248</v>
      </c>
      <c r="L80" s="737">
        <f t="shared" si="12"/>
        <v>7.8033297715985203E-2</v>
      </c>
      <c r="N80" s="457" cm="1">
        <f t="array" ref="N80">SUMPRODUCT('W3'!$K$18:$AJ$1018*('W3'!$A$18:$A$1018=N$5)*('W3'!$D$18:$D$1018=$B$71)*('W3'!$K$14:$AJ$14='Cover Page'!$D80))</f>
        <v>20334.246080726341</v>
      </c>
      <c r="O80" s="737">
        <f t="shared" si="12"/>
        <v>5.8452837779214208E-2</v>
      </c>
      <c r="Q80" s="457" cm="1">
        <f t="array" ref="Q80">SUMPRODUCT('W3'!$K$18:$AJ$1018*('W3'!$A$18:$A$1018=Q$5)*('W3'!$D$18:$D$1018=$B$71)*('W3'!$K$14:$AJ$14='Cover Page'!$D80))</f>
        <v>23666.732165718313</v>
      </c>
      <c r="R80" s="737">
        <f t="shared" ref="R80" si="22">IFERROR(Q80/Q107,0)</f>
        <v>7.1934263070357454E-2</v>
      </c>
      <c r="T80" s="457" cm="1">
        <f t="array" ref="T80">SUMPRODUCT('W3'!$K$18:$AJ$1018*('W3'!$A$18:$A$1018=T$5)*('W3'!$D$18:$D$1018=$B$71)*('W3'!$K$14:$AJ$14='Cover Page'!$D80))</f>
        <v>12771.783412408178</v>
      </c>
      <c r="U80" s="737">
        <f t="shared" si="14"/>
        <v>3.8819420502700104E-2</v>
      </c>
      <c r="W80" s="457" cm="1">
        <f t="array" ref="W80">SUMPRODUCT('W3'!$K$18:$AJ$1018*('W3'!$A$18:$A$1018=W$5)*('W3'!$D$18:$D$1018=$B$71)*('W3'!$K$14:$AJ$14='Cover Page'!$D80))</f>
        <v>24102.414913535773</v>
      </c>
      <c r="X80" s="737">
        <f t="shared" si="15"/>
        <v>7.3258506619372415E-2</v>
      </c>
      <c r="Z80" s="713">
        <v>0.88</v>
      </c>
    </row>
    <row r="81" spans="4:26" outlineLevel="1" x14ac:dyDescent="0.25">
      <c r="D81" s="543">
        <v>10</v>
      </c>
      <c r="E81" s="497" t="str">
        <f t="shared" si="9"/>
        <v>triệu VND</v>
      </c>
      <c r="F81" s="454"/>
      <c r="H81" s="457" cm="1">
        <f t="array" ref="H81">SUMPRODUCT('W3'!$K$18:$AJ$1018*('W3'!$A$18:$A$1018=H$5)*('W3'!$D$18:$D$1018=$B$71)*('W3'!$K$14:$AJ$14='Cover Page'!$D81))</f>
        <v>34351.633080330677</v>
      </c>
      <c r="I81" s="737">
        <f t="shared" si="11"/>
        <v>0.10236340398081602</v>
      </c>
      <c r="K81" s="457" cm="1">
        <f t="array" ref="K81">SUMPRODUCT('W3'!$K$18:$AJ$1018*('W3'!$A$18:$A$1018=K$5)*('W3'!$D$18:$D$1018=$B$71)*('W3'!$K$14:$AJ$14='Cover Page'!$D81))</f>
        <v>28242.803845174891</v>
      </c>
      <c r="L81" s="737">
        <f t="shared" si="12"/>
        <v>7.7493192672726766E-2</v>
      </c>
      <c r="N81" s="457" cm="1">
        <f t="array" ref="N81">SUMPRODUCT('W3'!$K$18:$AJ$1018*('W3'!$A$18:$A$1018=N$5)*('W3'!$D$18:$D$1018=$B$71)*('W3'!$K$14:$AJ$14='Cover Page'!$D81))</f>
        <v>20544.086863308494</v>
      </c>
      <c r="O81" s="737">
        <f t="shared" si="12"/>
        <v>5.7898084546326542E-2</v>
      </c>
      <c r="Q81" s="457" cm="1">
        <f t="array" ref="Q81">SUMPRODUCT('W3'!$K$18:$AJ$1018*('W3'!$A$18:$A$1018=Q$5)*('W3'!$D$18:$D$1018=$B$71)*('W3'!$K$14:$AJ$14='Cover Page'!$D81))</f>
        <v>23975.639554554877</v>
      </c>
      <c r="R81" s="737">
        <f t="shared" ref="R81" si="23">IFERROR(Q81/Q108,0)</f>
        <v>7.1444291212652528E-2</v>
      </c>
      <c r="T81" s="457" cm="1">
        <f t="array" ref="T81">SUMPRODUCT('W3'!$K$18:$AJ$1018*('W3'!$A$18:$A$1018=T$5)*('W3'!$D$18:$D$1018=$B$71)*('W3'!$K$14:$AJ$14='Cover Page'!$D81))</f>
        <v>12761.731785706617</v>
      </c>
      <c r="U81" s="737">
        <f t="shared" si="14"/>
        <v>3.8028302853033734E-2</v>
      </c>
      <c r="W81" s="457" cm="1">
        <f t="array" ref="W81">SUMPRODUCT('W3'!$K$18:$AJ$1018*('W3'!$A$18:$A$1018=W$5)*('W3'!$D$18:$D$1018=$B$71)*('W3'!$K$14:$AJ$14='Cover Page'!$D81))</f>
        <v>23982.565454561962</v>
      </c>
      <c r="X81" s="737">
        <f t="shared" si="15"/>
        <v>7.1464929494934423E-2</v>
      </c>
      <c r="Z81" s="713">
        <v>0.88</v>
      </c>
    </row>
    <row r="82" spans="4:26" outlineLevel="1" x14ac:dyDescent="0.25">
      <c r="D82" s="543">
        <v>11</v>
      </c>
      <c r="E82" s="497" t="str">
        <f t="shared" si="9"/>
        <v>triệu VND</v>
      </c>
      <c r="F82" s="454"/>
      <c r="H82" s="457" cm="1">
        <f t="array" ref="H82">SUMPRODUCT('W3'!$K$18:$AJ$1018*('W3'!$A$18:$A$1018=H$5)*('W3'!$D$18:$D$1018=$B$71)*('W3'!$K$14:$AJ$14='Cover Page'!$D82))</f>
        <v>34501.712473022053</v>
      </c>
      <c r="I82" s="737">
        <f t="shared" si="11"/>
        <v>0.1007947265434499</v>
      </c>
      <c r="K82" s="457" cm="1">
        <f t="array" ref="K82">SUMPRODUCT('W3'!$K$18:$AJ$1018*('W3'!$A$18:$A$1018=K$5)*('W3'!$D$18:$D$1018=$B$71)*('W3'!$K$14:$AJ$14='Cover Page'!$D82))</f>
        <v>28555.662691593592</v>
      </c>
      <c r="L82" s="737">
        <f t="shared" si="12"/>
        <v>7.6815314983675539E-2</v>
      </c>
      <c r="N82" s="457" cm="1">
        <f t="array" ref="N82">SUMPRODUCT('W3'!$K$18:$AJ$1018*('W3'!$A$18:$A$1018=N$5)*('W3'!$D$18:$D$1018=$B$71)*('W3'!$K$14:$AJ$14='Cover Page'!$D82))</f>
        <v>20702.971370089894</v>
      </c>
      <c r="O82" s="737">
        <f t="shared" si="12"/>
        <v>5.7201822135527831E-2</v>
      </c>
      <c r="Q82" s="457" cm="1">
        <f t="array" ref="Q82">SUMPRODUCT('W3'!$K$18:$AJ$1018*('W3'!$A$18:$A$1018=Q$5)*('W3'!$D$18:$D$1018=$B$71)*('W3'!$K$14:$AJ$14='Cover Page'!$D82))</f>
        <v>24240.159453087301</v>
      </c>
      <c r="R82" s="737">
        <f t="shared" ref="R82" si="24">IFERROR(Q82/Q109,0)</f>
        <v>7.0816202104577633E-2</v>
      </c>
      <c r="T82" s="457" cm="1">
        <f t="array" ref="T82">SUMPRODUCT('W3'!$K$18:$AJ$1018*('W3'!$A$18:$A$1018=T$5)*('W3'!$D$18:$D$1018=$B$71)*('W3'!$K$14:$AJ$14='Cover Page'!$D82))</f>
        <v>12695.127779580653</v>
      </c>
      <c r="U82" s="737">
        <f t="shared" si="14"/>
        <v>3.7088070163982328E-2</v>
      </c>
      <c r="W82" s="457" cm="1">
        <f t="array" ref="W82">SUMPRODUCT('W3'!$K$18:$AJ$1018*('W3'!$A$18:$A$1018=W$5)*('W3'!$D$18:$D$1018=$B$71)*('W3'!$K$14:$AJ$14='Cover Page'!$D82))</f>
        <v>23797.379789581944</v>
      </c>
      <c r="X82" s="737">
        <f t="shared" si="15"/>
        <v>6.9522647324161427E-2</v>
      </c>
      <c r="Z82" s="713">
        <v>0.88</v>
      </c>
    </row>
    <row r="83" spans="4:26" outlineLevel="1" x14ac:dyDescent="0.25">
      <c r="D83" s="543">
        <v>12</v>
      </c>
      <c r="E83" s="497" t="str">
        <f t="shared" si="9"/>
        <v>triệu VND</v>
      </c>
      <c r="F83" s="454"/>
      <c r="H83" s="457" cm="1">
        <f t="array" ref="H83">SUMPRODUCT('W3'!$K$18:$AJ$1018*('W3'!$A$18:$A$1018=H$5)*('W3'!$D$18:$D$1018=$B$71)*('W3'!$K$14:$AJ$14='Cover Page'!$D83))</f>
        <v>34596.298904147559</v>
      </c>
      <c r="I83" s="737">
        <f t="shared" si="11"/>
        <v>9.9089269849491013E-2</v>
      </c>
      <c r="K83" s="457" cm="1">
        <f t="array" ref="K83">SUMPRODUCT('W3'!$K$18:$AJ$1018*('W3'!$A$18:$A$1018=K$5)*('W3'!$D$18:$D$1018=$B$71)*('W3'!$K$14:$AJ$14='Cover Page'!$D83))</f>
        <v>28817.508855349013</v>
      </c>
      <c r="L83" s="737">
        <f t="shared" si="12"/>
        <v>7.5999692651055564E-2</v>
      </c>
      <c r="N83" s="457" cm="1">
        <f t="array" ref="N83">SUMPRODUCT('W3'!$K$18:$AJ$1018*('W3'!$A$18:$A$1018=N$5)*('W3'!$D$18:$D$1018=$B$71)*('W3'!$K$14:$AJ$14='Cover Page'!$D83))</f>
        <v>20807.763707415201</v>
      </c>
      <c r="O83" s="737">
        <f t="shared" si="12"/>
        <v>5.6364079308490384E-2</v>
      </c>
      <c r="Q83" s="457" cm="1">
        <f t="array" ref="Q83">SUMPRODUCT('W3'!$K$18:$AJ$1018*('W3'!$A$18:$A$1018=Q$5)*('W3'!$D$18:$D$1018=$B$71)*('W3'!$K$14:$AJ$14='Cover Page'!$D83))</f>
        <v>24457.197225462693</v>
      </c>
      <c r="R83" s="737">
        <f t="shared" ref="R83" si="25">IFERROR(Q83/Q110,0)</f>
        <v>7.0049279616599736E-2</v>
      </c>
      <c r="T83" s="457" cm="1">
        <f t="array" ref="T83">SUMPRODUCT('W3'!$K$18:$AJ$1018*('W3'!$A$18:$A$1018=T$5)*('W3'!$D$18:$D$1018=$B$71)*('W3'!$K$14:$AJ$14='Cover Page'!$D83))</f>
        <v>12568.635437825649</v>
      </c>
      <c r="U83" s="737">
        <f t="shared" si="14"/>
        <v>3.5998559036304174E-2</v>
      </c>
      <c r="W83" s="457" cm="1">
        <f t="array" ref="W83">SUMPRODUCT('W3'!$K$18:$AJ$1018*('W3'!$A$18:$A$1018=W$5)*('W3'!$D$18:$D$1018=$B$71)*('W3'!$K$14:$AJ$14='Cover Page'!$D83))</f>
        <v>23542.819256264578</v>
      </c>
      <c r="X83" s="737">
        <f t="shared" si="15"/>
        <v>6.7430356546668707E-2</v>
      </c>
      <c r="Z83" s="713">
        <v>0.88</v>
      </c>
    </row>
    <row r="84" spans="4:26" outlineLevel="1" x14ac:dyDescent="0.25">
      <c r="D84" s="543">
        <v>13</v>
      </c>
      <c r="E84" s="497" t="str">
        <f t="shared" si="9"/>
        <v>triệu VND</v>
      </c>
      <c r="F84" s="454"/>
      <c r="H84" s="457" cm="1">
        <f t="array" ref="H84">SUMPRODUCT('W3'!$K$18:$AJ$1018*('W3'!$A$18:$A$1018=H$5)*('W3'!$D$18:$D$1018=$B$71)*('W3'!$K$14:$AJ$14='Cover Page'!$D84))</f>
        <v>55483.573373400002</v>
      </c>
      <c r="I84" s="737">
        <f t="shared" si="11"/>
        <v>0.15579777085866719</v>
      </c>
      <c r="K84" s="457" cm="1">
        <f t="array" ref="K84">SUMPRODUCT('W3'!$K$18:$AJ$1018*('W3'!$A$18:$A$1018=K$5)*('W3'!$D$18:$D$1018=$B$71)*('W3'!$K$14:$AJ$14='Cover Page'!$D84))</f>
        <v>52349.854747156525</v>
      </c>
      <c r="L84" s="737">
        <f t="shared" si="12"/>
        <v>0.13535388009850133</v>
      </c>
      <c r="N84" s="457" cm="1">
        <f t="array" ref="N84">SUMPRODUCT('W3'!$K$18:$AJ$1018*('W3'!$A$18:$A$1018=N$5)*('W3'!$D$18:$D$1018=$B$71)*('W3'!$K$14:$AJ$14='Cover Page'!$D84))</f>
        <v>44179.914696264037</v>
      </c>
      <c r="O84" s="737">
        <f t="shared" si="12"/>
        <v>0.11732801175624932</v>
      </c>
      <c r="Q84" s="457" cm="1">
        <f t="array" ref="Q84">SUMPRODUCT('W3'!$K$18:$AJ$1018*('W3'!$A$18:$A$1018=Q$5)*('W3'!$D$18:$D$1018=$B$71)*('W3'!$K$14:$AJ$14='Cover Page'!$D84))</f>
        <v>45475.494629852525</v>
      </c>
      <c r="R84" s="737">
        <f t="shared" ref="R84" si="26">IFERROR(Q84/Q111,0)</f>
        <v>0.12769510435719347</v>
      </c>
      <c r="T84" s="457" cm="1">
        <f t="array" ref="T84">SUMPRODUCT('W3'!$K$18:$AJ$1018*('W3'!$A$18:$A$1018=T$5)*('W3'!$D$18:$D$1018=$B$71)*('W3'!$K$14:$AJ$14='Cover Page'!$D84))</f>
        <v>34218.097519047049</v>
      </c>
      <c r="U84" s="737">
        <f t="shared" si="14"/>
        <v>9.6084354203614872E-2</v>
      </c>
      <c r="W84" s="457" cm="1">
        <f t="array" ref="W84">SUMPRODUCT('W3'!$K$18:$AJ$1018*('W3'!$A$18:$A$1018=W$5)*('W3'!$D$18:$D$1018=$B$71)*('W3'!$K$14:$AJ$14='Cover Page'!$D84))</f>
        <v>45053.967690598598</v>
      </c>
      <c r="X84" s="737">
        <f t="shared" si="15"/>
        <v>0.12651145749561402</v>
      </c>
      <c r="Z84" s="713">
        <v>0.88</v>
      </c>
    </row>
    <row r="85" spans="4:26" outlineLevel="1" x14ac:dyDescent="0.25">
      <c r="D85" s="543">
        <v>14</v>
      </c>
      <c r="E85" s="497" t="str">
        <f t="shared" si="9"/>
        <v>triệu VND</v>
      </c>
      <c r="F85" s="454"/>
      <c r="H85" s="457" cm="1">
        <f t="array" ref="H85">SUMPRODUCT('W3'!$K$18:$AJ$1018*('W3'!$A$18:$A$1018=H$5)*('W3'!$D$18:$D$1018=$B$71)*('W3'!$K$14:$AJ$14='Cover Page'!$D85))</f>
        <v>55455.563675792888</v>
      </c>
      <c r="I85" s="737">
        <f t="shared" si="11"/>
        <v>0.1526658036077172</v>
      </c>
      <c r="K85" s="457" cm="1">
        <f t="array" ref="K85">SUMPRODUCT('W3'!$K$18:$AJ$1018*('W3'!$A$18:$A$1018=K$5)*('W3'!$D$18:$D$1018=$B$71)*('W3'!$K$14:$AJ$14='Cover Page'!$D85))</f>
        <v>52499.983751751904</v>
      </c>
      <c r="L85" s="737">
        <f t="shared" si="12"/>
        <v>0.13308043940345662</v>
      </c>
      <c r="N85" s="457" cm="1">
        <f t="array" ref="N85">SUMPRODUCT('W3'!$K$18:$AJ$1018*('W3'!$A$18:$A$1018=N$5)*('W3'!$D$18:$D$1018=$B$71)*('W3'!$K$14:$AJ$14='Cover Page'!$D85))</f>
        <v>44166.644899841544</v>
      </c>
      <c r="O85" s="737">
        <f t="shared" si="12"/>
        <v>0.11499291307295233</v>
      </c>
      <c r="Q85" s="457" cm="1">
        <f t="array" ref="Q85">SUMPRODUCT('W3'!$K$18:$AJ$1018*('W3'!$A$18:$A$1018=Q$5)*('W3'!$D$18:$D$1018=$B$71)*('W3'!$K$14:$AJ$14='Cover Page'!$D85))</f>
        <v>45587.679472842443</v>
      </c>
      <c r="R85" s="737">
        <f t="shared" ref="R85" si="27">IFERROR(Q85/Q112,0)</f>
        <v>0.12550011685068346</v>
      </c>
      <c r="T85" s="457" cm="1">
        <f t="array" ref="T85">SUMPRODUCT('W3'!$K$18:$AJ$1018*('W3'!$A$18:$A$1018=T$5)*('W3'!$D$18:$D$1018=$B$71)*('W3'!$K$14:$AJ$14='Cover Page'!$D85))</f>
        <v>33961.307130335503</v>
      </c>
      <c r="U85" s="737">
        <f t="shared" si="14"/>
        <v>9.3493418891788693E-2</v>
      </c>
      <c r="W85" s="457" cm="1">
        <f t="array" ref="W85">SUMPRODUCT('W3'!$K$18:$AJ$1018*('W3'!$A$18:$A$1018=W$5)*('W3'!$D$18:$D$1018=$B$71)*('W3'!$K$14:$AJ$14='Cover Page'!$D85))</f>
        <v>44647.798563248711</v>
      </c>
      <c r="X85" s="737">
        <f t="shared" si="15"/>
        <v>0.12291268170715948</v>
      </c>
      <c r="Z85" s="713">
        <v>0.88</v>
      </c>
    </row>
    <row r="86" spans="4:26" outlineLevel="1" x14ac:dyDescent="0.25">
      <c r="D86" s="543">
        <v>15</v>
      </c>
      <c r="E86" s="497" t="str">
        <f t="shared" si="9"/>
        <v>triệu VND</v>
      </c>
      <c r="F86" s="454"/>
      <c r="H86" s="457" cm="1">
        <f t="array" ref="H86">SUMPRODUCT('W3'!$K$18:$AJ$1018*('W3'!$A$18:$A$1018=H$5)*('W3'!$D$18:$D$1018=$B$71)*('W3'!$K$14:$AJ$14='Cover Page'!$D86))</f>
        <v>55360.052494787291</v>
      </c>
      <c r="I86" s="737">
        <f t="shared" si="11"/>
        <v>0.14941457560670368</v>
      </c>
      <c r="K86" s="457" cm="1">
        <f t="array" ref="K86">SUMPRODUCT('W3'!$K$18:$AJ$1018*('W3'!$A$18:$A$1018=K$5)*('W3'!$D$18:$D$1018=$B$71)*('W3'!$K$14:$AJ$14='Cover Page'!$D86))</f>
        <v>52589.173657469408</v>
      </c>
      <c r="L86" s="737">
        <f t="shared" si="12"/>
        <v>0.13069267047989147</v>
      </c>
      <c r="N86" s="457" cm="1">
        <f t="array" ref="N86">SUMPRODUCT('W3'!$K$18:$AJ$1018*('W3'!$A$18:$A$1018=N$5)*('W3'!$D$18:$D$1018=$B$71)*('W3'!$K$14:$AJ$14='Cover Page'!$D86))</f>
        <v>44089.168028520937</v>
      </c>
      <c r="O86" s="737">
        <f t="shared" si="12"/>
        <v>0.11254038546509042</v>
      </c>
      <c r="Q86" s="457" cm="1">
        <f t="array" ref="Q86">SUMPRODUCT('W3'!$K$18:$AJ$1018*('W3'!$A$18:$A$1018=Q$5)*('W3'!$D$18:$D$1018=$B$71)*('W3'!$K$14:$AJ$14='Cover Page'!$D86))</f>
        <v>45642.176450275634</v>
      </c>
      <c r="R86" s="737">
        <f t="shared" ref="R86" si="28">IFERROR(Q86/Q113,0)</f>
        <v>0.12318641541617675</v>
      </c>
      <c r="T86" s="457" cm="1">
        <f t="array" ref="T86">SUMPRODUCT('W3'!$K$18:$AJ$1018*('W3'!$A$18:$A$1018=T$5)*('W3'!$D$18:$D$1018=$B$71)*('W3'!$K$14:$AJ$14='Cover Page'!$D86))</f>
        <v>33633.846350266693</v>
      </c>
      <c r="U86" s="737">
        <f t="shared" si="14"/>
        <v>9.077641100357281E-2</v>
      </c>
      <c r="W86" s="457" cm="1">
        <f t="array" ref="W86">SUMPRODUCT('W3'!$K$18:$AJ$1018*('W3'!$A$18:$A$1018=W$5)*('W3'!$D$18:$D$1018=$B$71)*('W3'!$K$14:$AJ$14='Cover Page'!$D86))</f>
        <v>44159.008745450526</v>
      </c>
      <c r="X86" s="737">
        <f t="shared" si="15"/>
        <v>0.11918340488451443</v>
      </c>
      <c r="Z86" s="713">
        <v>0.88</v>
      </c>
    </row>
    <row r="87" spans="4:26" outlineLevel="1" x14ac:dyDescent="0.25">
      <c r="D87" s="543">
        <v>16</v>
      </c>
      <c r="E87" s="497" t="str">
        <f t="shared" si="9"/>
        <v>triệu VND</v>
      </c>
      <c r="F87" s="454"/>
      <c r="H87" s="457" cm="1">
        <f t="array" ref="H87">SUMPRODUCT('W3'!$K$18:$AJ$1018*('W3'!$A$18:$A$1018=H$5)*('W3'!$D$18:$D$1018=$B$71)*('W3'!$K$14:$AJ$14='Cover Page'!$D87))</f>
        <v>55192.623826109622</v>
      </c>
      <c r="I87" s="737">
        <f t="shared" si="11"/>
        <v>0.14604185519795151</v>
      </c>
      <c r="K87" s="457" cm="1">
        <f t="array" ref="K87">SUMPRODUCT('W3'!$K$18:$AJ$1018*('W3'!$A$18:$A$1018=K$5)*('W3'!$D$18:$D$1018=$B$71)*('W3'!$K$14:$AJ$14='Cover Page'!$D87))</f>
        <v>52613.880517300175</v>
      </c>
      <c r="L87" s="737">
        <f t="shared" si="12"/>
        <v>0.12819026573988671</v>
      </c>
      <c r="N87" s="457" cm="1">
        <f t="array" ref="N87">SUMPRODUCT('W3'!$K$18:$AJ$1018*('W3'!$A$18:$A$1018=N$5)*('W3'!$D$18:$D$1018=$B$71)*('W3'!$K$14:$AJ$14='Cover Page'!$D87))</f>
        <v>43943.874775772732</v>
      </c>
      <c r="O87" s="737">
        <f t="shared" si="12"/>
        <v>0.1099701130026516</v>
      </c>
      <c r="Q87" s="457" cm="1">
        <f t="array" ref="Q87">SUMPRODUCT('W3'!$K$18:$AJ$1018*('W3'!$A$18:$A$1018=Q$5)*('W3'!$D$18:$D$1018=$B$71)*('W3'!$K$14:$AJ$14='Cover Page'!$D87))</f>
        <v>45635.256511127489</v>
      </c>
      <c r="R87" s="737">
        <f t="shared" ref="R87" si="29">IFERROR(Q87/Q114,0)</f>
        <v>0.12075268507467926</v>
      </c>
      <c r="T87" s="457" cm="1">
        <f t="array" ref="T87">SUMPRODUCT('W3'!$K$18:$AJ$1018*('W3'!$A$18:$A$1018=T$5)*('W3'!$D$18:$D$1018=$B$71)*('W3'!$K$14:$AJ$14='Cover Page'!$D87))</f>
        <v>33231.85855727028</v>
      </c>
      <c r="U87" s="737">
        <f t="shared" si="14"/>
        <v>8.7932805852288173E-2</v>
      </c>
      <c r="W87" s="457" cm="1">
        <f t="array" ref="W87">SUMPRODUCT('W3'!$K$18:$AJ$1018*('W3'!$A$18:$A$1018=W$5)*('W3'!$D$18:$D$1018=$B$71)*('W3'!$K$14:$AJ$14='Cover Page'!$D87))</f>
        <v>43582.785591706313</v>
      </c>
      <c r="X87" s="737">
        <f t="shared" si="15"/>
        <v>0.11532176623022465</v>
      </c>
      <c r="Z87" s="713">
        <v>0.88</v>
      </c>
    </row>
    <row r="88" spans="4:26" outlineLevel="1" x14ac:dyDescent="0.25">
      <c r="D88" s="543">
        <v>17</v>
      </c>
      <c r="E88" s="497" t="str">
        <f t="shared" si="9"/>
        <v>triệu VND</v>
      </c>
      <c r="F88" s="454"/>
      <c r="H88" s="457" cm="1">
        <f t="array" ref="H88">SUMPRODUCT('W3'!$K$18:$AJ$1018*('W3'!$A$18:$A$1018=H$5)*('W3'!$D$18:$D$1018=$B$71)*('W3'!$K$14:$AJ$14='Cover Page'!$D88))</f>
        <v>54948.639722961889</v>
      </c>
      <c r="I88" s="737">
        <f t="shared" si="11"/>
        <v>0.14254535652651587</v>
      </c>
      <c r="K88" s="457" cm="1">
        <f t="array" ref="K88">SUMPRODUCT('W3'!$K$18:$AJ$1018*('W3'!$A$18:$A$1018=K$5)*('W3'!$D$18:$D$1018=$B$71)*('W3'!$K$14:$AJ$14='Cover Page'!$D88))</f>
        <v>52570.443000557367</v>
      </c>
      <c r="L88" s="737">
        <f t="shared" si="12"/>
        <v>0.12557297360985117</v>
      </c>
      <c r="N88" s="457" cm="1">
        <f t="array" ref="N88">SUMPRODUCT('W3'!$K$18:$AJ$1018*('W3'!$A$18:$A$1018=N$5)*('W3'!$D$18:$D$1018=$B$71)*('W3'!$K$14:$AJ$14='Cover Page'!$D88))</f>
        <v>43727.037144199247</v>
      </c>
      <c r="O88" s="737">
        <f t="shared" si="12"/>
        <v>0.10728183728911692</v>
      </c>
      <c r="Q88" s="457" cm="1">
        <f t="array" ref="Q88">SUMPRODUCT('W3'!$K$18:$AJ$1018*('W3'!$A$18:$A$1018=Q$5)*('W3'!$D$18:$D$1018=$B$71)*('W3'!$K$14:$AJ$14='Cover Page'!$D88))</f>
        <v>45563.016748576338</v>
      </c>
      <c r="R88" s="737">
        <f t="shared" ref="R88" si="30">IFERROR(Q88/Q115,0)</f>
        <v>0.11819758413665311</v>
      </c>
      <c r="T88" s="457" cm="1">
        <f t="array" ref="T88">SUMPRODUCT('W3'!$K$18:$AJ$1018*('W3'!$A$18:$A$1018=T$5)*('W3'!$D$18:$D$1018=$B$71)*('W3'!$K$14:$AJ$14='Cover Page'!$D88))</f>
        <v>32751.354517892749</v>
      </c>
      <c r="U88" s="737">
        <f t="shared" si="14"/>
        <v>8.4962130637211156E-2</v>
      </c>
      <c r="W88" s="457" cm="1">
        <f t="array" ref="W88">SUMPRODUCT('W3'!$K$18:$AJ$1018*('W3'!$A$18:$A$1018=W$5)*('W3'!$D$18:$D$1018=$B$71)*('W3'!$K$14:$AJ$14='Cover Page'!$D88))</f>
        <v>42914.10736272121</v>
      </c>
      <c r="X88" s="737">
        <f t="shared" si="15"/>
        <v>0.11132589932849642</v>
      </c>
      <c r="Z88" s="713">
        <v>0.88</v>
      </c>
    </row>
    <row r="89" spans="4:26" outlineLevel="1" x14ac:dyDescent="0.25">
      <c r="D89" s="543">
        <v>18</v>
      </c>
      <c r="E89" s="497" t="str">
        <f t="shared" si="9"/>
        <v>triệu VND</v>
      </c>
      <c r="F89" s="454"/>
      <c r="H89" s="457" cm="1">
        <f t="array" ref="H89">SUMPRODUCT('W3'!$K$18:$AJ$1018*('W3'!$A$18:$A$1018=H$5)*('W3'!$D$18:$D$1018=$B$71)*('W3'!$K$14:$AJ$14='Cover Page'!$D89))</f>
        <v>54623.230553388181</v>
      </c>
      <c r="I89" s="737">
        <f t="shared" si="11"/>
        <v>0.13892273950906656</v>
      </c>
      <c r="K89" s="457" cm="1">
        <f t="array" ref="K89">SUMPRODUCT('W3'!$K$18:$AJ$1018*('W3'!$A$18:$A$1018=K$5)*('W3'!$D$18:$D$1018=$B$71)*('W3'!$K$14:$AJ$14='Cover Page'!$D89))</f>
        <v>52455.083300245882</v>
      </c>
      <c r="L89" s="737">
        <f t="shared" si="12"/>
        <v>0.12284060625306582</v>
      </c>
      <c r="N89" s="457" cm="1">
        <f t="array" ref="N89">SUMPRODUCT('W3'!$K$18:$AJ$1018*('W3'!$A$18:$A$1018=N$5)*('W3'!$D$18:$D$1018=$B$71)*('W3'!$K$14:$AJ$14='Cover Page'!$D89))</f>
        <v>43434.809326760704</v>
      </c>
      <c r="O89" s="737">
        <f t="shared" si="12"/>
        <v>0.10447536539344816</v>
      </c>
      <c r="Q89" s="457" cm="1">
        <f t="array" ref="Q89">SUMPRODUCT('W3'!$K$18:$AJ$1018*('W3'!$A$18:$A$1018=Q$5)*('W3'!$D$18:$D$1018=$B$71)*('W3'!$K$14:$AJ$14='Cover Page'!$D89))</f>
        <v>45421.374023440992</v>
      </c>
      <c r="R89" s="737">
        <f t="shared" ref="R89" si="31">IFERROR(Q89/Q116,0)</f>
        <v>0.11551974586041713</v>
      </c>
      <c r="T89" s="457" cm="1">
        <f t="array" ref="T89">SUMPRODUCT('W3'!$K$18:$AJ$1018*('W3'!$A$18:$A$1018=T$5)*('W3'!$D$18:$D$1018=$B$71)*('W3'!$K$14:$AJ$14='Cover Page'!$D89))</f>
        <v>32188.212295084821</v>
      </c>
      <c r="U89" s="737">
        <f t="shared" si="14"/>
        <v>8.1863972281207953E-2</v>
      </c>
      <c r="W89" s="457" cm="1">
        <f t="array" ref="W89">SUMPRODUCT('W3'!$K$18:$AJ$1018*('W3'!$A$18:$A$1018=W$5)*('W3'!$D$18:$D$1018=$B$71)*('W3'!$K$14:$AJ$14='Cover Page'!$D89))</f>
        <v>42147.737015137078</v>
      </c>
      <c r="X89" s="737">
        <f t="shared" si="15"/>
        <v>0.107193936186686</v>
      </c>
      <c r="Z89" s="713">
        <v>0.88</v>
      </c>
    </row>
    <row r="90" spans="4:26" outlineLevel="1" x14ac:dyDescent="0.25">
      <c r="D90" s="543">
        <v>19</v>
      </c>
      <c r="E90" s="497" t="str">
        <f t="shared" si="9"/>
        <v>triệu VND</v>
      </c>
      <c r="F90" s="454"/>
      <c r="H90" s="457" cm="1">
        <f t="array" ref="H90">SUMPRODUCT('W3'!$K$18:$AJ$1018*('W3'!$A$18:$A$1018=H$5)*('W3'!$D$18:$D$1018=$B$71)*('W3'!$K$14:$AJ$14='Cover Page'!$D90))</f>
        <v>54211.284894015873</v>
      </c>
      <c r="I90" s="737">
        <f t="shared" si="11"/>
        <v>0.13517160985882681</v>
      </c>
      <c r="K90" s="457" cm="1">
        <f t="array" ref="K90">SUMPRODUCT('W3'!$K$18:$AJ$1018*('W3'!$A$18:$A$1018=K$5)*('W3'!$D$18:$D$1018=$B$71)*('W3'!$K$14:$AJ$14='Cover Page'!$D90))</f>
        <v>52263.908667755873</v>
      </c>
      <c r="L90" s="737">
        <f t="shared" si="12"/>
        <v>0.11999304783264456</v>
      </c>
      <c r="N90" s="457" cm="1">
        <f t="array" ref="N90">SUMPRODUCT('W3'!$K$18:$AJ$1018*('W3'!$A$18:$A$1018=N$5)*('W3'!$D$18:$D$1018=$B$71)*('W3'!$K$14:$AJ$14='Cover Page'!$D90))</f>
        <v>43063.2292148009</v>
      </c>
      <c r="O90" s="737">
        <f t="shared" si="12"/>
        <v>0.10155057833714602</v>
      </c>
      <c r="Q90" s="457" cm="1">
        <f t="array" ref="Q90">SUMPRODUCT('W3'!$K$18:$AJ$1018*('W3'!$A$18:$A$1018=Q$5)*('W3'!$D$18:$D$1018=$B$71)*('W3'!$K$14:$AJ$14='Cover Page'!$D90))</f>
        <v>45206.058459617663</v>
      </c>
      <c r="R90" s="737">
        <f t="shared" ref="R90" si="32">IFERROR(Q90/Q117,0)</f>
        <v>0.11271778024271242</v>
      </c>
      <c r="T90" s="457" cm="1">
        <f t="array" ref="T90">SUMPRODUCT('W3'!$K$18:$AJ$1018*('W3'!$A$18:$A$1018=T$5)*('W3'!$D$18:$D$1018=$B$71)*('W3'!$K$14:$AJ$14='Cover Page'!$D90))</f>
        <v>31538.177709442891</v>
      </c>
      <c r="U90" s="737">
        <f t="shared" si="14"/>
        <v>7.8637985824050127E-2</v>
      </c>
      <c r="W90" s="457" cm="1">
        <f t="array" ref="W90">SUMPRODUCT('W3'!$K$18:$AJ$1018*('W3'!$A$18:$A$1018=W$5)*('W3'!$D$18:$D$1018=$B$71)*('W3'!$K$14:$AJ$14='Cover Page'!$D90))</f>
        <v>41278.216054736869</v>
      </c>
      <c r="X90" s="737">
        <f t="shared" si="15"/>
        <v>0.10292401161727795</v>
      </c>
      <c r="Z90" s="713">
        <v>0.88</v>
      </c>
    </row>
    <row r="91" spans="4:26" outlineLevel="1" x14ac:dyDescent="0.25">
      <c r="D91" s="543">
        <v>20</v>
      </c>
      <c r="E91" s="497" t="str">
        <f t="shared" si="9"/>
        <v>triệu VND</v>
      </c>
      <c r="F91" s="454"/>
      <c r="H91" s="457" cm="1">
        <f t="array" ref="H91">SUMPRODUCT('W3'!$K$18:$AJ$1018*('W3'!$A$18:$A$1018=H$5)*('W3'!$D$18:$D$1018=$B$71)*('W3'!$K$14:$AJ$14='Cover Page'!$D91))</f>
        <v>53707.439051204783</v>
      </c>
      <c r="I91" s="737">
        <f t="shared" si="11"/>
        <v>0.1312895191713831</v>
      </c>
      <c r="K91" s="457" cm="1">
        <f t="array" ref="K91">SUMPRODUCT('W3'!$K$18:$AJ$1018*('W3'!$A$18:$A$1018=K$5)*('W3'!$D$18:$D$1018=$B$71)*('W3'!$K$14:$AJ$14='Cover Page'!$D91))</f>
        <v>51992.91365359645</v>
      </c>
      <c r="L91" s="737">
        <f t="shared" si="12"/>
        <v>0.11703026335009345</v>
      </c>
      <c r="N91" s="457" cm="1">
        <f t="array" ref="N91">SUMPRODUCT('W3'!$K$18:$AJ$1018*('W3'!$A$18:$A$1018=N$5)*('W3'!$D$18:$D$1018=$B$71)*('W3'!$K$14:$AJ$14='Cover Page'!$D91))</f>
        <v>42608.220611582372</v>
      </c>
      <c r="O91" s="737">
        <f t="shared" si="12"/>
        <v>9.8507440172522942E-2</v>
      </c>
      <c r="Q91" s="457" cm="1">
        <f t="array" ref="Q91">SUMPRODUCT('W3'!$K$18:$AJ$1018*('W3'!$A$18:$A$1018=Q$5)*('W3'!$D$18:$D$1018=$B$71)*('W3'!$K$14:$AJ$14='Cover Page'!$D91))</f>
        <v>44912.606819044056</v>
      </c>
      <c r="R91" s="737">
        <f t="shared" ref="R91" si="33">IFERROR(Q91/Q118,0)</f>
        <v>0.10979027595011351</v>
      </c>
      <c r="T91" s="457" cm="1">
        <f t="array" ref="T91">SUMPRODUCT('W3'!$K$18:$AJ$1018*('W3'!$A$18:$A$1018=T$5)*('W3'!$D$18:$D$1018=$B$71)*('W3'!$K$14:$AJ$14='Cover Page'!$D91))</f>
        <v>30796.865426340515</v>
      </c>
      <c r="U91" s="737">
        <f t="shared" si="14"/>
        <v>7.5283903407778241E-2</v>
      </c>
      <c r="W91" s="457" cm="1">
        <f t="array" ref="W91">SUMPRODUCT('W3'!$K$18:$AJ$1018*('W3'!$A$18:$A$1018=W$5)*('W3'!$D$18:$D$1018=$B$71)*('W3'!$K$14:$AJ$14='Cover Page'!$D91))</f>
        <v>40299.858486895595</v>
      </c>
      <c r="X91" s="737">
        <f t="shared" si="15"/>
        <v>9.8514267983898895E-2</v>
      </c>
      <c r="Z91" s="713">
        <v>0.88</v>
      </c>
    </row>
    <row r="92" spans="4:26" outlineLevel="1" x14ac:dyDescent="0.25">
      <c r="D92" s="543">
        <v>21</v>
      </c>
      <c r="E92" s="497" t="str">
        <f t="shared" si="9"/>
        <v>triệu VND</v>
      </c>
      <c r="F92" s="454"/>
      <c r="H92" s="457" cm="1">
        <f t="array" ref="H92">SUMPRODUCT('W3'!$K$18:$AJ$1018*('W3'!$A$18:$A$1018=H$5)*('W3'!$D$18:$D$1018=$B$71)*('W3'!$K$14:$AJ$14='Cover Page'!$D92))</f>
        <v>53106.066200852816</v>
      </c>
      <c r="I92" s="737">
        <f t="shared" si="11"/>
        <v>0.12727396507648703</v>
      </c>
      <c r="K92" s="457" cm="1">
        <f t="array" ref="K92">SUMPRODUCT('W3'!$K$18:$AJ$1018*('W3'!$A$18:$A$1018=K$5)*('W3'!$D$18:$D$1018=$B$71)*('W3'!$K$14:$AJ$14='Cover Page'!$D92))</f>
        <v>51637.983140628698</v>
      </c>
      <c r="L92" s="737">
        <f t="shared" si="12"/>
        <v>0.11395230809680797</v>
      </c>
      <c r="N92" s="457" cm="1">
        <f t="array" ref="N92">SUMPRODUCT('W3'!$K$18:$AJ$1018*('W3'!$A$18:$A$1018=N$5)*('W3'!$D$18:$D$1018=$B$71)*('W3'!$K$14:$AJ$14='Cover Page'!$D92))</f>
        <v>42065.596237774429</v>
      </c>
      <c r="O92" s="737">
        <f t="shared" si="12"/>
        <v>9.5346007690532392E-2</v>
      </c>
      <c r="Q92" s="457" cm="1">
        <f t="array" ref="Q92">SUMPRODUCT('W3'!$K$18:$AJ$1018*('W3'!$A$18:$A$1018=Q$5)*('W3'!$D$18:$D$1018=$B$71)*('W3'!$K$14:$AJ$14='Cover Page'!$D92))</f>
        <v>44536.355765086184</v>
      </c>
      <c r="R92" s="737">
        <f t="shared" ref="R92" si="34">IFERROR(Q92/Q119,0)</f>
        <v>0.10673580240045261</v>
      </c>
      <c r="T92" s="457" cm="1">
        <f t="array" ref="T92">SUMPRODUCT('W3'!$K$18:$AJ$1018*('W3'!$A$18:$A$1018=T$5)*('W3'!$D$18:$D$1018=$B$71)*('W3'!$K$14:$AJ$14='Cover Page'!$D92))</f>
        <v>29959.760749173678</v>
      </c>
      <c r="U92" s="737">
        <f t="shared" si="14"/>
        <v>7.1801543892720199E-2</v>
      </c>
      <c r="W92" s="457" cm="1">
        <f t="array" ref="W92">SUMPRODUCT('W3'!$K$18:$AJ$1018*('W3'!$A$18:$A$1018=W$5)*('W3'!$D$18:$D$1018=$B$71)*('W3'!$K$14:$AJ$14='Cover Page'!$D92))</f>
        <v>39206.744902210638</v>
      </c>
      <c r="X92" s="737">
        <f t="shared" si="15"/>
        <v>9.3962860336406537E-2</v>
      </c>
      <c r="Z92" s="713">
        <v>0.88</v>
      </c>
    </row>
    <row r="93" spans="4:26" outlineLevel="1" x14ac:dyDescent="0.25">
      <c r="D93" s="543">
        <v>22</v>
      </c>
      <c r="E93" s="497" t="str">
        <f t="shared" si="9"/>
        <v>triệu VND</v>
      </c>
      <c r="F93" s="454"/>
      <c r="H93" s="457" cm="1">
        <f t="array" ref="H93">SUMPRODUCT('W3'!$K$18:$AJ$1018*('W3'!$A$18:$A$1018=H$5)*('W3'!$D$18:$D$1018=$B$71)*('W3'!$K$14:$AJ$14='Cover Page'!$D93))</f>
        <v>52401.265138369941</v>
      </c>
      <c r="I93" s="737">
        <f t="shared" si="11"/>
        <v>0.1231223914612723</v>
      </c>
      <c r="K93" s="457" cm="1">
        <f t="array" ref="K93">SUMPRODUCT('W3'!$K$18:$AJ$1018*('W3'!$A$18:$A$1018=K$5)*('W3'!$D$18:$D$1018=$B$71)*('W3'!$K$14:$AJ$14='Cover Page'!$D93))</f>
        <v>51194.896264692165</v>
      </c>
      <c r="L93" s="737">
        <f t="shared" si="12"/>
        <v>0.11075933775813715</v>
      </c>
      <c r="N93" s="457" cm="1">
        <f t="array" ref="N93">SUMPRODUCT('W3'!$K$18:$AJ$1018*('W3'!$A$18:$A$1018=N$5)*('W3'!$D$18:$D$1018=$B$71)*('W3'!$K$14:$AJ$14='Cover Page'!$D93))</f>
        <v>41431.061623780755</v>
      </c>
      <c r="O93" s="737">
        <f t="shared" si="12"/>
        <v>9.2066440798865529E-2</v>
      </c>
      <c r="Q93" s="457" cm="1">
        <f t="array" ref="Q93">SUMPRODUCT('W3'!$K$18:$AJ$1018*('W3'!$A$18:$A$1018=Q$5)*('W3'!$D$18:$D$1018=$B$71)*('W3'!$K$14:$AJ$14='Cover Page'!$D93))</f>
        <v>44072.435024744977</v>
      </c>
      <c r="R93" s="737">
        <f t="shared" ref="R93" si="35">IFERROR(Q93/Q120,0)</f>
        <v>0.10355291200392831</v>
      </c>
      <c r="T93" s="457" cm="1">
        <f t="array" ref="T93">SUMPRODUCT('W3'!$K$18:$AJ$1018*('W3'!$A$18:$A$1018=T$5)*('W3'!$D$18:$D$1018=$B$71)*('W3'!$K$14:$AJ$14='Cover Page'!$D93))</f>
        <v>29022.222206884344</v>
      </c>
      <c r="U93" s="737">
        <f t="shared" si="14"/>
        <v>6.8190823145137511E-2</v>
      </c>
      <c r="W93" s="457" cm="1">
        <f t="array" ref="W93">SUMPRODUCT('W3'!$K$18:$AJ$1018*('W3'!$A$18:$A$1018=W$5)*('W3'!$D$18:$D$1018=$B$71)*('W3'!$K$14:$AJ$14='Cover Page'!$D93))</f>
        <v>37992.716739801785</v>
      </c>
      <c r="X93" s="737">
        <f t="shared" si="15"/>
        <v>8.9267961961664588E-2</v>
      </c>
      <c r="Z93" s="713">
        <v>0.88</v>
      </c>
    </row>
    <row r="94" spans="4:26" outlineLevel="1" x14ac:dyDescent="0.25">
      <c r="D94" s="543">
        <v>23</v>
      </c>
      <c r="E94" s="497" t="str">
        <f t="shared" si="9"/>
        <v>triệu VND</v>
      </c>
      <c r="F94" s="454"/>
      <c r="H94" s="457" cm="1">
        <f t="array" ref="H94">SUMPRODUCT('W3'!$K$18:$AJ$1018*('W3'!$A$18:$A$1018=H$5)*('W3'!$D$18:$D$1018=$B$71)*('W3'!$K$14:$AJ$14='Cover Page'!$D94))</f>
        <v>51586.8486306591</v>
      </c>
      <c r="I94" s="737">
        <f t="shared" si="11"/>
        <v>0.11883218877062897</v>
      </c>
      <c r="K94" s="457" cm="1">
        <f t="array" ref="K94">SUMPRODUCT('W3'!$K$18:$AJ$1018*('W3'!$A$18:$A$1018=K$5)*('W3'!$D$18:$D$1018=$B$71)*('W3'!$K$14:$AJ$14='Cover Page'!$D94))</f>
        <v>50659.331326692693</v>
      </c>
      <c r="L94" s="737">
        <f t="shared" si="12"/>
        <v>0.10745161921204519</v>
      </c>
      <c r="N94" s="457" cm="1">
        <f t="array" ref="N94">SUMPRODUCT('W3'!$K$18:$AJ$1018*('W3'!$A$18:$A$1018=N$5)*('W3'!$D$18:$D$1018=$B$71)*('W3'!$K$14:$AJ$14='Cover Page'!$D94))</f>
        <v>40700.219992963044</v>
      </c>
      <c r="O94" s="737">
        <f t="shared" si="12"/>
        <v>8.8669013613484546E-2</v>
      </c>
      <c r="Q94" s="457" cm="1">
        <f t="array" ref="Q94">SUMPRODUCT('W3'!$K$18:$AJ$1018*('W3'!$A$18:$A$1018=Q$5)*('W3'!$D$18:$D$1018=$B$71)*('W3'!$K$14:$AJ$14='Cover Page'!$D94))</f>
        <v>43515.760461725717</v>
      </c>
      <c r="R94" s="737">
        <f t="shared" ref="R94" si="36">IFERROR(Q94/Q121,0)</f>
        <v>0.1002401425740899</v>
      </c>
      <c r="T94" s="457" cm="1">
        <f t="array" ref="T94">SUMPRODUCT('W3'!$K$18:$AJ$1018*('W3'!$A$18:$A$1018=T$5)*('W3'!$D$18:$D$1018=$B$71)*('W3'!$K$14:$AJ$14='Cover Page'!$D94))</f>
        <v>27979.485032574183</v>
      </c>
      <c r="U94" s="737">
        <f t="shared" si="14"/>
        <v>6.4451765039972034E-2</v>
      </c>
      <c r="W94" s="457" cm="1">
        <f t="array" ref="W94">SUMPRODUCT('W3'!$K$18:$AJ$1018*('W3'!$A$18:$A$1018=W$5)*('W3'!$D$18:$D$1018=$B$71)*('W3'!$K$14:$AJ$14='Cover Page'!$D94))</f>
        <v>36651.370775762574</v>
      </c>
      <c r="X94" s="737">
        <f t="shared" si="15"/>
        <v>8.4427770378267541E-2</v>
      </c>
      <c r="Z94" s="713">
        <v>0.88</v>
      </c>
    </row>
    <row r="95" spans="4:26" outlineLevel="1" x14ac:dyDescent="0.25">
      <c r="D95" s="543">
        <v>24</v>
      </c>
      <c r="E95" s="497" t="str">
        <f t="shared" si="9"/>
        <v>triệu VND</v>
      </c>
      <c r="F95" s="454"/>
      <c r="H95" s="457" cm="1">
        <f t="array" ref="H95">SUMPRODUCT('W3'!$K$18:$AJ$1018*('W3'!$A$18:$A$1018=H$5)*('W3'!$D$18:$D$1018=$B$71)*('W3'!$K$14:$AJ$14='Cover Page'!$D95))</f>
        <v>50656.33136234121</v>
      </c>
      <c r="I95" s="737">
        <f t="shared" si="11"/>
        <v>0.11440069439082214</v>
      </c>
      <c r="K95" s="457" cm="1">
        <f t="array" ref="K95">SUMPRODUCT('W3'!$K$18:$AJ$1018*('W3'!$A$18:$A$1018=K$5)*('W3'!$D$18:$D$1018=$B$71)*('W3'!$K$14:$AJ$14='Cover Page'!$D95))</f>
        <v>50026.871810226563</v>
      </c>
      <c r="L95" s="737">
        <f t="shared" si="12"/>
        <v>0.10402954206698588</v>
      </c>
      <c r="N95" s="457" cm="1">
        <f t="array" ref="N95">SUMPRODUCT('W3'!$K$18:$AJ$1018*('W3'!$A$18:$A$1018=N$5)*('W3'!$D$18:$D$1018=$B$71)*('W3'!$K$14:$AJ$14='Cover Page'!$D95))</f>
        <v>39868.578249822283</v>
      </c>
      <c r="O95" s="737">
        <f t="shared" si="12"/>
        <v>8.5154126309414505E-2</v>
      </c>
      <c r="Q95" s="457" cm="1">
        <f t="array" ref="Q95">SUMPRODUCT('W3'!$K$18:$AJ$1018*('W3'!$A$18:$A$1018=Q$5)*('W3'!$D$18:$D$1018=$B$71)*('W3'!$K$14:$AJ$14='Cover Page'!$D95))</f>
        <v>42861.027074227808</v>
      </c>
      <c r="R95" s="737">
        <f t="shared" ref="R95" si="37">IFERROR(Q95/Q122,0)</f>
        <v>9.6796019919450971E-2</v>
      </c>
      <c r="T95" s="457" cm="1">
        <f t="array" ref="T95">SUMPRODUCT('W3'!$K$18:$AJ$1018*('W3'!$A$18:$A$1018=T$5)*('W3'!$D$18:$D$1018=$B$71)*('W3'!$K$14:$AJ$14='Cover Page'!$D95))</f>
        <v>26826.665639445186</v>
      </c>
      <c r="U95" s="737">
        <f t="shared" si="14"/>
        <v>6.0584513224826171E-2</v>
      </c>
      <c r="W95" s="457" cm="1">
        <f t="array" ref="W95">SUMPRODUCT('W3'!$K$18:$AJ$1018*('W3'!$A$18:$A$1018=W$5)*('W3'!$D$18:$D$1018=$B$71)*('W3'!$K$14:$AJ$14='Cover Page'!$D95))</f>
        <v>35176.05388972615</v>
      </c>
      <c r="X95" s="737">
        <f t="shared" si="15"/>
        <v>7.9440513805255256E-2</v>
      </c>
      <c r="Z95" s="713">
        <v>0.88</v>
      </c>
    </row>
    <row r="96" spans="4:26" outlineLevel="1" x14ac:dyDescent="0.25">
      <c r="D96" s="543">
        <v>25</v>
      </c>
      <c r="E96" s="497" t="str">
        <f t="shared" si="9"/>
        <v>triệu VND</v>
      </c>
      <c r="F96" s="454"/>
      <c r="H96" s="457" cm="1">
        <f t="array" ref="H96">SUMPRODUCT('W3'!$K$18:$AJ$1018*('W3'!$A$18:$A$1018=H$5)*('W3'!$D$18:$D$1018=$B$71)*('W3'!$K$14:$AJ$14='Cover Page'!$D96))</f>
        <v>49602.917468937441</v>
      </c>
      <c r="I96" s="737">
        <f t="shared" si="11"/>
        <v>0.10982519312280342</v>
      </c>
      <c r="K96" s="457" cm="1">
        <f t="array" ref="K96">SUMPRODUCT('W3'!$K$18:$AJ$1018*('W3'!$A$18:$A$1018=K$5)*('W3'!$D$18:$D$1018=$B$71)*('W3'!$K$14:$AJ$14='Cover Page'!$D96))</f>
        <v>49293.013629689864</v>
      </c>
      <c r="L96" s="737">
        <f t="shared" si="12"/>
        <v>0.10049363098631119</v>
      </c>
      <c r="N96" s="457" cm="1">
        <f t="array" ref="N96">SUMPRODUCT('W3'!$K$18:$AJ$1018*('W3'!$A$18:$A$1018=N$5)*('W3'!$D$18:$D$1018=$B$71)*('W3'!$K$14:$AJ$14='Cover Page'!$D96))</f>
        <v>38931.554198077647</v>
      </c>
      <c r="O96" s="737">
        <f t="shared" si="12"/>
        <v>8.1522317779403303E-2</v>
      </c>
      <c r="Q96" s="457" cm="1">
        <f t="array" ref="Q96">SUMPRODUCT('W3'!$K$18:$AJ$1018*('W3'!$A$18:$A$1018=Q$5)*('W3'!$D$18:$D$1018=$B$71)*('W3'!$K$14:$AJ$14='Cover Page'!$D96))</f>
        <v>42102.701933301432</v>
      </c>
      <c r="R96" s="737">
        <f t="shared" ref="R96" si="38">IFERROR(Q96/Q123,0)</f>
        <v>9.3219060627074635E-2</v>
      </c>
      <c r="T96" s="457" cm="1">
        <f t="array" ref="T96">SUMPRODUCT('W3'!$K$18:$AJ$1018*('W3'!$A$18:$A$1018=T$5)*('W3'!$D$18:$D$1018=$B$71)*('W3'!$K$14:$AJ$14='Cover Page'!$D96))</f>
        <v>25558.767210568582</v>
      </c>
      <c r="U96" s="737">
        <f t="shared" si="14"/>
        <v>5.6589343694134119E-2</v>
      </c>
      <c r="W96" s="457" cm="1">
        <f t="array" ref="W96">SUMPRODUCT('W3'!$K$18:$AJ$1018*('W3'!$A$18:$A$1018=W$5)*('W3'!$D$18:$D$1018=$B$71)*('W3'!$K$14:$AJ$14='Cover Page'!$D96))</f>
        <v>33559.858168509512</v>
      </c>
      <c r="X96" s="737">
        <f t="shared" si="15"/>
        <v>7.4304458136732296E-2</v>
      </c>
      <c r="Z96" s="713">
        <v>0.88</v>
      </c>
    </row>
    <row r="98" spans="2:30" ht="15.75" thickBot="1" x14ac:dyDescent="0.3">
      <c r="B98" t="s">
        <v>723</v>
      </c>
      <c r="C98" s="20">
        <v>16</v>
      </c>
      <c r="D98" s="339" t="s">
        <v>722</v>
      </c>
      <c r="E98" s="342" t="str">
        <f t="shared" si="9"/>
        <v>triệu VND</v>
      </c>
      <c r="F98" s="340"/>
      <c r="H98" s="341">
        <f>SUM(H99:H123)</f>
        <v>8767864.5114920512</v>
      </c>
      <c r="I98" s="344"/>
      <c r="K98" s="341">
        <f>SUM(K99:K123)</f>
        <v>9522158.7378483526</v>
      </c>
      <c r="L98" s="731"/>
      <c r="N98" s="341">
        <f t="shared" ref="N98:W98" si="39">SUM(N99:N123)</f>
        <v>9270727.3290629201</v>
      </c>
      <c r="O98" s="731"/>
      <c r="Q98" s="341">
        <f t="shared" si="39"/>
        <v>8767864.5114920512</v>
      </c>
      <c r="R98" s="731"/>
      <c r="T98" s="341">
        <f t="shared" si="39"/>
        <v>8767864.5114920512</v>
      </c>
      <c r="U98" s="341"/>
      <c r="W98" s="341">
        <f t="shared" si="39"/>
        <v>8767864.5114920512</v>
      </c>
      <c r="X98" s="341"/>
      <c r="AC98" s="15"/>
      <c r="AD98" s="64"/>
    </row>
    <row r="99" spans="2:30" hidden="1" outlineLevel="1" x14ac:dyDescent="0.25">
      <c r="D99" s="539">
        <v>1</v>
      </c>
      <c r="E99" s="540" t="str">
        <f t="shared" si="9"/>
        <v>triệu VND</v>
      </c>
      <c r="F99" s="541"/>
      <c r="H99" s="542" cm="1">
        <f t="array" ref="H99">SUMPRODUCT('W3'!$K$18:$AJ$1018*('W3'!$A$18:$A$1018=H$5)*('W3'!$D$18:$D$1018=$B$98)*('W3'!$K$14:$AJ$14='Cover Page'!$D99))</f>
        <v>140401.29945600001</v>
      </c>
      <c r="I99" s="742"/>
      <c r="K99" s="542" cm="1">
        <f t="array" ref="K99">SUMPRODUCT('W3'!$K$18:$AJ$1018*('W3'!$A$18:$A$1018=K$5)*('W3'!$D$18:$D$1018=$B$98)*('W3'!$K$14:$AJ$14='Cover Page'!$D99))</f>
        <v>152479.94065920002</v>
      </c>
      <c r="L99" s="732"/>
      <c r="N99" s="542" cm="1">
        <f t="array" ref="N99">SUMPRODUCT('W3'!$K$18:$AJ$1018*('W3'!$A$18:$A$1018=N$5)*('W3'!$D$18:$D$1018=$B$98)*('W3'!$K$14:$AJ$14='Cover Page'!$D99))</f>
        <v>148453.72692480002</v>
      </c>
      <c r="O99" s="732"/>
      <c r="Q99" s="542" cm="1">
        <f t="array" ref="Q99">SUMPRODUCT('W3'!$K$18:$AJ$1018*('W3'!$A$18:$A$1018=Q$5)*('W3'!$D$18:$D$1018=$B$98)*('W3'!$K$14:$AJ$14='Cover Page'!$D99))</f>
        <v>140401.29945600001</v>
      </c>
      <c r="R99" s="732"/>
      <c r="T99" s="542" cm="1">
        <f t="array" ref="T99">SUMPRODUCT('W3'!$K$18:$AJ$1018*('W3'!$A$18:$A$1018=T$5)*('W3'!$D$18:$D$1018=$B$98)*('W3'!$K$14:$AJ$14='Cover Page'!$D99))</f>
        <v>140401.29945600001</v>
      </c>
      <c r="U99" s="542"/>
      <c r="W99" s="542" cm="1">
        <f t="array" ref="W99">SUMPRODUCT('W3'!$K$18:$AJ$1018*('W3'!$A$18:$A$1018=W$5)*('W3'!$D$18:$D$1018=$B$98)*('W3'!$K$14:$AJ$14='Cover Page'!$D99))</f>
        <v>140401.29945600001</v>
      </c>
      <c r="X99" s="542"/>
      <c r="Z99" s="712"/>
    </row>
    <row r="100" spans="2:30" hidden="1" outlineLevel="1" x14ac:dyDescent="0.25">
      <c r="D100" s="543">
        <v>2</v>
      </c>
      <c r="E100" s="497" t="str">
        <f t="shared" si="9"/>
        <v>triệu VND</v>
      </c>
      <c r="F100" s="454"/>
      <c r="H100" s="457" cm="1">
        <f t="array" ref="H100">SUMPRODUCT('W3'!$K$18:$AJ$1018*('W3'!$A$18:$A$1018=H$5)*('W3'!$D$18:$D$1018=$B$98)*('W3'!$K$14:$AJ$14='Cover Page'!$D100))</f>
        <v>200493.05562316801</v>
      </c>
      <c r="I100" s="742"/>
      <c r="K100" s="457" cm="1">
        <f t="array" ref="K100">SUMPRODUCT('W3'!$K$18:$AJ$1018*('W3'!$A$18:$A$1018=K$5)*('W3'!$D$18:$D$1018=$B$98)*('W3'!$K$14:$AJ$14='Cover Page'!$D100))</f>
        <v>217741.35526133759</v>
      </c>
      <c r="L100" s="733"/>
      <c r="N100" s="457" cm="1">
        <f t="array" ref="N100">SUMPRODUCT('W3'!$K$18:$AJ$1018*('W3'!$A$18:$A$1018=N$5)*('W3'!$D$18:$D$1018=$B$98)*('W3'!$K$14:$AJ$14='Cover Page'!$D100))</f>
        <v>211991.92204861439</v>
      </c>
      <c r="O100" s="733"/>
      <c r="Q100" s="457" cm="1">
        <f t="array" ref="Q100">SUMPRODUCT('W3'!$K$18:$AJ$1018*('W3'!$A$18:$A$1018=Q$5)*('W3'!$D$18:$D$1018=$B$98)*('W3'!$K$14:$AJ$14='Cover Page'!$D100))</f>
        <v>200493.05562316801</v>
      </c>
      <c r="R100" s="733"/>
      <c r="T100" s="457" cm="1">
        <f t="array" ref="T100">SUMPRODUCT('W3'!$K$18:$AJ$1018*('W3'!$A$18:$A$1018=T$5)*('W3'!$D$18:$D$1018=$B$98)*('W3'!$K$14:$AJ$14='Cover Page'!$D100))</f>
        <v>200493.05562316801</v>
      </c>
      <c r="U100" s="457"/>
      <c r="W100" s="457" cm="1">
        <f t="array" ref="W100">SUMPRODUCT('W3'!$K$18:$AJ$1018*('W3'!$A$18:$A$1018=W$5)*('W3'!$D$18:$D$1018=$B$98)*('W3'!$K$14:$AJ$14='Cover Page'!$D100))</f>
        <v>200493.05562316801</v>
      </c>
      <c r="X100" s="457"/>
      <c r="Z100" s="713"/>
    </row>
    <row r="101" spans="2:30" hidden="1" outlineLevel="1" x14ac:dyDescent="0.25">
      <c r="D101" s="543">
        <v>3</v>
      </c>
      <c r="E101" s="497" t="str">
        <f t="shared" si="9"/>
        <v>triệu VND</v>
      </c>
      <c r="F101" s="454"/>
      <c r="H101" s="457" cm="1">
        <f t="array" ref="H101">SUMPRODUCT('W3'!$K$18:$AJ$1018*('W3'!$A$18:$A$1018=H$5)*('W3'!$D$18:$D$1018=$B$98)*('W3'!$K$14:$AJ$14='Cover Page'!$D101))</f>
        <v>292147.02390804479</v>
      </c>
      <c r="I101" s="742"/>
      <c r="K101" s="457" cm="1">
        <f t="array" ref="K101">SUMPRODUCT('W3'!$K$18:$AJ$1018*('W3'!$A$18:$A$1018=K$5)*('W3'!$D$18:$D$1018=$B$98)*('W3'!$K$14:$AJ$14='Cover Page'!$D101))</f>
        <v>317280.26052366343</v>
      </c>
      <c r="L101" s="733"/>
      <c r="N101" s="457" cm="1">
        <f t="array" ref="N101">SUMPRODUCT('W3'!$K$18:$AJ$1018*('W3'!$A$18:$A$1018=N$5)*('W3'!$D$18:$D$1018=$B$98)*('W3'!$K$14:$AJ$14='Cover Page'!$D101))</f>
        <v>308902.51498512388</v>
      </c>
      <c r="O101" s="733"/>
      <c r="Q101" s="457" cm="1">
        <f t="array" ref="Q101">SUMPRODUCT('W3'!$K$18:$AJ$1018*('W3'!$A$18:$A$1018=Q$5)*('W3'!$D$18:$D$1018=$B$98)*('W3'!$K$14:$AJ$14='Cover Page'!$D101))</f>
        <v>292147.02390804479</v>
      </c>
      <c r="R101" s="733"/>
      <c r="T101" s="457" cm="1">
        <f t="array" ref="T101">SUMPRODUCT('W3'!$K$18:$AJ$1018*('W3'!$A$18:$A$1018=T$5)*('W3'!$D$18:$D$1018=$B$98)*('W3'!$K$14:$AJ$14='Cover Page'!$D101))</f>
        <v>292147.02390804479</v>
      </c>
      <c r="U101" s="457"/>
      <c r="W101" s="457" cm="1">
        <f t="array" ref="W101">SUMPRODUCT('W3'!$K$18:$AJ$1018*('W3'!$A$18:$A$1018=W$5)*('W3'!$D$18:$D$1018=$B$98)*('W3'!$K$14:$AJ$14='Cover Page'!$D101))</f>
        <v>292147.02390804479</v>
      </c>
      <c r="X101" s="457"/>
      <c r="Z101" s="713"/>
    </row>
    <row r="102" spans="2:30" hidden="1" outlineLevel="1" x14ac:dyDescent="0.25">
      <c r="D102" s="543">
        <v>4</v>
      </c>
      <c r="E102" s="497" t="str">
        <f t="shared" si="9"/>
        <v>triệu VND</v>
      </c>
      <c r="F102" s="454"/>
      <c r="H102" s="457" cm="1">
        <f t="array" ref="H102">SUMPRODUCT('W3'!$K$18:$AJ$1018*('W3'!$A$18:$A$1018=H$5)*('W3'!$D$18:$D$1018=$B$98)*('W3'!$K$14:$AJ$14='Cover Page'!$D102))</f>
        <v>297989.96438620571</v>
      </c>
      <c r="I102" s="742"/>
      <c r="K102" s="457" cm="1">
        <f t="array" ref="K102">SUMPRODUCT('W3'!$K$18:$AJ$1018*('W3'!$A$18:$A$1018=K$5)*('W3'!$D$18:$D$1018=$B$98)*('W3'!$K$14:$AJ$14='Cover Page'!$D102))</f>
        <v>323625.86573413666</v>
      </c>
      <c r="L102" s="733"/>
      <c r="N102" s="457" cm="1">
        <f t="array" ref="N102">SUMPRODUCT('W3'!$K$18:$AJ$1018*('W3'!$A$18:$A$1018=N$5)*('W3'!$D$18:$D$1018=$B$98)*('W3'!$K$14:$AJ$14='Cover Page'!$D102))</f>
        <v>315080.56528482627</v>
      </c>
      <c r="O102" s="733"/>
      <c r="Q102" s="457" cm="1">
        <f t="array" ref="Q102">SUMPRODUCT('W3'!$K$18:$AJ$1018*('W3'!$A$18:$A$1018=Q$5)*('W3'!$D$18:$D$1018=$B$98)*('W3'!$K$14:$AJ$14='Cover Page'!$D102))</f>
        <v>297989.96438620571</v>
      </c>
      <c r="R102" s="733"/>
      <c r="T102" s="457" cm="1">
        <f t="array" ref="T102">SUMPRODUCT('W3'!$K$18:$AJ$1018*('W3'!$A$18:$A$1018=T$5)*('W3'!$D$18:$D$1018=$B$98)*('W3'!$K$14:$AJ$14='Cover Page'!$D102))</f>
        <v>297989.96438620571</v>
      </c>
      <c r="U102" s="457"/>
      <c r="W102" s="457" cm="1">
        <f t="array" ref="W102">SUMPRODUCT('W3'!$K$18:$AJ$1018*('W3'!$A$18:$A$1018=W$5)*('W3'!$D$18:$D$1018=$B$98)*('W3'!$K$14:$AJ$14='Cover Page'!$D102))</f>
        <v>297989.96438620571</v>
      </c>
      <c r="X102" s="457"/>
      <c r="Z102" s="713"/>
    </row>
    <row r="103" spans="2:30" hidden="1" outlineLevel="1" x14ac:dyDescent="0.25">
      <c r="D103" s="543">
        <v>5</v>
      </c>
      <c r="E103" s="497" t="str">
        <f t="shared" si="9"/>
        <v>triệu VND</v>
      </c>
      <c r="F103" s="454"/>
      <c r="H103" s="457" cm="1">
        <f t="array" ref="H103">SUMPRODUCT('W3'!$K$18:$AJ$1018*('W3'!$A$18:$A$1018=H$5)*('W3'!$D$18:$D$1018=$B$98)*('W3'!$K$14:$AJ$14='Cover Page'!$D103))</f>
        <v>303949.76367392979</v>
      </c>
      <c r="I103" s="742"/>
      <c r="K103" s="457" cm="1">
        <f t="array" ref="K103">SUMPRODUCT('W3'!$K$18:$AJ$1018*('W3'!$A$18:$A$1018=K$5)*('W3'!$D$18:$D$1018=$B$98)*('W3'!$K$14:$AJ$14='Cover Page'!$D103))</f>
        <v>330098.38304881938</v>
      </c>
      <c r="L103" s="733"/>
      <c r="N103" s="457" cm="1">
        <f t="array" ref="N103">SUMPRODUCT('W3'!$K$18:$AJ$1018*('W3'!$A$18:$A$1018=N$5)*('W3'!$D$18:$D$1018=$B$98)*('W3'!$K$14:$AJ$14='Cover Page'!$D103))</f>
        <v>321382.17659052281</v>
      </c>
      <c r="O103" s="733"/>
      <c r="Q103" s="457" cm="1">
        <f t="array" ref="Q103">SUMPRODUCT('W3'!$K$18:$AJ$1018*('W3'!$A$18:$A$1018=Q$5)*('W3'!$D$18:$D$1018=$B$98)*('W3'!$K$14:$AJ$14='Cover Page'!$D103))</f>
        <v>303949.76367392979</v>
      </c>
      <c r="R103" s="733"/>
      <c r="T103" s="457" cm="1">
        <f t="array" ref="T103">SUMPRODUCT('W3'!$K$18:$AJ$1018*('W3'!$A$18:$A$1018=T$5)*('W3'!$D$18:$D$1018=$B$98)*('W3'!$K$14:$AJ$14='Cover Page'!$D103))</f>
        <v>303949.76367392979</v>
      </c>
      <c r="U103" s="457"/>
      <c r="W103" s="457" cm="1">
        <f t="array" ref="W103">SUMPRODUCT('W3'!$K$18:$AJ$1018*('W3'!$A$18:$A$1018=W$5)*('W3'!$D$18:$D$1018=$B$98)*('W3'!$K$14:$AJ$14='Cover Page'!$D103))</f>
        <v>303949.76367392979</v>
      </c>
      <c r="X103" s="457"/>
      <c r="Z103" s="713"/>
    </row>
    <row r="104" spans="2:30" hidden="1" outlineLevel="1" x14ac:dyDescent="0.25">
      <c r="D104" s="543">
        <v>6</v>
      </c>
      <c r="E104" s="497" t="str">
        <f t="shared" si="9"/>
        <v>triệu VND</v>
      </c>
      <c r="F104" s="454"/>
      <c r="H104" s="457" cm="1">
        <f t="array" ref="H104">SUMPRODUCT('W3'!$K$18:$AJ$1018*('W3'!$A$18:$A$1018=H$5)*('W3'!$D$18:$D$1018=$B$98)*('W3'!$K$14:$AJ$14='Cover Page'!$D104))</f>
        <v>310028.75894740841</v>
      </c>
      <c r="I104" s="742"/>
      <c r="K104" s="457" cm="1">
        <f t="array" ref="K104">SUMPRODUCT('W3'!$K$18:$AJ$1018*('W3'!$A$18:$A$1018=K$5)*('W3'!$D$18:$D$1018=$B$98)*('W3'!$K$14:$AJ$14='Cover Page'!$D104))</f>
        <v>336700.35070979578</v>
      </c>
      <c r="L104" s="733"/>
      <c r="N104" s="457" cm="1">
        <f t="array" ref="N104">SUMPRODUCT('W3'!$K$18:$AJ$1018*('W3'!$A$18:$A$1018=N$5)*('W3'!$D$18:$D$1018=$B$98)*('W3'!$K$14:$AJ$14='Cover Page'!$D104))</f>
        <v>327809.8201223333</v>
      </c>
      <c r="O104" s="733"/>
      <c r="Q104" s="457" cm="1">
        <f t="array" ref="Q104">SUMPRODUCT('W3'!$K$18:$AJ$1018*('W3'!$A$18:$A$1018=Q$5)*('W3'!$D$18:$D$1018=$B$98)*('W3'!$K$14:$AJ$14='Cover Page'!$D104))</f>
        <v>310028.75894740841</v>
      </c>
      <c r="R104" s="733"/>
      <c r="T104" s="457" cm="1">
        <f t="array" ref="T104">SUMPRODUCT('W3'!$K$18:$AJ$1018*('W3'!$A$18:$A$1018=T$5)*('W3'!$D$18:$D$1018=$B$98)*('W3'!$K$14:$AJ$14='Cover Page'!$D104))</f>
        <v>310028.75894740841</v>
      </c>
      <c r="U104" s="457"/>
      <c r="W104" s="457" cm="1">
        <f t="array" ref="W104">SUMPRODUCT('W3'!$K$18:$AJ$1018*('W3'!$A$18:$A$1018=W$5)*('W3'!$D$18:$D$1018=$B$98)*('W3'!$K$14:$AJ$14='Cover Page'!$D104))</f>
        <v>310028.75894740841</v>
      </c>
      <c r="X104" s="457"/>
      <c r="Z104" s="713"/>
    </row>
    <row r="105" spans="2:30" hidden="1" outlineLevel="1" x14ac:dyDescent="0.25">
      <c r="D105" s="543">
        <v>7</v>
      </c>
      <c r="E105" s="497" t="str">
        <f t="shared" si="9"/>
        <v>triệu VND</v>
      </c>
      <c r="F105" s="454"/>
      <c r="H105" s="457" cm="1">
        <f t="array" ref="H105">SUMPRODUCT('W3'!$K$18:$AJ$1018*('W3'!$A$18:$A$1018=H$5)*('W3'!$D$18:$D$1018=$B$98)*('W3'!$K$14:$AJ$14='Cover Page'!$D105))</f>
        <v>316229.33412635658</v>
      </c>
      <c r="I105" s="742"/>
      <c r="K105" s="457" cm="1">
        <f t="array" ref="K105">SUMPRODUCT('W3'!$K$18:$AJ$1018*('W3'!$A$18:$A$1018=K$5)*('W3'!$D$18:$D$1018=$B$98)*('W3'!$K$14:$AJ$14='Cover Page'!$D105))</f>
        <v>343434.35772399168</v>
      </c>
      <c r="L105" s="733"/>
      <c r="N105" s="457" cm="1">
        <f t="array" ref="N105">SUMPRODUCT('W3'!$K$18:$AJ$1018*('W3'!$A$18:$A$1018=N$5)*('W3'!$D$18:$D$1018=$B$98)*('W3'!$K$14:$AJ$14='Cover Page'!$D105))</f>
        <v>334366.01652477996</v>
      </c>
      <c r="O105" s="733"/>
      <c r="Q105" s="457" cm="1">
        <f t="array" ref="Q105">SUMPRODUCT('W3'!$K$18:$AJ$1018*('W3'!$A$18:$A$1018=Q$5)*('W3'!$D$18:$D$1018=$B$98)*('W3'!$K$14:$AJ$14='Cover Page'!$D105))</f>
        <v>316229.33412635658</v>
      </c>
      <c r="R105" s="733"/>
      <c r="T105" s="457" cm="1">
        <f t="array" ref="T105">SUMPRODUCT('W3'!$K$18:$AJ$1018*('W3'!$A$18:$A$1018=T$5)*('W3'!$D$18:$D$1018=$B$98)*('W3'!$K$14:$AJ$14='Cover Page'!$D105))</f>
        <v>316229.33412635658</v>
      </c>
      <c r="U105" s="457"/>
      <c r="W105" s="457" cm="1">
        <f t="array" ref="W105">SUMPRODUCT('W3'!$K$18:$AJ$1018*('W3'!$A$18:$A$1018=W$5)*('W3'!$D$18:$D$1018=$B$98)*('W3'!$K$14:$AJ$14='Cover Page'!$D105))</f>
        <v>316229.33412635658</v>
      </c>
      <c r="X105" s="457"/>
      <c r="Z105" s="713"/>
    </row>
    <row r="106" spans="2:30" hidden="1" outlineLevel="1" x14ac:dyDescent="0.25">
      <c r="D106" s="543">
        <v>8</v>
      </c>
      <c r="E106" s="497" t="str">
        <f t="shared" si="9"/>
        <v>triệu VND</v>
      </c>
      <c r="F106" s="454"/>
      <c r="H106" s="457" cm="1">
        <f t="array" ref="H106">SUMPRODUCT('W3'!$K$18:$AJ$1018*('W3'!$A$18:$A$1018=H$5)*('W3'!$D$18:$D$1018=$B$98)*('W3'!$K$14:$AJ$14='Cover Page'!$D106))</f>
        <v>322553.92080888367</v>
      </c>
      <c r="I106" s="742"/>
      <c r="K106" s="457" cm="1">
        <f t="array" ref="K106">SUMPRODUCT('W3'!$K$18:$AJ$1018*('W3'!$A$18:$A$1018=K$5)*('W3'!$D$18:$D$1018=$B$98)*('W3'!$K$14:$AJ$14='Cover Page'!$D106))</f>
        <v>350303.04487847141</v>
      </c>
      <c r="L106" s="733"/>
      <c r="N106" s="457" cm="1">
        <f t="array" ref="N106">SUMPRODUCT('W3'!$K$18:$AJ$1018*('W3'!$A$18:$A$1018=N$5)*('W3'!$D$18:$D$1018=$B$98)*('W3'!$K$14:$AJ$14='Cover Page'!$D106))</f>
        <v>341053.3368552755</v>
      </c>
      <c r="O106" s="733"/>
      <c r="Q106" s="457" cm="1">
        <f t="array" ref="Q106">SUMPRODUCT('W3'!$K$18:$AJ$1018*('W3'!$A$18:$A$1018=Q$5)*('W3'!$D$18:$D$1018=$B$98)*('W3'!$K$14:$AJ$14='Cover Page'!$D106))</f>
        <v>322553.92080888367</v>
      </c>
      <c r="R106" s="733"/>
      <c r="T106" s="457" cm="1">
        <f t="array" ref="T106">SUMPRODUCT('W3'!$K$18:$AJ$1018*('W3'!$A$18:$A$1018=T$5)*('W3'!$D$18:$D$1018=$B$98)*('W3'!$K$14:$AJ$14='Cover Page'!$D106))</f>
        <v>322553.92080888367</v>
      </c>
      <c r="U106" s="457"/>
      <c r="W106" s="457" cm="1">
        <f t="array" ref="W106">SUMPRODUCT('W3'!$K$18:$AJ$1018*('W3'!$A$18:$A$1018=W$5)*('W3'!$D$18:$D$1018=$B$98)*('W3'!$K$14:$AJ$14='Cover Page'!$D106))</f>
        <v>322553.92080888367</v>
      </c>
      <c r="X106" s="457"/>
      <c r="Z106" s="713"/>
    </row>
    <row r="107" spans="2:30" hidden="1" outlineLevel="1" x14ac:dyDescent="0.25">
      <c r="D107" s="543">
        <v>9</v>
      </c>
      <c r="E107" s="497" t="str">
        <f t="shared" si="9"/>
        <v>triệu VND</v>
      </c>
      <c r="F107" s="454"/>
      <c r="H107" s="457" cm="1">
        <f t="array" ref="H107">SUMPRODUCT('W3'!$K$18:$AJ$1018*('W3'!$A$18:$A$1018=H$5)*('W3'!$D$18:$D$1018=$B$98)*('W3'!$K$14:$AJ$14='Cover Page'!$D107))</f>
        <v>329004.99922506133</v>
      </c>
      <c r="I107" s="742"/>
      <c r="K107" s="457" cm="1">
        <f t="array" ref="K107">SUMPRODUCT('W3'!$K$18:$AJ$1018*('W3'!$A$18:$A$1018=K$5)*('W3'!$D$18:$D$1018=$B$98)*('W3'!$K$14:$AJ$14='Cover Page'!$D107))</f>
        <v>357309.10577604093</v>
      </c>
      <c r="L107" s="733"/>
      <c r="N107" s="457" cm="1">
        <f t="array" ref="N107">SUMPRODUCT('W3'!$K$18:$AJ$1018*('W3'!$A$18:$A$1018=N$5)*('W3'!$D$18:$D$1018=$B$98)*('W3'!$K$14:$AJ$14='Cover Page'!$D107))</f>
        <v>347874.40359238104</v>
      </c>
      <c r="O107" s="733"/>
      <c r="Q107" s="457" cm="1">
        <f t="array" ref="Q107">SUMPRODUCT('W3'!$K$18:$AJ$1018*('W3'!$A$18:$A$1018=Q$5)*('W3'!$D$18:$D$1018=$B$98)*('W3'!$K$14:$AJ$14='Cover Page'!$D107))</f>
        <v>329004.99922506133</v>
      </c>
      <c r="R107" s="733"/>
      <c r="T107" s="457" cm="1">
        <f t="array" ref="T107">SUMPRODUCT('W3'!$K$18:$AJ$1018*('W3'!$A$18:$A$1018=T$5)*('W3'!$D$18:$D$1018=$B$98)*('W3'!$K$14:$AJ$14='Cover Page'!$D107))</f>
        <v>329004.99922506133</v>
      </c>
      <c r="U107" s="457"/>
      <c r="W107" s="457" cm="1">
        <f t="array" ref="W107">SUMPRODUCT('W3'!$K$18:$AJ$1018*('W3'!$A$18:$A$1018=W$5)*('W3'!$D$18:$D$1018=$B$98)*('W3'!$K$14:$AJ$14='Cover Page'!$D107))</f>
        <v>329004.99922506133</v>
      </c>
      <c r="X107" s="457"/>
      <c r="Z107" s="713"/>
    </row>
    <row r="108" spans="2:30" hidden="1" outlineLevel="1" x14ac:dyDescent="0.25">
      <c r="D108" s="543">
        <v>10</v>
      </c>
      <c r="E108" s="497" t="str">
        <f t="shared" si="9"/>
        <v>triệu VND</v>
      </c>
      <c r="F108" s="454"/>
      <c r="H108" s="457" cm="1">
        <f t="array" ref="H108">SUMPRODUCT('W3'!$K$18:$AJ$1018*('W3'!$A$18:$A$1018=H$5)*('W3'!$D$18:$D$1018=$B$98)*('W3'!$K$14:$AJ$14='Cover Page'!$D108))</f>
        <v>335585.09920956258</v>
      </c>
      <c r="I108" s="742"/>
      <c r="K108" s="457" cm="1">
        <f t="array" ref="K108">SUMPRODUCT('W3'!$K$18:$AJ$1018*('W3'!$A$18:$A$1018=K$5)*('W3'!$D$18:$D$1018=$B$98)*('W3'!$K$14:$AJ$14='Cover Page'!$D108))</f>
        <v>364455.28789156169</v>
      </c>
      <c r="L108" s="733"/>
      <c r="N108" s="457" cm="1">
        <f t="array" ref="N108">SUMPRODUCT('W3'!$K$18:$AJ$1018*('W3'!$A$18:$A$1018=N$5)*('W3'!$D$18:$D$1018=$B$98)*('W3'!$K$14:$AJ$14='Cover Page'!$D108))</f>
        <v>354831.89166422869</v>
      </c>
      <c r="O108" s="733"/>
      <c r="Q108" s="457" cm="1">
        <f t="array" ref="Q108">SUMPRODUCT('W3'!$K$18:$AJ$1018*('W3'!$A$18:$A$1018=Q$5)*('W3'!$D$18:$D$1018=$B$98)*('W3'!$K$14:$AJ$14='Cover Page'!$D108))</f>
        <v>335585.09920956258</v>
      </c>
      <c r="R108" s="733"/>
      <c r="T108" s="457" cm="1">
        <f t="array" ref="T108">SUMPRODUCT('W3'!$K$18:$AJ$1018*('W3'!$A$18:$A$1018=T$5)*('W3'!$D$18:$D$1018=$B$98)*('W3'!$K$14:$AJ$14='Cover Page'!$D108))</f>
        <v>335585.09920956258</v>
      </c>
      <c r="U108" s="457"/>
      <c r="W108" s="457" cm="1">
        <f t="array" ref="W108">SUMPRODUCT('W3'!$K$18:$AJ$1018*('W3'!$A$18:$A$1018=W$5)*('W3'!$D$18:$D$1018=$B$98)*('W3'!$K$14:$AJ$14='Cover Page'!$D108))</f>
        <v>335585.09920956258</v>
      </c>
      <c r="X108" s="457"/>
      <c r="Z108" s="713"/>
    </row>
    <row r="109" spans="2:30" hidden="1" outlineLevel="1" x14ac:dyDescent="0.25">
      <c r="D109" s="543">
        <v>11</v>
      </c>
      <c r="E109" s="497" t="str">
        <f t="shared" si="9"/>
        <v>triệu VND</v>
      </c>
      <c r="F109" s="454"/>
      <c r="H109" s="457" cm="1">
        <f t="array" ref="H109">SUMPRODUCT('W3'!$K$18:$AJ$1018*('W3'!$A$18:$A$1018=H$5)*('W3'!$D$18:$D$1018=$B$98)*('W3'!$K$14:$AJ$14='Cover Page'!$D109))</f>
        <v>342296.80119375384</v>
      </c>
      <c r="I109" s="742"/>
      <c r="K109" s="457" cm="1">
        <f t="array" ref="K109">SUMPRODUCT('W3'!$K$18:$AJ$1018*('W3'!$A$18:$A$1018=K$5)*('W3'!$D$18:$D$1018=$B$98)*('W3'!$K$14:$AJ$14='Cover Page'!$D109))</f>
        <v>371744.39364939294</v>
      </c>
      <c r="L109" s="733"/>
      <c r="N109" s="457" cm="1">
        <f t="array" ref="N109">SUMPRODUCT('W3'!$K$18:$AJ$1018*('W3'!$A$18:$A$1018=N$5)*('W3'!$D$18:$D$1018=$B$98)*('W3'!$K$14:$AJ$14='Cover Page'!$D109))</f>
        <v>361928.52949751331</v>
      </c>
      <c r="O109" s="733"/>
      <c r="Q109" s="457" cm="1">
        <f t="array" ref="Q109">SUMPRODUCT('W3'!$K$18:$AJ$1018*('W3'!$A$18:$A$1018=Q$5)*('W3'!$D$18:$D$1018=$B$98)*('W3'!$K$14:$AJ$14='Cover Page'!$D109))</f>
        <v>342296.80119375384</v>
      </c>
      <c r="R109" s="733"/>
      <c r="T109" s="457" cm="1">
        <f t="array" ref="T109">SUMPRODUCT('W3'!$K$18:$AJ$1018*('W3'!$A$18:$A$1018=T$5)*('W3'!$D$18:$D$1018=$B$98)*('W3'!$K$14:$AJ$14='Cover Page'!$D109))</f>
        <v>342296.80119375384</v>
      </c>
      <c r="U109" s="457"/>
      <c r="W109" s="457" cm="1">
        <f t="array" ref="W109">SUMPRODUCT('W3'!$K$18:$AJ$1018*('W3'!$A$18:$A$1018=W$5)*('W3'!$D$18:$D$1018=$B$98)*('W3'!$K$14:$AJ$14='Cover Page'!$D109))</f>
        <v>342296.80119375384</v>
      </c>
      <c r="X109" s="457"/>
      <c r="Z109" s="713"/>
    </row>
    <row r="110" spans="2:30" hidden="1" outlineLevel="1" x14ac:dyDescent="0.25">
      <c r="D110" s="543">
        <v>12</v>
      </c>
      <c r="E110" s="497" t="str">
        <f t="shared" si="9"/>
        <v>triệu VND</v>
      </c>
      <c r="F110" s="454"/>
      <c r="H110" s="457" cm="1">
        <f t="array" ref="H110">SUMPRODUCT('W3'!$K$18:$AJ$1018*('W3'!$A$18:$A$1018=H$5)*('W3'!$D$18:$D$1018=$B$98)*('W3'!$K$14:$AJ$14='Cover Page'!$D110))</f>
        <v>349142.73721762892</v>
      </c>
      <c r="I110" s="742"/>
      <c r="K110" s="457" cm="1">
        <f t="array" ref="K110">SUMPRODUCT('W3'!$K$18:$AJ$1018*('W3'!$A$18:$A$1018=K$5)*('W3'!$D$18:$D$1018=$B$98)*('W3'!$K$14:$AJ$14='Cover Page'!$D110))</f>
        <v>379179.28152238077</v>
      </c>
      <c r="L110" s="733"/>
      <c r="N110" s="457" cm="1">
        <f t="array" ref="N110">SUMPRODUCT('W3'!$K$18:$AJ$1018*('W3'!$A$18:$A$1018=N$5)*('W3'!$D$18:$D$1018=$B$98)*('W3'!$K$14:$AJ$14='Cover Page'!$D110))</f>
        <v>369167.10008746351</v>
      </c>
      <c r="O110" s="733"/>
      <c r="Q110" s="457" cm="1">
        <f t="array" ref="Q110">SUMPRODUCT('W3'!$K$18:$AJ$1018*('W3'!$A$18:$A$1018=Q$5)*('W3'!$D$18:$D$1018=$B$98)*('W3'!$K$14:$AJ$14='Cover Page'!$D110))</f>
        <v>349142.73721762892</v>
      </c>
      <c r="R110" s="733"/>
      <c r="T110" s="457" cm="1">
        <f t="array" ref="T110">SUMPRODUCT('W3'!$K$18:$AJ$1018*('W3'!$A$18:$A$1018=T$5)*('W3'!$D$18:$D$1018=$B$98)*('W3'!$K$14:$AJ$14='Cover Page'!$D110))</f>
        <v>349142.73721762892</v>
      </c>
      <c r="U110" s="457"/>
      <c r="W110" s="457" cm="1">
        <f t="array" ref="W110">SUMPRODUCT('W3'!$K$18:$AJ$1018*('W3'!$A$18:$A$1018=W$5)*('W3'!$D$18:$D$1018=$B$98)*('W3'!$K$14:$AJ$14='Cover Page'!$D110))</f>
        <v>349142.73721762892</v>
      </c>
      <c r="X110" s="457"/>
      <c r="Z110" s="713"/>
    </row>
    <row r="111" spans="2:30" hidden="1" outlineLevel="1" x14ac:dyDescent="0.25">
      <c r="D111" s="543">
        <v>13</v>
      </c>
      <c r="E111" s="497" t="str">
        <f t="shared" si="9"/>
        <v>triệu VND</v>
      </c>
      <c r="F111" s="454"/>
      <c r="H111" s="457" cm="1">
        <f t="array" ref="H111">SUMPRODUCT('W3'!$K$18:$AJ$1018*('W3'!$A$18:$A$1018=H$5)*('W3'!$D$18:$D$1018=$B$98)*('W3'!$K$14:$AJ$14='Cover Page'!$D111))</f>
        <v>356125.5919619815</v>
      </c>
      <c r="I111" s="742"/>
      <c r="K111" s="457" cm="1">
        <f t="array" ref="K111">SUMPRODUCT('W3'!$K$18:$AJ$1018*('W3'!$A$18:$A$1018=K$5)*('W3'!$D$18:$D$1018=$B$98)*('W3'!$K$14:$AJ$14='Cover Page'!$D111))</f>
        <v>386762.86715282837</v>
      </c>
      <c r="L111" s="733"/>
      <c r="N111" s="457" cm="1">
        <f t="array" ref="N111">SUMPRODUCT('W3'!$K$18:$AJ$1018*('W3'!$A$18:$A$1018=N$5)*('W3'!$D$18:$D$1018=$B$98)*('W3'!$K$14:$AJ$14='Cover Page'!$D111))</f>
        <v>376550.44208921277</v>
      </c>
      <c r="O111" s="733"/>
      <c r="Q111" s="457" cm="1">
        <f t="array" ref="Q111">SUMPRODUCT('W3'!$K$18:$AJ$1018*('W3'!$A$18:$A$1018=Q$5)*('W3'!$D$18:$D$1018=$B$98)*('W3'!$K$14:$AJ$14='Cover Page'!$D111))</f>
        <v>356125.5919619815</v>
      </c>
      <c r="R111" s="733"/>
      <c r="T111" s="457" cm="1">
        <f t="array" ref="T111">SUMPRODUCT('W3'!$K$18:$AJ$1018*('W3'!$A$18:$A$1018=T$5)*('W3'!$D$18:$D$1018=$B$98)*('W3'!$K$14:$AJ$14='Cover Page'!$D111))</f>
        <v>356125.5919619815</v>
      </c>
      <c r="U111" s="457"/>
      <c r="W111" s="457" cm="1">
        <f t="array" ref="W111">SUMPRODUCT('W3'!$K$18:$AJ$1018*('W3'!$A$18:$A$1018=W$5)*('W3'!$D$18:$D$1018=$B$98)*('W3'!$K$14:$AJ$14='Cover Page'!$D111))</f>
        <v>356125.5919619815</v>
      </c>
      <c r="X111" s="457"/>
      <c r="Z111" s="713"/>
    </row>
    <row r="112" spans="2:30" hidden="1" outlineLevel="1" x14ac:dyDescent="0.25">
      <c r="D112" s="543">
        <v>14</v>
      </c>
      <c r="E112" s="497" t="str">
        <f t="shared" si="9"/>
        <v>triệu VND</v>
      </c>
      <c r="F112" s="454"/>
      <c r="H112" s="457" cm="1">
        <f t="array" ref="H112">SUMPRODUCT('W3'!$K$18:$AJ$1018*('W3'!$A$18:$A$1018=H$5)*('W3'!$D$18:$D$1018=$B$98)*('W3'!$K$14:$AJ$14='Cover Page'!$D112))</f>
        <v>363248.10380122106</v>
      </c>
      <c r="I112" s="742"/>
      <c r="K112" s="457" cm="1">
        <f t="array" ref="K112">SUMPRODUCT('W3'!$K$18:$AJ$1018*('W3'!$A$18:$A$1018=K$5)*('W3'!$D$18:$D$1018=$B$98)*('W3'!$K$14:$AJ$14='Cover Page'!$D112))</f>
        <v>394498.12449588499</v>
      </c>
      <c r="L112" s="733"/>
      <c r="N112" s="457" cm="1">
        <f t="array" ref="N112">SUMPRODUCT('W3'!$K$18:$AJ$1018*('W3'!$A$18:$A$1018=N$5)*('W3'!$D$18:$D$1018=$B$98)*('W3'!$K$14:$AJ$14='Cover Page'!$D112))</f>
        <v>384081.45093099703</v>
      </c>
      <c r="O112" s="733"/>
      <c r="Q112" s="457" cm="1">
        <f t="array" ref="Q112">SUMPRODUCT('W3'!$K$18:$AJ$1018*('W3'!$A$18:$A$1018=Q$5)*('W3'!$D$18:$D$1018=$B$98)*('W3'!$K$14:$AJ$14='Cover Page'!$D112))</f>
        <v>363248.10380122106</v>
      </c>
      <c r="R112" s="733"/>
      <c r="T112" s="457" cm="1">
        <f t="array" ref="T112">SUMPRODUCT('W3'!$K$18:$AJ$1018*('W3'!$A$18:$A$1018=T$5)*('W3'!$D$18:$D$1018=$B$98)*('W3'!$K$14:$AJ$14='Cover Page'!$D112))</f>
        <v>363248.10380122106</v>
      </c>
      <c r="U112" s="457"/>
      <c r="W112" s="457" cm="1">
        <f t="array" ref="W112">SUMPRODUCT('W3'!$K$18:$AJ$1018*('W3'!$A$18:$A$1018=W$5)*('W3'!$D$18:$D$1018=$B$98)*('W3'!$K$14:$AJ$14='Cover Page'!$D112))</f>
        <v>363248.10380122106</v>
      </c>
      <c r="X112" s="457"/>
      <c r="Z112" s="713"/>
    </row>
    <row r="113" spans="4:26" hidden="1" outlineLevel="1" x14ac:dyDescent="0.25">
      <c r="D113" s="543">
        <v>15</v>
      </c>
      <c r="E113" s="497" t="str">
        <f t="shared" si="9"/>
        <v>triệu VND</v>
      </c>
      <c r="F113" s="454"/>
      <c r="H113" s="457" cm="1">
        <f t="array" ref="H113">SUMPRODUCT('W3'!$K$18:$AJ$1018*('W3'!$A$18:$A$1018=H$5)*('W3'!$D$18:$D$1018=$B$98)*('W3'!$K$14:$AJ$14='Cover Page'!$D113))</f>
        <v>370513.06587724556</v>
      </c>
      <c r="I113" s="742"/>
      <c r="K113" s="457" cm="1">
        <f t="array" ref="K113">SUMPRODUCT('W3'!$K$18:$AJ$1018*('W3'!$A$18:$A$1018=K$5)*('W3'!$D$18:$D$1018=$B$98)*('W3'!$K$14:$AJ$14='Cover Page'!$D113))</f>
        <v>402388.08698580263</v>
      </c>
      <c r="L113" s="733"/>
      <c r="N113" s="457" cm="1">
        <f t="array" ref="N113">SUMPRODUCT('W3'!$K$18:$AJ$1018*('W3'!$A$18:$A$1018=N$5)*('W3'!$D$18:$D$1018=$B$98)*('W3'!$K$14:$AJ$14='Cover Page'!$D113))</f>
        <v>391763.07994961704</v>
      </c>
      <c r="O113" s="733"/>
      <c r="Q113" s="457" cm="1">
        <f t="array" ref="Q113">SUMPRODUCT('W3'!$K$18:$AJ$1018*('W3'!$A$18:$A$1018=Q$5)*('W3'!$D$18:$D$1018=$B$98)*('W3'!$K$14:$AJ$14='Cover Page'!$D113))</f>
        <v>370513.06587724556</v>
      </c>
      <c r="R113" s="733"/>
      <c r="T113" s="457" cm="1">
        <f t="array" ref="T113">SUMPRODUCT('W3'!$K$18:$AJ$1018*('W3'!$A$18:$A$1018=T$5)*('W3'!$D$18:$D$1018=$B$98)*('W3'!$K$14:$AJ$14='Cover Page'!$D113))</f>
        <v>370513.06587724556</v>
      </c>
      <c r="U113" s="457"/>
      <c r="W113" s="457" cm="1">
        <f t="array" ref="W113">SUMPRODUCT('W3'!$K$18:$AJ$1018*('W3'!$A$18:$A$1018=W$5)*('W3'!$D$18:$D$1018=$B$98)*('W3'!$K$14:$AJ$14='Cover Page'!$D113))</f>
        <v>370513.06587724556</v>
      </c>
      <c r="X113" s="457"/>
      <c r="Z113" s="713"/>
    </row>
    <row r="114" spans="4:26" hidden="1" outlineLevel="1" x14ac:dyDescent="0.25">
      <c r="D114" s="543">
        <v>16</v>
      </c>
      <c r="E114" s="497" t="str">
        <f t="shared" si="9"/>
        <v>triệu VND</v>
      </c>
      <c r="F114" s="454"/>
      <c r="H114" s="457" cm="1">
        <f t="array" ref="H114">SUMPRODUCT('W3'!$K$18:$AJ$1018*('W3'!$A$18:$A$1018=H$5)*('W3'!$D$18:$D$1018=$B$98)*('W3'!$K$14:$AJ$14='Cover Page'!$D114))</f>
        <v>377923.32719479036</v>
      </c>
      <c r="I114" s="742"/>
      <c r="K114" s="457" cm="1">
        <f t="array" ref="K114">SUMPRODUCT('W3'!$K$18:$AJ$1018*('W3'!$A$18:$A$1018=K$5)*('W3'!$D$18:$D$1018=$B$98)*('W3'!$K$14:$AJ$14='Cover Page'!$D114))</f>
        <v>410435.84872551862</v>
      </c>
      <c r="L114" s="733"/>
      <c r="N114" s="457" cm="1">
        <f t="array" ref="N114">SUMPRODUCT('W3'!$K$18:$AJ$1018*('W3'!$A$18:$A$1018=N$5)*('W3'!$D$18:$D$1018=$B$98)*('W3'!$K$14:$AJ$14='Cover Page'!$D114))</f>
        <v>399598.34154860931</v>
      </c>
      <c r="O114" s="733"/>
      <c r="Q114" s="457" cm="1">
        <f t="array" ref="Q114">SUMPRODUCT('W3'!$K$18:$AJ$1018*('W3'!$A$18:$A$1018=Q$5)*('W3'!$D$18:$D$1018=$B$98)*('W3'!$K$14:$AJ$14='Cover Page'!$D114))</f>
        <v>377923.32719479036</v>
      </c>
      <c r="R114" s="733"/>
      <c r="T114" s="457" cm="1">
        <f t="array" ref="T114">SUMPRODUCT('W3'!$K$18:$AJ$1018*('W3'!$A$18:$A$1018=T$5)*('W3'!$D$18:$D$1018=$B$98)*('W3'!$K$14:$AJ$14='Cover Page'!$D114))</f>
        <v>377923.32719479036</v>
      </c>
      <c r="U114" s="457"/>
      <c r="W114" s="457" cm="1">
        <f t="array" ref="W114">SUMPRODUCT('W3'!$K$18:$AJ$1018*('W3'!$A$18:$A$1018=W$5)*('W3'!$D$18:$D$1018=$B$98)*('W3'!$K$14:$AJ$14='Cover Page'!$D114))</f>
        <v>377923.32719479036</v>
      </c>
      <c r="X114" s="457"/>
      <c r="Z114" s="713"/>
    </row>
    <row r="115" spans="4:26" hidden="1" outlineLevel="1" x14ac:dyDescent="0.25">
      <c r="D115" s="543">
        <v>17</v>
      </c>
      <c r="E115" s="497" t="str">
        <f t="shared" si="9"/>
        <v>triệu VND</v>
      </c>
      <c r="F115" s="454"/>
      <c r="H115" s="457" cm="1">
        <f t="array" ref="H115">SUMPRODUCT('W3'!$K$18:$AJ$1018*('W3'!$A$18:$A$1018=H$5)*('W3'!$D$18:$D$1018=$B$98)*('W3'!$K$14:$AJ$14='Cover Page'!$D115))</f>
        <v>385481.79373868631</v>
      </c>
      <c r="I115" s="742"/>
      <c r="K115" s="457" cm="1">
        <f t="array" ref="K115">SUMPRODUCT('W3'!$K$18:$AJ$1018*('W3'!$A$18:$A$1018=K$5)*('W3'!$D$18:$D$1018=$B$98)*('W3'!$K$14:$AJ$14='Cover Page'!$D115))</f>
        <v>418644.56570002914</v>
      </c>
      <c r="L115" s="733"/>
      <c r="N115" s="457" cm="1">
        <f t="array" ref="N115">SUMPRODUCT('W3'!$K$18:$AJ$1018*('W3'!$A$18:$A$1018=N$5)*('W3'!$D$18:$D$1018=$B$98)*('W3'!$K$14:$AJ$14='Cover Page'!$D115))</f>
        <v>407590.30837958149</v>
      </c>
      <c r="O115" s="733"/>
      <c r="Q115" s="457" cm="1">
        <f t="array" ref="Q115">SUMPRODUCT('W3'!$K$18:$AJ$1018*('W3'!$A$18:$A$1018=Q$5)*('W3'!$D$18:$D$1018=$B$98)*('W3'!$K$14:$AJ$14='Cover Page'!$D115))</f>
        <v>385481.79373868631</v>
      </c>
      <c r="R115" s="733"/>
      <c r="T115" s="457" cm="1">
        <f t="array" ref="T115">SUMPRODUCT('W3'!$K$18:$AJ$1018*('W3'!$A$18:$A$1018=T$5)*('W3'!$D$18:$D$1018=$B$98)*('W3'!$K$14:$AJ$14='Cover Page'!$D115))</f>
        <v>385481.79373868631</v>
      </c>
      <c r="U115" s="457"/>
      <c r="W115" s="457" cm="1">
        <f t="array" ref="W115">SUMPRODUCT('W3'!$K$18:$AJ$1018*('W3'!$A$18:$A$1018=W$5)*('W3'!$D$18:$D$1018=$B$98)*('W3'!$K$14:$AJ$14='Cover Page'!$D115))</f>
        <v>385481.79373868631</v>
      </c>
      <c r="X115" s="457"/>
      <c r="Z115" s="713"/>
    </row>
    <row r="116" spans="4:26" hidden="1" outlineLevel="1" x14ac:dyDescent="0.25">
      <c r="D116" s="543">
        <v>18</v>
      </c>
      <c r="E116" s="497" t="str">
        <f t="shared" si="9"/>
        <v>triệu VND</v>
      </c>
      <c r="F116" s="454"/>
      <c r="H116" s="457" cm="1">
        <f t="array" ref="H116">SUMPRODUCT('W3'!$K$18:$AJ$1018*('W3'!$A$18:$A$1018=H$5)*('W3'!$D$18:$D$1018=$B$98)*('W3'!$K$14:$AJ$14='Cover Page'!$D116))</f>
        <v>393191.42961346003</v>
      </c>
      <c r="I116" s="742"/>
      <c r="K116" s="457" cm="1">
        <f t="array" ref="K116">SUMPRODUCT('W3'!$K$18:$AJ$1018*('W3'!$A$18:$A$1018=K$5)*('W3'!$D$18:$D$1018=$B$98)*('W3'!$K$14:$AJ$14='Cover Page'!$D116))</f>
        <v>427017.45701402967</v>
      </c>
      <c r="L116" s="733"/>
      <c r="N116" s="457" cm="1">
        <f t="array" ref="N116">SUMPRODUCT('W3'!$K$18:$AJ$1018*('W3'!$A$18:$A$1018=N$5)*('W3'!$D$18:$D$1018=$B$98)*('W3'!$K$14:$AJ$14='Cover Page'!$D116))</f>
        <v>415742.1145471732</v>
      </c>
      <c r="O116" s="733"/>
      <c r="Q116" s="457" cm="1">
        <f t="array" ref="Q116">SUMPRODUCT('W3'!$K$18:$AJ$1018*('W3'!$A$18:$A$1018=Q$5)*('W3'!$D$18:$D$1018=$B$98)*('W3'!$K$14:$AJ$14='Cover Page'!$D116))</f>
        <v>393191.42961346003</v>
      </c>
      <c r="R116" s="733"/>
      <c r="T116" s="457" cm="1">
        <f t="array" ref="T116">SUMPRODUCT('W3'!$K$18:$AJ$1018*('W3'!$A$18:$A$1018=T$5)*('W3'!$D$18:$D$1018=$B$98)*('W3'!$K$14:$AJ$14='Cover Page'!$D116))</f>
        <v>393191.42961346003</v>
      </c>
      <c r="U116" s="457"/>
      <c r="W116" s="457" cm="1">
        <f t="array" ref="W116">SUMPRODUCT('W3'!$K$18:$AJ$1018*('W3'!$A$18:$A$1018=W$5)*('W3'!$D$18:$D$1018=$B$98)*('W3'!$K$14:$AJ$14='Cover Page'!$D116))</f>
        <v>393191.42961346003</v>
      </c>
      <c r="X116" s="457"/>
      <c r="Z116" s="713"/>
    </row>
    <row r="117" spans="4:26" hidden="1" outlineLevel="1" x14ac:dyDescent="0.25">
      <c r="D117" s="543">
        <v>19</v>
      </c>
      <c r="E117" s="497" t="str">
        <f t="shared" si="9"/>
        <v>triệu VND</v>
      </c>
      <c r="F117" s="454"/>
      <c r="H117" s="457" cm="1">
        <f t="array" ref="H117">SUMPRODUCT('W3'!$K$18:$AJ$1018*('W3'!$A$18:$A$1018=H$5)*('W3'!$D$18:$D$1018=$B$98)*('W3'!$K$14:$AJ$14='Cover Page'!$D117))</f>
        <v>401055.25820572913</v>
      </c>
      <c r="I117" s="742"/>
      <c r="K117" s="457" cm="1">
        <f t="array" ref="K117">SUMPRODUCT('W3'!$K$18:$AJ$1018*('W3'!$A$18:$A$1018=K$5)*('W3'!$D$18:$D$1018=$B$98)*('W3'!$K$14:$AJ$14='Cover Page'!$D117))</f>
        <v>435557.80615431024</v>
      </c>
      <c r="L117" s="733"/>
      <c r="N117" s="457" cm="1">
        <f t="array" ref="N117">SUMPRODUCT('W3'!$K$18:$AJ$1018*('W3'!$A$18:$A$1018=N$5)*('W3'!$D$18:$D$1018=$B$98)*('W3'!$K$14:$AJ$14='Cover Page'!$D117))</f>
        <v>424056.95683811652</v>
      </c>
      <c r="O117" s="733"/>
      <c r="Q117" s="457" cm="1">
        <f t="array" ref="Q117">SUMPRODUCT('W3'!$K$18:$AJ$1018*('W3'!$A$18:$A$1018=Q$5)*('W3'!$D$18:$D$1018=$B$98)*('W3'!$K$14:$AJ$14='Cover Page'!$D117))</f>
        <v>401055.25820572913</v>
      </c>
      <c r="R117" s="733"/>
      <c r="T117" s="457" cm="1">
        <f t="array" ref="T117">SUMPRODUCT('W3'!$K$18:$AJ$1018*('W3'!$A$18:$A$1018=T$5)*('W3'!$D$18:$D$1018=$B$98)*('W3'!$K$14:$AJ$14='Cover Page'!$D117))</f>
        <v>401055.25820572913</v>
      </c>
      <c r="U117" s="457"/>
      <c r="W117" s="457" cm="1">
        <f t="array" ref="W117">SUMPRODUCT('W3'!$K$18:$AJ$1018*('W3'!$A$18:$A$1018=W$5)*('W3'!$D$18:$D$1018=$B$98)*('W3'!$K$14:$AJ$14='Cover Page'!$D117))</f>
        <v>401055.25820572913</v>
      </c>
      <c r="X117" s="457"/>
      <c r="Z117" s="713"/>
    </row>
    <row r="118" spans="4:26" hidden="1" outlineLevel="1" x14ac:dyDescent="0.25">
      <c r="D118" s="543">
        <v>20</v>
      </c>
      <c r="E118" s="497" t="str">
        <f t="shared" si="9"/>
        <v>triệu VND</v>
      </c>
      <c r="F118" s="454"/>
      <c r="H118" s="457" cm="1">
        <f t="array" ref="H118">SUMPRODUCT('W3'!$K$18:$AJ$1018*('W3'!$A$18:$A$1018=H$5)*('W3'!$D$18:$D$1018=$B$98)*('W3'!$K$14:$AJ$14='Cover Page'!$D118))</f>
        <v>409076.36336984381</v>
      </c>
      <c r="I118" s="742"/>
      <c r="K118" s="457" cm="1">
        <f t="array" ref="K118">SUMPRODUCT('W3'!$K$18:$AJ$1018*('W3'!$A$18:$A$1018=K$5)*('W3'!$D$18:$D$1018=$B$98)*('W3'!$K$14:$AJ$14='Cover Page'!$D118))</f>
        <v>444268.96227739652</v>
      </c>
      <c r="L118" s="733"/>
      <c r="N118" s="457" cm="1">
        <f t="array" ref="N118">SUMPRODUCT('W3'!$K$18:$AJ$1018*('W3'!$A$18:$A$1018=N$5)*('W3'!$D$18:$D$1018=$B$98)*('W3'!$K$14:$AJ$14='Cover Page'!$D118))</f>
        <v>432538.09597487893</v>
      </c>
      <c r="O118" s="733"/>
      <c r="Q118" s="457" cm="1">
        <f t="array" ref="Q118">SUMPRODUCT('W3'!$K$18:$AJ$1018*('W3'!$A$18:$A$1018=Q$5)*('W3'!$D$18:$D$1018=$B$98)*('W3'!$K$14:$AJ$14='Cover Page'!$D118))</f>
        <v>409076.36336984381</v>
      </c>
      <c r="R118" s="733"/>
      <c r="T118" s="457" cm="1">
        <f t="array" ref="T118">SUMPRODUCT('W3'!$K$18:$AJ$1018*('W3'!$A$18:$A$1018=T$5)*('W3'!$D$18:$D$1018=$B$98)*('W3'!$K$14:$AJ$14='Cover Page'!$D118))</f>
        <v>409076.36336984381</v>
      </c>
      <c r="U118" s="457"/>
      <c r="W118" s="457" cm="1">
        <f t="array" ref="W118">SUMPRODUCT('W3'!$K$18:$AJ$1018*('W3'!$A$18:$A$1018=W$5)*('W3'!$D$18:$D$1018=$B$98)*('W3'!$K$14:$AJ$14='Cover Page'!$D118))</f>
        <v>409076.36336984381</v>
      </c>
      <c r="X118" s="457"/>
      <c r="Z118" s="713"/>
    </row>
    <row r="119" spans="4:26" hidden="1" outlineLevel="1" x14ac:dyDescent="0.25">
      <c r="D119" s="543">
        <v>21</v>
      </c>
      <c r="E119" s="497" t="str">
        <f t="shared" si="9"/>
        <v>triệu VND</v>
      </c>
      <c r="F119" s="454"/>
      <c r="H119" s="457" cm="1">
        <f t="array" ref="H119">SUMPRODUCT('W3'!$K$18:$AJ$1018*('W3'!$A$18:$A$1018=H$5)*('W3'!$D$18:$D$1018=$B$98)*('W3'!$K$14:$AJ$14='Cover Page'!$D119))</f>
        <v>417257.89063724066</v>
      </c>
      <c r="I119" s="742"/>
      <c r="K119" s="457" cm="1">
        <f t="array" ref="K119">SUMPRODUCT('W3'!$K$18:$AJ$1018*('W3'!$A$18:$A$1018=K$5)*('W3'!$D$18:$D$1018=$B$98)*('W3'!$K$14:$AJ$14='Cover Page'!$D119))</f>
        <v>453154.34152294439</v>
      </c>
      <c r="L119" s="733"/>
      <c r="N119" s="457" cm="1">
        <f t="array" ref="N119">SUMPRODUCT('W3'!$K$18:$AJ$1018*('W3'!$A$18:$A$1018=N$5)*('W3'!$D$18:$D$1018=$B$98)*('W3'!$K$14:$AJ$14='Cover Page'!$D119))</f>
        <v>441188.85789437656</v>
      </c>
      <c r="O119" s="733"/>
      <c r="Q119" s="457" cm="1">
        <f t="array" ref="Q119">SUMPRODUCT('W3'!$K$18:$AJ$1018*('W3'!$A$18:$A$1018=Q$5)*('W3'!$D$18:$D$1018=$B$98)*('W3'!$K$14:$AJ$14='Cover Page'!$D119))</f>
        <v>417257.89063724066</v>
      </c>
      <c r="R119" s="733"/>
      <c r="T119" s="457" cm="1">
        <f t="array" ref="T119">SUMPRODUCT('W3'!$K$18:$AJ$1018*('W3'!$A$18:$A$1018=T$5)*('W3'!$D$18:$D$1018=$B$98)*('W3'!$K$14:$AJ$14='Cover Page'!$D119))</f>
        <v>417257.89063724066</v>
      </c>
      <c r="U119" s="457"/>
      <c r="W119" s="457" cm="1">
        <f t="array" ref="W119">SUMPRODUCT('W3'!$K$18:$AJ$1018*('W3'!$A$18:$A$1018=W$5)*('W3'!$D$18:$D$1018=$B$98)*('W3'!$K$14:$AJ$14='Cover Page'!$D119))</f>
        <v>417257.89063724066</v>
      </c>
      <c r="X119" s="457"/>
      <c r="Z119" s="713"/>
    </row>
    <row r="120" spans="4:26" hidden="1" outlineLevel="1" x14ac:dyDescent="0.25">
      <c r="D120" s="543">
        <v>22</v>
      </c>
      <c r="E120" s="497" t="str">
        <f t="shared" si="9"/>
        <v>triệu VND</v>
      </c>
      <c r="F120" s="454"/>
      <c r="H120" s="457" cm="1">
        <f t="array" ref="H120">SUMPRODUCT('W3'!$K$18:$AJ$1018*('W3'!$A$18:$A$1018=H$5)*('W3'!$D$18:$D$1018=$B$98)*('W3'!$K$14:$AJ$14='Cover Page'!$D120))</f>
        <v>425603.04844998539</v>
      </c>
      <c r="I120" s="742"/>
      <c r="K120" s="457" cm="1">
        <f t="array" ref="K120">SUMPRODUCT('W3'!$K$18:$AJ$1018*('W3'!$A$18:$A$1018=K$5)*('W3'!$D$18:$D$1018=$B$98)*('W3'!$K$14:$AJ$14='Cover Page'!$D120))</f>
        <v>462217.4283534034</v>
      </c>
      <c r="L120" s="733"/>
      <c r="N120" s="457" cm="1">
        <f t="array" ref="N120">SUMPRODUCT('W3'!$K$18:$AJ$1018*('W3'!$A$18:$A$1018=N$5)*('W3'!$D$18:$D$1018=$B$98)*('W3'!$K$14:$AJ$14='Cover Page'!$D120))</f>
        <v>450012.63505226414</v>
      </c>
      <c r="O120" s="733"/>
      <c r="Q120" s="457" cm="1">
        <f t="array" ref="Q120">SUMPRODUCT('W3'!$K$18:$AJ$1018*('W3'!$A$18:$A$1018=Q$5)*('W3'!$D$18:$D$1018=$B$98)*('W3'!$K$14:$AJ$14='Cover Page'!$D120))</f>
        <v>425603.04844998539</v>
      </c>
      <c r="R120" s="733"/>
      <c r="T120" s="457" cm="1">
        <f t="array" ref="T120">SUMPRODUCT('W3'!$K$18:$AJ$1018*('W3'!$A$18:$A$1018=T$5)*('W3'!$D$18:$D$1018=$B$98)*('W3'!$K$14:$AJ$14='Cover Page'!$D120))</f>
        <v>425603.04844998539</v>
      </c>
      <c r="U120" s="457"/>
      <c r="W120" s="457" cm="1">
        <f t="array" ref="W120">SUMPRODUCT('W3'!$K$18:$AJ$1018*('W3'!$A$18:$A$1018=W$5)*('W3'!$D$18:$D$1018=$B$98)*('W3'!$K$14:$AJ$14='Cover Page'!$D120))</f>
        <v>425603.04844998539</v>
      </c>
      <c r="X120" s="457"/>
      <c r="Z120" s="713"/>
    </row>
    <row r="121" spans="4:26" hidden="1" outlineLevel="1" x14ac:dyDescent="0.25">
      <c r="D121" s="543">
        <v>23</v>
      </c>
      <c r="E121" s="497" t="str">
        <f t="shared" si="9"/>
        <v>triệu VND</v>
      </c>
      <c r="F121" s="454"/>
      <c r="H121" s="457" cm="1">
        <f t="array" ref="H121">SUMPRODUCT('W3'!$K$18:$AJ$1018*('W3'!$A$18:$A$1018=H$5)*('W3'!$D$18:$D$1018=$B$98)*('W3'!$K$14:$AJ$14='Cover Page'!$D121))</f>
        <v>434115.1094189852</v>
      </c>
      <c r="I121" s="742"/>
      <c r="K121" s="457" cm="1">
        <f t="array" ref="K121">SUMPRODUCT('W3'!$K$18:$AJ$1018*('W3'!$A$18:$A$1018=K$5)*('W3'!$D$18:$D$1018=$B$98)*('W3'!$K$14:$AJ$14='Cover Page'!$D121))</f>
        <v>471461.77692047146</v>
      </c>
      <c r="L121" s="733"/>
      <c r="N121" s="457" cm="1">
        <f t="array" ref="N121">SUMPRODUCT('W3'!$K$18:$AJ$1018*('W3'!$A$18:$A$1018=N$5)*('W3'!$D$18:$D$1018=$B$98)*('W3'!$K$14:$AJ$14='Cover Page'!$D121))</f>
        <v>459012.88775330939</v>
      </c>
      <c r="O121" s="733"/>
      <c r="Q121" s="457" cm="1">
        <f t="array" ref="Q121">SUMPRODUCT('W3'!$K$18:$AJ$1018*('W3'!$A$18:$A$1018=Q$5)*('W3'!$D$18:$D$1018=$B$98)*('W3'!$K$14:$AJ$14='Cover Page'!$D121))</f>
        <v>434115.1094189852</v>
      </c>
      <c r="R121" s="733"/>
      <c r="T121" s="457" cm="1">
        <f t="array" ref="T121">SUMPRODUCT('W3'!$K$18:$AJ$1018*('W3'!$A$18:$A$1018=T$5)*('W3'!$D$18:$D$1018=$B$98)*('W3'!$K$14:$AJ$14='Cover Page'!$D121))</f>
        <v>434115.1094189852</v>
      </c>
      <c r="U121" s="457"/>
      <c r="W121" s="457" cm="1">
        <f t="array" ref="W121">SUMPRODUCT('W3'!$K$18:$AJ$1018*('W3'!$A$18:$A$1018=W$5)*('W3'!$D$18:$D$1018=$B$98)*('W3'!$K$14:$AJ$14='Cover Page'!$D121))</f>
        <v>434115.1094189852</v>
      </c>
      <c r="X121" s="457"/>
      <c r="Z121" s="713"/>
    </row>
    <row r="122" spans="4:26" hidden="1" outlineLevel="1" x14ac:dyDescent="0.25">
      <c r="D122" s="543">
        <v>24</v>
      </c>
      <c r="E122" s="497" t="str">
        <f t="shared" si="9"/>
        <v>triệu VND</v>
      </c>
      <c r="F122" s="454"/>
      <c r="H122" s="457" cm="1">
        <f t="array" ref="H122">SUMPRODUCT('W3'!$K$18:$AJ$1018*('W3'!$A$18:$A$1018=H$5)*('W3'!$D$18:$D$1018=$B$98)*('W3'!$K$14:$AJ$14='Cover Page'!$D122))</f>
        <v>442797.41160736472</v>
      </c>
      <c r="I122" s="742"/>
      <c r="K122" s="457" cm="1">
        <f t="array" ref="K122">SUMPRODUCT('W3'!$K$18:$AJ$1018*('W3'!$A$18:$A$1018=K$5)*('W3'!$D$18:$D$1018=$B$98)*('W3'!$K$14:$AJ$14='Cover Page'!$D122))</f>
        <v>480891.01245888072</v>
      </c>
      <c r="L122" s="733"/>
      <c r="N122" s="457" cm="1">
        <f t="array" ref="N122">SUMPRODUCT('W3'!$K$18:$AJ$1018*('W3'!$A$18:$A$1018=N$5)*('W3'!$D$18:$D$1018=$B$98)*('W3'!$K$14:$AJ$14='Cover Page'!$D122))</f>
        <v>468193.14550837537</v>
      </c>
      <c r="O122" s="733"/>
      <c r="Q122" s="457" cm="1">
        <f t="array" ref="Q122">SUMPRODUCT('W3'!$K$18:$AJ$1018*('W3'!$A$18:$A$1018=Q$5)*('W3'!$D$18:$D$1018=$B$98)*('W3'!$K$14:$AJ$14='Cover Page'!$D122))</f>
        <v>442797.41160736472</v>
      </c>
      <c r="R122" s="733"/>
      <c r="T122" s="457" cm="1">
        <f t="array" ref="T122">SUMPRODUCT('W3'!$K$18:$AJ$1018*('W3'!$A$18:$A$1018=T$5)*('W3'!$D$18:$D$1018=$B$98)*('W3'!$K$14:$AJ$14='Cover Page'!$D122))</f>
        <v>442797.41160736472</v>
      </c>
      <c r="U122" s="457"/>
      <c r="W122" s="457" cm="1">
        <f t="array" ref="W122">SUMPRODUCT('W3'!$K$18:$AJ$1018*('W3'!$A$18:$A$1018=W$5)*('W3'!$D$18:$D$1018=$B$98)*('W3'!$K$14:$AJ$14='Cover Page'!$D122))</f>
        <v>442797.41160736472</v>
      </c>
      <c r="X122" s="457"/>
      <c r="Z122" s="713"/>
    </row>
    <row r="123" spans="4:26" hidden="1" outlineLevel="1" x14ac:dyDescent="0.25">
      <c r="D123" s="543">
        <v>25</v>
      </c>
      <c r="E123" s="497" t="str">
        <f t="shared" si="9"/>
        <v>triệu VND</v>
      </c>
      <c r="F123" s="454"/>
      <c r="H123" s="457" cm="1">
        <f t="array" ref="H123">SUMPRODUCT('W3'!$K$18:$AJ$1018*('W3'!$A$18:$A$1018=H$5)*('W3'!$D$18:$D$1018=$B$98)*('W3'!$K$14:$AJ$14='Cover Page'!$D123))</f>
        <v>451653.35983951209</v>
      </c>
      <c r="I123" s="742"/>
      <c r="K123" s="457" cm="1">
        <f t="array" ref="K123">SUMPRODUCT('W3'!$K$18:$AJ$1018*('W3'!$A$18:$A$1018=K$5)*('W3'!$D$18:$D$1018=$B$98)*('W3'!$K$14:$AJ$14='Cover Page'!$D123))</f>
        <v>490508.83270805835</v>
      </c>
      <c r="L123" s="733"/>
      <c r="N123" s="457" cm="1">
        <f t="array" ref="N123">SUMPRODUCT('W3'!$K$18:$AJ$1018*('W3'!$A$18:$A$1018=N$5)*('W3'!$D$18:$D$1018=$B$98)*('W3'!$K$14:$AJ$14='Cover Page'!$D123))</f>
        <v>477557.00841854309</v>
      </c>
      <c r="O123" s="733"/>
      <c r="Q123" s="457" cm="1">
        <f t="array" ref="Q123">SUMPRODUCT('W3'!$K$18:$AJ$1018*('W3'!$A$18:$A$1018=Q$5)*('W3'!$D$18:$D$1018=$B$98)*('W3'!$K$14:$AJ$14='Cover Page'!$D123))</f>
        <v>451653.35983951209</v>
      </c>
      <c r="R123" s="733"/>
      <c r="T123" s="457" cm="1">
        <f t="array" ref="T123">SUMPRODUCT('W3'!$K$18:$AJ$1018*('W3'!$A$18:$A$1018=T$5)*('W3'!$D$18:$D$1018=$B$98)*('W3'!$K$14:$AJ$14='Cover Page'!$D123))</f>
        <v>451653.35983951209</v>
      </c>
      <c r="U123" s="457"/>
      <c r="W123" s="457" cm="1">
        <f t="array" ref="W123">SUMPRODUCT('W3'!$K$18:$AJ$1018*('W3'!$A$18:$A$1018=W$5)*('W3'!$D$18:$D$1018=$B$98)*('W3'!$K$14:$AJ$14='Cover Page'!$D123))</f>
        <v>451653.35983951209</v>
      </c>
      <c r="X123" s="457"/>
      <c r="Z123" s="713"/>
    </row>
    <row r="124" spans="4:26" collapsed="1" x14ac:dyDescent="0.25"/>
  </sheetData>
  <mergeCells count="7">
    <mergeCell ref="D4:E4"/>
    <mergeCell ref="H4:I4"/>
    <mergeCell ref="W4:X4"/>
    <mergeCell ref="T4:U4"/>
    <mergeCell ref="K4:L4"/>
    <mergeCell ref="N4:O4"/>
    <mergeCell ref="Q4:R4"/>
  </mergeCells>
  <phoneticPr fontId="12" type="noConversion"/>
  <conditionalFormatting sqref="K72:K96 N72:N96 Q72:Q96">
    <cfRule type="expression" dxfId="2" priority="3">
      <formula>K72&lt;0</formula>
    </cfRule>
  </conditionalFormatting>
  <conditionalFormatting sqref="T72:T96">
    <cfRule type="expression" dxfId="1" priority="2">
      <formula>T72&lt;0</formula>
    </cfRule>
  </conditionalFormatting>
  <conditionalFormatting sqref="W72:W96">
    <cfRule type="expression" dxfId="0" priority="1">
      <formula>W72&lt;0</formula>
    </cfRule>
  </conditionalFormatting>
  <dataValidations disablePrompts="1" count="1">
    <dataValidation type="list" allowBlank="1" showInputMessage="1" showErrorMessage="1" sqref="A33" xr:uid="{D74D54DD-F031-4039-9672-D5DC52E0C674}">
      <formula1>"USD,VND"</formula1>
    </dataValidation>
  </dataValidations>
  <pageMargins left="0.7" right="0.7" top="0.75" bottom="0.75" header="0.3" footer="0.3"/>
  <ignoredErrors>
    <ignoredError sqref="A13:C17" numberStoredAsText="1"/>
    <ignoredError sqref="R71:R96" formula="1"/>
  </ignoredErrors>
  <drawing r:id="rId1"/>
  <legacy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FAEF-32D7-45D5-B025-5C7CA12C74E0}">
  <dimension ref="A1:HQ68"/>
  <sheetViews>
    <sheetView showGridLines="0" zoomScale="85" zoomScaleNormal="85" workbookViewId="0">
      <pane xSplit="6" ySplit="9" topLeftCell="G10" activePane="bottomRight" state="frozen"/>
      <selection pane="topRight" activeCell="H1" sqref="H1"/>
      <selection pane="bottomLeft" activeCell="A10" sqref="A10"/>
      <selection pane="bottomRight" activeCell="X37" sqref="X37"/>
    </sheetView>
  </sheetViews>
  <sheetFormatPr defaultRowHeight="15" outlineLevelRow="1" outlineLevelCol="1" x14ac:dyDescent="0.25"/>
  <cols>
    <col min="1" max="1" width="11.125" hidden="1" customWidth="1" outlineLevel="1"/>
    <col min="2" max="2" width="14.375" hidden="1" customWidth="1" outlineLevel="1"/>
    <col min="3" max="3" width="6.5" customWidth="1" collapsed="1"/>
    <col min="4" max="4" width="43.75" customWidth="1"/>
    <col min="5" max="5" width="10.75" customWidth="1"/>
    <col min="6" max="6" width="1.125" customWidth="1"/>
    <col min="7" max="7" width="11.5" customWidth="1"/>
    <col min="8" max="8" width="16.75" customWidth="1"/>
    <col min="9" max="9" width="21.125" customWidth="1"/>
    <col min="10" max="10" width="19.75" customWidth="1"/>
    <col min="11" max="11" width="1.125" customWidth="1"/>
    <col min="12" max="12" width="10.125" hidden="1" customWidth="1" outlineLevel="1"/>
    <col min="13" max="13" width="18.125" hidden="1" customWidth="1" outlineLevel="1"/>
    <col min="14" max="14" width="20.75" hidden="1" customWidth="1" outlineLevel="1" collapsed="1"/>
    <col min="15" max="15" width="19.5" hidden="1" customWidth="1" outlineLevel="1"/>
    <col min="16" max="16" width="1.125" customWidth="1" collapsed="1"/>
    <col min="17" max="17" width="11.125" hidden="1" customWidth="1" outlineLevel="1"/>
    <col min="18" max="18" width="16.5" hidden="1" customWidth="1" outlineLevel="1"/>
    <col min="19" max="19" width="20.75" hidden="1" customWidth="1" outlineLevel="1" collapsed="1"/>
    <col min="20" max="20" width="19.5" hidden="1" customWidth="1" outlineLevel="1"/>
    <col min="21" max="21" width="1.125" customWidth="1" collapsed="1"/>
    <col min="22" max="22" width="11.125" customWidth="1" outlineLevel="1"/>
    <col min="23" max="23" width="15.5" bestFit="1" customWidth="1" outlineLevel="1"/>
    <col min="24" max="24" width="20.75" customWidth="1" outlineLevel="1" collapsed="1"/>
    <col min="25" max="25" width="19.5" customWidth="1" outlineLevel="1"/>
    <col min="26" max="26" width="1.125" customWidth="1"/>
    <col min="27" max="27" width="11.125" hidden="1" customWidth="1" outlineLevel="1"/>
    <col min="28" max="28" width="15.5" hidden="1" customWidth="1" outlineLevel="1"/>
    <col min="29" max="29" width="20.75" hidden="1" customWidth="1" outlineLevel="1" collapsed="1"/>
    <col min="30" max="30" width="19.5" hidden="1" customWidth="1" outlineLevel="1"/>
    <col min="31" max="31" width="1.125" customWidth="1" collapsed="1"/>
    <col min="32" max="32" width="11.125" hidden="1" customWidth="1" outlineLevel="1"/>
    <col min="33" max="33" width="15.5" hidden="1" customWidth="1" outlineLevel="1"/>
    <col min="34" max="34" width="20.75" hidden="1" customWidth="1" outlineLevel="1" collapsed="1"/>
    <col min="35" max="35" width="19.5" hidden="1" customWidth="1" outlineLevel="1"/>
    <col min="36" max="36" width="1.125" customWidth="1" collapsed="1"/>
    <col min="37" max="37" width="17.75" bestFit="1" customWidth="1"/>
    <col min="38" max="38" width="23.375" bestFit="1" customWidth="1"/>
    <col min="39" max="39" width="50.5" customWidth="1"/>
    <col min="40" max="40" width="1.375" customWidth="1"/>
    <col min="41" max="41" width="19.75" customWidth="1"/>
    <col min="42" max="50" width="19.75" hidden="1" customWidth="1" outlineLevel="1"/>
    <col min="51" max="69" width="18.375" hidden="1" customWidth="1" outlineLevel="1"/>
    <col min="70" max="70" width="18.375" customWidth="1" collapsed="1"/>
    <col min="71" max="71" width="3.5" customWidth="1"/>
    <col min="72" max="72" width="19.75" bestFit="1" customWidth="1"/>
    <col min="73" max="81" width="19.75" hidden="1" customWidth="1" outlineLevel="1"/>
    <col min="82" max="100" width="18.375" hidden="1" customWidth="1" outlineLevel="1"/>
    <col min="101" max="101" width="18.375" customWidth="1" collapsed="1"/>
    <col min="102" max="102" width="3.5" customWidth="1"/>
    <col min="103" max="103" width="17.125" bestFit="1" customWidth="1"/>
    <col min="104" max="117" width="17.125" hidden="1" customWidth="1" outlineLevel="1"/>
    <col min="118" max="131" width="15.875" hidden="1" customWidth="1" outlineLevel="1"/>
    <col min="132" max="132" width="15.875" customWidth="1" collapsed="1"/>
    <col min="133" max="133" width="3.5" customWidth="1"/>
    <col min="134" max="134" width="17.125" bestFit="1" customWidth="1"/>
    <col min="135" max="148" width="17.125" hidden="1" customWidth="1" outlineLevel="1"/>
    <col min="149" max="162" width="15.875" hidden="1" customWidth="1" outlineLevel="1"/>
    <col min="163" max="163" width="15.875" customWidth="1" collapsed="1"/>
    <col min="164" max="164" width="3.5" customWidth="1"/>
    <col min="165" max="165" width="17.125" bestFit="1" customWidth="1"/>
    <col min="166" max="179" width="17.125" hidden="1" customWidth="1" outlineLevel="1"/>
    <col min="180" max="193" width="15.875" hidden="1" customWidth="1" outlineLevel="1"/>
    <col min="194" max="194" width="15.875" customWidth="1" collapsed="1"/>
    <col min="195" max="195" width="3.5" customWidth="1"/>
    <col min="196" max="196" width="19.75" customWidth="1"/>
    <col min="197" max="205" width="19.75" hidden="1" customWidth="1" outlineLevel="1"/>
    <col min="206" max="224" width="18.375" hidden="1" customWidth="1" outlineLevel="1"/>
    <col min="225" max="225" width="18.375" customWidth="1" collapsed="1"/>
  </cols>
  <sheetData>
    <row r="1" spans="1:225" outlineLevel="1" x14ac:dyDescent="0.25">
      <c r="D1" s="34" t="s">
        <v>0</v>
      </c>
    </row>
    <row r="2" spans="1:225" outlineLevel="1" x14ac:dyDescent="0.25">
      <c r="D2" s="34" t="s">
        <v>1</v>
      </c>
    </row>
    <row r="3" spans="1:225" ht="19.5" outlineLevel="1" x14ac:dyDescent="0.3">
      <c r="D3" s="35" t="s">
        <v>44</v>
      </c>
      <c r="M3" s="70"/>
      <c r="N3" s="15"/>
      <c r="O3" s="64"/>
    </row>
    <row r="4" spans="1:225" ht="26.25" outlineLevel="1" x14ac:dyDescent="0.4">
      <c r="D4" s="36" t="s">
        <v>43</v>
      </c>
      <c r="I4" s="15"/>
    </row>
    <row r="5" spans="1:225" x14ac:dyDescent="0.25">
      <c r="D5" s="216" t="str">
        <f>Currency</f>
        <v>VND</v>
      </c>
      <c r="N5" s="41" t="s">
        <v>604</v>
      </c>
      <c r="S5" s="41" t="s">
        <v>560</v>
      </c>
      <c r="X5" s="41" t="s">
        <v>560</v>
      </c>
      <c r="AC5" s="41" t="s">
        <v>560</v>
      </c>
      <c r="AH5" s="41" t="s">
        <v>560</v>
      </c>
    </row>
    <row r="6" spans="1:225" ht="19.5" x14ac:dyDescent="0.3">
      <c r="D6" s="15">
        <f>IF(D5="VND",1,EXR)</f>
        <v>1</v>
      </c>
      <c r="F6" s="1"/>
      <c r="G6" s="1"/>
      <c r="I6" s="695" t="s">
        <v>404</v>
      </c>
      <c r="J6" s="217" t="s">
        <v>406</v>
      </c>
      <c r="K6" s="1"/>
      <c r="L6" s="1"/>
      <c r="M6" s="1"/>
      <c r="N6" s="695" t="s">
        <v>405</v>
      </c>
      <c r="O6" s="226">
        <f>Opt2_CAPEX</f>
        <v>7.0000000000000007E-2</v>
      </c>
      <c r="P6" s="1"/>
      <c r="Q6" s="1"/>
      <c r="R6" s="1"/>
      <c r="S6" s="695" t="s">
        <v>407</v>
      </c>
      <c r="T6" s="226">
        <f>Opt3_CAPEX</f>
        <v>7.0000000000000007E-2</v>
      </c>
      <c r="U6" s="1"/>
      <c r="V6" s="1"/>
      <c r="W6" s="1"/>
      <c r="X6" s="695" t="s">
        <v>692</v>
      </c>
      <c r="Y6" s="226">
        <f>Opt4_CAPEX</f>
        <v>0</v>
      </c>
      <c r="Z6" s="1"/>
      <c r="AA6" s="1"/>
      <c r="AB6" s="1"/>
      <c r="AC6" s="695" t="s">
        <v>693</v>
      </c>
      <c r="AD6" s="226">
        <f>Opt5_CAPEX</f>
        <v>0</v>
      </c>
      <c r="AE6" s="1"/>
      <c r="AF6" s="1"/>
      <c r="AG6" s="1"/>
      <c r="AH6" s="695" t="s">
        <v>694</v>
      </c>
      <c r="AI6" s="226">
        <f>Opt6_CAPEX</f>
        <v>0</v>
      </c>
      <c r="AJ6" s="1"/>
    </row>
    <row r="7" spans="1:225" s="229" customFormat="1" ht="34.5" customHeight="1" x14ac:dyDescent="0.25">
      <c r="A7"/>
      <c r="B7"/>
      <c r="C7" s="1070" t="s">
        <v>2</v>
      </c>
      <c r="D7" s="1070" t="s">
        <v>29</v>
      </c>
      <c r="E7" s="227" t="s">
        <v>38</v>
      </c>
      <c r="F7" s="231"/>
      <c r="G7" s="227" t="s">
        <v>36</v>
      </c>
      <c r="H7" s="227" t="s">
        <v>39</v>
      </c>
      <c r="I7" s="227" t="s">
        <v>28</v>
      </c>
      <c r="J7" s="227" t="s">
        <v>190</v>
      </c>
      <c r="K7" s="231"/>
      <c r="L7" s="227" t="s">
        <v>36</v>
      </c>
      <c r="M7" s="227" t="s">
        <v>39</v>
      </c>
      <c r="N7" s="227" t="s">
        <v>28</v>
      </c>
      <c r="O7" s="227" t="s">
        <v>190</v>
      </c>
      <c r="P7" s="228"/>
      <c r="Q7" s="227" t="s">
        <v>36</v>
      </c>
      <c r="R7" s="227" t="s">
        <v>39</v>
      </c>
      <c r="S7" s="227" t="s">
        <v>28</v>
      </c>
      <c r="T7" s="227" t="s">
        <v>190</v>
      </c>
      <c r="U7" s="228"/>
      <c r="V7" s="227" t="s">
        <v>36</v>
      </c>
      <c r="W7" s="227" t="s">
        <v>39</v>
      </c>
      <c r="X7" s="227" t="s">
        <v>28</v>
      </c>
      <c r="Y7" s="227" t="s">
        <v>190</v>
      </c>
      <c r="Z7" s="228"/>
      <c r="AA7" s="227" t="s">
        <v>36</v>
      </c>
      <c r="AB7" s="227" t="s">
        <v>39</v>
      </c>
      <c r="AC7" s="227" t="s">
        <v>28</v>
      </c>
      <c r="AD7" s="227" t="s">
        <v>190</v>
      </c>
      <c r="AE7" s="228"/>
      <c r="AF7" s="227" t="s">
        <v>36</v>
      </c>
      <c r="AG7" s="227" t="s">
        <v>39</v>
      </c>
      <c r="AH7" s="227" t="s">
        <v>28</v>
      </c>
      <c r="AI7" s="227" t="s">
        <v>190</v>
      </c>
      <c r="AJ7" s="228"/>
      <c r="AK7" s="1070" t="s">
        <v>446</v>
      </c>
      <c r="AL7" s="1070" t="s">
        <v>548</v>
      </c>
      <c r="AM7" s="215" t="s">
        <v>341</v>
      </c>
      <c r="AN7" s="215"/>
      <c r="AO7" s="688" t="s">
        <v>404</v>
      </c>
      <c r="AP7" s="688" t="str">
        <f>AO7</f>
        <v>Option 1</v>
      </c>
      <c r="AQ7" s="688" t="str">
        <f t="shared" ref="AQ7:BR7" si="0">AP7</f>
        <v>Option 1</v>
      </c>
      <c r="AR7" s="688" t="str">
        <f t="shared" si="0"/>
        <v>Option 1</v>
      </c>
      <c r="AS7" s="688" t="str">
        <f t="shared" si="0"/>
        <v>Option 1</v>
      </c>
      <c r="AT7" s="688" t="str">
        <f t="shared" si="0"/>
        <v>Option 1</v>
      </c>
      <c r="AU7" s="688" t="str">
        <f t="shared" si="0"/>
        <v>Option 1</v>
      </c>
      <c r="AV7" s="688" t="str">
        <f t="shared" si="0"/>
        <v>Option 1</v>
      </c>
      <c r="AW7" s="688" t="str">
        <f t="shared" si="0"/>
        <v>Option 1</v>
      </c>
      <c r="AX7" s="688" t="str">
        <f t="shared" si="0"/>
        <v>Option 1</v>
      </c>
      <c r="AY7" s="688" t="str">
        <f t="shared" si="0"/>
        <v>Option 1</v>
      </c>
      <c r="AZ7" s="688" t="str">
        <f t="shared" si="0"/>
        <v>Option 1</v>
      </c>
      <c r="BA7" s="688" t="str">
        <f t="shared" si="0"/>
        <v>Option 1</v>
      </c>
      <c r="BB7" s="688" t="str">
        <f t="shared" si="0"/>
        <v>Option 1</v>
      </c>
      <c r="BC7" s="688" t="str">
        <f t="shared" si="0"/>
        <v>Option 1</v>
      </c>
      <c r="BD7" s="688" t="str">
        <f t="shared" si="0"/>
        <v>Option 1</v>
      </c>
      <c r="BE7" s="688" t="str">
        <f t="shared" si="0"/>
        <v>Option 1</v>
      </c>
      <c r="BF7" s="688" t="str">
        <f t="shared" si="0"/>
        <v>Option 1</v>
      </c>
      <c r="BG7" s="688" t="str">
        <f t="shared" si="0"/>
        <v>Option 1</v>
      </c>
      <c r="BH7" s="688" t="str">
        <f t="shared" si="0"/>
        <v>Option 1</v>
      </c>
      <c r="BI7" s="688" t="str">
        <f t="shared" si="0"/>
        <v>Option 1</v>
      </c>
      <c r="BJ7" s="688" t="str">
        <f t="shared" si="0"/>
        <v>Option 1</v>
      </c>
      <c r="BK7" s="688" t="str">
        <f t="shared" si="0"/>
        <v>Option 1</v>
      </c>
      <c r="BL7" s="688" t="str">
        <f t="shared" si="0"/>
        <v>Option 1</v>
      </c>
      <c r="BM7" s="688" t="str">
        <f t="shared" si="0"/>
        <v>Option 1</v>
      </c>
      <c r="BN7" s="688" t="str">
        <f t="shared" si="0"/>
        <v>Option 1</v>
      </c>
      <c r="BO7" s="688" t="str">
        <f t="shared" si="0"/>
        <v>Option 1</v>
      </c>
      <c r="BP7" s="688" t="str">
        <f t="shared" si="0"/>
        <v>Option 1</v>
      </c>
      <c r="BQ7" s="688" t="str">
        <f t="shared" si="0"/>
        <v>Option 1</v>
      </c>
      <c r="BR7" s="688" t="str">
        <f t="shared" si="0"/>
        <v>Option 1</v>
      </c>
      <c r="BS7" s="215"/>
      <c r="BT7" s="689" t="s">
        <v>405</v>
      </c>
      <c r="BU7" s="689" t="str">
        <f>BT7</f>
        <v>Option 2</v>
      </c>
      <c r="BV7" s="689" t="str">
        <f t="shared" ref="BV7:CW7" si="1">BU7</f>
        <v>Option 2</v>
      </c>
      <c r="BW7" s="689" t="str">
        <f t="shared" si="1"/>
        <v>Option 2</v>
      </c>
      <c r="BX7" s="689" t="str">
        <f t="shared" si="1"/>
        <v>Option 2</v>
      </c>
      <c r="BY7" s="689" t="str">
        <f t="shared" si="1"/>
        <v>Option 2</v>
      </c>
      <c r="BZ7" s="689" t="str">
        <f t="shared" si="1"/>
        <v>Option 2</v>
      </c>
      <c r="CA7" s="689" t="str">
        <f t="shared" si="1"/>
        <v>Option 2</v>
      </c>
      <c r="CB7" s="689" t="str">
        <f t="shared" si="1"/>
        <v>Option 2</v>
      </c>
      <c r="CC7" s="689" t="str">
        <f t="shared" si="1"/>
        <v>Option 2</v>
      </c>
      <c r="CD7" s="689" t="str">
        <f t="shared" si="1"/>
        <v>Option 2</v>
      </c>
      <c r="CE7" s="689" t="str">
        <f t="shared" si="1"/>
        <v>Option 2</v>
      </c>
      <c r="CF7" s="689" t="str">
        <f t="shared" si="1"/>
        <v>Option 2</v>
      </c>
      <c r="CG7" s="689" t="str">
        <f t="shared" si="1"/>
        <v>Option 2</v>
      </c>
      <c r="CH7" s="689" t="str">
        <f t="shared" si="1"/>
        <v>Option 2</v>
      </c>
      <c r="CI7" s="689" t="str">
        <f t="shared" si="1"/>
        <v>Option 2</v>
      </c>
      <c r="CJ7" s="689" t="str">
        <f t="shared" si="1"/>
        <v>Option 2</v>
      </c>
      <c r="CK7" s="689" t="str">
        <f t="shared" si="1"/>
        <v>Option 2</v>
      </c>
      <c r="CL7" s="689" t="str">
        <f t="shared" si="1"/>
        <v>Option 2</v>
      </c>
      <c r="CM7" s="689" t="str">
        <f t="shared" si="1"/>
        <v>Option 2</v>
      </c>
      <c r="CN7" s="689" t="str">
        <f t="shared" si="1"/>
        <v>Option 2</v>
      </c>
      <c r="CO7" s="689" t="str">
        <f t="shared" si="1"/>
        <v>Option 2</v>
      </c>
      <c r="CP7" s="689" t="str">
        <f t="shared" si="1"/>
        <v>Option 2</v>
      </c>
      <c r="CQ7" s="689" t="str">
        <f t="shared" si="1"/>
        <v>Option 2</v>
      </c>
      <c r="CR7" s="689" t="str">
        <f t="shared" si="1"/>
        <v>Option 2</v>
      </c>
      <c r="CS7" s="689" t="str">
        <f t="shared" si="1"/>
        <v>Option 2</v>
      </c>
      <c r="CT7" s="689" t="str">
        <f t="shared" si="1"/>
        <v>Option 2</v>
      </c>
      <c r="CU7" s="689" t="str">
        <f t="shared" si="1"/>
        <v>Option 2</v>
      </c>
      <c r="CV7" s="689" t="str">
        <f t="shared" si="1"/>
        <v>Option 2</v>
      </c>
      <c r="CW7" s="689" t="str">
        <f t="shared" si="1"/>
        <v>Option 2</v>
      </c>
      <c r="CX7" s="215"/>
      <c r="CY7" s="690" t="s">
        <v>407</v>
      </c>
      <c r="CZ7" s="690" t="s">
        <v>407</v>
      </c>
      <c r="DA7" s="690" t="s">
        <v>407</v>
      </c>
      <c r="DB7" s="690" t="s">
        <v>407</v>
      </c>
      <c r="DC7" s="690" t="s">
        <v>407</v>
      </c>
      <c r="DD7" s="690" t="s">
        <v>407</v>
      </c>
      <c r="DE7" s="690" t="s">
        <v>407</v>
      </c>
      <c r="DF7" s="690" t="s">
        <v>407</v>
      </c>
      <c r="DG7" s="690" t="s">
        <v>407</v>
      </c>
      <c r="DH7" s="690" t="s">
        <v>407</v>
      </c>
      <c r="DI7" s="690" t="s">
        <v>407</v>
      </c>
      <c r="DJ7" s="690" t="s">
        <v>407</v>
      </c>
      <c r="DK7" s="690" t="s">
        <v>407</v>
      </c>
      <c r="DL7" s="690" t="s">
        <v>407</v>
      </c>
      <c r="DM7" s="690" t="s">
        <v>407</v>
      </c>
      <c r="DN7" s="690" t="s">
        <v>407</v>
      </c>
      <c r="DO7" s="690" t="s">
        <v>407</v>
      </c>
      <c r="DP7" s="690" t="s">
        <v>407</v>
      </c>
      <c r="DQ7" s="690" t="s">
        <v>407</v>
      </c>
      <c r="DR7" s="690" t="s">
        <v>407</v>
      </c>
      <c r="DS7" s="690" t="s">
        <v>407</v>
      </c>
      <c r="DT7" s="690" t="s">
        <v>407</v>
      </c>
      <c r="DU7" s="690" t="s">
        <v>407</v>
      </c>
      <c r="DV7" s="690" t="s">
        <v>407</v>
      </c>
      <c r="DW7" s="690" t="s">
        <v>407</v>
      </c>
      <c r="DX7" s="690" t="s">
        <v>407</v>
      </c>
      <c r="DY7" s="690" t="s">
        <v>407</v>
      </c>
      <c r="DZ7" s="690" t="s">
        <v>407</v>
      </c>
      <c r="EA7" s="690" t="s">
        <v>407</v>
      </c>
      <c r="EB7" s="690" t="s">
        <v>407</v>
      </c>
      <c r="EC7" s="215"/>
      <c r="ED7" s="691" t="s">
        <v>692</v>
      </c>
      <c r="EE7" s="691" t="s">
        <v>692</v>
      </c>
      <c r="EF7" s="691" t="s">
        <v>692</v>
      </c>
      <c r="EG7" s="691" t="s">
        <v>692</v>
      </c>
      <c r="EH7" s="691" t="s">
        <v>692</v>
      </c>
      <c r="EI7" s="691" t="s">
        <v>692</v>
      </c>
      <c r="EJ7" s="691" t="s">
        <v>692</v>
      </c>
      <c r="EK7" s="691" t="s">
        <v>692</v>
      </c>
      <c r="EL7" s="691" t="s">
        <v>692</v>
      </c>
      <c r="EM7" s="691" t="s">
        <v>692</v>
      </c>
      <c r="EN7" s="691" t="s">
        <v>692</v>
      </c>
      <c r="EO7" s="691" t="s">
        <v>692</v>
      </c>
      <c r="EP7" s="691" t="s">
        <v>692</v>
      </c>
      <c r="EQ7" s="691" t="s">
        <v>692</v>
      </c>
      <c r="ER7" s="691" t="s">
        <v>692</v>
      </c>
      <c r="ES7" s="691" t="s">
        <v>692</v>
      </c>
      <c r="ET7" s="691" t="s">
        <v>692</v>
      </c>
      <c r="EU7" s="691" t="s">
        <v>692</v>
      </c>
      <c r="EV7" s="691" t="s">
        <v>692</v>
      </c>
      <c r="EW7" s="691" t="s">
        <v>692</v>
      </c>
      <c r="EX7" s="691" t="s">
        <v>692</v>
      </c>
      <c r="EY7" s="691" t="s">
        <v>692</v>
      </c>
      <c r="EZ7" s="691" t="s">
        <v>692</v>
      </c>
      <c r="FA7" s="691" t="s">
        <v>692</v>
      </c>
      <c r="FB7" s="691" t="s">
        <v>692</v>
      </c>
      <c r="FC7" s="691" t="s">
        <v>692</v>
      </c>
      <c r="FD7" s="691" t="s">
        <v>692</v>
      </c>
      <c r="FE7" s="691" t="s">
        <v>692</v>
      </c>
      <c r="FF7" s="691" t="s">
        <v>692</v>
      </c>
      <c r="FG7" s="691" t="s">
        <v>692</v>
      </c>
      <c r="FH7" s="215"/>
      <c r="FI7" s="693" t="s">
        <v>693</v>
      </c>
      <c r="FJ7" s="693" t="s">
        <v>693</v>
      </c>
      <c r="FK7" s="693" t="s">
        <v>693</v>
      </c>
      <c r="FL7" s="693" t="s">
        <v>693</v>
      </c>
      <c r="FM7" s="693" t="s">
        <v>693</v>
      </c>
      <c r="FN7" s="693" t="s">
        <v>693</v>
      </c>
      <c r="FO7" s="693" t="s">
        <v>693</v>
      </c>
      <c r="FP7" s="693" t="s">
        <v>693</v>
      </c>
      <c r="FQ7" s="693" t="s">
        <v>693</v>
      </c>
      <c r="FR7" s="693" t="s">
        <v>693</v>
      </c>
      <c r="FS7" s="693" t="s">
        <v>693</v>
      </c>
      <c r="FT7" s="693" t="s">
        <v>693</v>
      </c>
      <c r="FU7" s="693" t="s">
        <v>693</v>
      </c>
      <c r="FV7" s="693" t="s">
        <v>693</v>
      </c>
      <c r="FW7" s="693" t="s">
        <v>693</v>
      </c>
      <c r="FX7" s="693" t="s">
        <v>693</v>
      </c>
      <c r="FY7" s="693" t="s">
        <v>693</v>
      </c>
      <c r="FZ7" s="693" t="s">
        <v>693</v>
      </c>
      <c r="GA7" s="693" t="s">
        <v>693</v>
      </c>
      <c r="GB7" s="693" t="s">
        <v>693</v>
      </c>
      <c r="GC7" s="693" t="s">
        <v>693</v>
      </c>
      <c r="GD7" s="693" t="s">
        <v>693</v>
      </c>
      <c r="GE7" s="693" t="s">
        <v>693</v>
      </c>
      <c r="GF7" s="693" t="s">
        <v>693</v>
      </c>
      <c r="GG7" s="693" t="s">
        <v>693</v>
      </c>
      <c r="GH7" s="693" t="s">
        <v>693</v>
      </c>
      <c r="GI7" s="693" t="s">
        <v>693</v>
      </c>
      <c r="GJ7" s="693" t="s">
        <v>693</v>
      </c>
      <c r="GK7" s="693" t="s">
        <v>693</v>
      </c>
      <c r="GL7" s="693" t="s">
        <v>693</v>
      </c>
      <c r="GM7" s="215"/>
      <c r="GN7" s="696" t="s">
        <v>694</v>
      </c>
      <c r="GO7" s="696" t="s">
        <v>694</v>
      </c>
      <c r="GP7" s="696" t="s">
        <v>694</v>
      </c>
      <c r="GQ7" s="696" t="s">
        <v>694</v>
      </c>
      <c r="GR7" s="696" t="s">
        <v>694</v>
      </c>
      <c r="GS7" s="696" t="s">
        <v>694</v>
      </c>
      <c r="GT7" s="696" t="s">
        <v>694</v>
      </c>
      <c r="GU7" s="696" t="s">
        <v>694</v>
      </c>
      <c r="GV7" s="696" t="s">
        <v>694</v>
      </c>
      <c r="GW7" s="696" t="s">
        <v>694</v>
      </c>
      <c r="GX7" s="696" t="s">
        <v>694</v>
      </c>
      <c r="GY7" s="696" t="s">
        <v>694</v>
      </c>
      <c r="GZ7" s="696" t="s">
        <v>694</v>
      </c>
      <c r="HA7" s="696" t="s">
        <v>694</v>
      </c>
      <c r="HB7" s="696" t="s">
        <v>694</v>
      </c>
      <c r="HC7" s="696" t="s">
        <v>694</v>
      </c>
      <c r="HD7" s="696" t="s">
        <v>694</v>
      </c>
      <c r="HE7" s="696" t="s">
        <v>694</v>
      </c>
      <c r="HF7" s="696" t="s">
        <v>694</v>
      </c>
      <c r="HG7" s="696" t="s">
        <v>694</v>
      </c>
      <c r="HH7" s="696" t="s">
        <v>694</v>
      </c>
      <c r="HI7" s="696" t="s">
        <v>694</v>
      </c>
      <c r="HJ7" s="696" t="s">
        <v>694</v>
      </c>
      <c r="HK7" s="696" t="s">
        <v>694</v>
      </c>
      <c r="HL7" s="696" t="s">
        <v>694</v>
      </c>
      <c r="HM7" s="696" t="s">
        <v>694</v>
      </c>
      <c r="HN7" s="696" t="s">
        <v>694</v>
      </c>
      <c r="HO7" s="696" t="s">
        <v>694</v>
      </c>
      <c r="HP7" s="696" t="s">
        <v>694</v>
      </c>
      <c r="HQ7" s="696" t="s">
        <v>694</v>
      </c>
    </row>
    <row r="8" spans="1:225" s="24" customFormat="1" ht="17.25" x14ac:dyDescent="0.3">
      <c r="A8" t="s">
        <v>505</v>
      </c>
      <c r="B8" t="s">
        <v>506</v>
      </c>
      <c r="C8" s="1070"/>
      <c r="D8" s="1070"/>
      <c r="E8" s="25" t="s">
        <v>40</v>
      </c>
      <c r="F8" s="232"/>
      <c r="G8" s="25" t="s">
        <v>363</v>
      </c>
      <c r="H8" s="25" t="str">
        <f>"("&amp;$D$5&amp;")"</f>
        <v>(VND)</v>
      </c>
      <c r="I8" s="25" t="str">
        <f>"("&amp;$D$5&amp;")"</f>
        <v>(VND)</v>
      </c>
      <c r="J8" s="25" t="str">
        <f>"("&amp;$D$5&amp;"/năm)"</f>
        <v>(VND/năm)</v>
      </c>
      <c r="K8" s="232"/>
      <c r="L8" s="25" t="s">
        <v>363</v>
      </c>
      <c r="M8" s="25" t="str">
        <f>"("&amp;$D$5&amp;")"</f>
        <v>(VND)</v>
      </c>
      <c r="N8" s="25" t="str">
        <f>"("&amp;$D$5&amp;")"</f>
        <v>(VND)</v>
      </c>
      <c r="O8" s="25" t="str">
        <f>"("&amp;$D$5&amp;"/năm)"</f>
        <v>(VND/năm)</v>
      </c>
      <c r="P8" s="218"/>
      <c r="Q8" s="25" t="s">
        <v>363</v>
      </c>
      <c r="R8" s="25" t="str">
        <f>"("&amp;$D$5&amp;")"</f>
        <v>(VND)</v>
      </c>
      <c r="S8" s="25" t="str">
        <f>"("&amp;$D$5&amp;")"</f>
        <v>(VND)</v>
      </c>
      <c r="T8" s="25" t="str">
        <f>"("&amp;$D$5&amp;"/năm)"</f>
        <v>(VND/năm)</v>
      </c>
      <c r="U8" s="218"/>
      <c r="V8" s="25" t="s">
        <v>363</v>
      </c>
      <c r="W8" s="25" t="str">
        <f>"("&amp;$D$5&amp;")"</f>
        <v>(VND)</v>
      </c>
      <c r="X8" s="25" t="str">
        <f>"("&amp;$D$5&amp;")"</f>
        <v>(VND)</v>
      </c>
      <c r="Y8" s="25" t="str">
        <f>"("&amp;$D$5&amp;"/năm)"</f>
        <v>(VND/năm)</v>
      </c>
      <c r="Z8" s="218"/>
      <c r="AA8" s="25" t="s">
        <v>363</v>
      </c>
      <c r="AB8" s="25" t="str">
        <f>"("&amp;$D$5&amp;")"</f>
        <v>(VND)</v>
      </c>
      <c r="AC8" s="25" t="str">
        <f>"("&amp;$D$5&amp;")"</f>
        <v>(VND)</v>
      </c>
      <c r="AD8" s="25" t="str">
        <f>"("&amp;$D$5&amp;"/năm)"</f>
        <v>(VND/năm)</v>
      </c>
      <c r="AE8" s="218"/>
      <c r="AF8" s="25" t="s">
        <v>363</v>
      </c>
      <c r="AG8" s="25" t="str">
        <f>"("&amp;$D$5&amp;")"</f>
        <v>(VND)</v>
      </c>
      <c r="AH8" s="25" t="str">
        <f>"("&amp;$D$5&amp;")"</f>
        <v>(VND)</v>
      </c>
      <c r="AI8" s="25" t="str">
        <f>"("&amp;$D$5&amp;"/năm)"</f>
        <v>(VND/năm)</v>
      </c>
      <c r="AJ8" s="218"/>
      <c r="AK8" s="1070"/>
      <c r="AL8" s="1070"/>
      <c r="AM8" s="215"/>
      <c r="AN8" s="215"/>
      <c r="AO8" s="259">
        <v>1</v>
      </c>
      <c r="AP8" s="259">
        <v>2</v>
      </c>
      <c r="AQ8" s="259">
        <v>3</v>
      </c>
      <c r="AR8" s="259">
        <v>4</v>
      </c>
      <c r="AS8" s="259">
        <v>5</v>
      </c>
      <c r="AT8" s="259">
        <v>6</v>
      </c>
      <c r="AU8" s="259">
        <v>7</v>
      </c>
      <c r="AV8" s="259">
        <v>8</v>
      </c>
      <c r="AW8" s="259">
        <v>9</v>
      </c>
      <c r="AX8" s="259">
        <v>10</v>
      </c>
      <c r="AY8" s="259">
        <v>11</v>
      </c>
      <c r="AZ8" s="259">
        <v>12</v>
      </c>
      <c r="BA8" s="259">
        <v>13</v>
      </c>
      <c r="BB8" s="259">
        <v>14</v>
      </c>
      <c r="BC8" s="259">
        <v>15</v>
      </c>
      <c r="BD8" s="259">
        <v>16</v>
      </c>
      <c r="BE8" s="259">
        <v>17</v>
      </c>
      <c r="BF8" s="259">
        <v>18</v>
      </c>
      <c r="BG8" s="259">
        <v>19</v>
      </c>
      <c r="BH8" s="259">
        <v>20</v>
      </c>
      <c r="BI8" s="259">
        <v>21</v>
      </c>
      <c r="BJ8" s="259">
        <v>22</v>
      </c>
      <c r="BK8" s="259">
        <v>23</v>
      </c>
      <c r="BL8" s="259">
        <v>24</v>
      </c>
      <c r="BM8" s="259">
        <v>25</v>
      </c>
      <c r="BN8" s="259">
        <v>26</v>
      </c>
      <c r="BO8" s="259">
        <v>27</v>
      </c>
      <c r="BP8" s="259">
        <v>28</v>
      </c>
      <c r="BQ8" s="259">
        <v>29</v>
      </c>
      <c r="BR8" s="259">
        <v>30</v>
      </c>
      <c r="BS8" s="215"/>
      <c r="BT8" s="260">
        <v>1</v>
      </c>
      <c r="BU8" s="260">
        <v>2</v>
      </c>
      <c r="BV8" s="260">
        <v>3</v>
      </c>
      <c r="BW8" s="260">
        <v>4</v>
      </c>
      <c r="BX8" s="260">
        <v>5</v>
      </c>
      <c r="BY8" s="260">
        <v>6</v>
      </c>
      <c r="BZ8" s="260">
        <v>7</v>
      </c>
      <c r="CA8" s="260">
        <v>8</v>
      </c>
      <c r="CB8" s="260">
        <v>9</v>
      </c>
      <c r="CC8" s="260">
        <v>10</v>
      </c>
      <c r="CD8" s="260">
        <v>11</v>
      </c>
      <c r="CE8" s="260">
        <v>12</v>
      </c>
      <c r="CF8" s="260">
        <v>13</v>
      </c>
      <c r="CG8" s="260">
        <v>14</v>
      </c>
      <c r="CH8" s="260">
        <v>15</v>
      </c>
      <c r="CI8" s="260">
        <v>16</v>
      </c>
      <c r="CJ8" s="260">
        <v>17</v>
      </c>
      <c r="CK8" s="260">
        <v>18</v>
      </c>
      <c r="CL8" s="260">
        <v>19</v>
      </c>
      <c r="CM8" s="260">
        <v>20</v>
      </c>
      <c r="CN8" s="260">
        <v>21</v>
      </c>
      <c r="CO8" s="260">
        <v>22</v>
      </c>
      <c r="CP8" s="260">
        <v>23</v>
      </c>
      <c r="CQ8" s="260">
        <v>24</v>
      </c>
      <c r="CR8" s="260">
        <v>25</v>
      </c>
      <c r="CS8" s="260">
        <v>26</v>
      </c>
      <c r="CT8" s="260">
        <v>27</v>
      </c>
      <c r="CU8" s="260">
        <v>28</v>
      </c>
      <c r="CV8" s="260">
        <v>29</v>
      </c>
      <c r="CW8" s="260">
        <v>30</v>
      </c>
      <c r="CX8" s="215"/>
      <c r="CY8" s="261">
        <v>1</v>
      </c>
      <c r="CZ8" s="261">
        <v>2</v>
      </c>
      <c r="DA8" s="261">
        <v>3</v>
      </c>
      <c r="DB8" s="261">
        <v>4</v>
      </c>
      <c r="DC8" s="261">
        <v>5</v>
      </c>
      <c r="DD8" s="261">
        <v>6</v>
      </c>
      <c r="DE8" s="261">
        <v>7</v>
      </c>
      <c r="DF8" s="261">
        <v>8</v>
      </c>
      <c r="DG8" s="261">
        <v>9</v>
      </c>
      <c r="DH8" s="261">
        <v>10</v>
      </c>
      <c r="DI8" s="261">
        <v>11</v>
      </c>
      <c r="DJ8" s="261">
        <v>12</v>
      </c>
      <c r="DK8" s="261">
        <v>13</v>
      </c>
      <c r="DL8" s="261">
        <v>14</v>
      </c>
      <c r="DM8" s="261">
        <v>15</v>
      </c>
      <c r="DN8" s="261">
        <v>16</v>
      </c>
      <c r="DO8" s="261">
        <v>17</v>
      </c>
      <c r="DP8" s="261">
        <v>18</v>
      </c>
      <c r="DQ8" s="261">
        <v>19</v>
      </c>
      <c r="DR8" s="261">
        <v>20</v>
      </c>
      <c r="DS8" s="261">
        <v>21</v>
      </c>
      <c r="DT8" s="261">
        <v>22</v>
      </c>
      <c r="DU8" s="261">
        <v>23</v>
      </c>
      <c r="DV8" s="261">
        <v>24</v>
      </c>
      <c r="DW8" s="261">
        <v>25</v>
      </c>
      <c r="DX8" s="261">
        <v>26</v>
      </c>
      <c r="DY8" s="261">
        <v>27</v>
      </c>
      <c r="DZ8" s="261">
        <v>28</v>
      </c>
      <c r="EA8" s="261">
        <v>29</v>
      </c>
      <c r="EB8" s="261">
        <v>30</v>
      </c>
      <c r="EC8" s="215"/>
      <c r="ED8" s="692">
        <v>1</v>
      </c>
      <c r="EE8" s="692">
        <v>2</v>
      </c>
      <c r="EF8" s="692">
        <v>3</v>
      </c>
      <c r="EG8" s="692">
        <v>4</v>
      </c>
      <c r="EH8" s="692">
        <v>5</v>
      </c>
      <c r="EI8" s="692">
        <v>6</v>
      </c>
      <c r="EJ8" s="692">
        <v>7</v>
      </c>
      <c r="EK8" s="692">
        <v>8</v>
      </c>
      <c r="EL8" s="692">
        <v>9</v>
      </c>
      <c r="EM8" s="692">
        <v>10</v>
      </c>
      <c r="EN8" s="692">
        <v>11</v>
      </c>
      <c r="EO8" s="692">
        <v>12</v>
      </c>
      <c r="EP8" s="692">
        <v>13</v>
      </c>
      <c r="EQ8" s="692">
        <v>14</v>
      </c>
      <c r="ER8" s="692">
        <v>15</v>
      </c>
      <c r="ES8" s="692">
        <v>16</v>
      </c>
      <c r="ET8" s="692">
        <v>17</v>
      </c>
      <c r="EU8" s="692">
        <v>18</v>
      </c>
      <c r="EV8" s="692">
        <v>19</v>
      </c>
      <c r="EW8" s="692">
        <v>20</v>
      </c>
      <c r="EX8" s="692">
        <v>21</v>
      </c>
      <c r="EY8" s="692">
        <v>22</v>
      </c>
      <c r="EZ8" s="692">
        <v>23</v>
      </c>
      <c r="FA8" s="692">
        <v>24</v>
      </c>
      <c r="FB8" s="692">
        <v>25</v>
      </c>
      <c r="FC8" s="692">
        <v>26</v>
      </c>
      <c r="FD8" s="692">
        <v>27</v>
      </c>
      <c r="FE8" s="692">
        <v>28</v>
      </c>
      <c r="FF8" s="692">
        <v>29</v>
      </c>
      <c r="FG8" s="692">
        <v>30</v>
      </c>
      <c r="FH8" s="215"/>
      <c r="FI8" s="694">
        <v>1</v>
      </c>
      <c r="FJ8" s="694">
        <v>2</v>
      </c>
      <c r="FK8" s="694">
        <v>3</v>
      </c>
      <c r="FL8" s="694">
        <v>4</v>
      </c>
      <c r="FM8" s="694">
        <v>5</v>
      </c>
      <c r="FN8" s="694">
        <v>6</v>
      </c>
      <c r="FO8" s="694">
        <v>7</v>
      </c>
      <c r="FP8" s="694">
        <v>8</v>
      </c>
      <c r="FQ8" s="694">
        <v>9</v>
      </c>
      <c r="FR8" s="694">
        <v>10</v>
      </c>
      <c r="FS8" s="694">
        <v>11</v>
      </c>
      <c r="FT8" s="694">
        <v>12</v>
      </c>
      <c r="FU8" s="694">
        <v>13</v>
      </c>
      <c r="FV8" s="694">
        <v>14</v>
      </c>
      <c r="FW8" s="694">
        <v>15</v>
      </c>
      <c r="FX8" s="694">
        <v>16</v>
      </c>
      <c r="FY8" s="694">
        <v>17</v>
      </c>
      <c r="FZ8" s="694">
        <v>18</v>
      </c>
      <c r="GA8" s="694">
        <v>19</v>
      </c>
      <c r="GB8" s="694">
        <v>20</v>
      </c>
      <c r="GC8" s="694">
        <v>21</v>
      </c>
      <c r="GD8" s="694">
        <v>22</v>
      </c>
      <c r="GE8" s="694">
        <v>23</v>
      </c>
      <c r="GF8" s="694">
        <v>24</v>
      </c>
      <c r="GG8" s="694">
        <v>25</v>
      </c>
      <c r="GH8" s="694">
        <v>26</v>
      </c>
      <c r="GI8" s="694">
        <v>27</v>
      </c>
      <c r="GJ8" s="694">
        <v>28</v>
      </c>
      <c r="GK8" s="694">
        <v>29</v>
      </c>
      <c r="GL8" s="694">
        <v>30</v>
      </c>
      <c r="GM8" s="215"/>
      <c r="GN8" s="697">
        <v>1</v>
      </c>
      <c r="GO8" s="697">
        <v>2</v>
      </c>
      <c r="GP8" s="697">
        <v>3</v>
      </c>
      <c r="GQ8" s="697">
        <v>4</v>
      </c>
      <c r="GR8" s="697">
        <v>5</v>
      </c>
      <c r="GS8" s="697">
        <v>6</v>
      </c>
      <c r="GT8" s="697">
        <v>7</v>
      </c>
      <c r="GU8" s="697">
        <v>8</v>
      </c>
      <c r="GV8" s="697">
        <v>9</v>
      </c>
      <c r="GW8" s="697">
        <v>10</v>
      </c>
      <c r="GX8" s="697">
        <v>11</v>
      </c>
      <c r="GY8" s="697">
        <v>12</v>
      </c>
      <c r="GZ8" s="697">
        <v>13</v>
      </c>
      <c r="HA8" s="697">
        <v>14</v>
      </c>
      <c r="HB8" s="697">
        <v>15</v>
      </c>
      <c r="HC8" s="697">
        <v>16</v>
      </c>
      <c r="HD8" s="697">
        <v>17</v>
      </c>
      <c r="HE8" s="697">
        <v>18</v>
      </c>
      <c r="HF8" s="697">
        <v>19</v>
      </c>
      <c r="HG8" s="697">
        <v>20</v>
      </c>
      <c r="HH8" s="697">
        <v>21</v>
      </c>
      <c r="HI8" s="697">
        <v>22</v>
      </c>
      <c r="HJ8" s="697">
        <v>23</v>
      </c>
      <c r="HK8" s="697">
        <v>24</v>
      </c>
      <c r="HL8" s="697">
        <v>25</v>
      </c>
      <c r="HM8" s="697">
        <v>26</v>
      </c>
      <c r="HN8" s="697">
        <v>27</v>
      </c>
      <c r="HO8" s="697">
        <v>28</v>
      </c>
      <c r="HP8" s="697">
        <v>29</v>
      </c>
      <c r="HQ8" s="697">
        <v>30</v>
      </c>
    </row>
    <row r="9" spans="1:225" s="16" customFormat="1" ht="3.75" customHeight="1" x14ac:dyDescent="0.25">
      <c r="A9"/>
      <c r="B9"/>
      <c r="C9" s="19"/>
    </row>
    <row r="10" spans="1:225" s="22" customFormat="1" ht="17.25" x14ac:dyDescent="0.3">
      <c r="A10"/>
      <c r="B10"/>
      <c r="C10" s="21">
        <v>1</v>
      </c>
      <c r="D10" s="22" t="s">
        <v>31</v>
      </c>
      <c r="F10" s="219"/>
      <c r="G10" s="139"/>
      <c r="I10" s="28">
        <f>I12+I20</f>
        <v>284499800000</v>
      </c>
      <c r="J10" s="28">
        <f>J12+J20</f>
        <v>23708316666.666668</v>
      </c>
      <c r="K10" s="219"/>
      <c r="L10" s="139"/>
      <c r="M10" s="139"/>
      <c r="N10" s="28">
        <f>N12+N20</f>
        <v>318760000000</v>
      </c>
      <c r="O10" s="28">
        <f>O12+O20</f>
        <v>26563333333.333332</v>
      </c>
      <c r="P10" s="219"/>
      <c r="Q10" s="139"/>
      <c r="R10" s="139"/>
      <c r="S10" s="28">
        <f>S12+S20</f>
        <v>318760000000</v>
      </c>
      <c r="T10" s="28">
        <f>T12+T20</f>
        <v>26563333333.333332</v>
      </c>
      <c r="U10" s="219"/>
      <c r="V10" s="139"/>
      <c r="W10" s="139"/>
      <c r="X10" s="28">
        <f>X12+X20</f>
        <v>284499800000</v>
      </c>
      <c r="Y10" s="28">
        <f>Y12+Y20</f>
        <v>23708316666.666668</v>
      </c>
      <c r="Z10" s="219"/>
      <c r="AA10" s="139"/>
      <c r="AB10" s="139"/>
      <c r="AC10" s="28">
        <f>AC12+AC20</f>
        <v>298714000000</v>
      </c>
      <c r="AD10" s="28">
        <f>AD12+AD20</f>
        <v>24892833333.333332</v>
      </c>
      <c r="AE10" s="219"/>
      <c r="AF10" s="139"/>
      <c r="AG10" s="139"/>
      <c r="AH10" s="28">
        <f>AH12+AH20</f>
        <v>298714000000</v>
      </c>
      <c r="AI10" s="28">
        <f>AI12+AI20</f>
        <v>24892833333.333332</v>
      </c>
      <c r="AJ10" s="219"/>
      <c r="AN10" s="649"/>
      <c r="AO10" s="28">
        <f t="shared" ref="AO10:BR10" si="2">AO12+AO20</f>
        <v>23708316666.666668</v>
      </c>
      <c r="AP10" s="28">
        <f t="shared" si="2"/>
        <v>23708316666.666668</v>
      </c>
      <c r="AQ10" s="28">
        <f t="shared" si="2"/>
        <v>23708316666.666668</v>
      </c>
      <c r="AR10" s="28">
        <f t="shared" si="2"/>
        <v>23708316666.666668</v>
      </c>
      <c r="AS10" s="28">
        <f t="shared" si="2"/>
        <v>23708316666.666668</v>
      </c>
      <c r="AT10" s="28">
        <f t="shared" si="2"/>
        <v>23708316666.666668</v>
      </c>
      <c r="AU10" s="28">
        <f t="shared" si="2"/>
        <v>23708316666.666668</v>
      </c>
      <c r="AV10" s="28">
        <f t="shared" si="2"/>
        <v>23708316666.666668</v>
      </c>
      <c r="AW10" s="28">
        <f t="shared" si="2"/>
        <v>23708316666.666668</v>
      </c>
      <c r="AX10" s="28">
        <f t="shared" si="2"/>
        <v>23708316666.666668</v>
      </c>
      <c r="AY10" s="28">
        <f t="shared" si="2"/>
        <v>23708316666.666668</v>
      </c>
      <c r="AZ10" s="28">
        <f t="shared" si="2"/>
        <v>23708316666.666668</v>
      </c>
      <c r="BA10" s="28">
        <f t="shared" si="2"/>
        <v>0</v>
      </c>
      <c r="BB10" s="28">
        <f t="shared" si="2"/>
        <v>0</v>
      </c>
      <c r="BC10" s="28">
        <f t="shared" si="2"/>
        <v>0</v>
      </c>
      <c r="BD10" s="28">
        <f t="shared" si="2"/>
        <v>0</v>
      </c>
      <c r="BE10" s="28">
        <f t="shared" si="2"/>
        <v>0</v>
      </c>
      <c r="BF10" s="28">
        <f t="shared" si="2"/>
        <v>0</v>
      </c>
      <c r="BG10" s="28">
        <f t="shared" si="2"/>
        <v>0</v>
      </c>
      <c r="BH10" s="28">
        <f t="shared" si="2"/>
        <v>0</v>
      </c>
      <c r="BI10" s="28">
        <f t="shared" si="2"/>
        <v>0</v>
      </c>
      <c r="BJ10" s="28">
        <f t="shared" si="2"/>
        <v>0</v>
      </c>
      <c r="BK10" s="28">
        <f t="shared" si="2"/>
        <v>0</v>
      </c>
      <c r="BL10" s="28">
        <f t="shared" si="2"/>
        <v>0</v>
      </c>
      <c r="BM10" s="28">
        <f t="shared" si="2"/>
        <v>0</v>
      </c>
      <c r="BN10" s="28">
        <f t="shared" si="2"/>
        <v>0</v>
      </c>
      <c r="BO10" s="28">
        <f t="shared" si="2"/>
        <v>0</v>
      </c>
      <c r="BP10" s="28">
        <f t="shared" si="2"/>
        <v>0</v>
      </c>
      <c r="BQ10" s="28">
        <f t="shared" si="2"/>
        <v>0</v>
      </c>
      <c r="BR10" s="28">
        <f t="shared" si="2"/>
        <v>0</v>
      </c>
      <c r="BT10" s="28">
        <f t="shared" ref="BT10:CW10" si="3">BT12+BT20</f>
        <v>26563333333.333332</v>
      </c>
      <c r="BU10" s="28">
        <f t="shared" si="3"/>
        <v>26563333333.333332</v>
      </c>
      <c r="BV10" s="28">
        <f t="shared" si="3"/>
        <v>26563333333.333332</v>
      </c>
      <c r="BW10" s="28">
        <f t="shared" si="3"/>
        <v>26563333333.333332</v>
      </c>
      <c r="BX10" s="28">
        <f t="shared" si="3"/>
        <v>26563333333.333332</v>
      </c>
      <c r="BY10" s="28">
        <f t="shared" si="3"/>
        <v>26563333333.333332</v>
      </c>
      <c r="BZ10" s="28">
        <f t="shared" si="3"/>
        <v>26563333333.333332</v>
      </c>
      <c r="CA10" s="28">
        <f t="shared" si="3"/>
        <v>26563333333.333332</v>
      </c>
      <c r="CB10" s="28">
        <f t="shared" si="3"/>
        <v>26563333333.333332</v>
      </c>
      <c r="CC10" s="28">
        <f t="shared" si="3"/>
        <v>26563333333.333332</v>
      </c>
      <c r="CD10" s="28">
        <f t="shared" si="3"/>
        <v>26563333333.333332</v>
      </c>
      <c r="CE10" s="28">
        <f t="shared" si="3"/>
        <v>26563333333.333332</v>
      </c>
      <c r="CF10" s="28">
        <f t="shared" si="3"/>
        <v>0</v>
      </c>
      <c r="CG10" s="28">
        <f t="shared" si="3"/>
        <v>0</v>
      </c>
      <c r="CH10" s="28">
        <f t="shared" si="3"/>
        <v>0</v>
      </c>
      <c r="CI10" s="28">
        <f t="shared" si="3"/>
        <v>0</v>
      </c>
      <c r="CJ10" s="28">
        <f t="shared" si="3"/>
        <v>0</v>
      </c>
      <c r="CK10" s="28">
        <f t="shared" si="3"/>
        <v>0</v>
      </c>
      <c r="CL10" s="28">
        <f t="shared" si="3"/>
        <v>0</v>
      </c>
      <c r="CM10" s="28">
        <f t="shared" si="3"/>
        <v>0</v>
      </c>
      <c r="CN10" s="28">
        <f t="shared" si="3"/>
        <v>0</v>
      </c>
      <c r="CO10" s="28">
        <f t="shared" si="3"/>
        <v>0</v>
      </c>
      <c r="CP10" s="28">
        <f t="shared" si="3"/>
        <v>0</v>
      </c>
      <c r="CQ10" s="28">
        <f t="shared" si="3"/>
        <v>0</v>
      </c>
      <c r="CR10" s="28">
        <f t="shared" si="3"/>
        <v>0</v>
      </c>
      <c r="CS10" s="28">
        <f t="shared" si="3"/>
        <v>0</v>
      </c>
      <c r="CT10" s="28">
        <f t="shared" si="3"/>
        <v>0</v>
      </c>
      <c r="CU10" s="28">
        <f t="shared" si="3"/>
        <v>0</v>
      </c>
      <c r="CV10" s="28">
        <f t="shared" si="3"/>
        <v>0</v>
      </c>
      <c r="CW10" s="28">
        <f t="shared" si="3"/>
        <v>0</v>
      </c>
      <c r="CY10" s="28">
        <f t="shared" ref="CY10:EB10" si="4">CY12+CY20</f>
        <v>26563333333.333332</v>
      </c>
      <c r="CZ10" s="28">
        <f t="shared" si="4"/>
        <v>26563333333.333332</v>
      </c>
      <c r="DA10" s="28">
        <f t="shared" si="4"/>
        <v>26563333333.333332</v>
      </c>
      <c r="DB10" s="28">
        <f t="shared" si="4"/>
        <v>26563333333.333332</v>
      </c>
      <c r="DC10" s="28">
        <f t="shared" si="4"/>
        <v>26563333333.333332</v>
      </c>
      <c r="DD10" s="28">
        <f t="shared" si="4"/>
        <v>26563333333.333332</v>
      </c>
      <c r="DE10" s="28">
        <f t="shared" si="4"/>
        <v>26563333333.333332</v>
      </c>
      <c r="DF10" s="28">
        <f t="shared" si="4"/>
        <v>26563333333.333332</v>
      </c>
      <c r="DG10" s="28">
        <f t="shared" si="4"/>
        <v>26563333333.333332</v>
      </c>
      <c r="DH10" s="28">
        <f t="shared" si="4"/>
        <v>26563333333.333332</v>
      </c>
      <c r="DI10" s="28">
        <f t="shared" si="4"/>
        <v>26563333333.333332</v>
      </c>
      <c r="DJ10" s="28">
        <f t="shared" si="4"/>
        <v>26563333333.333332</v>
      </c>
      <c r="DK10" s="28">
        <f t="shared" si="4"/>
        <v>0</v>
      </c>
      <c r="DL10" s="28">
        <f t="shared" si="4"/>
        <v>0</v>
      </c>
      <c r="DM10" s="28">
        <f t="shared" si="4"/>
        <v>0</v>
      </c>
      <c r="DN10" s="28">
        <f t="shared" si="4"/>
        <v>0</v>
      </c>
      <c r="DO10" s="28">
        <f t="shared" si="4"/>
        <v>0</v>
      </c>
      <c r="DP10" s="28">
        <f t="shared" si="4"/>
        <v>0</v>
      </c>
      <c r="DQ10" s="28">
        <f t="shared" si="4"/>
        <v>0</v>
      </c>
      <c r="DR10" s="28">
        <f t="shared" si="4"/>
        <v>0</v>
      </c>
      <c r="DS10" s="28">
        <f t="shared" si="4"/>
        <v>0</v>
      </c>
      <c r="DT10" s="28">
        <f t="shared" si="4"/>
        <v>0</v>
      </c>
      <c r="DU10" s="28">
        <f t="shared" si="4"/>
        <v>0</v>
      </c>
      <c r="DV10" s="28">
        <f t="shared" si="4"/>
        <v>0</v>
      </c>
      <c r="DW10" s="28">
        <f t="shared" si="4"/>
        <v>0</v>
      </c>
      <c r="DX10" s="28">
        <f t="shared" si="4"/>
        <v>0</v>
      </c>
      <c r="DY10" s="28">
        <f t="shared" si="4"/>
        <v>0</v>
      </c>
      <c r="DZ10" s="28">
        <f t="shared" si="4"/>
        <v>0</v>
      </c>
      <c r="EA10" s="28">
        <f t="shared" si="4"/>
        <v>0</v>
      </c>
      <c r="EB10" s="28">
        <f t="shared" si="4"/>
        <v>0</v>
      </c>
      <c r="ED10" s="28">
        <f t="shared" ref="ED10:FG10" si="5">ED12+ED20</f>
        <v>23708316666.666668</v>
      </c>
      <c r="EE10" s="28">
        <f t="shared" si="5"/>
        <v>23708316666.666668</v>
      </c>
      <c r="EF10" s="28">
        <f t="shared" si="5"/>
        <v>23708316666.666668</v>
      </c>
      <c r="EG10" s="28">
        <f t="shared" si="5"/>
        <v>23708316666.666668</v>
      </c>
      <c r="EH10" s="28">
        <f t="shared" si="5"/>
        <v>23708316666.666668</v>
      </c>
      <c r="EI10" s="28">
        <f t="shared" si="5"/>
        <v>23708316666.666668</v>
      </c>
      <c r="EJ10" s="28">
        <f t="shared" si="5"/>
        <v>23708316666.666668</v>
      </c>
      <c r="EK10" s="28">
        <f t="shared" si="5"/>
        <v>23708316666.666668</v>
      </c>
      <c r="EL10" s="28">
        <f t="shared" si="5"/>
        <v>23708316666.666668</v>
      </c>
      <c r="EM10" s="28">
        <f t="shared" si="5"/>
        <v>23708316666.666668</v>
      </c>
      <c r="EN10" s="28">
        <f t="shared" si="5"/>
        <v>23708316666.666668</v>
      </c>
      <c r="EO10" s="28">
        <f t="shared" si="5"/>
        <v>23708316666.666668</v>
      </c>
      <c r="EP10" s="28">
        <f t="shared" si="5"/>
        <v>0</v>
      </c>
      <c r="EQ10" s="28">
        <f t="shared" si="5"/>
        <v>0</v>
      </c>
      <c r="ER10" s="28">
        <f t="shared" si="5"/>
        <v>0</v>
      </c>
      <c r="ES10" s="28">
        <f t="shared" si="5"/>
        <v>0</v>
      </c>
      <c r="ET10" s="28">
        <f t="shared" si="5"/>
        <v>0</v>
      </c>
      <c r="EU10" s="28">
        <f t="shared" si="5"/>
        <v>0</v>
      </c>
      <c r="EV10" s="28">
        <f t="shared" si="5"/>
        <v>0</v>
      </c>
      <c r="EW10" s="28">
        <f t="shared" si="5"/>
        <v>0</v>
      </c>
      <c r="EX10" s="28">
        <f t="shared" si="5"/>
        <v>0</v>
      </c>
      <c r="EY10" s="28">
        <f t="shared" si="5"/>
        <v>0</v>
      </c>
      <c r="EZ10" s="28">
        <f t="shared" si="5"/>
        <v>0</v>
      </c>
      <c r="FA10" s="28">
        <f t="shared" si="5"/>
        <v>0</v>
      </c>
      <c r="FB10" s="28">
        <f t="shared" si="5"/>
        <v>0</v>
      </c>
      <c r="FC10" s="28">
        <f t="shared" si="5"/>
        <v>0</v>
      </c>
      <c r="FD10" s="28">
        <f t="shared" si="5"/>
        <v>0</v>
      </c>
      <c r="FE10" s="28">
        <f t="shared" si="5"/>
        <v>0</v>
      </c>
      <c r="FF10" s="28">
        <f t="shared" si="5"/>
        <v>0</v>
      </c>
      <c r="FG10" s="28">
        <f t="shared" si="5"/>
        <v>0</v>
      </c>
      <c r="FI10" s="28">
        <f t="shared" ref="FI10:GL10" si="6">FI12+FI20</f>
        <v>24892833333.333332</v>
      </c>
      <c r="FJ10" s="28">
        <f t="shared" si="6"/>
        <v>24892833333.333332</v>
      </c>
      <c r="FK10" s="28">
        <f t="shared" si="6"/>
        <v>24892833333.333332</v>
      </c>
      <c r="FL10" s="28">
        <f t="shared" si="6"/>
        <v>24892833333.333332</v>
      </c>
      <c r="FM10" s="28">
        <f t="shared" si="6"/>
        <v>24892833333.333332</v>
      </c>
      <c r="FN10" s="28">
        <f t="shared" si="6"/>
        <v>24892833333.333332</v>
      </c>
      <c r="FO10" s="28">
        <f t="shared" si="6"/>
        <v>24892833333.333332</v>
      </c>
      <c r="FP10" s="28">
        <f t="shared" si="6"/>
        <v>24892833333.333332</v>
      </c>
      <c r="FQ10" s="28">
        <f t="shared" si="6"/>
        <v>24892833333.333332</v>
      </c>
      <c r="FR10" s="28">
        <f t="shared" si="6"/>
        <v>24892833333.333332</v>
      </c>
      <c r="FS10" s="28">
        <f t="shared" si="6"/>
        <v>24892833333.333332</v>
      </c>
      <c r="FT10" s="28">
        <f t="shared" si="6"/>
        <v>24892833333.333332</v>
      </c>
      <c r="FU10" s="28">
        <f t="shared" si="6"/>
        <v>0</v>
      </c>
      <c r="FV10" s="28">
        <f t="shared" si="6"/>
        <v>0</v>
      </c>
      <c r="FW10" s="28">
        <f t="shared" si="6"/>
        <v>0</v>
      </c>
      <c r="FX10" s="28">
        <f t="shared" si="6"/>
        <v>0</v>
      </c>
      <c r="FY10" s="28">
        <f t="shared" si="6"/>
        <v>0</v>
      </c>
      <c r="FZ10" s="28">
        <f t="shared" si="6"/>
        <v>0</v>
      </c>
      <c r="GA10" s="28">
        <f t="shared" si="6"/>
        <v>0</v>
      </c>
      <c r="GB10" s="28">
        <f t="shared" si="6"/>
        <v>0</v>
      </c>
      <c r="GC10" s="28">
        <f t="shared" si="6"/>
        <v>0</v>
      </c>
      <c r="GD10" s="28">
        <f t="shared" si="6"/>
        <v>0</v>
      </c>
      <c r="GE10" s="28">
        <f t="shared" si="6"/>
        <v>0</v>
      </c>
      <c r="GF10" s="28">
        <f t="shared" si="6"/>
        <v>0</v>
      </c>
      <c r="GG10" s="28">
        <f t="shared" si="6"/>
        <v>0</v>
      </c>
      <c r="GH10" s="28">
        <f t="shared" si="6"/>
        <v>0</v>
      </c>
      <c r="GI10" s="28">
        <f t="shared" si="6"/>
        <v>0</v>
      </c>
      <c r="GJ10" s="28">
        <f t="shared" si="6"/>
        <v>0</v>
      </c>
      <c r="GK10" s="28">
        <f t="shared" si="6"/>
        <v>0</v>
      </c>
      <c r="GL10" s="28">
        <f t="shared" si="6"/>
        <v>0</v>
      </c>
      <c r="GN10" s="28">
        <f t="shared" ref="GN10:HQ10" si="7">GN12+GN20</f>
        <v>24892833333.333332</v>
      </c>
      <c r="GO10" s="28">
        <f t="shared" si="7"/>
        <v>24892833333.333332</v>
      </c>
      <c r="GP10" s="28">
        <f t="shared" si="7"/>
        <v>24892833333.333332</v>
      </c>
      <c r="GQ10" s="28">
        <f t="shared" si="7"/>
        <v>24892833333.333332</v>
      </c>
      <c r="GR10" s="28">
        <f t="shared" si="7"/>
        <v>24892833333.333332</v>
      </c>
      <c r="GS10" s="28">
        <f t="shared" si="7"/>
        <v>24892833333.333332</v>
      </c>
      <c r="GT10" s="28">
        <f t="shared" si="7"/>
        <v>24892833333.333332</v>
      </c>
      <c r="GU10" s="28">
        <f t="shared" si="7"/>
        <v>24892833333.333332</v>
      </c>
      <c r="GV10" s="28">
        <f t="shared" si="7"/>
        <v>24892833333.333332</v>
      </c>
      <c r="GW10" s="28">
        <f t="shared" si="7"/>
        <v>24892833333.333332</v>
      </c>
      <c r="GX10" s="28">
        <f t="shared" si="7"/>
        <v>24892833333.333332</v>
      </c>
      <c r="GY10" s="28">
        <f t="shared" si="7"/>
        <v>24892833333.333332</v>
      </c>
      <c r="GZ10" s="28">
        <f t="shared" si="7"/>
        <v>0</v>
      </c>
      <c r="HA10" s="28">
        <f t="shared" si="7"/>
        <v>0</v>
      </c>
      <c r="HB10" s="28">
        <f t="shared" si="7"/>
        <v>0</v>
      </c>
      <c r="HC10" s="28">
        <f t="shared" si="7"/>
        <v>0</v>
      </c>
      <c r="HD10" s="28">
        <f t="shared" si="7"/>
        <v>0</v>
      </c>
      <c r="HE10" s="28">
        <f t="shared" si="7"/>
        <v>0</v>
      </c>
      <c r="HF10" s="28">
        <f t="shared" si="7"/>
        <v>0</v>
      </c>
      <c r="HG10" s="28">
        <f t="shared" si="7"/>
        <v>0</v>
      </c>
      <c r="HH10" s="28">
        <f t="shared" si="7"/>
        <v>0</v>
      </c>
      <c r="HI10" s="28">
        <f t="shared" si="7"/>
        <v>0</v>
      </c>
      <c r="HJ10" s="28">
        <f t="shared" si="7"/>
        <v>0</v>
      </c>
      <c r="HK10" s="28">
        <f t="shared" si="7"/>
        <v>0</v>
      </c>
      <c r="HL10" s="28">
        <f t="shared" si="7"/>
        <v>0</v>
      </c>
      <c r="HM10" s="28">
        <f t="shared" si="7"/>
        <v>0</v>
      </c>
      <c r="HN10" s="28">
        <f t="shared" si="7"/>
        <v>0</v>
      </c>
      <c r="HO10" s="28">
        <f t="shared" si="7"/>
        <v>0</v>
      </c>
      <c r="HP10" s="28">
        <f t="shared" si="7"/>
        <v>0</v>
      </c>
      <c r="HQ10" s="28">
        <f t="shared" si="7"/>
        <v>0</v>
      </c>
    </row>
    <row r="11" spans="1:225" s="16" customFormat="1" ht="3.75" customHeight="1" x14ac:dyDescent="0.25">
      <c r="A11"/>
      <c r="B11"/>
      <c r="C11" s="19"/>
      <c r="G11" s="29"/>
      <c r="I11" s="29"/>
      <c r="L11" s="29"/>
      <c r="M11" s="29"/>
      <c r="N11" s="29"/>
      <c r="Q11" s="29"/>
      <c r="R11" s="29"/>
      <c r="S11" s="29"/>
      <c r="V11" s="29"/>
      <c r="W11" s="29"/>
      <c r="X11" s="29"/>
      <c r="AA11" s="29"/>
      <c r="AB11" s="29"/>
      <c r="AC11" s="29"/>
      <c r="AF11" s="29"/>
      <c r="AG11" s="29"/>
      <c r="AH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row>
    <row r="12" spans="1:225" s="1" customFormat="1" x14ac:dyDescent="0.25">
      <c r="A12" t="s">
        <v>480</v>
      </c>
      <c r="B12"/>
      <c r="C12" s="37" t="s">
        <v>56</v>
      </c>
      <c r="D12" s="230" t="s">
        <v>30</v>
      </c>
      <c r="E12" s="26"/>
      <c r="F12" s="220"/>
      <c r="G12" s="140"/>
      <c r="H12" s="26"/>
      <c r="I12" s="30">
        <f>SUM(I13:I18)</f>
        <v>246389000000.00003</v>
      </c>
      <c r="J12" s="30">
        <f>SUM(J13:J18)</f>
        <v>20532416666.666668</v>
      </c>
      <c r="K12" s="220"/>
      <c r="L12" s="140"/>
      <c r="M12" s="140"/>
      <c r="N12" s="30">
        <f>SUM(N13:N18)</f>
        <v>277888000000</v>
      </c>
      <c r="O12" s="30">
        <f>SUM(O13:O18)</f>
        <v>23157333333.333332</v>
      </c>
      <c r="P12" s="220"/>
      <c r="Q12" s="140"/>
      <c r="R12" s="140"/>
      <c r="S12" s="30">
        <f>SUM(S13:S18)</f>
        <v>277888000000</v>
      </c>
      <c r="T12" s="30">
        <f>SUM(T13:T18)</f>
        <v>23157333333.333332</v>
      </c>
      <c r="U12" s="220"/>
      <c r="V12" s="140"/>
      <c r="W12" s="140"/>
      <c r="X12" s="30">
        <f>SUM(X13:X18)</f>
        <v>246389000000.00003</v>
      </c>
      <c r="Y12" s="30">
        <f>SUM(Y13:Y18)</f>
        <v>20532416666.666668</v>
      </c>
      <c r="Z12" s="220"/>
      <c r="AA12" s="140"/>
      <c r="AB12" s="140"/>
      <c r="AC12" s="30">
        <f>SUM(AC13:AC18)</f>
        <v>260598000000</v>
      </c>
      <c r="AD12" s="30">
        <f>SUM(AD13:AD18)</f>
        <v>21716500000</v>
      </c>
      <c r="AE12" s="220"/>
      <c r="AF12" s="140"/>
      <c r="AG12" s="140"/>
      <c r="AH12" s="30">
        <f>SUM(AH13:AH18)</f>
        <v>260598000000</v>
      </c>
      <c r="AI12" s="30">
        <f>SUM(AI13:AI18)</f>
        <v>21716500000</v>
      </c>
      <c r="AJ12" s="220"/>
      <c r="AO12" s="30">
        <f t="shared" ref="AO12:BR12" si="8">SUM(AO13:AO18)</f>
        <v>20532416666.666668</v>
      </c>
      <c r="AP12" s="30">
        <f t="shared" si="8"/>
        <v>20532416666.666668</v>
      </c>
      <c r="AQ12" s="30">
        <f t="shared" si="8"/>
        <v>20532416666.666668</v>
      </c>
      <c r="AR12" s="30">
        <f t="shared" si="8"/>
        <v>20532416666.666668</v>
      </c>
      <c r="AS12" s="30">
        <f t="shared" si="8"/>
        <v>20532416666.666668</v>
      </c>
      <c r="AT12" s="30">
        <f t="shared" si="8"/>
        <v>20532416666.666668</v>
      </c>
      <c r="AU12" s="30">
        <f t="shared" si="8"/>
        <v>20532416666.666668</v>
      </c>
      <c r="AV12" s="30">
        <f t="shared" si="8"/>
        <v>20532416666.666668</v>
      </c>
      <c r="AW12" s="30">
        <f t="shared" si="8"/>
        <v>20532416666.666668</v>
      </c>
      <c r="AX12" s="30">
        <f t="shared" si="8"/>
        <v>20532416666.666668</v>
      </c>
      <c r="AY12" s="30">
        <f t="shared" si="8"/>
        <v>20532416666.666668</v>
      </c>
      <c r="AZ12" s="30">
        <f t="shared" si="8"/>
        <v>20532416666.666668</v>
      </c>
      <c r="BA12" s="30">
        <f t="shared" si="8"/>
        <v>0</v>
      </c>
      <c r="BB12" s="30">
        <f t="shared" si="8"/>
        <v>0</v>
      </c>
      <c r="BC12" s="30">
        <f t="shared" si="8"/>
        <v>0</v>
      </c>
      <c r="BD12" s="30">
        <f t="shared" si="8"/>
        <v>0</v>
      </c>
      <c r="BE12" s="30">
        <f t="shared" si="8"/>
        <v>0</v>
      </c>
      <c r="BF12" s="30">
        <f t="shared" si="8"/>
        <v>0</v>
      </c>
      <c r="BG12" s="30">
        <f t="shared" si="8"/>
        <v>0</v>
      </c>
      <c r="BH12" s="30">
        <f t="shared" si="8"/>
        <v>0</v>
      </c>
      <c r="BI12" s="30">
        <f t="shared" si="8"/>
        <v>0</v>
      </c>
      <c r="BJ12" s="30">
        <f t="shared" si="8"/>
        <v>0</v>
      </c>
      <c r="BK12" s="30">
        <f t="shared" si="8"/>
        <v>0</v>
      </c>
      <c r="BL12" s="30">
        <f t="shared" si="8"/>
        <v>0</v>
      </c>
      <c r="BM12" s="30">
        <f t="shared" si="8"/>
        <v>0</v>
      </c>
      <c r="BN12" s="30">
        <f t="shared" si="8"/>
        <v>0</v>
      </c>
      <c r="BO12" s="30">
        <f t="shared" si="8"/>
        <v>0</v>
      </c>
      <c r="BP12" s="30">
        <f t="shared" si="8"/>
        <v>0</v>
      </c>
      <c r="BQ12" s="30">
        <f t="shared" si="8"/>
        <v>0</v>
      </c>
      <c r="BR12" s="30">
        <f t="shared" si="8"/>
        <v>0</v>
      </c>
      <c r="BT12" s="30">
        <f t="shared" ref="BT12" si="9">SUM(BT13:BT18)</f>
        <v>23157333333.333332</v>
      </c>
      <c r="BU12" s="30">
        <f t="shared" ref="BU12" si="10">SUM(BU13:BU18)</f>
        <v>23157333333.333332</v>
      </c>
      <c r="BV12" s="30">
        <f t="shared" ref="BV12" si="11">SUM(BV13:BV18)</f>
        <v>23157333333.333332</v>
      </c>
      <c r="BW12" s="30">
        <f t="shared" ref="BW12" si="12">SUM(BW13:BW18)</f>
        <v>23157333333.333332</v>
      </c>
      <c r="BX12" s="30">
        <f t="shared" ref="BX12" si="13">SUM(BX13:BX18)</f>
        <v>23157333333.333332</v>
      </c>
      <c r="BY12" s="30">
        <f t="shared" ref="BY12" si="14">SUM(BY13:BY18)</f>
        <v>23157333333.333332</v>
      </c>
      <c r="BZ12" s="30">
        <f t="shared" ref="BZ12" si="15">SUM(BZ13:BZ18)</f>
        <v>23157333333.333332</v>
      </c>
      <c r="CA12" s="30">
        <f t="shared" ref="CA12" si="16">SUM(CA13:CA18)</f>
        <v>23157333333.333332</v>
      </c>
      <c r="CB12" s="30">
        <f t="shared" ref="CB12" si="17">SUM(CB13:CB18)</f>
        <v>23157333333.333332</v>
      </c>
      <c r="CC12" s="30">
        <f t="shared" ref="CC12" si="18">SUM(CC13:CC18)</f>
        <v>23157333333.333332</v>
      </c>
      <c r="CD12" s="30">
        <f t="shared" ref="CD12" si="19">SUM(CD13:CD18)</f>
        <v>23157333333.333332</v>
      </c>
      <c r="CE12" s="30">
        <f t="shared" ref="CE12" si="20">SUM(CE13:CE18)</f>
        <v>23157333333.333332</v>
      </c>
      <c r="CF12" s="30">
        <f t="shared" ref="CF12" si="21">SUM(CF13:CF18)</f>
        <v>0</v>
      </c>
      <c r="CG12" s="30">
        <f t="shared" ref="CG12" si="22">SUM(CG13:CG18)</f>
        <v>0</v>
      </c>
      <c r="CH12" s="30">
        <f t="shared" ref="CH12" si="23">SUM(CH13:CH18)</f>
        <v>0</v>
      </c>
      <c r="CI12" s="30">
        <f t="shared" ref="CI12" si="24">SUM(CI13:CI18)</f>
        <v>0</v>
      </c>
      <c r="CJ12" s="30">
        <f t="shared" ref="CJ12" si="25">SUM(CJ13:CJ18)</f>
        <v>0</v>
      </c>
      <c r="CK12" s="30">
        <f t="shared" ref="CK12" si="26">SUM(CK13:CK18)</f>
        <v>0</v>
      </c>
      <c r="CL12" s="30">
        <f t="shared" ref="CL12" si="27">SUM(CL13:CL18)</f>
        <v>0</v>
      </c>
      <c r="CM12" s="30">
        <f t="shared" ref="CM12" si="28">SUM(CM13:CM18)</f>
        <v>0</v>
      </c>
      <c r="CN12" s="30">
        <f t="shared" ref="CN12" si="29">SUM(CN13:CN18)</f>
        <v>0</v>
      </c>
      <c r="CO12" s="30">
        <f t="shared" ref="CO12" si="30">SUM(CO13:CO18)</f>
        <v>0</v>
      </c>
      <c r="CP12" s="30">
        <f t="shared" ref="CP12" si="31">SUM(CP13:CP18)</f>
        <v>0</v>
      </c>
      <c r="CQ12" s="30">
        <f t="shared" ref="CQ12" si="32">SUM(CQ13:CQ18)</f>
        <v>0</v>
      </c>
      <c r="CR12" s="30">
        <f t="shared" ref="CR12" si="33">SUM(CR13:CR18)</f>
        <v>0</v>
      </c>
      <c r="CS12" s="30">
        <f t="shared" ref="CS12" si="34">SUM(CS13:CS18)</f>
        <v>0</v>
      </c>
      <c r="CT12" s="30">
        <f t="shared" ref="CT12" si="35">SUM(CT13:CT18)</f>
        <v>0</v>
      </c>
      <c r="CU12" s="30">
        <f t="shared" ref="CU12" si="36">SUM(CU13:CU18)</f>
        <v>0</v>
      </c>
      <c r="CV12" s="30">
        <f t="shared" ref="CV12" si="37">SUM(CV13:CV18)</f>
        <v>0</v>
      </c>
      <c r="CW12" s="30">
        <f t="shared" ref="CW12" si="38">SUM(CW13:CW18)</f>
        <v>0</v>
      </c>
      <c r="CY12" s="30">
        <f t="shared" ref="CY12:EB12" si="39">SUM(CY13:CY18)</f>
        <v>23157333333.333332</v>
      </c>
      <c r="CZ12" s="30">
        <f t="shared" si="39"/>
        <v>23157333333.333332</v>
      </c>
      <c r="DA12" s="30">
        <f t="shared" si="39"/>
        <v>23157333333.333332</v>
      </c>
      <c r="DB12" s="30">
        <f t="shared" si="39"/>
        <v>23157333333.333332</v>
      </c>
      <c r="DC12" s="30">
        <f t="shared" si="39"/>
        <v>23157333333.333332</v>
      </c>
      <c r="DD12" s="30">
        <f t="shared" si="39"/>
        <v>23157333333.333332</v>
      </c>
      <c r="DE12" s="30">
        <f t="shared" si="39"/>
        <v>23157333333.333332</v>
      </c>
      <c r="DF12" s="30">
        <f t="shared" si="39"/>
        <v>23157333333.333332</v>
      </c>
      <c r="DG12" s="30">
        <f t="shared" si="39"/>
        <v>23157333333.333332</v>
      </c>
      <c r="DH12" s="30">
        <f t="shared" si="39"/>
        <v>23157333333.333332</v>
      </c>
      <c r="DI12" s="30">
        <f t="shared" si="39"/>
        <v>23157333333.333332</v>
      </c>
      <c r="DJ12" s="30">
        <f t="shared" si="39"/>
        <v>23157333333.333332</v>
      </c>
      <c r="DK12" s="30">
        <f t="shared" si="39"/>
        <v>0</v>
      </c>
      <c r="DL12" s="30">
        <f t="shared" si="39"/>
        <v>0</v>
      </c>
      <c r="DM12" s="30">
        <f t="shared" si="39"/>
        <v>0</v>
      </c>
      <c r="DN12" s="30">
        <f t="shared" si="39"/>
        <v>0</v>
      </c>
      <c r="DO12" s="30">
        <f t="shared" si="39"/>
        <v>0</v>
      </c>
      <c r="DP12" s="30">
        <f t="shared" si="39"/>
        <v>0</v>
      </c>
      <c r="DQ12" s="30">
        <f t="shared" si="39"/>
        <v>0</v>
      </c>
      <c r="DR12" s="30">
        <f t="shared" si="39"/>
        <v>0</v>
      </c>
      <c r="DS12" s="30">
        <f t="shared" si="39"/>
        <v>0</v>
      </c>
      <c r="DT12" s="30">
        <f t="shared" si="39"/>
        <v>0</v>
      </c>
      <c r="DU12" s="30">
        <f t="shared" si="39"/>
        <v>0</v>
      </c>
      <c r="DV12" s="30">
        <f t="shared" si="39"/>
        <v>0</v>
      </c>
      <c r="DW12" s="30">
        <f t="shared" si="39"/>
        <v>0</v>
      </c>
      <c r="DX12" s="30">
        <f t="shared" si="39"/>
        <v>0</v>
      </c>
      <c r="DY12" s="30">
        <f t="shared" si="39"/>
        <v>0</v>
      </c>
      <c r="DZ12" s="30">
        <f t="shared" si="39"/>
        <v>0</v>
      </c>
      <c r="EA12" s="30">
        <f t="shared" si="39"/>
        <v>0</v>
      </c>
      <c r="EB12" s="30">
        <f t="shared" si="39"/>
        <v>0</v>
      </c>
      <c r="ED12" s="30">
        <f t="shared" ref="ED12:FG12" si="40">SUM(ED13:ED18)</f>
        <v>20532416666.666668</v>
      </c>
      <c r="EE12" s="30">
        <f t="shared" si="40"/>
        <v>20532416666.666668</v>
      </c>
      <c r="EF12" s="30">
        <f t="shared" si="40"/>
        <v>20532416666.666668</v>
      </c>
      <c r="EG12" s="30">
        <f t="shared" si="40"/>
        <v>20532416666.666668</v>
      </c>
      <c r="EH12" s="30">
        <f t="shared" si="40"/>
        <v>20532416666.666668</v>
      </c>
      <c r="EI12" s="30">
        <f t="shared" si="40"/>
        <v>20532416666.666668</v>
      </c>
      <c r="EJ12" s="30">
        <f t="shared" si="40"/>
        <v>20532416666.666668</v>
      </c>
      <c r="EK12" s="30">
        <f t="shared" si="40"/>
        <v>20532416666.666668</v>
      </c>
      <c r="EL12" s="30">
        <f t="shared" si="40"/>
        <v>20532416666.666668</v>
      </c>
      <c r="EM12" s="30">
        <f t="shared" si="40"/>
        <v>20532416666.666668</v>
      </c>
      <c r="EN12" s="30">
        <f t="shared" si="40"/>
        <v>20532416666.666668</v>
      </c>
      <c r="EO12" s="30">
        <f t="shared" si="40"/>
        <v>20532416666.666668</v>
      </c>
      <c r="EP12" s="30">
        <f t="shared" si="40"/>
        <v>0</v>
      </c>
      <c r="EQ12" s="30">
        <f t="shared" si="40"/>
        <v>0</v>
      </c>
      <c r="ER12" s="30">
        <f t="shared" si="40"/>
        <v>0</v>
      </c>
      <c r="ES12" s="30">
        <f t="shared" si="40"/>
        <v>0</v>
      </c>
      <c r="ET12" s="30">
        <f t="shared" si="40"/>
        <v>0</v>
      </c>
      <c r="EU12" s="30">
        <f t="shared" si="40"/>
        <v>0</v>
      </c>
      <c r="EV12" s="30">
        <f t="shared" si="40"/>
        <v>0</v>
      </c>
      <c r="EW12" s="30">
        <f t="shared" si="40"/>
        <v>0</v>
      </c>
      <c r="EX12" s="30">
        <f t="shared" si="40"/>
        <v>0</v>
      </c>
      <c r="EY12" s="30">
        <f t="shared" si="40"/>
        <v>0</v>
      </c>
      <c r="EZ12" s="30">
        <f t="shared" si="40"/>
        <v>0</v>
      </c>
      <c r="FA12" s="30">
        <f t="shared" si="40"/>
        <v>0</v>
      </c>
      <c r="FB12" s="30">
        <f t="shared" si="40"/>
        <v>0</v>
      </c>
      <c r="FC12" s="30">
        <f t="shared" si="40"/>
        <v>0</v>
      </c>
      <c r="FD12" s="30">
        <f t="shared" si="40"/>
        <v>0</v>
      </c>
      <c r="FE12" s="30">
        <f t="shared" si="40"/>
        <v>0</v>
      </c>
      <c r="FF12" s="30">
        <f t="shared" si="40"/>
        <v>0</v>
      </c>
      <c r="FG12" s="30">
        <f t="shared" si="40"/>
        <v>0</v>
      </c>
      <c r="FI12" s="30">
        <f t="shared" ref="FI12:GL12" si="41">SUM(FI13:FI18)</f>
        <v>21716500000</v>
      </c>
      <c r="FJ12" s="30">
        <f t="shared" si="41"/>
        <v>21716500000</v>
      </c>
      <c r="FK12" s="30">
        <f t="shared" si="41"/>
        <v>21716500000</v>
      </c>
      <c r="FL12" s="30">
        <f t="shared" si="41"/>
        <v>21716500000</v>
      </c>
      <c r="FM12" s="30">
        <f t="shared" si="41"/>
        <v>21716500000</v>
      </c>
      <c r="FN12" s="30">
        <f t="shared" si="41"/>
        <v>21716500000</v>
      </c>
      <c r="FO12" s="30">
        <f t="shared" si="41"/>
        <v>21716500000</v>
      </c>
      <c r="FP12" s="30">
        <f t="shared" si="41"/>
        <v>21716500000</v>
      </c>
      <c r="FQ12" s="30">
        <f t="shared" si="41"/>
        <v>21716500000</v>
      </c>
      <c r="FR12" s="30">
        <f t="shared" si="41"/>
        <v>21716500000</v>
      </c>
      <c r="FS12" s="30">
        <f t="shared" si="41"/>
        <v>21716500000</v>
      </c>
      <c r="FT12" s="30">
        <f t="shared" si="41"/>
        <v>21716500000</v>
      </c>
      <c r="FU12" s="30">
        <f t="shared" si="41"/>
        <v>0</v>
      </c>
      <c r="FV12" s="30">
        <f t="shared" si="41"/>
        <v>0</v>
      </c>
      <c r="FW12" s="30">
        <f t="shared" si="41"/>
        <v>0</v>
      </c>
      <c r="FX12" s="30">
        <f t="shared" si="41"/>
        <v>0</v>
      </c>
      <c r="FY12" s="30">
        <f t="shared" si="41"/>
        <v>0</v>
      </c>
      <c r="FZ12" s="30">
        <f t="shared" si="41"/>
        <v>0</v>
      </c>
      <c r="GA12" s="30">
        <f t="shared" si="41"/>
        <v>0</v>
      </c>
      <c r="GB12" s="30">
        <f t="shared" si="41"/>
        <v>0</v>
      </c>
      <c r="GC12" s="30">
        <f t="shared" si="41"/>
        <v>0</v>
      </c>
      <c r="GD12" s="30">
        <f t="shared" si="41"/>
        <v>0</v>
      </c>
      <c r="GE12" s="30">
        <f t="shared" si="41"/>
        <v>0</v>
      </c>
      <c r="GF12" s="30">
        <f t="shared" si="41"/>
        <v>0</v>
      </c>
      <c r="GG12" s="30">
        <f t="shared" si="41"/>
        <v>0</v>
      </c>
      <c r="GH12" s="30">
        <f t="shared" si="41"/>
        <v>0</v>
      </c>
      <c r="GI12" s="30">
        <f t="shared" si="41"/>
        <v>0</v>
      </c>
      <c r="GJ12" s="30">
        <f t="shared" si="41"/>
        <v>0</v>
      </c>
      <c r="GK12" s="30">
        <f t="shared" si="41"/>
        <v>0</v>
      </c>
      <c r="GL12" s="30">
        <f t="shared" si="41"/>
        <v>0</v>
      </c>
      <c r="GN12" s="30">
        <f t="shared" ref="GN12" si="42">SUM(GN13:GN18)</f>
        <v>21716500000</v>
      </c>
      <c r="GO12" s="30">
        <f t="shared" ref="GO12" si="43">SUM(GO13:GO18)</f>
        <v>21716500000</v>
      </c>
      <c r="GP12" s="30">
        <f t="shared" ref="GP12" si="44">SUM(GP13:GP18)</f>
        <v>21716500000</v>
      </c>
      <c r="GQ12" s="30">
        <f t="shared" ref="GQ12" si="45">SUM(GQ13:GQ18)</f>
        <v>21716500000</v>
      </c>
      <c r="GR12" s="30">
        <f t="shared" ref="GR12" si="46">SUM(GR13:GR18)</f>
        <v>21716500000</v>
      </c>
      <c r="GS12" s="30">
        <f t="shared" ref="GS12" si="47">SUM(GS13:GS18)</f>
        <v>21716500000</v>
      </c>
      <c r="GT12" s="30">
        <f t="shared" ref="GT12" si="48">SUM(GT13:GT18)</f>
        <v>21716500000</v>
      </c>
      <c r="GU12" s="30">
        <f t="shared" ref="GU12" si="49">SUM(GU13:GU18)</f>
        <v>21716500000</v>
      </c>
      <c r="GV12" s="30">
        <f t="shared" ref="GV12" si="50">SUM(GV13:GV18)</f>
        <v>21716500000</v>
      </c>
      <c r="GW12" s="30">
        <f t="shared" ref="GW12" si="51">SUM(GW13:GW18)</f>
        <v>21716500000</v>
      </c>
      <c r="GX12" s="30">
        <f t="shared" ref="GX12" si="52">SUM(GX13:GX18)</f>
        <v>21716500000</v>
      </c>
      <c r="GY12" s="30">
        <f t="shared" ref="GY12" si="53">SUM(GY13:GY18)</f>
        <v>21716500000</v>
      </c>
      <c r="GZ12" s="30">
        <f t="shared" ref="GZ12" si="54">SUM(GZ13:GZ18)</f>
        <v>0</v>
      </c>
      <c r="HA12" s="30">
        <f t="shared" ref="HA12" si="55">SUM(HA13:HA18)</f>
        <v>0</v>
      </c>
      <c r="HB12" s="30">
        <f t="shared" ref="HB12" si="56">SUM(HB13:HB18)</f>
        <v>0</v>
      </c>
      <c r="HC12" s="30">
        <f t="shared" ref="HC12" si="57">SUM(HC13:HC18)</f>
        <v>0</v>
      </c>
      <c r="HD12" s="30">
        <f t="shared" ref="HD12" si="58">SUM(HD13:HD18)</f>
        <v>0</v>
      </c>
      <c r="HE12" s="30">
        <f t="shared" ref="HE12" si="59">SUM(HE13:HE18)</f>
        <v>0</v>
      </c>
      <c r="HF12" s="30">
        <f t="shared" ref="HF12" si="60">SUM(HF13:HF18)</f>
        <v>0</v>
      </c>
      <c r="HG12" s="30">
        <f t="shared" ref="HG12" si="61">SUM(HG13:HG18)</f>
        <v>0</v>
      </c>
      <c r="HH12" s="30">
        <f t="shared" ref="HH12" si="62">SUM(HH13:HH18)</f>
        <v>0</v>
      </c>
      <c r="HI12" s="30">
        <f t="shared" ref="HI12" si="63">SUM(HI13:HI18)</f>
        <v>0</v>
      </c>
      <c r="HJ12" s="30">
        <f t="shared" ref="HJ12" si="64">SUM(HJ13:HJ18)</f>
        <v>0</v>
      </c>
      <c r="HK12" s="30">
        <f t="shared" ref="HK12" si="65">SUM(HK13:HK18)</f>
        <v>0</v>
      </c>
      <c r="HL12" s="30">
        <f t="shared" ref="HL12" si="66">SUM(HL13:HL18)</f>
        <v>0</v>
      </c>
      <c r="HM12" s="30">
        <f t="shared" ref="HM12" si="67">SUM(HM13:HM18)</f>
        <v>0</v>
      </c>
      <c r="HN12" s="30">
        <f t="shared" ref="HN12" si="68">SUM(HN13:HN18)</f>
        <v>0</v>
      </c>
      <c r="HO12" s="30">
        <f t="shared" ref="HO12" si="69">SUM(HO13:HO18)</f>
        <v>0</v>
      </c>
      <c r="HP12" s="30">
        <f t="shared" ref="HP12" si="70">SUM(HP13:HP18)</f>
        <v>0</v>
      </c>
      <c r="HQ12" s="30">
        <f t="shared" ref="HQ12" si="71">SUM(HQ13:HQ18)</f>
        <v>0</v>
      </c>
    </row>
    <row r="13" spans="1:225" outlineLevel="1" x14ac:dyDescent="0.25">
      <c r="B13" t="s">
        <v>130</v>
      </c>
      <c r="C13" s="610" t="s">
        <v>215</v>
      </c>
      <c r="D13" s="611" t="s">
        <v>27</v>
      </c>
      <c r="E13" s="612">
        <v>1</v>
      </c>
      <c r="F13" s="221"/>
      <c r="G13" s="613">
        <v>12</v>
      </c>
      <c r="H13" s="615">
        <f>(123250000000/$D$6)*1.04</f>
        <v>128180000000</v>
      </c>
      <c r="I13" s="613">
        <f t="shared" ref="I13:I18" si="72">$E13*$H13</f>
        <v>128180000000</v>
      </c>
      <c r="J13" s="613">
        <f>I13/G13</f>
        <v>10681666666.666666</v>
      </c>
      <c r="K13" s="221"/>
      <c r="L13" s="613">
        <v>12</v>
      </c>
      <c r="M13" s="613">
        <f>IF(Currency="USD",ROUNDUP($E13*$H13*(1+O$6),-3),ROUNDUP($E13*$H13*(1+O$6)/EXR,-3)*EXR)</f>
        <v>137176000000</v>
      </c>
      <c r="N13" s="613">
        <f>$E13*M13</f>
        <v>137176000000</v>
      </c>
      <c r="O13" s="613">
        <f>N13/L13</f>
        <v>11431333333.333334</v>
      </c>
      <c r="P13" s="221"/>
      <c r="Q13" s="613">
        <v>12</v>
      </c>
      <c r="R13" s="613">
        <f>IF(Currency="USD",ROUNDUP($E13*$H13*(1+T$6),-3),ROUNDUP($E13*$H13*(1+T$6)/EXR,-3)*EXR)</f>
        <v>137176000000</v>
      </c>
      <c r="S13" s="613">
        <f>$E13*R13</f>
        <v>137176000000</v>
      </c>
      <c r="T13" s="613">
        <f>S13/Q13</f>
        <v>11431333333.333334</v>
      </c>
      <c r="U13" s="221"/>
      <c r="V13" s="613">
        <v>12</v>
      </c>
      <c r="W13" s="613">
        <f>H13</f>
        <v>128180000000</v>
      </c>
      <c r="X13" s="613">
        <f>$E13*W13</f>
        <v>128180000000</v>
      </c>
      <c r="Y13" s="613">
        <f>X13/V13</f>
        <v>10681666666.666666</v>
      </c>
      <c r="Z13" s="221"/>
      <c r="AA13" s="613">
        <v>12</v>
      </c>
      <c r="AB13" s="613">
        <f>IF(Currency="USD",ROUNDUP($E13*$H13*(1+AD$6),-3),ROUNDUP($E13*$H13*(1+AD$6)/EXR,-3)*EXR)</f>
        <v>128180000000</v>
      </c>
      <c r="AC13" s="613">
        <f>$E13*AB13</f>
        <v>128180000000</v>
      </c>
      <c r="AD13" s="613">
        <f>AC13/AA13</f>
        <v>10681666666.666666</v>
      </c>
      <c r="AE13" s="221"/>
      <c r="AF13" s="613">
        <v>12</v>
      </c>
      <c r="AG13" s="613">
        <f>IF(Currency="USD",ROUNDUP($E13*$H13*(1+AI$6),-3),ROUNDUP($E13*$H13*(1+AI$6)/EXR,-3)*EXR)</f>
        <v>128180000000</v>
      </c>
      <c r="AH13" s="613">
        <f>$E13*AG13</f>
        <v>128180000000</v>
      </c>
      <c r="AI13" s="613">
        <f>AH13/AF13</f>
        <v>10681666666.666666</v>
      </c>
      <c r="AJ13" s="221"/>
      <c r="AK13" t="s">
        <v>445</v>
      </c>
      <c r="AL13" t="s">
        <v>547</v>
      </c>
      <c r="AM13" t="s">
        <v>336</v>
      </c>
      <c r="AO13" s="15">
        <f>IF($G13&gt;=AO$8,$J13,0)</f>
        <v>10681666666.666666</v>
      </c>
      <c r="AP13" s="15">
        <f t="shared" ref="AP13:BR18" si="73">IF($G13&gt;=AP$8,$J13,0)</f>
        <v>10681666666.666666</v>
      </c>
      <c r="AQ13" s="15">
        <f t="shared" si="73"/>
        <v>10681666666.666666</v>
      </c>
      <c r="AR13" s="15">
        <f t="shared" si="73"/>
        <v>10681666666.666666</v>
      </c>
      <c r="AS13" s="15">
        <f t="shared" si="73"/>
        <v>10681666666.666666</v>
      </c>
      <c r="AT13" s="15">
        <f t="shared" si="73"/>
        <v>10681666666.666666</v>
      </c>
      <c r="AU13" s="15">
        <f t="shared" si="73"/>
        <v>10681666666.666666</v>
      </c>
      <c r="AV13" s="15">
        <f t="shared" si="73"/>
        <v>10681666666.666666</v>
      </c>
      <c r="AW13" s="15">
        <f t="shared" si="73"/>
        <v>10681666666.666666</v>
      </c>
      <c r="AX13" s="15">
        <f t="shared" si="73"/>
        <v>10681666666.666666</v>
      </c>
      <c r="AY13" s="15">
        <f t="shared" si="73"/>
        <v>10681666666.666666</v>
      </c>
      <c r="AZ13" s="15">
        <f t="shared" si="73"/>
        <v>10681666666.666666</v>
      </c>
      <c r="BA13" s="15">
        <f t="shared" si="73"/>
        <v>0</v>
      </c>
      <c r="BB13" s="15">
        <f t="shared" si="73"/>
        <v>0</v>
      </c>
      <c r="BC13" s="15">
        <f t="shared" si="73"/>
        <v>0</v>
      </c>
      <c r="BD13" s="15">
        <f t="shared" si="73"/>
        <v>0</v>
      </c>
      <c r="BE13" s="15">
        <f t="shared" si="73"/>
        <v>0</v>
      </c>
      <c r="BF13" s="15">
        <f t="shared" si="73"/>
        <v>0</v>
      </c>
      <c r="BG13" s="15">
        <f t="shared" si="73"/>
        <v>0</v>
      </c>
      <c r="BH13" s="15">
        <f t="shared" si="73"/>
        <v>0</v>
      </c>
      <c r="BI13" s="15">
        <f t="shared" si="73"/>
        <v>0</v>
      </c>
      <c r="BJ13" s="15">
        <f t="shared" si="73"/>
        <v>0</v>
      </c>
      <c r="BK13" s="15">
        <f t="shared" si="73"/>
        <v>0</v>
      </c>
      <c r="BL13" s="15">
        <f t="shared" si="73"/>
        <v>0</v>
      </c>
      <c r="BM13" s="15">
        <f t="shared" si="73"/>
        <v>0</v>
      </c>
      <c r="BN13" s="15">
        <f t="shared" si="73"/>
        <v>0</v>
      </c>
      <c r="BO13" s="15">
        <f t="shared" si="73"/>
        <v>0</v>
      </c>
      <c r="BP13" s="15">
        <f t="shared" si="73"/>
        <v>0</v>
      </c>
      <c r="BQ13" s="15">
        <f t="shared" si="73"/>
        <v>0</v>
      </c>
      <c r="BR13" s="15">
        <f t="shared" si="73"/>
        <v>0</v>
      </c>
      <c r="BT13" s="15">
        <f>IF($L13&gt;=BT$8,$O13,0)</f>
        <v>11431333333.333334</v>
      </c>
      <c r="BU13" s="15">
        <f t="shared" ref="BU13:CW18" si="74">IF($L13&gt;=BU$8,$O13,0)</f>
        <v>11431333333.333334</v>
      </c>
      <c r="BV13" s="15">
        <f t="shared" si="74"/>
        <v>11431333333.333334</v>
      </c>
      <c r="BW13" s="15">
        <f t="shared" si="74"/>
        <v>11431333333.333334</v>
      </c>
      <c r="BX13" s="15">
        <f t="shared" si="74"/>
        <v>11431333333.333334</v>
      </c>
      <c r="BY13" s="15">
        <f t="shared" si="74"/>
        <v>11431333333.333334</v>
      </c>
      <c r="BZ13" s="15">
        <f t="shared" si="74"/>
        <v>11431333333.333334</v>
      </c>
      <c r="CA13" s="15">
        <f t="shared" si="74"/>
        <v>11431333333.333334</v>
      </c>
      <c r="CB13" s="15">
        <f t="shared" si="74"/>
        <v>11431333333.333334</v>
      </c>
      <c r="CC13" s="15">
        <f t="shared" si="74"/>
        <v>11431333333.333334</v>
      </c>
      <c r="CD13" s="15">
        <f t="shared" si="74"/>
        <v>11431333333.333334</v>
      </c>
      <c r="CE13" s="15">
        <f t="shared" si="74"/>
        <v>11431333333.333334</v>
      </c>
      <c r="CF13" s="15">
        <f t="shared" si="74"/>
        <v>0</v>
      </c>
      <c r="CG13" s="15">
        <f t="shared" si="74"/>
        <v>0</v>
      </c>
      <c r="CH13" s="15">
        <f t="shared" si="74"/>
        <v>0</v>
      </c>
      <c r="CI13" s="15">
        <f t="shared" si="74"/>
        <v>0</v>
      </c>
      <c r="CJ13" s="15">
        <f t="shared" si="74"/>
        <v>0</v>
      </c>
      <c r="CK13" s="15">
        <f t="shared" si="74"/>
        <v>0</v>
      </c>
      <c r="CL13" s="15">
        <f t="shared" si="74"/>
        <v>0</v>
      </c>
      <c r="CM13" s="15">
        <f t="shared" si="74"/>
        <v>0</v>
      </c>
      <c r="CN13" s="15">
        <f t="shared" si="74"/>
        <v>0</v>
      </c>
      <c r="CO13" s="15">
        <f t="shared" si="74"/>
        <v>0</v>
      </c>
      <c r="CP13" s="15">
        <f t="shared" si="74"/>
        <v>0</v>
      </c>
      <c r="CQ13" s="15">
        <f t="shared" si="74"/>
        <v>0</v>
      </c>
      <c r="CR13" s="15">
        <f t="shared" si="74"/>
        <v>0</v>
      </c>
      <c r="CS13" s="15">
        <f t="shared" si="74"/>
        <v>0</v>
      </c>
      <c r="CT13" s="15">
        <f t="shared" si="74"/>
        <v>0</v>
      </c>
      <c r="CU13" s="15">
        <f t="shared" si="74"/>
        <v>0</v>
      </c>
      <c r="CV13" s="15">
        <f t="shared" si="74"/>
        <v>0</v>
      </c>
      <c r="CW13" s="15">
        <f t="shared" si="74"/>
        <v>0</v>
      </c>
      <c r="CY13" s="15">
        <f>IF($Q13&gt;=CY$8,$T13,0)</f>
        <v>11431333333.333334</v>
      </c>
      <c r="CZ13" s="15">
        <f t="shared" ref="CZ13:DO18" si="75">IF($Q13&gt;=CZ$8,$T13,0)</f>
        <v>11431333333.333334</v>
      </c>
      <c r="DA13" s="15">
        <f t="shared" si="75"/>
        <v>11431333333.333334</v>
      </c>
      <c r="DB13" s="15">
        <f t="shared" si="75"/>
        <v>11431333333.333334</v>
      </c>
      <c r="DC13" s="15">
        <f t="shared" si="75"/>
        <v>11431333333.333334</v>
      </c>
      <c r="DD13" s="15">
        <f t="shared" si="75"/>
        <v>11431333333.333334</v>
      </c>
      <c r="DE13" s="15">
        <f t="shared" si="75"/>
        <v>11431333333.333334</v>
      </c>
      <c r="DF13" s="15">
        <f t="shared" si="75"/>
        <v>11431333333.333334</v>
      </c>
      <c r="DG13" s="15">
        <f t="shared" si="75"/>
        <v>11431333333.333334</v>
      </c>
      <c r="DH13" s="15">
        <f t="shared" si="75"/>
        <v>11431333333.333334</v>
      </c>
      <c r="DI13" s="15">
        <f t="shared" si="75"/>
        <v>11431333333.333334</v>
      </c>
      <c r="DJ13" s="15">
        <f t="shared" si="75"/>
        <v>11431333333.333334</v>
      </c>
      <c r="DK13" s="15">
        <f t="shared" si="75"/>
        <v>0</v>
      </c>
      <c r="DL13" s="15">
        <f t="shared" si="75"/>
        <v>0</v>
      </c>
      <c r="DM13" s="15">
        <f t="shared" si="75"/>
        <v>0</v>
      </c>
      <c r="DN13" s="15">
        <f t="shared" si="75"/>
        <v>0</v>
      </c>
      <c r="DO13" s="15">
        <f t="shared" si="75"/>
        <v>0</v>
      </c>
      <c r="DP13" s="15">
        <f t="shared" ref="DP13:EB18" si="76">IF($Q13&gt;=DP$8,$T13,0)</f>
        <v>0</v>
      </c>
      <c r="DQ13" s="15">
        <f t="shared" si="76"/>
        <v>0</v>
      </c>
      <c r="DR13" s="15">
        <f t="shared" si="76"/>
        <v>0</v>
      </c>
      <c r="DS13" s="15">
        <f t="shared" si="76"/>
        <v>0</v>
      </c>
      <c r="DT13" s="15">
        <f t="shared" si="76"/>
        <v>0</v>
      </c>
      <c r="DU13" s="15">
        <f t="shared" si="76"/>
        <v>0</v>
      </c>
      <c r="DV13" s="15">
        <f t="shared" si="76"/>
        <v>0</v>
      </c>
      <c r="DW13" s="15">
        <f t="shared" si="76"/>
        <v>0</v>
      </c>
      <c r="DX13" s="15">
        <f t="shared" si="76"/>
        <v>0</v>
      </c>
      <c r="DY13" s="15">
        <f t="shared" si="76"/>
        <v>0</v>
      </c>
      <c r="DZ13" s="15">
        <f t="shared" si="76"/>
        <v>0</v>
      </c>
      <c r="EA13" s="15">
        <f t="shared" si="76"/>
        <v>0</v>
      </c>
      <c r="EB13" s="15">
        <f t="shared" si="76"/>
        <v>0</v>
      </c>
      <c r="ED13" s="15">
        <f>IF($V13&gt;=ED$8,$Y13,0)</f>
        <v>10681666666.666666</v>
      </c>
      <c r="EE13" s="15">
        <f t="shared" ref="EE13:FG16" si="77">IF($V13&gt;=EE$8,$Y13,0)</f>
        <v>10681666666.666666</v>
      </c>
      <c r="EF13" s="15">
        <f t="shared" si="77"/>
        <v>10681666666.666666</v>
      </c>
      <c r="EG13" s="15">
        <f t="shared" si="77"/>
        <v>10681666666.666666</v>
      </c>
      <c r="EH13" s="15">
        <f t="shared" si="77"/>
        <v>10681666666.666666</v>
      </c>
      <c r="EI13" s="15">
        <f t="shared" si="77"/>
        <v>10681666666.666666</v>
      </c>
      <c r="EJ13" s="15">
        <f t="shared" si="77"/>
        <v>10681666666.666666</v>
      </c>
      <c r="EK13" s="15">
        <f t="shared" si="77"/>
        <v>10681666666.666666</v>
      </c>
      <c r="EL13" s="15">
        <f t="shared" si="77"/>
        <v>10681666666.666666</v>
      </c>
      <c r="EM13" s="15">
        <f t="shared" si="77"/>
        <v>10681666666.666666</v>
      </c>
      <c r="EN13" s="15">
        <f t="shared" si="77"/>
        <v>10681666666.666666</v>
      </c>
      <c r="EO13" s="15">
        <f t="shared" si="77"/>
        <v>10681666666.666666</v>
      </c>
      <c r="EP13" s="15">
        <f t="shared" si="77"/>
        <v>0</v>
      </c>
      <c r="EQ13" s="15">
        <f t="shared" si="77"/>
        <v>0</v>
      </c>
      <c r="ER13" s="15">
        <f t="shared" si="77"/>
        <v>0</v>
      </c>
      <c r="ES13" s="15">
        <f t="shared" si="77"/>
        <v>0</v>
      </c>
      <c r="ET13" s="15">
        <f t="shared" si="77"/>
        <v>0</v>
      </c>
      <c r="EU13" s="15">
        <f t="shared" si="77"/>
        <v>0</v>
      </c>
      <c r="EV13" s="15">
        <f t="shared" si="77"/>
        <v>0</v>
      </c>
      <c r="EW13" s="15">
        <f t="shared" si="77"/>
        <v>0</v>
      </c>
      <c r="EX13" s="15">
        <f t="shared" si="77"/>
        <v>0</v>
      </c>
      <c r="EY13" s="15">
        <f t="shared" si="77"/>
        <v>0</v>
      </c>
      <c r="EZ13" s="15">
        <f t="shared" si="77"/>
        <v>0</v>
      </c>
      <c r="FA13" s="15">
        <f t="shared" si="77"/>
        <v>0</v>
      </c>
      <c r="FB13" s="15">
        <f t="shared" si="77"/>
        <v>0</v>
      </c>
      <c r="FC13" s="15">
        <f t="shared" si="77"/>
        <v>0</v>
      </c>
      <c r="FD13" s="15">
        <f t="shared" si="77"/>
        <v>0</v>
      </c>
      <c r="FE13" s="15">
        <f t="shared" si="77"/>
        <v>0</v>
      </c>
      <c r="FF13" s="15">
        <f t="shared" si="77"/>
        <v>0</v>
      </c>
      <c r="FG13" s="15">
        <f t="shared" si="77"/>
        <v>0</v>
      </c>
      <c r="FI13" s="15">
        <f>IF($AA13&gt;=FI$8,$AD13,0)</f>
        <v>10681666666.666666</v>
      </c>
      <c r="FJ13" s="15">
        <f t="shared" ref="FJ13:GL18" si="78">IF($AA13&gt;=FJ$8,$AD13,0)</f>
        <v>10681666666.666666</v>
      </c>
      <c r="FK13" s="15">
        <f t="shared" si="78"/>
        <v>10681666666.666666</v>
      </c>
      <c r="FL13" s="15">
        <f t="shared" si="78"/>
        <v>10681666666.666666</v>
      </c>
      <c r="FM13" s="15">
        <f t="shared" si="78"/>
        <v>10681666666.666666</v>
      </c>
      <c r="FN13" s="15">
        <f t="shared" si="78"/>
        <v>10681666666.666666</v>
      </c>
      <c r="FO13" s="15">
        <f t="shared" si="78"/>
        <v>10681666666.666666</v>
      </c>
      <c r="FP13" s="15">
        <f t="shared" si="78"/>
        <v>10681666666.666666</v>
      </c>
      <c r="FQ13" s="15">
        <f t="shared" si="78"/>
        <v>10681666666.666666</v>
      </c>
      <c r="FR13" s="15">
        <f t="shared" si="78"/>
        <v>10681666666.666666</v>
      </c>
      <c r="FS13" s="15">
        <f t="shared" si="78"/>
        <v>10681666666.666666</v>
      </c>
      <c r="FT13" s="15">
        <f t="shared" si="78"/>
        <v>10681666666.666666</v>
      </c>
      <c r="FU13" s="15">
        <f t="shared" si="78"/>
        <v>0</v>
      </c>
      <c r="FV13" s="15">
        <f t="shared" si="78"/>
        <v>0</v>
      </c>
      <c r="FW13" s="15">
        <f t="shared" si="78"/>
        <v>0</v>
      </c>
      <c r="FX13" s="15">
        <f t="shared" si="78"/>
        <v>0</v>
      </c>
      <c r="FY13" s="15">
        <f t="shared" si="78"/>
        <v>0</v>
      </c>
      <c r="FZ13" s="15">
        <f t="shared" si="78"/>
        <v>0</v>
      </c>
      <c r="GA13" s="15">
        <f t="shared" si="78"/>
        <v>0</v>
      </c>
      <c r="GB13" s="15">
        <f t="shared" si="78"/>
        <v>0</v>
      </c>
      <c r="GC13" s="15">
        <f t="shared" si="78"/>
        <v>0</v>
      </c>
      <c r="GD13" s="15">
        <f t="shared" si="78"/>
        <v>0</v>
      </c>
      <c r="GE13" s="15">
        <f t="shared" si="78"/>
        <v>0</v>
      </c>
      <c r="GF13" s="15">
        <f t="shared" si="78"/>
        <v>0</v>
      </c>
      <c r="GG13" s="15">
        <f t="shared" si="78"/>
        <v>0</v>
      </c>
      <c r="GH13" s="15">
        <f t="shared" si="78"/>
        <v>0</v>
      </c>
      <c r="GI13" s="15">
        <f t="shared" si="78"/>
        <v>0</v>
      </c>
      <c r="GJ13" s="15">
        <f t="shared" si="78"/>
        <v>0</v>
      </c>
      <c r="GK13" s="15">
        <f t="shared" si="78"/>
        <v>0</v>
      </c>
      <c r="GL13" s="15">
        <f t="shared" si="78"/>
        <v>0</v>
      </c>
      <c r="GN13" s="15">
        <f>IF($AF13&gt;=GN$8,$AI13,0)</f>
        <v>10681666666.666666</v>
      </c>
      <c r="GO13" s="15">
        <f t="shared" ref="GO13:HQ18" si="79">IF($AF13&gt;=GO$8,$AI13,0)</f>
        <v>10681666666.666666</v>
      </c>
      <c r="GP13" s="15">
        <f t="shared" si="79"/>
        <v>10681666666.666666</v>
      </c>
      <c r="GQ13" s="15">
        <f t="shared" si="79"/>
        <v>10681666666.666666</v>
      </c>
      <c r="GR13" s="15">
        <f t="shared" si="79"/>
        <v>10681666666.666666</v>
      </c>
      <c r="GS13" s="15">
        <f t="shared" si="79"/>
        <v>10681666666.666666</v>
      </c>
      <c r="GT13" s="15">
        <f t="shared" si="79"/>
        <v>10681666666.666666</v>
      </c>
      <c r="GU13" s="15">
        <f t="shared" si="79"/>
        <v>10681666666.666666</v>
      </c>
      <c r="GV13" s="15">
        <f t="shared" si="79"/>
        <v>10681666666.666666</v>
      </c>
      <c r="GW13" s="15">
        <f t="shared" si="79"/>
        <v>10681666666.666666</v>
      </c>
      <c r="GX13" s="15">
        <f t="shared" si="79"/>
        <v>10681666666.666666</v>
      </c>
      <c r="GY13" s="15">
        <f t="shared" si="79"/>
        <v>10681666666.666666</v>
      </c>
      <c r="GZ13" s="15">
        <f t="shared" si="79"/>
        <v>0</v>
      </c>
      <c r="HA13" s="15">
        <f t="shared" si="79"/>
        <v>0</v>
      </c>
      <c r="HB13" s="15">
        <f t="shared" si="79"/>
        <v>0</v>
      </c>
      <c r="HC13" s="15">
        <f t="shared" si="79"/>
        <v>0</v>
      </c>
      <c r="HD13" s="15">
        <f t="shared" si="79"/>
        <v>0</v>
      </c>
      <c r="HE13" s="15">
        <f t="shared" si="79"/>
        <v>0</v>
      </c>
      <c r="HF13" s="15">
        <f t="shared" si="79"/>
        <v>0</v>
      </c>
      <c r="HG13" s="15">
        <f t="shared" si="79"/>
        <v>0</v>
      </c>
      <c r="HH13" s="15">
        <f t="shared" si="79"/>
        <v>0</v>
      </c>
      <c r="HI13" s="15">
        <f t="shared" si="79"/>
        <v>0</v>
      </c>
      <c r="HJ13" s="15">
        <f t="shared" si="79"/>
        <v>0</v>
      </c>
      <c r="HK13" s="15">
        <f t="shared" si="79"/>
        <v>0</v>
      </c>
      <c r="HL13" s="15">
        <f t="shared" si="79"/>
        <v>0</v>
      </c>
      <c r="HM13" s="15">
        <f t="shared" si="79"/>
        <v>0</v>
      </c>
      <c r="HN13" s="15">
        <f t="shared" si="79"/>
        <v>0</v>
      </c>
      <c r="HO13" s="15">
        <f t="shared" si="79"/>
        <v>0</v>
      </c>
      <c r="HP13" s="15">
        <f t="shared" si="79"/>
        <v>0</v>
      </c>
      <c r="HQ13" s="15">
        <f t="shared" si="79"/>
        <v>0</v>
      </c>
    </row>
    <row r="14" spans="1:225" outlineLevel="1" x14ac:dyDescent="0.25">
      <c r="B14" t="s">
        <v>344</v>
      </c>
      <c r="C14" s="496" t="s">
        <v>216</v>
      </c>
      <c r="D14" s="614" t="s">
        <v>204</v>
      </c>
      <c r="E14" s="467">
        <v>1</v>
      </c>
      <c r="F14" s="221"/>
      <c r="G14" s="457">
        <v>12</v>
      </c>
      <c r="H14" s="468">
        <f>(80500000000/$D$6*(1-0.196393571148569))*1.04</f>
        <v>67277930223.441803</v>
      </c>
      <c r="I14" s="457">
        <f t="shared" si="72"/>
        <v>67277930223.441803</v>
      </c>
      <c r="J14" s="457">
        <f t="shared" ref="J14:J18" si="80">I14/G14</f>
        <v>5606494185.2868166</v>
      </c>
      <c r="K14" s="221"/>
      <c r="L14" s="457">
        <v>12</v>
      </c>
      <c r="M14" s="457">
        <f>IF(Currency="USD",ROUNDUP($E14*$H14*(1+O$6),-3),ROUNDUP($E14*$H14*(1+O$6)/EXR,-3)*EXR)+IF(Currency="USD",250000,250000*EXR)</f>
        <v>78494000000</v>
      </c>
      <c r="N14" s="618">
        <f t="shared" ref="N14:N18" si="81">$E14*M14</f>
        <v>78494000000</v>
      </c>
      <c r="O14" s="457">
        <f t="shared" ref="O14:O18" si="82">N14/L14</f>
        <v>6541166666.666667</v>
      </c>
      <c r="P14" s="221"/>
      <c r="Q14" s="457">
        <v>12</v>
      </c>
      <c r="R14" s="457">
        <f>IF(Currency="USD",ROUNDUP($E14*$H14*(1+T$6),-3),ROUNDUP($E14*$H14*(1+T$6)/EXR,-3)*EXR)+IF(Currency="USD",250000,250000*EXR)</f>
        <v>78494000000</v>
      </c>
      <c r="S14" s="618">
        <f t="shared" ref="S14:S18" si="83">$E14*R14</f>
        <v>78494000000</v>
      </c>
      <c r="T14" s="457">
        <f t="shared" ref="T14:T18" si="84">S14/Q14</f>
        <v>6541166666.666667</v>
      </c>
      <c r="U14" s="221"/>
      <c r="V14" s="457">
        <v>12</v>
      </c>
      <c r="W14" s="457">
        <f t="shared" ref="W14:W18" si="85">H14</f>
        <v>67277930223.441803</v>
      </c>
      <c r="X14" s="618">
        <f t="shared" ref="X14:X18" si="86">$E14*W14</f>
        <v>67277930223.441803</v>
      </c>
      <c r="Y14" s="457">
        <f t="shared" ref="Y14:Y18" si="87">X14/V14</f>
        <v>5606494185.2868166</v>
      </c>
      <c r="Z14" s="221"/>
      <c r="AA14" s="457">
        <v>12</v>
      </c>
      <c r="AB14" s="457">
        <f>IF(Currency="USD",ROUNDUP($E14*$H14*(1+AD$6),-3),ROUNDUP($E14*$H14*(1+AD$6)/EXR,-3)*EXR)+IF(Currency="USD",250000,250000*EXR)</f>
        <v>73788000000</v>
      </c>
      <c r="AC14" s="618">
        <f t="shared" ref="AC14:AC18" si="88">$E14*AB14</f>
        <v>73788000000</v>
      </c>
      <c r="AD14" s="457">
        <f t="shared" ref="AD14:AD18" si="89">AC14/AA14</f>
        <v>6149000000</v>
      </c>
      <c r="AE14" s="221"/>
      <c r="AF14" s="457">
        <v>12</v>
      </c>
      <c r="AG14" s="457">
        <f>IF(Currency="USD",ROUNDUP($E14*$H14*(1+AI$6),-3),ROUNDUP($E14*$H14*(1+AI$6)/EXR,-3)*EXR)+IF(Currency="USD",250000,250000*EXR)</f>
        <v>73788000000</v>
      </c>
      <c r="AH14" s="618">
        <f t="shared" ref="AH14:AH18" si="90">$E14*AG14</f>
        <v>73788000000</v>
      </c>
      <c r="AI14" s="457">
        <f t="shared" ref="AI14:AI18" si="91">AH14/AF14</f>
        <v>6149000000</v>
      </c>
      <c r="AJ14" s="221"/>
      <c r="AK14" t="s">
        <v>444</v>
      </c>
      <c r="AL14" t="s">
        <v>547</v>
      </c>
      <c r="AM14" t="s">
        <v>336</v>
      </c>
      <c r="AO14" s="15">
        <f t="shared" ref="AO14:AO18" si="92">IF($G14&gt;=AO$8,$J14,0)</f>
        <v>5606494185.2868166</v>
      </c>
      <c r="AP14" s="15">
        <f t="shared" si="73"/>
        <v>5606494185.2868166</v>
      </c>
      <c r="AQ14" s="15">
        <f t="shared" si="73"/>
        <v>5606494185.2868166</v>
      </c>
      <c r="AR14" s="15">
        <f t="shared" si="73"/>
        <v>5606494185.2868166</v>
      </c>
      <c r="AS14" s="15">
        <f t="shared" si="73"/>
        <v>5606494185.2868166</v>
      </c>
      <c r="AT14" s="15">
        <f t="shared" si="73"/>
        <v>5606494185.2868166</v>
      </c>
      <c r="AU14" s="15">
        <f t="shared" si="73"/>
        <v>5606494185.2868166</v>
      </c>
      <c r="AV14" s="15">
        <f t="shared" si="73"/>
        <v>5606494185.2868166</v>
      </c>
      <c r="AW14" s="15">
        <f t="shared" si="73"/>
        <v>5606494185.2868166</v>
      </c>
      <c r="AX14" s="15">
        <f t="shared" si="73"/>
        <v>5606494185.2868166</v>
      </c>
      <c r="AY14" s="15">
        <f t="shared" si="73"/>
        <v>5606494185.2868166</v>
      </c>
      <c r="AZ14" s="15">
        <f t="shared" si="73"/>
        <v>5606494185.2868166</v>
      </c>
      <c r="BA14" s="15">
        <f t="shared" si="73"/>
        <v>0</v>
      </c>
      <c r="BB14" s="15">
        <f t="shared" si="73"/>
        <v>0</v>
      </c>
      <c r="BC14" s="15">
        <f t="shared" si="73"/>
        <v>0</v>
      </c>
      <c r="BD14" s="15">
        <f t="shared" si="73"/>
        <v>0</v>
      </c>
      <c r="BE14" s="15">
        <f t="shared" si="73"/>
        <v>0</v>
      </c>
      <c r="BF14" s="15">
        <f t="shared" si="73"/>
        <v>0</v>
      </c>
      <c r="BG14" s="15">
        <f t="shared" si="73"/>
        <v>0</v>
      </c>
      <c r="BH14" s="15">
        <f t="shared" si="73"/>
        <v>0</v>
      </c>
      <c r="BI14" s="15">
        <f t="shared" si="73"/>
        <v>0</v>
      </c>
      <c r="BJ14" s="15">
        <f t="shared" si="73"/>
        <v>0</v>
      </c>
      <c r="BK14" s="15">
        <f t="shared" si="73"/>
        <v>0</v>
      </c>
      <c r="BL14" s="15">
        <f t="shared" si="73"/>
        <v>0</v>
      </c>
      <c r="BM14" s="15">
        <f t="shared" si="73"/>
        <v>0</v>
      </c>
      <c r="BN14" s="15">
        <f t="shared" si="73"/>
        <v>0</v>
      </c>
      <c r="BO14" s="15">
        <f t="shared" si="73"/>
        <v>0</v>
      </c>
      <c r="BP14" s="15">
        <f t="shared" si="73"/>
        <v>0</v>
      </c>
      <c r="BQ14" s="15">
        <f t="shared" si="73"/>
        <v>0</v>
      </c>
      <c r="BR14" s="15">
        <f t="shared" si="73"/>
        <v>0</v>
      </c>
      <c r="BT14" s="15">
        <f t="shared" ref="BT14:BT18" si="93">IF($L14&gt;=BT$8,$O14,0)</f>
        <v>6541166666.666667</v>
      </c>
      <c r="BU14" s="15">
        <f t="shared" si="74"/>
        <v>6541166666.666667</v>
      </c>
      <c r="BV14" s="15">
        <f t="shared" si="74"/>
        <v>6541166666.666667</v>
      </c>
      <c r="BW14" s="15">
        <f t="shared" si="74"/>
        <v>6541166666.666667</v>
      </c>
      <c r="BX14" s="15">
        <f t="shared" si="74"/>
        <v>6541166666.666667</v>
      </c>
      <c r="BY14" s="15">
        <f t="shared" si="74"/>
        <v>6541166666.666667</v>
      </c>
      <c r="BZ14" s="15">
        <f t="shared" si="74"/>
        <v>6541166666.666667</v>
      </c>
      <c r="CA14" s="15">
        <f t="shared" si="74"/>
        <v>6541166666.666667</v>
      </c>
      <c r="CB14" s="15">
        <f t="shared" si="74"/>
        <v>6541166666.666667</v>
      </c>
      <c r="CC14" s="15">
        <f t="shared" si="74"/>
        <v>6541166666.666667</v>
      </c>
      <c r="CD14" s="15">
        <f t="shared" si="74"/>
        <v>6541166666.666667</v>
      </c>
      <c r="CE14" s="15">
        <f t="shared" si="74"/>
        <v>6541166666.666667</v>
      </c>
      <c r="CF14" s="15">
        <f t="shared" si="74"/>
        <v>0</v>
      </c>
      <c r="CG14" s="15">
        <f t="shared" si="74"/>
        <v>0</v>
      </c>
      <c r="CH14" s="15">
        <f t="shared" si="74"/>
        <v>0</v>
      </c>
      <c r="CI14" s="15">
        <f t="shared" si="74"/>
        <v>0</v>
      </c>
      <c r="CJ14" s="15">
        <f t="shared" si="74"/>
        <v>0</v>
      </c>
      <c r="CK14" s="15">
        <f t="shared" si="74"/>
        <v>0</v>
      </c>
      <c r="CL14" s="15">
        <f t="shared" si="74"/>
        <v>0</v>
      </c>
      <c r="CM14" s="15">
        <f t="shared" si="74"/>
        <v>0</v>
      </c>
      <c r="CN14" s="15">
        <f t="shared" si="74"/>
        <v>0</v>
      </c>
      <c r="CO14" s="15">
        <f t="shared" si="74"/>
        <v>0</v>
      </c>
      <c r="CP14" s="15">
        <f t="shared" si="74"/>
        <v>0</v>
      </c>
      <c r="CQ14" s="15">
        <f t="shared" si="74"/>
        <v>0</v>
      </c>
      <c r="CR14" s="15">
        <f t="shared" si="74"/>
        <v>0</v>
      </c>
      <c r="CS14" s="15">
        <f t="shared" si="74"/>
        <v>0</v>
      </c>
      <c r="CT14" s="15">
        <f t="shared" si="74"/>
        <v>0</v>
      </c>
      <c r="CU14" s="15">
        <f t="shared" si="74"/>
        <v>0</v>
      </c>
      <c r="CV14" s="15">
        <f t="shared" si="74"/>
        <v>0</v>
      </c>
      <c r="CW14" s="15">
        <f t="shared" si="74"/>
        <v>0</v>
      </c>
      <c r="CY14" s="15">
        <f t="shared" ref="CY14:CY18" si="94">IF($Q14&gt;=CY$8,$T14,0)</f>
        <v>6541166666.666667</v>
      </c>
      <c r="CZ14" s="15">
        <f t="shared" si="75"/>
        <v>6541166666.666667</v>
      </c>
      <c r="DA14" s="15">
        <f t="shared" si="75"/>
        <v>6541166666.666667</v>
      </c>
      <c r="DB14" s="15">
        <f t="shared" si="75"/>
        <v>6541166666.666667</v>
      </c>
      <c r="DC14" s="15">
        <f t="shared" si="75"/>
        <v>6541166666.666667</v>
      </c>
      <c r="DD14" s="15">
        <f t="shared" si="75"/>
        <v>6541166666.666667</v>
      </c>
      <c r="DE14" s="15">
        <f t="shared" si="75"/>
        <v>6541166666.666667</v>
      </c>
      <c r="DF14" s="15">
        <f t="shared" si="75"/>
        <v>6541166666.666667</v>
      </c>
      <c r="DG14" s="15">
        <f t="shared" si="75"/>
        <v>6541166666.666667</v>
      </c>
      <c r="DH14" s="15">
        <f t="shared" si="75"/>
        <v>6541166666.666667</v>
      </c>
      <c r="DI14" s="15">
        <f t="shared" si="75"/>
        <v>6541166666.666667</v>
      </c>
      <c r="DJ14" s="15">
        <f t="shared" si="75"/>
        <v>6541166666.666667</v>
      </c>
      <c r="DK14" s="15">
        <f t="shared" si="75"/>
        <v>0</v>
      </c>
      <c r="DL14" s="15">
        <f t="shared" si="75"/>
        <v>0</v>
      </c>
      <c r="DM14" s="15">
        <f t="shared" si="75"/>
        <v>0</v>
      </c>
      <c r="DN14" s="15">
        <f t="shared" si="75"/>
        <v>0</v>
      </c>
      <c r="DO14" s="15">
        <f t="shared" si="75"/>
        <v>0</v>
      </c>
      <c r="DP14" s="15">
        <f t="shared" si="76"/>
        <v>0</v>
      </c>
      <c r="DQ14" s="15">
        <f t="shared" si="76"/>
        <v>0</v>
      </c>
      <c r="DR14" s="15">
        <f t="shared" si="76"/>
        <v>0</v>
      </c>
      <c r="DS14" s="15">
        <f t="shared" si="76"/>
        <v>0</v>
      </c>
      <c r="DT14" s="15">
        <f t="shared" si="76"/>
        <v>0</v>
      </c>
      <c r="DU14" s="15">
        <f t="shared" si="76"/>
        <v>0</v>
      </c>
      <c r="DV14" s="15">
        <f t="shared" si="76"/>
        <v>0</v>
      </c>
      <c r="DW14" s="15">
        <f t="shared" si="76"/>
        <v>0</v>
      </c>
      <c r="DX14" s="15">
        <f t="shared" si="76"/>
        <v>0</v>
      </c>
      <c r="DY14" s="15">
        <f t="shared" si="76"/>
        <v>0</v>
      </c>
      <c r="DZ14" s="15">
        <f t="shared" si="76"/>
        <v>0</v>
      </c>
      <c r="EA14" s="15">
        <f t="shared" si="76"/>
        <v>0</v>
      </c>
      <c r="EB14" s="15">
        <f t="shared" si="76"/>
        <v>0</v>
      </c>
      <c r="ED14" s="15">
        <f t="shared" ref="ED14:ES18" si="95">IF($V14&gt;=ED$8,$Y14,0)</f>
        <v>5606494185.2868166</v>
      </c>
      <c r="EE14" s="15">
        <f t="shared" si="77"/>
        <v>5606494185.2868166</v>
      </c>
      <c r="EF14" s="15">
        <f t="shared" si="77"/>
        <v>5606494185.2868166</v>
      </c>
      <c r="EG14" s="15">
        <f t="shared" si="77"/>
        <v>5606494185.2868166</v>
      </c>
      <c r="EH14" s="15">
        <f t="shared" si="77"/>
        <v>5606494185.2868166</v>
      </c>
      <c r="EI14" s="15">
        <f t="shared" si="77"/>
        <v>5606494185.2868166</v>
      </c>
      <c r="EJ14" s="15">
        <f t="shared" si="77"/>
        <v>5606494185.2868166</v>
      </c>
      <c r="EK14" s="15">
        <f t="shared" si="77"/>
        <v>5606494185.2868166</v>
      </c>
      <c r="EL14" s="15">
        <f t="shared" si="77"/>
        <v>5606494185.2868166</v>
      </c>
      <c r="EM14" s="15">
        <f t="shared" si="77"/>
        <v>5606494185.2868166</v>
      </c>
      <c r="EN14" s="15">
        <f t="shared" si="77"/>
        <v>5606494185.2868166</v>
      </c>
      <c r="EO14" s="15">
        <f t="shared" si="77"/>
        <v>5606494185.2868166</v>
      </c>
      <c r="EP14" s="15">
        <f t="shared" si="77"/>
        <v>0</v>
      </c>
      <c r="EQ14" s="15">
        <f t="shared" si="77"/>
        <v>0</v>
      </c>
      <c r="ER14" s="15">
        <f t="shared" si="77"/>
        <v>0</v>
      </c>
      <c r="ES14" s="15">
        <f t="shared" si="77"/>
        <v>0</v>
      </c>
      <c r="ET14" s="15">
        <f t="shared" si="77"/>
        <v>0</v>
      </c>
      <c r="EU14" s="15">
        <f t="shared" si="77"/>
        <v>0</v>
      </c>
      <c r="EV14" s="15">
        <f t="shared" si="77"/>
        <v>0</v>
      </c>
      <c r="EW14" s="15">
        <f t="shared" si="77"/>
        <v>0</v>
      </c>
      <c r="EX14" s="15">
        <f t="shared" si="77"/>
        <v>0</v>
      </c>
      <c r="EY14" s="15">
        <f t="shared" si="77"/>
        <v>0</v>
      </c>
      <c r="EZ14" s="15">
        <f t="shared" si="77"/>
        <v>0</v>
      </c>
      <c r="FA14" s="15">
        <f t="shared" si="77"/>
        <v>0</v>
      </c>
      <c r="FB14" s="15">
        <f t="shared" si="77"/>
        <v>0</v>
      </c>
      <c r="FC14" s="15">
        <f t="shared" si="77"/>
        <v>0</v>
      </c>
      <c r="FD14" s="15">
        <f t="shared" si="77"/>
        <v>0</v>
      </c>
      <c r="FE14" s="15">
        <f t="shared" si="77"/>
        <v>0</v>
      </c>
      <c r="FF14" s="15">
        <f t="shared" si="77"/>
        <v>0</v>
      </c>
      <c r="FG14" s="15">
        <f t="shared" si="77"/>
        <v>0</v>
      </c>
      <c r="FI14" s="15">
        <f t="shared" ref="FI14:FI18" si="96">IF($AA14&gt;=FI$8,$AD14,0)</f>
        <v>6149000000</v>
      </c>
      <c r="FJ14" s="15">
        <f t="shared" si="78"/>
        <v>6149000000</v>
      </c>
      <c r="FK14" s="15">
        <f t="shared" si="78"/>
        <v>6149000000</v>
      </c>
      <c r="FL14" s="15">
        <f t="shared" si="78"/>
        <v>6149000000</v>
      </c>
      <c r="FM14" s="15">
        <f t="shared" si="78"/>
        <v>6149000000</v>
      </c>
      <c r="FN14" s="15">
        <f t="shared" si="78"/>
        <v>6149000000</v>
      </c>
      <c r="FO14" s="15">
        <f t="shared" si="78"/>
        <v>6149000000</v>
      </c>
      <c r="FP14" s="15">
        <f t="shared" si="78"/>
        <v>6149000000</v>
      </c>
      <c r="FQ14" s="15">
        <f t="shared" si="78"/>
        <v>6149000000</v>
      </c>
      <c r="FR14" s="15">
        <f t="shared" si="78"/>
        <v>6149000000</v>
      </c>
      <c r="FS14" s="15">
        <f t="shared" si="78"/>
        <v>6149000000</v>
      </c>
      <c r="FT14" s="15">
        <f t="shared" si="78"/>
        <v>6149000000</v>
      </c>
      <c r="FU14" s="15">
        <f t="shared" si="78"/>
        <v>0</v>
      </c>
      <c r="FV14" s="15">
        <f t="shared" si="78"/>
        <v>0</v>
      </c>
      <c r="FW14" s="15">
        <f t="shared" si="78"/>
        <v>0</v>
      </c>
      <c r="FX14" s="15">
        <f t="shared" si="78"/>
        <v>0</v>
      </c>
      <c r="FY14" s="15">
        <f t="shared" si="78"/>
        <v>0</v>
      </c>
      <c r="FZ14" s="15">
        <f t="shared" si="78"/>
        <v>0</v>
      </c>
      <c r="GA14" s="15">
        <f t="shared" si="78"/>
        <v>0</v>
      </c>
      <c r="GB14" s="15">
        <f t="shared" si="78"/>
        <v>0</v>
      </c>
      <c r="GC14" s="15">
        <f t="shared" si="78"/>
        <v>0</v>
      </c>
      <c r="GD14" s="15">
        <f t="shared" si="78"/>
        <v>0</v>
      </c>
      <c r="GE14" s="15">
        <f t="shared" si="78"/>
        <v>0</v>
      </c>
      <c r="GF14" s="15">
        <f t="shared" si="78"/>
        <v>0</v>
      </c>
      <c r="GG14" s="15">
        <f t="shared" si="78"/>
        <v>0</v>
      </c>
      <c r="GH14" s="15">
        <f t="shared" si="78"/>
        <v>0</v>
      </c>
      <c r="GI14" s="15">
        <f t="shared" si="78"/>
        <v>0</v>
      </c>
      <c r="GJ14" s="15">
        <f t="shared" si="78"/>
        <v>0</v>
      </c>
      <c r="GK14" s="15">
        <f t="shared" si="78"/>
        <v>0</v>
      </c>
      <c r="GL14" s="15">
        <f t="shared" si="78"/>
        <v>0</v>
      </c>
      <c r="GN14" s="15">
        <f t="shared" ref="GN14:GN18" si="97">IF($AF14&gt;=GN$8,$AI14,0)</f>
        <v>6149000000</v>
      </c>
      <c r="GO14" s="15">
        <f t="shared" si="79"/>
        <v>6149000000</v>
      </c>
      <c r="GP14" s="15">
        <f t="shared" si="79"/>
        <v>6149000000</v>
      </c>
      <c r="GQ14" s="15">
        <f t="shared" si="79"/>
        <v>6149000000</v>
      </c>
      <c r="GR14" s="15">
        <f t="shared" si="79"/>
        <v>6149000000</v>
      </c>
      <c r="GS14" s="15">
        <f t="shared" si="79"/>
        <v>6149000000</v>
      </c>
      <c r="GT14" s="15">
        <f t="shared" si="79"/>
        <v>6149000000</v>
      </c>
      <c r="GU14" s="15">
        <f t="shared" si="79"/>
        <v>6149000000</v>
      </c>
      <c r="GV14" s="15">
        <f t="shared" si="79"/>
        <v>6149000000</v>
      </c>
      <c r="GW14" s="15">
        <f t="shared" si="79"/>
        <v>6149000000</v>
      </c>
      <c r="GX14" s="15">
        <f t="shared" si="79"/>
        <v>6149000000</v>
      </c>
      <c r="GY14" s="15">
        <f t="shared" si="79"/>
        <v>6149000000</v>
      </c>
      <c r="GZ14" s="15">
        <f t="shared" si="79"/>
        <v>0</v>
      </c>
      <c r="HA14" s="15">
        <f t="shared" si="79"/>
        <v>0</v>
      </c>
      <c r="HB14" s="15">
        <f t="shared" si="79"/>
        <v>0</v>
      </c>
      <c r="HC14" s="15">
        <f t="shared" si="79"/>
        <v>0</v>
      </c>
      <c r="HD14" s="15">
        <f t="shared" si="79"/>
        <v>0</v>
      </c>
      <c r="HE14" s="15">
        <f t="shared" si="79"/>
        <v>0</v>
      </c>
      <c r="HF14" s="15">
        <f t="shared" si="79"/>
        <v>0</v>
      </c>
      <c r="HG14" s="15">
        <f t="shared" si="79"/>
        <v>0</v>
      </c>
      <c r="HH14" s="15">
        <f t="shared" si="79"/>
        <v>0</v>
      </c>
      <c r="HI14" s="15">
        <f t="shared" si="79"/>
        <v>0</v>
      </c>
      <c r="HJ14" s="15">
        <f t="shared" si="79"/>
        <v>0</v>
      </c>
      <c r="HK14" s="15">
        <f t="shared" si="79"/>
        <v>0</v>
      </c>
      <c r="HL14" s="15">
        <f t="shared" si="79"/>
        <v>0</v>
      </c>
      <c r="HM14" s="15">
        <f t="shared" si="79"/>
        <v>0</v>
      </c>
      <c r="HN14" s="15">
        <f t="shared" si="79"/>
        <v>0</v>
      </c>
      <c r="HO14" s="15">
        <f t="shared" si="79"/>
        <v>0</v>
      </c>
      <c r="HP14" s="15">
        <f t="shared" si="79"/>
        <v>0</v>
      </c>
      <c r="HQ14" s="15">
        <f t="shared" si="79"/>
        <v>0</v>
      </c>
    </row>
    <row r="15" spans="1:225" outlineLevel="1" x14ac:dyDescent="0.25">
      <c r="B15" t="s">
        <v>344</v>
      </c>
      <c r="C15" s="496" t="s">
        <v>217</v>
      </c>
      <c r="D15" s="614" t="s">
        <v>205</v>
      </c>
      <c r="E15" s="467">
        <v>1</v>
      </c>
      <c r="F15" s="222"/>
      <c r="G15" s="457">
        <v>12</v>
      </c>
      <c r="H15" s="468">
        <f>(47050000000/$D$6*(1-0.196393571148569))*1.04</f>
        <v>39322069776.55822</v>
      </c>
      <c r="I15" s="616">
        <f t="shared" si="72"/>
        <v>39322069776.55822</v>
      </c>
      <c r="J15" s="617">
        <f t="shared" si="80"/>
        <v>3276839148.0465183</v>
      </c>
      <c r="K15" s="222"/>
      <c r="L15" s="457">
        <v>12</v>
      </c>
      <c r="M15" s="457">
        <f>(IF(Currency="USD",ROUNDUP($E15*$H15*(1+O$6),-3),ROUNDUP($E15*$H15*(1+O$6)/EXR,-3)*EXR)+IF(Currency="USD",250000,250000*EXR))</f>
        <v>48594000000</v>
      </c>
      <c r="N15" s="618">
        <f t="shared" si="81"/>
        <v>48594000000</v>
      </c>
      <c r="O15" s="617">
        <f t="shared" si="82"/>
        <v>4049500000</v>
      </c>
      <c r="P15" s="222"/>
      <c r="Q15" s="457">
        <v>12</v>
      </c>
      <c r="R15" s="457">
        <f>(IF(Currency="USD",ROUNDUP($E15*$H15*(1+T$6),-3),ROUNDUP($E15*$H15*(1+T$6)/EXR,-3)*EXR)+IF(Currency="USD",250000,250000*EXR))</f>
        <v>48594000000</v>
      </c>
      <c r="S15" s="618">
        <f t="shared" si="83"/>
        <v>48594000000</v>
      </c>
      <c r="T15" s="617">
        <f t="shared" si="84"/>
        <v>4049500000</v>
      </c>
      <c r="U15" s="221"/>
      <c r="V15" s="457">
        <v>12</v>
      </c>
      <c r="W15" s="457">
        <f t="shared" si="85"/>
        <v>39322069776.55822</v>
      </c>
      <c r="X15" s="618">
        <f t="shared" si="86"/>
        <v>39322069776.55822</v>
      </c>
      <c r="Y15" s="617">
        <f t="shared" si="87"/>
        <v>3276839148.0465183</v>
      </c>
      <c r="Z15" s="221"/>
      <c r="AA15" s="457">
        <v>12</v>
      </c>
      <c r="AB15" s="457">
        <f>(IF(Currency="USD",ROUNDUP($E15*$H15*(1+AD$6),-3),ROUNDUP($E15*$H15*(1+AD$6)/EXR,-3)*EXR)+IF(Currency="USD",250000,250000*EXR))</f>
        <v>45838000000</v>
      </c>
      <c r="AC15" s="618">
        <f t="shared" si="88"/>
        <v>45838000000</v>
      </c>
      <c r="AD15" s="617">
        <f t="shared" si="89"/>
        <v>3819833333.3333335</v>
      </c>
      <c r="AE15" s="221"/>
      <c r="AF15" s="457">
        <v>12</v>
      </c>
      <c r="AG15" s="457">
        <f>(IF(Currency="USD",ROUNDUP($E15*$H15*(1+AI$6),-3),ROUNDUP($E15*$H15*(1+AI$6)/EXR,-3)*EXR)+IF(Currency="USD",250000,250000*EXR))</f>
        <v>45838000000</v>
      </c>
      <c r="AH15" s="618">
        <f t="shared" si="90"/>
        <v>45838000000</v>
      </c>
      <c r="AI15" s="617">
        <f t="shared" si="91"/>
        <v>3819833333.3333335</v>
      </c>
      <c r="AJ15" s="221"/>
      <c r="AK15" t="s">
        <v>444</v>
      </c>
      <c r="AL15" t="s">
        <v>547</v>
      </c>
      <c r="AM15" t="s">
        <v>336</v>
      </c>
      <c r="AO15" s="15">
        <f t="shared" si="92"/>
        <v>3276839148.0465183</v>
      </c>
      <c r="AP15" s="15">
        <f t="shared" si="73"/>
        <v>3276839148.0465183</v>
      </c>
      <c r="AQ15" s="15">
        <f t="shared" si="73"/>
        <v>3276839148.0465183</v>
      </c>
      <c r="AR15" s="15">
        <f t="shared" si="73"/>
        <v>3276839148.0465183</v>
      </c>
      <c r="AS15" s="15">
        <f t="shared" si="73"/>
        <v>3276839148.0465183</v>
      </c>
      <c r="AT15" s="15">
        <f t="shared" si="73"/>
        <v>3276839148.0465183</v>
      </c>
      <c r="AU15" s="15">
        <f t="shared" si="73"/>
        <v>3276839148.0465183</v>
      </c>
      <c r="AV15" s="15">
        <f t="shared" si="73"/>
        <v>3276839148.0465183</v>
      </c>
      <c r="AW15" s="15">
        <f t="shared" si="73"/>
        <v>3276839148.0465183</v>
      </c>
      <c r="AX15" s="15">
        <f t="shared" si="73"/>
        <v>3276839148.0465183</v>
      </c>
      <c r="AY15" s="15">
        <f t="shared" si="73"/>
        <v>3276839148.0465183</v>
      </c>
      <c r="AZ15" s="15">
        <f t="shared" si="73"/>
        <v>3276839148.0465183</v>
      </c>
      <c r="BA15" s="15">
        <f t="shared" si="73"/>
        <v>0</v>
      </c>
      <c r="BB15" s="15">
        <f t="shared" si="73"/>
        <v>0</v>
      </c>
      <c r="BC15" s="15">
        <f t="shared" si="73"/>
        <v>0</v>
      </c>
      <c r="BD15" s="15">
        <f t="shared" si="73"/>
        <v>0</v>
      </c>
      <c r="BE15" s="15">
        <f t="shared" si="73"/>
        <v>0</v>
      </c>
      <c r="BF15" s="15">
        <f t="shared" si="73"/>
        <v>0</v>
      </c>
      <c r="BG15" s="15">
        <f t="shared" si="73"/>
        <v>0</v>
      </c>
      <c r="BH15" s="15">
        <f t="shared" si="73"/>
        <v>0</v>
      </c>
      <c r="BI15" s="15">
        <f t="shared" si="73"/>
        <v>0</v>
      </c>
      <c r="BJ15" s="15">
        <f t="shared" si="73"/>
        <v>0</v>
      </c>
      <c r="BK15" s="15">
        <f t="shared" si="73"/>
        <v>0</v>
      </c>
      <c r="BL15" s="15">
        <f t="shared" si="73"/>
        <v>0</v>
      </c>
      <c r="BM15" s="15">
        <f t="shared" si="73"/>
        <v>0</v>
      </c>
      <c r="BN15" s="15">
        <f t="shared" si="73"/>
        <v>0</v>
      </c>
      <c r="BO15" s="15">
        <f t="shared" si="73"/>
        <v>0</v>
      </c>
      <c r="BP15" s="15">
        <f t="shared" si="73"/>
        <v>0</v>
      </c>
      <c r="BQ15" s="15">
        <f t="shared" si="73"/>
        <v>0</v>
      </c>
      <c r="BR15" s="15">
        <f t="shared" si="73"/>
        <v>0</v>
      </c>
      <c r="BT15" s="15">
        <f t="shared" si="93"/>
        <v>4049500000</v>
      </c>
      <c r="BU15" s="15">
        <f t="shared" si="74"/>
        <v>4049500000</v>
      </c>
      <c r="BV15" s="15">
        <f t="shared" si="74"/>
        <v>4049500000</v>
      </c>
      <c r="BW15" s="15">
        <f t="shared" si="74"/>
        <v>4049500000</v>
      </c>
      <c r="BX15" s="15">
        <f t="shared" si="74"/>
        <v>4049500000</v>
      </c>
      <c r="BY15" s="15">
        <f t="shared" si="74"/>
        <v>4049500000</v>
      </c>
      <c r="BZ15" s="15">
        <f t="shared" si="74"/>
        <v>4049500000</v>
      </c>
      <c r="CA15" s="15">
        <f t="shared" si="74"/>
        <v>4049500000</v>
      </c>
      <c r="CB15" s="15">
        <f t="shared" si="74"/>
        <v>4049500000</v>
      </c>
      <c r="CC15" s="15">
        <f t="shared" si="74"/>
        <v>4049500000</v>
      </c>
      <c r="CD15" s="15">
        <f t="shared" si="74"/>
        <v>4049500000</v>
      </c>
      <c r="CE15" s="15">
        <f t="shared" si="74"/>
        <v>4049500000</v>
      </c>
      <c r="CF15" s="15">
        <f t="shared" si="74"/>
        <v>0</v>
      </c>
      <c r="CG15" s="15">
        <f t="shared" si="74"/>
        <v>0</v>
      </c>
      <c r="CH15" s="15">
        <f t="shared" si="74"/>
        <v>0</v>
      </c>
      <c r="CI15" s="15">
        <f t="shared" si="74"/>
        <v>0</v>
      </c>
      <c r="CJ15" s="15">
        <f t="shared" si="74"/>
        <v>0</v>
      </c>
      <c r="CK15" s="15">
        <f t="shared" si="74"/>
        <v>0</v>
      </c>
      <c r="CL15" s="15">
        <f t="shared" si="74"/>
        <v>0</v>
      </c>
      <c r="CM15" s="15">
        <f t="shared" si="74"/>
        <v>0</v>
      </c>
      <c r="CN15" s="15">
        <f t="shared" si="74"/>
        <v>0</v>
      </c>
      <c r="CO15" s="15">
        <f t="shared" si="74"/>
        <v>0</v>
      </c>
      <c r="CP15" s="15">
        <f t="shared" si="74"/>
        <v>0</v>
      </c>
      <c r="CQ15" s="15">
        <f t="shared" si="74"/>
        <v>0</v>
      </c>
      <c r="CR15" s="15">
        <f t="shared" si="74"/>
        <v>0</v>
      </c>
      <c r="CS15" s="15">
        <f t="shared" si="74"/>
        <v>0</v>
      </c>
      <c r="CT15" s="15">
        <f t="shared" si="74"/>
        <v>0</v>
      </c>
      <c r="CU15" s="15">
        <f t="shared" si="74"/>
        <v>0</v>
      </c>
      <c r="CV15" s="15">
        <f t="shared" si="74"/>
        <v>0</v>
      </c>
      <c r="CW15" s="15">
        <f t="shared" si="74"/>
        <v>0</v>
      </c>
      <c r="CY15" s="15">
        <f t="shared" si="94"/>
        <v>4049500000</v>
      </c>
      <c r="CZ15" s="15">
        <f t="shared" si="75"/>
        <v>4049500000</v>
      </c>
      <c r="DA15" s="15">
        <f t="shared" si="75"/>
        <v>4049500000</v>
      </c>
      <c r="DB15" s="15">
        <f t="shared" si="75"/>
        <v>4049500000</v>
      </c>
      <c r="DC15" s="15">
        <f t="shared" si="75"/>
        <v>4049500000</v>
      </c>
      <c r="DD15" s="15">
        <f t="shared" si="75"/>
        <v>4049500000</v>
      </c>
      <c r="DE15" s="15">
        <f t="shared" si="75"/>
        <v>4049500000</v>
      </c>
      <c r="DF15" s="15">
        <f t="shared" si="75"/>
        <v>4049500000</v>
      </c>
      <c r="DG15" s="15">
        <f t="shared" si="75"/>
        <v>4049500000</v>
      </c>
      <c r="DH15" s="15">
        <f t="shared" si="75"/>
        <v>4049500000</v>
      </c>
      <c r="DI15" s="15">
        <f t="shared" si="75"/>
        <v>4049500000</v>
      </c>
      <c r="DJ15" s="15">
        <f t="shared" si="75"/>
        <v>4049500000</v>
      </c>
      <c r="DK15" s="15">
        <f t="shared" si="75"/>
        <v>0</v>
      </c>
      <c r="DL15" s="15">
        <f t="shared" si="75"/>
        <v>0</v>
      </c>
      <c r="DM15" s="15">
        <f t="shared" si="75"/>
        <v>0</v>
      </c>
      <c r="DN15" s="15">
        <f t="shared" si="75"/>
        <v>0</v>
      </c>
      <c r="DO15" s="15">
        <f t="shared" si="75"/>
        <v>0</v>
      </c>
      <c r="DP15" s="15">
        <f t="shared" si="76"/>
        <v>0</v>
      </c>
      <c r="DQ15" s="15">
        <f t="shared" si="76"/>
        <v>0</v>
      </c>
      <c r="DR15" s="15">
        <f t="shared" si="76"/>
        <v>0</v>
      </c>
      <c r="DS15" s="15">
        <f t="shared" si="76"/>
        <v>0</v>
      </c>
      <c r="DT15" s="15">
        <f t="shared" si="76"/>
        <v>0</v>
      </c>
      <c r="DU15" s="15">
        <f t="shared" si="76"/>
        <v>0</v>
      </c>
      <c r="DV15" s="15">
        <f t="shared" si="76"/>
        <v>0</v>
      </c>
      <c r="DW15" s="15">
        <f t="shared" si="76"/>
        <v>0</v>
      </c>
      <c r="DX15" s="15">
        <f t="shared" si="76"/>
        <v>0</v>
      </c>
      <c r="DY15" s="15">
        <f t="shared" si="76"/>
        <v>0</v>
      </c>
      <c r="DZ15" s="15">
        <f t="shared" si="76"/>
        <v>0</v>
      </c>
      <c r="EA15" s="15">
        <f t="shared" si="76"/>
        <v>0</v>
      </c>
      <c r="EB15" s="15">
        <f t="shared" si="76"/>
        <v>0</v>
      </c>
      <c r="ED15" s="15">
        <f t="shared" si="95"/>
        <v>3276839148.0465183</v>
      </c>
      <c r="EE15" s="15">
        <f t="shared" si="77"/>
        <v>3276839148.0465183</v>
      </c>
      <c r="EF15" s="15">
        <f t="shared" si="77"/>
        <v>3276839148.0465183</v>
      </c>
      <c r="EG15" s="15">
        <f t="shared" si="77"/>
        <v>3276839148.0465183</v>
      </c>
      <c r="EH15" s="15">
        <f t="shared" si="77"/>
        <v>3276839148.0465183</v>
      </c>
      <c r="EI15" s="15">
        <f t="shared" si="77"/>
        <v>3276839148.0465183</v>
      </c>
      <c r="EJ15" s="15">
        <f t="shared" si="77"/>
        <v>3276839148.0465183</v>
      </c>
      <c r="EK15" s="15">
        <f t="shared" si="77"/>
        <v>3276839148.0465183</v>
      </c>
      <c r="EL15" s="15">
        <f t="shared" si="77"/>
        <v>3276839148.0465183</v>
      </c>
      <c r="EM15" s="15">
        <f t="shared" si="77"/>
        <v>3276839148.0465183</v>
      </c>
      <c r="EN15" s="15">
        <f t="shared" si="77"/>
        <v>3276839148.0465183</v>
      </c>
      <c r="EO15" s="15">
        <f t="shared" si="77"/>
        <v>3276839148.0465183</v>
      </c>
      <c r="EP15" s="15">
        <f t="shared" si="77"/>
        <v>0</v>
      </c>
      <c r="EQ15" s="15">
        <f t="shared" si="77"/>
        <v>0</v>
      </c>
      <c r="ER15" s="15">
        <f t="shared" si="77"/>
        <v>0</v>
      </c>
      <c r="ES15" s="15">
        <f t="shared" si="77"/>
        <v>0</v>
      </c>
      <c r="ET15" s="15">
        <f t="shared" si="77"/>
        <v>0</v>
      </c>
      <c r="EU15" s="15">
        <f t="shared" si="77"/>
        <v>0</v>
      </c>
      <c r="EV15" s="15">
        <f t="shared" si="77"/>
        <v>0</v>
      </c>
      <c r="EW15" s="15">
        <f t="shared" si="77"/>
        <v>0</v>
      </c>
      <c r="EX15" s="15">
        <f t="shared" si="77"/>
        <v>0</v>
      </c>
      <c r="EY15" s="15">
        <f t="shared" si="77"/>
        <v>0</v>
      </c>
      <c r="EZ15" s="15">
        <f t="shared" si="77"/>
        <v>0</v>
      </c>
      <c r="FA15" s="15">
        <f t="shared" si="77"/>
        <v>0</v>
      </c>
      <c r="FB15" s="15">
        <f t="shared" si="77"/>
        <v>0</v>
      </c>
      <c r="FC15" s="15">
        <f t="shared" si="77"/>
        <v>0</v>
      </c>
      <c r="FD15" s="15">
        <f t="shared" si="77"/>
        <v>0</v>
      </c>
      <c r="FE15" s="15">
        <f t="shared" si="77"/>
        <v>0</v>
      </c>
      <c r="FF15" s="15">
        <f t="shared" si="77"/>
        <v>0</v>
      </c>
      <c r="FG15" s="15">
        <f t="shared" si="77"/>
        <v>0</v>
      </c>
      <c r="FI15" s="15">
        <f t="shared" si="96"/>
        <v>3819833333.3333335</v>
      </c>
      <c r="FJ15" s="15">
        <f t="shared" si="78"/>
        <v>3819833333.3333335</v>
      </c>
      <c r="FK15" s="15">
        <f t="shared" si="78"/>
        <v>3819833333.3333335</v>
      </c>
      <c r="FL15" s="15">
        <f t="shared" si="78"/>
        <v>3819833333.3333335</v>
      </c>
      <c r="FM15" s="15">
        <f t="shared" si="78"/>
        <v>3819833333.3333335</v>
      </c>
      <c r="FN15" s="15">
        <f t="shared" si="78"/>
        <v>3819833333.3333335</v>
      </c>
      <c r="FO15" s="15">
        <f t="shared" si="78"/>
        <v>3819833333.3333335</v>
      </c>
      <c r="FP15" s="15">
        <f t="shared" si="78"/>
        <v>3819833333.3333335</v>
      </c>
      <c r="FQ15" s="15">
        <f t="shared" si="78"/>
        <v>3819833333.3333335</v>
      </c>
      <c r="FR15" s="15">
        <f t="shared" si="78"/>
        <v>3819833333.3333335</v>
      </c>
      <c r="FS15" s="15">
        <f t="shared" si="78"/>
        <v>3819833333.3333335</v>
      </c>
      <c r="FT15" s="15">
        <f t="shared" si="78"/>
        <v>3819833333.3333335</v>
      </c>
      <c r="FU15" s="15">
        <f t="shared" si="78"/>
        <v>0</v>
      </c>
      <c r="FV15" s="15">
        <f t="shared" si="78"/>
        <v>0</v>
      </c>
      <c r="FW15" s="15">
        <f t="shared" si="78"/>
        <v>0</v>
      </c>
      <c r="FX15" s="15">
        <f t="shared" si="78"/>
        <v>0</v>
      </c>
      <c r="FY15" s="15">
        <f t="shared" si="78"/>
        <v>0</v>
      </c>
      <c r="FZ15" s="15">
        <f t="shared" si="78"/>
        <v>0</v>
      </c>
      <c r="GA15" s="15">
        <f t="shared" si="78"/>
        <v>0</v>
      </c>
      <c r="GB15" s="15">
        <f t="shared" si="78"/>
        <v>0</v>
      </c>
      <c r="GC15" s="15">
        <f t="shared" si="78"/>
        <v>0</v>
      </c>
      <c r="GD15" s="15">
        <f t="shared" si="78"/>
        <v>0</v>
      </c>
      <c r="GE15" s="15">
        <f t="shared" si="78"/>
        <v>0</v>
      </c>
      <c r="GF15" s="15">
        <f t="shared" si="78"/>
        <v>0</v>
      </c>
      <c r="GG15" s="15">
        <f t="shared" si="78"/>
        <v>0</v>
      </c>
      <c r="GH15" s="15">
        <f t="shared" si="78"/>
        <v>0</v>
      </c>
      <c r="GI15" s="15">
        <f t="shared" si="78"/>
        <v>0</v>
      </c>
      <c r="GJ15" s="15">
        <f t="shared" si="78"/>
        <v>0</v>
      </c>
      <c r="GK15" s="15">
        <f t="shared" si="78"/>
        <v>0</v>
      </c>
      <c r="GL15" s="15">
        <f t="shared" si="78"/>
        <v>0</v>
      </c>
      <c r="GN15" s="15">
        <f t="shared" si="97"/>
        <v>3819833333.3333335</v>
      </c>
      <c r="GO15" s="15">
        <f t="shared" si="79"/>
        <v>3819833333.3333335</v>
      </c>
      <c r="GP15" s="15">
        <f t="shared" si="79"/>
        <v>3819833333.3333335</v>
      </c>
      <c r="GQ15" s="15">
        <f t="shared" si="79"/>
        <v>3819833333.3333335</v>
      </c>
      <c r="GR15" s="15">
        <f t="shared" si="79"/>
        <v>3819833333.3333335</v>
      </c>
      <c r="GS15" s="15">
        <f t="shared" si="79"/>
        <v>3819833333.3333335</v>
      </c>
      <c r="GT15" s="15">
        <f t="shared" si="79"/>
        <v>3819833333.3333335</v>
      </c>
      <c r="GU15" s="15">
        <f t="shared" si="79"/>
        <v>3819833333.3333335</v>
      </c>
      <c r="GV15" s="15">
        <f t="shared" si="79"/>
        <v>3819833333.3333335</v>
      </c>
      <c r="GW15" s="15">
        <f t="shared" si="79"/>
        <v>3819833333.3333335</v>
      </c>
      <c r="GX15" s="15">
        <f t="shared" si="79"/>
        <v>3819833333.3333335</v>
      </c>
      <c r="GY15" s="15">
        <f t="shared" si="79"/>
        <v>3819833333.3333335</v>
      </c>
      <c r="GZ15" s="15">
        <f t="shared" si="79"/>
        <v>0</v>
      </c>
      <c r="HA15" s="15">
        <f t="shared" si="79"/>
        <v>0</v>
      </c>
      <c r="HB15" s="15">
        <f t="shared" si="79"/>
        <v>0</v>
      </c>
      <c r="HC15" s="15">
        <f t="shared" si="79"/>
        <v>0</v>
      </c>
      <c r="HD15" s="15">
        <f t="shared" si="79"/>
        <v>0</v>
      </c>
      <c r="HE15" s="15">
        <f t="shared" si="79"/>
        <v>0</v>
      </c>
      <c r="HF15" s="15">
        <f t="shared" si="79"/>
        <v>0</v>
      </c>
      <c r="HG15" s="15">
        <f t="shared" si="79"/>
        <v>0</v>
      </c>
      <c r="HH15" s="15">
        <f t="shared" si="79"/>
        <v>0</v>
      </c>
      <c r="HI15" s="15">
        <f t="shared" si="79"/>
        <v>0</v>
      </c>
      <c r="HJ15" s="15">
        <f t="shared" si="79"/>
        <v>0</v>
      </c>
      <c r="HK15" s="15">
        <f t="shared" si="79"/>
        <v>0</v>
      </c>
      <c r="HL15" s="15">
        <f t="shared" si="79"/>
        <v>0</v>
      </c>
      <c r="HM15" s="15">
        <f t="shared" si="79"/>
        <v>0</v>
      </c>
      <c r="HN15" s="15">
        <f t="shared" si="79"/>
        <v>0</v>
      </c>
      <c r="HO15" s="15">
        <f t="shared" si="79"/>
        <v>0</v>
      </c>
      <c r="HP15" s="15">
        <f t="shared" si="79"/>
        <v>0</v>
      </c>
      <c r="HQ15" s="15">
        <f t="shared" si="79"/>
        <v>0</v>
      </c>
    </row>
    <row r="16" spans="1:225" outlineLevel="1" x14ac:dyDescent="0.25">
      <c r="B16" t="s">
        <v>347</v>
      </c>
      <c r="C16" s="496" t="s">
        <v>218</v>
      </c>
      <c r="D16" s="614" t="s">
        <v>166</v>
      </c>
      <c r="E16" s="467">
        <v>1</v>
      </c>
      <c r="F16" s="221"/>
      <c r="G16" s="457">
        <v>12</v>
      </c>
      <c r="H16" s="468">
        <f>(2500000000/$D$6)*1.04</f>
        <v>2600000000</v>
      </c>
      <c r="I16" s="457">
        <f t="shared" si="72"/>
        <v>2600000000</v>
      </c>
      <c r="J16" s="457">
        <f t="shared" si="80"/>
        <v>216666666.66666666</v>
      </c>
      <c r="K16" s="221"/>
      <c r="L16" s="457">
        <v>12</v>
      </c>
      <c r="M16" s="457">
        <f>ROUNDUP($E16*$H16*(1+O$6),-3)+IF(Currency="USD",45000,45000*EXR)</f>
        <v>3952000000</v>
      </c>
      <c r="N16" s="618">
        <f t="shared" si="81"/>
        <v>3952000000</v>
      </c>
      <c r="O16" s="457">
        <f t="shared" si="82"/>
        <v>329333333.33333331</v>
      </c>
      <c r="P16" s="221"/>
      <c r="Q16" s="457">
        <v>12</v>
      </c>
      <c r="R16" s="457">
        <f>ROUNDUP($E16*$H16*(1+T$6),-3)+IF(Currency="USD",45000,45000*EXR)</f>
        <v>3952000000</v>
      </c>
      <c r="S16" s="618">
        <f t="shared" si="83"/>
        <v>3952000000</v>
      </c>
      <c r="T16" s="457">
        <f t="shared" si="84"/>
        <v>329333333.33333331</v>
      </c>
      <c r="U16" s="221"/>
      <c r="V16" s="457">
        <v>12</v>
      </c>
      <c r="W16" s="457">
        <f t="shared" si="85"/>
        <v>2600000000</v>
      </c>
      <c r="X16" s="618">
        <f t="shared" si="86"/>
        <v>2600000000</v>
      </c>
      <c r="Y16" s="457">
        <f t="shared" si="87"/>
        <v>216666666.66666666</v>
      </c>
      <c r="Z16" s="221"/>
      <c r="AA16" s="457">
        <v>12</v>
      </c>
      <c r="AB16" s="457">
        <f>ROUNDUP($E16*$H16*(1+AD$6),-3)+IF(Currency="USD",45000,45000*EXR)</f>
        <v>3770000000</v>
      </c>
      <c r="AC16" s="618">
        <f t="shared" si="88"/>
        <v>3770000000</v>
      </c>
      <c r="AD16" s="457">
        <f t="shared" si="89"/>
        <v>314166666.66666669</v>
      </c>
      <c r="AE16" s="221"/>
      <c r="AF16" s="457">
        <v>12</v>
      </c>
      <c r="AG16" s="457">
        <f>ROUNDUP($E16*$H16*(1+AI$6),-3)+IF(Currency="USD",45000,45000*EXR)</f>
        <v>3770000000</v>
      </c>
      <c r="AH16" s="618">
        <f t="shared" si="90"/>
        <v>3770000000</v>
      </c>
      <c r="AI16" s="457">
        <f t="shared" si="91"/>
        <v>314166666.66666669</v>
      </c>
      <c r="AJ16" s="221"/>
      <c r="AL16" t="s">
        <v>547</v>
      </c>
      <c r="AM16" t="s">
        <v>336</v>
      </c>
      <c r="AO16" s="15">
        <f t="shared" si="92"/>
        <v>216666666.66666666</v>
      </c>
      <c r="AP16" s="15">
        <f t="shared" si="73"/>
        <v>216666666.66666666</v>
      </c>
      <c r="AQ16" s="15">
        <f t="shared" si="73"/>
        <v>216666666.66666666</v>
      </c>
      <c r="AR16" s="15">
        <f t="shared" si="73"/>
        <v>216666666.66666666</v>
      </c>
      <c r="AS16" s="15">
        <f t="shared" si="73"/>
        <v>216666666.66666666</v>
      </c>
      <c r="AT16" s="15">
        <f t="shared" si="73"/>
        <v>216666666.66666666</v>
      </c>
      <c r="AU16" s="15">
        <f t="shared" si="73"/>
        <v>216666666.66666666</v>
      </c>
      <c r="AV16" s="15">
        <f t="shared" si="73"/>
        <v>216666666.66666666</v>
      </c>
      <c r="AW16" s="15">
        <f t="shared" si="73"/>
        <v>216666666.66666666</v>
      </c>
      <c r="AX16" s="15">
        <f t="shared" si="73"/>
        <v>216666666.66666666</v>
      </c>
      <c r="AY16" s="15">
        <f t="shared" si="73"/>
        <v>216666666.66666666</v>
      </c>
      <c r="AZ16" s="15">
        <f t="shared" si="73"/>
        <v>216666666.66666666</v>
      </c>
      <c r="BA16" s="15">
        <f t="shared" si="73"/>
        <v>0</v>
      </c>
      <c r="BB16" s="15">
        <f t="shared" si="73"/>
        <v>0</v>
      </c>
      <c r="BC16" s="15">
        <f t="shared" si="73"/>
        <v>0</v>
      </c>
      <c r="BD16" s="15">
        <f t="shared" si="73"/>
        <v>0</v>
      </c>
      <c r="BE16" s="15">
        <f t="shared" si="73"/>
        <v>0</v>
      </c>
      <c r="BF16" s="15">
        <f t="shared" si="73"/>
        <v>0</v>
      </c>
      <c r="BG16" s="15">
        <f t="shared" si="73"/>
        <v>0</v>
      </c>
      <c r="BH16" s="15">
        <f t="shared" si="73"/>
        <v>0</v>
      </c>
      <c r="BI16" s="15">
        <f t="shared" si="73"/>
        <v>0</v>
      </c>
      <c r="BJ16" s="15">
        <f t="shared" si="73"/>
        <v>0</v>
      </c>
      <c r="BK16" s="15">
        <f t="shared" si="73"/>
        <v>0</v>
      </c>
      <c r="BL16" s="15">
        <f t="shared" si="73"/>
        <v>0</v>
      </c>
      <c r="BM16" s="15">
        <f t="shared" si="73"/>
        <v>0</v>
      </c>
      <c r="BN16" s="15">
        <f t="shared" si="73"/>
        <v>0</v>
      </c>
      <c r="BO16" s="15">
        <f t="shared" si="73"/>
        <v>0</v>
      </c>
      <c r="BP16" s="15">
        <f t="shared" si="73"/>
        <v>0</v>
      </c>
      <c r="BQ16" s="15">
        <f t="shared" si="73"/>
        <v>0</v>
      </c>
      <c r="BR16" s="15">
        <f t="shared" si="73"/>
        <v>0</v>
      </c>
      <c r="BT16" s="15">
        <f t="shared" si="93"/>
        <v>329333333.33333331</v>
      </c>
      <c r="BU16" s="15">
        <f t="shared" si="74"/>
        <v>329333333.33333331</v>
      </c>
      <c r="BV16" s="15">
        <f t="shared" si="74"/>
        <v>329333333.33333331</v>
      </c>
      <c r="BW16" s="15">
        <f t="shared" si="74"/>
        <v>329333333.33333331</v>
      </c>
      <c r="BX16" s="15">
        <f t="shared" si="74"/>
        <v>329333333.33333331</v>
      </c>
      <c r="BY16" s="15">
        <f t="shared" si="74"/>
        <v>329333333.33333331</v>
      </c>
      <c r="BZ16" s="15">
        <f t="shared" si="74"/>
        <v>329333333.33333331</v>
      </c>
      <c r="CA16" s="15">
        <f t="shared" si="74"/>
        <v>329333333.33333331</v>
      </c>
      <c r="CB16" s="15">
        <f t="shared" si="74"/>
        <v>329333333.33333331</v>
      </c>
      <c r="CC16" s="15">
        <f t="shared" si="74"/>
        <v>329333333.33333331</v>
      </c>
      <c r="CD16" s="15">
        <f t="shared" si="74"/>
        <v>329333333.33333331</v>
      </c>
      <c r="CE16" s="15">
        <f t="shared" si="74"/>
        <v>329333333.33333331</v>
      </c>
      <c r="CF16" s="15">
        <f t="shared" si="74"/>
        <v>0</v>
      </c>
      <c r="CG16" s="15">
        <f t="shared" si="74"/>
        <v>0</v>
      </c>
      <c r="CH16" s="15">
        <f t="shared" si="74"/>
        <v>0</v>
      </c>
      <c r="CI16" s="15">
        <f t="shared" si="74"/>
        <v>0</v>
      </c>
      <c r="CJ16" s="15">
        <f t="shared" si="74"/>
        <v>0</v>
      </c>
      <c r="CK16" s="15">
        <f t="shared" si="74"/>
        <v>0</v>
      </c>
      <c r="CL16" s="15">
        <f t="shared" si="74"/>
        <v>0</v>
      </c>
      <c r="CM16" s="15">
        <f t="shared" si="74"/>
        <v>0</v>
      </c>
      <c r="CN16" s="15">
        <f t="shared" si="74"/>
        <v>0</v>
      </c>
      <c r="CO16" s="15">
        <f t="shared" si="74"/>
        <v>0</v>
      </c>
      <c r="CP16" s="15">
        <f t="shared" si="74"/>
        <v>0</v>
      </c>
      <c r="CQ16" s="15">
        <f t="shared" si="74"/>
        <v>0</v>
      </c>
      <c r="CR16" s="15">
        <f t="shared" si="74"/>
        <v>0</v>
      </c>
      <c r="CS16" s="15">
        <f t="shared" si="74"/>
        <v>0</v>
      </c>
      <c r="CT16" s="15">
        <f t="shared" si="74"/>
        <v>0</v>
      </c>
      <c r="CU16" s="15">
        <f t="shared" si="74"/>
        <v>0</v>
      </c>
      <c r="CV16" s="15">
        <f t="shared" si="74"/>
        <v>0</v>
      </c>
      <c r="CW16" s="15">
        <f t="shared" si="74"/>
        <v>0</v>
      </c>
      <c r="CY16" s="15">
        <f t="shared" si="94"/>
        <v>329333333.33333331</v>
      </c>
      <c r="CZ16" s="15">
        <f t="shared" si="75"/>
        <v>329333333.33333331</v>
      </c>
      <c r="DA16" s="15">
        <f t="shared" si="75"/>
        <v>329333333.33333331</v>
      </c>
      <c r="DB16" s="15">
        <f t="shared" si="75"/>
        <v>329333333.33333331</v>
      </c>
      <c r="DC16" s="15">
        <f t="shared" si="75"/>
        <v>329333333.33333331</v>
      </c>
      <c r="DD16" s="15">
        <f t="shared" si="75"/>
        <v>329333333.33333331</v>
      </c>
      <c r="DE16" s="15">
        <f t="shared" si="75"/>
        <v>329333333.33333331</v>
      </c>
      <c r="DF16" s="15">
        <f t="shared" si="75"/>
        <v>329333333.33333331</v>
      </c>
      <c r="DG16" s="15">
        <f t="shared" si="75"/>
        <v>329333333.33333331</v>
      </c>
      <c r="DH16" s="15">
        <f t="shared" si="75"/>
        <v>329333333.33333331</v>
      </c>
      <c r="DI16" s="15">
        <f t="shared" si="75"/>
        <v>329333333.33333331</v>
      </c>
      <c r="DJ16" s="15">
        <f t="shared" si="75"/>
        <v>329333333.33333331</v>
      </c>
      <c r="DK16" s="15">
        <f t="shared" si="75"/>
        <v>0</v>
      </c>
      <c r="DL16" s="15">
        <f t="shared" si="75"/>
        <v>0</v>
      </c>
      <c r="DM16" s="15">
        <f t="shared" si="75"/>
        <v>0</v>
      </c>
      <c r="DN16" s="15">
        <f t="shared" si="75"/>
        <v>0</v>
      </c>
      <c r="DO16" s="15">
        <f t="shared" si="75"/>
        <v>0</v>
      </c>
      <c r="DP16" s="15">
        <f t="shared" si="76"/>
        <v>0</v>
      </c>
      <c r="DQ16" s="15">
        <f t="shared" si="76"/>
        <v>0</v>
      </c>
      <c r="DR16" s="15">
        <f t="shared" si="76"/>
        <v>0</v>
      </c>
      <c r="DS16" s="15">
        <f t="shared" si="76"/>
        <v>0</v>
      </c>
      <c r="DT16" s="15">
        <f t="shared" si="76"/>
        <v>0</v>
      </c>
      <c r="DU16" s="15">
        <f t="shared" si="76"/>
        <v>0</v>
      </c>
      <c r="DV16" s="15">
        <f t="shared" si="76"/>
        <v>0</v>
      </c>
      <c r="DW16" s="15">
        <f t="shared" si="76"/>
        <v>0</v>
      </c>
      <c r="DX16" s="15">
        <f t="shared" si="76"/>
        <v>0</v>
      </c>
      <c r="DY16" s="15">
        <f t="shared" si="76"/>
        <v>0</v>
      </c>
      <c r="DZ16" s="15">
        <f t="shared" si="76"/>
        <v>0</v>
      </c>
      <c r="EA16" s="15">
        <f t="shared" si="76"/>
        <v>0</v>
      </c>
      <c r="EB16" s="15">
        <f t="shared" si="76"/>
        <v>0</v>
      </c>
      <c r="ED16" s="15">
        <f t="shared" si="95"/>
        <v>216666666.66666666</v>
      </c>
      <c r="EE16" s="15">
        <f t="shared" si="77"/>
        <v>216666666.66666666</v>
      </c>
      <c r="EF16" s="15">
        <f t="shared" si="77"/>
        <v>216666666.66666666</v>
      </c>
      <c r="EG16" s="15">
        <f t="shared" si="77"/>
        <v>216666666.66666666</v>
      </c>
      <c r="EH16" s="15">
        <f t="shared" si="77"/>
        <v>216666666.66666666</v>
      </c>
      <c r="EI16" s="15">
        <f t="shared" si="77"/>
        <v>216666666.66666666</v>
      </c>
      <c r="EJ16" s="15">
        <f t="shared" si="77"/>
        <v>216666666.66666666</v>
      </c>
      <c r="EK16" s="15">
        <f t="shared" si="77"/>
        <v>216666666.66666666</v>
      </c>
      <c r="EL16" s="15">
        <f t="shared" si="77"/>
        <v>216666666.66666666</v>
      </c>
      <c r="EM16" s="15">
        <f t="shared" si="77"/>
        <v>216666666.66666666</v>
      </c>
      <c r="EN16" s="15">
        <f t="shared" si="77"/>
        <v>216666666.66666666</v>
      </c>
      <c r="EO16" s="15">
        <f t="shared" si="77"/>
        <v>216666666.66666666</v>
      </c>
      <c r="EP16" s="15">
        <f t="shared" si="77"/>
        <v>0</v>
      </c>
      <c r="EQ16" s="15">
        <f t="shared" si="77"/>
        <v>0</v>
      </c>
      <c r="ER16" s="15">
        <f t="shared" si="77"/>
        <v>0</v>
      </c>
      <c r="ES16" s="15">
        <f t="shared" si="77"/>
        <v>0</v>
      </c>
      <c r="ET16" s="15">
        <f t="shared" si="77"/>
        <v>0</v>
      </c>
      <c r="EU16" s="15">
        <f t="shared" si="77"/>
        <v>0</v>
      </c>
      <c r="EV16" s="15">
        <f t="shared" si="77"/>
        <v>0</v>
      </c>
      <c r="EW16" s="15">
        <f t="shared" si="77"/>
        <v>0</v>
      </c>
      <c r="EX16" s="15">
        <f t="shared" si="77"/>
        <v>0</v>
      </c>
      <c r="EY16" s="15">
        <f t="shared" si="77"/>
        <v>0</v>
      </c>
      <c r="EZ16" s="15">
        <f t="shared" si="77"/>
        <v>0</v>
      </c>
      <c r="FA16" s="15">
        <f t="shared" si="77"/>
        <v>0</v>
      </c>
      <c r="FB16" s="15">
        <f t="shared" ref="FB16:FG16" si="98">IF($V16&gt;=FB$8,$Y16,0)</f>
        <v>0</v>
      </c>
      <c r="FC16" s="15">
        <f t="shared" si="98"/>
        <v>0</v>
      </c>
      <c r="FD16" s="15">
        <f t="shared" si="98"/>
        <v>0</v>
      </c>
      <c r="FE16" s="15">
        <f t="shared" si="98"/>
        <v>0</v>
      </c>
      <c r="FF16" s="15">
        <f t="shared" si="98"/>
        <v>0</v>
      </c>
      <c r="FG16" s="15">
        <f t="shared" si="98"/>
        <v>0</v>
      </c>
      <c r="FI16" s="15">
        <f t="shared" si="96"/>
        <v>314166666.66666669</v>
      </c>
      <c r="FJ16" s="15">
        <f t="shared" si="78"/>
        <v>314166666.66666669</v>
      </c>
      <c r="FK16" s="15">
        <f t="shared" si="78"/>
        <v>314166666.66666669</v>
      </c>
      <c r="FL16" s="15">
        <f t="shared" si="78"/>
        <v>314166666.66666669</v>
      </c>
      <c r="FM16" s="15">
        <f t="shared" si="78"/>
        <v>314166666.66666669</v>
      </c>
      <c r="FN16" s="15">
        <f t="shared" si="78"/>
        <v>314166666.66666669</v>
      </c>
      <c r="FO16" s="15">
        <f t="shared" si="78"/>
        <v>314166666.66666669</v>
      </c>
      <c r="FP16" s="15">
        <f t="shared" si="78"/>
        <v>314166666.66666669</v>
      </c>
      <c r="FQ16" s="15">
        <f t="shared" si="78"/>
        <v>314166666.66666669</v>
      </c>
      <c r="FR16" s="15">
        <f t="shared" si="78"/>
        <v>314166666.66666669</v>
      </c>
      <c r="FS16" s="15">
        <f t="shared" si="78"/>
        <v>314166666.66666669</v>
      </c>
      <c r="FT16" s="15">
        <f t="shared" si="78"/>
        <v>314166666.66666669</v>
      </c>
      <c r="FU16" s="15">
        <f t="shared" si="78"/>
        <v>0</v>
      </c>
      <c r="FV16" s="15">
        <f t="shared" si="78"/>
        <v>0</v>
      </c>
      <c r="FW16" s="15">
        <f t="shared" si="78"/>
        <v>0</v>
      </c>
      <c r="FX16" s="15">
        <f t="shared" si="78"/>
        <v>0</v>
      </c>
      <c r="FY16" s="15">
        <f t="shared" si="78"/>
        <v>0</v>
      </c>
      <c r="FZ16" s="15">
        <f t="shared" si="78"/>
        <v>0</v>
      </c>
      <c r="GA16" s="15">
        <f t="shared" si="78"/>
        <v>0</v>
      </c>
      <c r="GB16" s="15">
        <f t="shared" si="78"/>
        <v>0</v>
      </c>
      <c r="GC16" s="15">
        <f t="shared" si="78"/>
        <v>0</v>
      </c>
      <c r="GD16" s="15">
        <f t="shared" si="78"/>
        <v>0</v>
      </c>
      <c r="GE16" s="15">
        <f t="shared" si="78"/>
        <v>0</v>
      </c>
      <c r="GF16" s="15">
        <f t="shared" si="78"/>
        <v>0</v>
      </c>
      <c r="GG16" s="15">
        <f t="shared" si="78"/>
        <v>0</v>
      </c>
      <c r="GH16" s="15">
        <f t="shared" si="78"/>
        <v>0</v>
      </c>
      <c r="GI16" s="15">
        <f t="shared" si="78"/>
        <v>0</v>
      </c>
      <c r="GJ16" s="15">
        <f t="shared" si="78"/>
        <v>0</v>
      </c>
      <c r="GK16" s="15">
        <f t="shared" si="78"/>
        <v>0</v>
      </c>
      <c r="GL16" s="15">
        <f t="shared" si="78"/>
        <v>0</v>
      </c>
      <c r="GN16" s="15">
        <f t="shared" si="97"/>
        <v>314166666.66666669</v>
      </c>
      <c r="GO16" s="15">
        <f t="shared" si="79"/>
        <v>314166666.66666669</v>
      </c>
      <c r="GP16" s="15">
        <f t="shared" si="79"/>
        <v>314166666.66666669</v>
      </c>
      <c r="GQ16" s="15">
        <f t="shared" si="79"/>
        <v>314166666.66666669</v>
      </c>
      <c r="GR16" s="15">
        <f t="shared" si="79"/>
        <v>314166666.66666669</v>
      </c>
      <c r="GS16" s="15">
        <f t="shared" si="79"/>
        <v>314166666.66666669</v>
      </c>
      <c r="GT16" s="15">
        <f t="shared" si="79"/>
        <v>314166666.66666669</v>
      </c>
      <c r="GU16" s="15">
        <f t="shared" si="79"/>
        <v>314166666.66666669</v>
      </c>
      <c r="GV16" s="15">
        <f t="shared" si="79"/>
        <v>314166666.66666669</v>
      </c>
      <c r="GW16" s="15">
        <f t="shared" si="79"/>
        <v>314166666.66666669</v>
      </c>
      <c r="GX16" s="15">
        <f t="shared" si="79"/>
        <v>314166666.66666669</v>
      </c>
      <c r="GY16" s="15">
        <f t="shared" si="79"/>
        <v>314166666.66666669</v>
      </c>
      <c r="GZ16" s="15">
        <f t="shared" si="79"/>
        <v>0</v>
      </c>
      <c r="HA16" s="15">
        <f t="shared" si="79"/>
        <v>0</v>
      </c>
      <c r="HB16" s="15">
        <f t="shared" si="79"/>
        <v>0</v>
      </c>
      <c r="HC16" s="15">
        <f t="shared" si="79"/>
        <v>0</v>
      </c>
      <c r="HD16" s="15">
        <f t="shared" si="79"/>
        <v>0</v>
      </c>
      <c r="HE16" s="15">
        <f t="shared" si="79"/>
        <v>0</v>
      </c>
      <c r="HF16" s="15">
        <f t="shared" si="79"/>
        <v>0</v>
      </c>
      <c r="HG16" s="15">
        <f t="shared" si="79"/>
        <v>0</v>
      </c>
      <c r="HH16" s="15">
        <f t="shared" si="79"/>
        <v>0</v>
      </c>
      <c r="HI16" s="15">
        <f t="shared" si="79"/>
        <v>0</v>
      </c>
      <c r="HJ16" s="15">
        <f t="shared" si="79"/>
        <v>0</v>
      </c>
      <c r="HK16" s="15">
        <f t="shared" si="79"/>
        <v>0</v>
      </c>
      <c r="HL16" s="15">
        <f t="shared" si="79"/>
        <v>0</v>
      </c>
      <c r="HM16" s="15">
        <f t="shared" si="79"/>
        <v>0</v>
      </c>
      <c r="HN16" s="15">
        <f t="shared" si="79"/>
        <v>0</v>
      </c>
      <c r="HO16" s="15">
        <f t="shared" si="79"/>
        <v>0</v>
      </c>
      <c r="HP16" s="15">
        <f t="shared" si="79"/>
        <v>0</v>
      </c>
      <c r="HQ16" s="15">
        <f t="shared" si="79"/>
        <v>0</v>
      </c>
    </row>
    <row r="17" spans="1:225" outlineLevel="1" x14ac:dyDescent="0.25">
      <c r="B17" t="s">
        <v>347</v>
      </c>
      <c r="C17" s="496" t="s">
        <v>219</v>
      </c>
      <c r="D17" s="614" t="s">
        <v>35</v>
      </c>
      <c r="E17" s="467">
        <v>1</v>
      </c>
      <c r="F17" s="221"/>
      <c r="G17" s="457">
        <v>12</v>
      </c>
      <c r="H17" s="468">
        <f>(8250000000/$D$6)*1.04</f>
        <v>8580000000</v>
      </c>
      <c r="I17" s="457">
        <f t="shared" si="72"/>
        <v>8580000000</v>
      </c>
      <c r="J17" s="457">
        <f t="shared" si="80"/>
        <v>715000000</v>
      </c>
      <c r="K17" s="221"/>
      <c r="L17" s="457">
        <v>12</v>
      </c>
      <c r="M17" s="457">
        <f>IF(Currency="USD",ROUNDUP($E17*$H17*(1+O$6),-3),ROUNDUP($E17*$H17*(1+O$6)/EXR,-3)*EXR)</f>
        <v>9204000000</v>
      </c>
      <c r="N17" s="457">
        <f t="shared" si="81"/>
        <v>9204000000</v>
      </c>
      <c r="O17" s="457">
        <f t="shared" si="82"/>
        <v>767000000</v>
      </c>
      <c r="P17" s="221"/>
      <c r="Q17" s="457">
        <v>12</v>
      </c>
      <c r="R17" s="457">
        <f>IF(Currency="USD",ROUNDUP($E17*$H17*(1+T$6),-3),ROUNDUP($E17*$H17*(1+T$6)/EXR,-3)*EXR)</f>
        <v>9204000000</v>
      </c>
      <c r="S17" s="457">
        <f t="shared" si="83"/>
        <v>9204000000</v>
      </c>
      <c r="T17" s="457">
        <f t="shared" si="84"/>
        <v>767000000</v>
      </c>
      <c r="U17" s="221"/>
      <c r="V17" s="457">
        <v>12</v>
      </c>
      <c r="W17" s="457">
        <f t="shared" si="85"/>
        <v>8580000000</v>
      </c>
      <c r="X17" s="457">
        <f t="shared" si="86"/>
        <v>8580000000</v>
      </c>
      <c r="Y17" s="457">
        <f t="shared" si="87"/>
        <v>715000000</v>
      </c>
      <c r="Z17" s="221"/>
      <c r="AA17" s="457">
        <v>12</v>
      </c>
      <c r="AB17" s="457">
        <f>IF(Currency="USD",ROUNDUP($E17*$H17*(1+AD$6),-3),ROUNDUP($E17*$H17*(1+AD$6)/EXR,-3)*EXR)</f>
        <v>8580000000</v>
      </c>
      <c r="AC17" s="457">
        <f t="shared" si="88"/>
        <v>8580000000</v>
      </c>
      <c r="AD17" s="457">
        <f t="shared" si="89"/>
        <v>715000000</v>
      </c>
      <c r="AE17" s="221"/>
      <c r="AF17" s="457">
        <v>12</v>
      </c>
      <c r="AG17" s="457">
        <f>IF(Currency="USD",ROUNDUP($E17*$H17*(1+AI$6),-3),ROUNDUP($E17*$H17*(1+AI$6)/EXR,-3)*EXR)</f>
        <v>8580000000</v>
      </c>
      <c r="AH17" s="457">
        <f t="shared" si="90"/>
        <v>8580000000</v>
      </c>
      <c r="AI17" s="457">
        <f t="shared" si="91"/>
        <v>715000000</v>
      </c>
      <c r="AJ17" s="221"/>
      <c r="AL17" t="s">
        <v>547</v>
      </c>
      <c r="AM17" t="s">
        <v>336</v>
      </c>
      <c r="AO17" s="15">
        <f t="shared" si="92"/>
        <v>715000000</v>
      </c>
      <c r="AP17" s="15">
        <f t="shared" si="73"/>
        <v>715000000</v>
      </c>
      <c r="AQ17" s="15">
        <f t="shared" si="73"/>
        <v>715000000</v>
      </c>
      <c r="AR17" s="15">
        <f t="shared" si="73"/>
        <v>715000000</v>
      </c>
      <c r="AS17" s="15">
        <f t="shared" si="73"/>
        <v>715000000</v>
      </c>
      <c r="AT17" s="15">
        <f t="shared" si="73"/>
        <v>715000000</v>
      </c>
      <c r="AU17" s="15">
        <f t="shared" si="73"/>
        <v>715000000</v>
      </c>
      <c r="AV17" s="15">
        <f t="shared" si="73"/>
        <v>715000000</v>
      </c>
      <c r="AW17" s="15">
        <f t="shared" si="73"/>
        <v>715000000</v>
      </c>
      <c r="AX17" s="15">
        <f t="shared" si="73"/>
        <v>715000000</v>
      </c>
      <c r="AY17" s="15">
        <f t="shared" si="73"/>
        <v>715000000</v>
      </c>
      <c r="AZ17" s="15">
        <f t="shared" si="73"/>
        <v>715000000</v>
      </c>
      <c r="BA17" s="15">
        <f t="shared" si="73"/>
        <v>0</v>
      </c>
      <c r="BB17" s="15">
        <f t="shared" si="73"/>
        <v>0</v>
      </c>
      <c r="BC17" s="15">
        <f t="shared" si="73"/>
        <v>0</v>
      </c>
      <c r="BD17" s="15">
        <f t="shared" si="73"/>
        <v>0</v>
      </c>
      <c r="BE17" s="15">
        <f t="shared" si="73"/>
        <v>0</v>
      </c>
      <c r="BF17" s="15">
        <f t="shared" si="73"/>
        <v>0</v>
      </c>
      <c r="BG17" s="15">
        <f t="shared" si="73"/>
        <v>0</v>
      </c>
      <c r="BH17" s="15">
        <f t="shared" si="73"/>
        <v>0</v>
      </c>
      <c r="BI17" s="15">
        <f t="shared" si="73"/>
        <v>0</v>
      </c>
      <c r="BJ17" s="15">
        <f t="shared" si="73"/>
        <v>0</v>
      </c>
      <c r="BK17" s="15">
        <f t="shared" si="73"/>
        <v>0</v>
      </c>
      <c r="BL17" s="15">
        <f t="shared" si="73"/>
        <v>0</v>
      </c>
      <c r="BM17" s="15">
        <f t="shared" si="73"/>
        <v>0</v>
      </c>
      <c r="BN17" s="15">
        <f t="shared" si="73"/>
        <v>0</v>
      </c>
      <c r="BO17" s="15">
        <f t="shared" si="73"/>
        <v>0</v>
      </c>
      <c r="BP17" s="15">
        <f t="shared" si="73"/>
        <v>0</v>
      </c>
      <c r="BQ17" s="15">
        <f t="shared" si="73"/>
        <v>0</v>
      </c>
      <c r="BR17" s="15">
        <f t="shared" si="73"/>
        <v>0</v>
      </c>
      <c r="BT17" s="15">
        <f t="shared" si="93"/>
        <v>767000000</v>
      </c>
      <c r="BU17" s="15">
        <f t="shared" si="74"/>
        <v>767000000</v>
      </c>
      <c r="BV17" s="15">
        <f t="shared" si="74"/>
        <v>767000000</v>
      </c>
      <c r="BW17" s="15">
        <f t="shared" si="74"/>
        <v>767000000</v>
      </c>
      <c r="BX17" s="15">
        <f t="shared" si="74"/>
        <v>767000000</v>
      </c>
      <c r="BY17" s="15">
        <f t="shared" si="74"/>
        <v>767000000</v>
      </c>
      <c r="BZ17" s="15">
        <f t="shared" si="74"/>
        <v>767000000</v>
      </c>
      <c r="CA17" s="15">
        <f t="shared" si="74"/>
        <v>767000000</v>
      </c>
      <c r="CB17" s="15">
        <f t="shared" si="74"/>
        <v>767000000</v>
      </c>
      <c r="CC17" s="15">
        <f t="shared" si="74"/>
        <v>767000000</v>
      </c>
      <c r="CD17" s="15">
        <f t="shared" si="74"/>
        <v>767000000</v>
      </c>
      <c r="CE17" s="15">
        <f t="shared" si="74"/>
        <v>767000000</v>
      </c>
      <c r="CF17" s="15">
        <f t="shared" si="74"/>
        <v>0</v>
      </c>
      <c r="CG17" s="15">
        <f t="shared" si="74"/>
        <v>0</v>
      </c>
      <c r="CH17" s="15">
        <f t="shared" si="74"/>
        <v>0</v>
      </c>
      <c r="CI17" s="15">
        <f t="shared" si="74"/>
        <v>0</v>
      </c>
      <c r="CJ17" s="15">
        <f t="shared" si="74"/>
        <v>0</v>
      </c>
      <c r="CK17" s="15">
        <f t="shared" si="74"/>
        <v>0</v>
      </c>
      <c r="CL17" s="15">
        <f t="shared" si="74"/>
        <v>0</v>
      </c>
      <c r="CM17" s="15">
        <f t="shared" si="74"/>
        <v>0</v>
      </c>
      <c r="CN17" s="15">
        <f t="shared" si="74"/>
        <v>0</v>
      </c>
      <c r="CO17" s="15">
        <f t="shared" si="74"/>
        <v>0</v>
      </c>
      <c r="CP17" s="15">
        <f t="shared" si="74"/>
        <v>0</v>
      </c>
      <c r="CQ17" s="15">
        <f t="shared" si="74"/>
        <v>0</v>
      </c>
      <c r="CR17" s="15">
        <f t="shared" si="74"/>
        <v>0</v>
      </c>
      <c r="CS17" s="15">
        <f t="shared" si="74"/>
        <v>0</v>
      </c>
      <c r="CT17" s="15">
        <f t="shared" si="74"/>
        <v>0</v>
      </c>
      <c r="CU17" s="15">
        <f t="shared" si="74"/>
        <v>0</v>
      </c>
      <c r="CV17" s="15">
        <f t="shared" si="74"/>
        <v>0</v>
      </c>
      <c r="CW17" s="15">
        <f t="shared" si="74"/>
        <v>0</v>
      </c>
      <c r="CY17" s="15">
        <f t="shared" si="94"/>
        <v>767000000</v>
      </c>
      <c r="CZ17" s="15">
        <f t="shared" si="75"/>
        <v>767000000</v>
      </c>
      <c r="DA17" s="15">
        <f t="shared" si="75"/>
        <v>767000000</v>
      </c>
      <c r="DB17" s="15">
        <f t="shared" si="75"/>
        <v>767000000</v>
      </c>
      <c r="DC17" s="15">
        <f t="shared" si="75"/>
        <v>767000000</v>
      </c>
      <c r="DD17" s="15">
        <f t="shared" si="75"/>
        <v>767000000</v>
      </c>
      <c r="DE17" s="15">
        <f t="shared" si="75"/>
        <v>767000000</v>
      </c>
      <c r="DF17" s="15">
        <f t="shared" si="75"/>
        <v>767000000</v>
      </c>
      <c r="DG17" s="15">
        <f t="shared" si="75"/>
        <v>767000000</v>
      </c>
      <c r="DH17" s="15">
        <f t="shared" si="75"/>
        <v>767000000</v>
      </c>
      <c r="DI17" s="15">
        <f t="shared" si="75"/>
        <v>767000000</v>
      </c>
      <c r="DJ17" s="15">
        <f t="shared" si="75"/>
        <v>767000000</v>
      </c>
      <c r="DK17" s="15">
        <f t="shared" si="75"/>
        <v>0</v>
      </c>
      <c r="DL17" s="15">
        <f t="shared" si="75"/>
        <v>0</v>
      </c>
      <c r="DM17" s="15">
        <f t="shared" si="75"/>
        <v>0</v>
      </c>
      <c r="DN17" s="15">
        <f t="shared" si="75"/>
        <v>0</v>
      </c>
      <c r="DO17" s="15">
        <f t="shared" si="75"/>
        <v>0</v>
      </c>
      <c r="DP17" s="15">
        <f t="shared" si="76"/>
        <v>0</v>
      </c>
      <c r="DQ17" s="15">
        <f t="shared" si="76"/>
        <v>0</v>
      </c>
      <c r="DR17" s="15">
        <f t="shared" si="76"/>
        <v>0</v>
      </c>
      <c r="DS17" s="15">
        <f t="shared" si="76"/>
        <v>0</v>
      </c>
      <c r="DT17" s="15">
        <f t="shared" si="76"/>
        <v>0</v>
      </c>
      <c r="DU17" s="15">
        <f t="shared" si="76"/>
        <v>0</v>
      </c>
      <c r="DV17" s="15">
        <f t="shared" si="76"/>
        <v>0</v>
      </c>
      <c r="DW17" s="15">
        <f t="shared" si="76"/>
        <v>0</v>
      </c>
      <c r="DX17" s="15">
        <f t="shared" si="76"/>
        <v>0</v>
      </c>
      <c r="DY17" s="15">
        <f t="shared" si="76"/>
        <v>0</v>
      </c>
      <c r="DZ17" s="15">
        <f t="shared" si="76"/>
        <v>0</v>
      </c>
      <c r="EA17" s="15">
        <f t="shared" si="76"/>
        <v>0</v>
      </c>
      <c r="EB17" s="15">
        <f t="shared" si="76"/>
        <v>0</v>
      </c>
      <c r="ED17" s="15">
        <f t="shared" si="95"/>
        <v>715000000</v>
      </c>
      <c r="EE17" s="15">
        <f t="shared" si="95"/>
        <v>715000000</v>
      </c>
      <c r="EF17" s="15">
        <f t="shared" si="95"/>
        <v>715000000</v>
      </c>
      <c r="EG17" s="15">
        <f t="shared" si="95"/>
        <v>715000000</v>
      </c>
      <c r="EH17" s="15">
        <f t="shared" si="95"/>
        <v>715000000</v>
      </c>
      <c r="EI17" s="15">
        <f t="shared" si="95"/>
        <v>715000000</v>
      </c>
      <c r="EJ17" s="15">
        <f t="shared" si="95"/>
        <v>715000000</v>
      </c>
      <c r="EK17" s="15">
        <f t="shared" si="95"/>
        <v>715000000</v>
      </c>
      <c r="EL17" s="15">
        <f t="shared" si="95"/>
        <v>715000000</v>
      </c>
      <c r="EM17" s="15">
        <f t="shared" si="95"/>
        <v>715000000</v>
      </c>
      <c r="EN17" s="15">
        <f t="shared" si="95"/>
        <v>715000000</v>
      </c>
      <c r="EO17" s="15">
        <f t="shared" si="95"/>
        <v>715000000</v>
      </c>
      <c r="EP17" s="15">
        <f t="shared" si="95"/>
        <v>0</v>
      </c>
      <c r="EQ17" s="15">
        <f t="shared" si="95"/>
        <v>0</v>
      </c>
      <c r="ER17" s="15">
        <f t="shared" si="95"/>
        <v>0</v>
      </c>
      <c r="ES17" s="15">
        <f t="shared" si="95"/>
        <v>0</v>
      </c>
      <c r="ET17" s="15">
        <f t="shared" ref="ET17:FG18" si="99">IF($V17&gt;=ET$8,$Y17,0)</f>
        <v>0</v>
      </c>
      <c r="EU17" s="15">
        <f t="shared" si="99"/>
        <v>0</v>
      </c>
      <c r="EV17" s="15">
        <f t="shared" si="99"/>
        <v>0</v>
      </c>
      <c r="EW17" s="15">
        <f t="shared" si="99"/>
        <v>0</v>
      </c>
      <c r="EX17" s="15">
        <f t="shared" si="99"/>
        <v>0</v>
      </c>
      <c r="EY17" s="15">
        <f t="shared" si="99"/>
        <v>0</v>
      </c>
      <c r="EZ17" s="15">
        <f t="shared" si="99"/>
        <v>0</v>
      </c>
      <c r="FA17" s="15">
        <f t="shared" si="99"/>
        <v>0</v>
      </c>
      <c r="FB17" s="15">
        <f t="shared" si="99"/>
        <v>0</v>
      </c>
      <c r="FC17" s="15">
        <f t="shared" si="99"/>
        <v>0</v>
      </c>
      <c r="FD17" s="15">
        <f t="shared" si="99"/>
        <v>0</v>
      </c>
      <c r="FE17" s="15">
        <f t="shared" si="99"/>
        <v>0</v>
      </c>
      <c r="FF17" s="15">
        <f t="shared" si="99"/>
        <v>0</v>
      </c>
      <c r="FG17" s="15">
        <f t="shared" si="99"/>
        <v>0</v>
      </c>
      <c r="FI17" s="15">
        <f t="shared" si="96"/>
        <v>715000000</v>
      </c>
      <c r="FJ17" s="15">
        <f t="shared" si="78"/>
        <v>715000000</v>
      </c>
      <c r="FK17" s="15">
        <f t="shared" si="78"/>
        <v>715000000</v>
      </c>
      <c r="FL17" s="15">
        <f t="shared" si="78"/>
        <v>715000000</v>
      </c>
      <c r="FM17" s="15">
        <f t="shared" si="78"/>
        <v>715000000</v>
      </c>
      <c r="FN17" s="15">
        <f t="shared" si="78"/>
        <v>715000000</v>
      </c>
      <c r="FO17" s="15">
        <f t="shared" si="78"/>
        <v>715000000</v>
      </c>
      <c r="FP17" s="15">
        <f t="shared" si="78"/>
        <v>715000000</v>
      </c>
      <c r="FQ17" s="15">
        <f t="shared" si="78"/>
        <v>715000000</v>
      </c>
      <c r="FR17" s="15">
        <f t="shared" si="78"/>
        <v>715000000</v>
      </c>
      <c r="FS17" s="15">
        <f t="shared" si="78"/>
        <v>715000000</v>
      </c>
      <c r="FT17" s="15">
        <f t="shared" si="78"/>
        <v>715000000</v>
      </c>
      <c r="FU17" s="15">
        <f t="shared" si="78"/>
        <v>0</v>
      </c>
      <c r="FV17" s="15">
        <f t="shared" si="78"/>
        <v>0</v>
      </c>
      <c r="FW17" s="15">
        <f t="shared" si="78"/>
        <v>0</v>
      </c>
      <c r="FX17" s="15">
        <f t="shared" si="78"/>
        <v>0</v>
      </c>
      <c r="FY17" s="15">
        <f t="shared" si="78"/>
        <v>0</v>
      </c>
      <c r="FZ17" s="15">
        <f t="shared" si="78"/>
        <v>0</v>
      </c>
      <c r="GA17" s="15">
        <f t="shared" si="78"/>
        <v>0</v>
      </c>
      <c r="GB17" s="15">
        <f t="shared" si="78"/>
        <v>0</v>
      </c>
      <c r="GC17" s="15">
        <f t="shared" si="78"/>
        <v>0</v>
      </c>
      <c r="GD17" s="15">
        <f t="shared" si="78"/>
        <v>0</v>
      </c>
      <c r="GE17" s="15">
        <f t="shared" si="78"/>
        <v>0</v>
      </c>
      <c r="GF17" s="15">
        <f t="shared" si="78"/>
        <v>0</v>
      </c>
      <c r="GG17" s="15">
        <f t="shared" si="78"/>
        <v>0</v>
      </c>
      <c r="GH17" s="15">
        <f t="shared" si="78"/>
        <v>0</v>
      </c>
      <c r="GI17" s="15">
        <f t="shared" si="78"/>
        <v>0</v>
      </c>
      <c r="GJ17" s="15">
        <f t="shared" si="78"/>
        <v>0</v>
      </c>
      <c r="GK17" s="15">
        <f t="shared" si="78"/>
        <v>0</v>
      </c>
      <c r="GL17" s="15">
        <f t="shared" si="78"/>
        <v>0</v>
      </c>
      <c r="GN17" s="15">
        <f t="shared" si="97"/>
        <v>715000000</v>
      </c>
      <c r="GO17" s="15">
        <f t="shared" si="79"/>
        <v>715000000</v>
      </c>
      <c r="GP17" s="15">
        <f t="shared" si="79"/>
        <v>715000000</v>
      </c>
      <c r="GQ17" s="15">
        <f t="shared" si="79"/>
        <v>715000000</v>
      </c>
      <c r="GR17" s="15">
        <f t="shared" si="79"/>
        <v>715000000</v>
      </c>
      <c r="GS17" s="15">
        <f t="shared" si="79"/>
        <v>715000000</v>
      </c>
      <c r="GT17" s="15">
        <f t="shared" si="79"/>
        <v>715000000</v>
      </c>
      <c r="GU17" s="15">
        <f t="shared" si="79"/>
        <v>715000000</v>
      </c>
      <c r="GV17" s="15">
        <f t="shared" si="79"/>
        <v>715000000</v>
      </c>
      <c r="GW17" s="15">
        <f t="shared" si="79"/>
        <v>715000000</v>
      </c>
      <c r="GX17" s="15">
        <f t="shared" si="79"/>
        <v>715000000</v>
      </c>
      <c r="GY17" s="15">
        <f t="shared" si="79"/>
        <v>715000000</v>
      </c>
      <c r="GZ17" s="15">
        <f t="shared" si="79"/>
        <v>0</v>
      </c>
      <c r="HA17" s="15">
        <f t="shared" si="79"/>
        <v>0</v>
      </c>
      <c r="HB17" s="15">
        <f t="shared" si="79"/>
        <v>0</v>
      </c>
      <c r="HC17" s="15">
        <f t="shared" si="79"/>
        <v>0</v>
      </c>
      <c r="HD17" s="15">
        <f t="shared" si="79"/>
        <v>0</v>
      </c>
      <c r="HE17" s="15">
        <f t="shared" si="79"/>
        <v>0</v>
      </c>
      <c r="HF17" s="15">
        <f t="shared" si="79"/>
        <v>0</v>
      </c>
      <c r="HG17" s="15">
        <f t="shared" si="79"/>
        <v>0</v>
      </c>
      <c r="HH17" s="15">
        <f t="shared" si="79"/>
        <v>0</v>
      </c>
      <c r="HI17" s="15">
        <f t="shared" si="79"/>
        <v>0</v>
      </c>
      <c r="HJ17" s="15">
        <f t="shared" si="79"/>
        <v>0</v>
      </c>
      <c r="HK17" s="15">
        <f t="shared" si="79"/>
        <v>0</v>
      </c>
      <c r="HL17" s="15">
        <f t="shared" si="79"/>
        <v>0</v>
      </c>
      <c r="HM17" s="15">
        <f t="shared" si="79"/>
        <v>0</v>
      </c>
      <c r="HN17" s="15">
        <f t="shared" si="79"/>
        <v>0</v>
      </c>
      <c r="HO17" s="15">
        <f t="shared" si="79"/>
        <v>0</v>
      </c>
      <c r="HP17" s="15">
        <f t="shared" si="79"/>
        <v>0</v>
      </c>
      <c r="HQ17" s="15">
        <f t="shared" si="79"/>
        <v>0</v>
      </c>
    </row>
    <row r="18" spans="1:225" outlineLevel="1" x14ac:dyDescent="0.25">
      <c r="B18" t="s">
        <v>347</v>
      </c>
      <c r="C18" s="496" t="s">
        <v>601</v>
      </c>
      <c r="D18" s="614" t="s">
        <v>602</v>
      </c>
      <c r="E18" s="467">
        <v>1</v>
      </c>
      <c r="F18" s="221"/>
      <c r="G18" s="457">
        <v>12</v>
      </c>
      <c r="H18" s="468">
        <f>(8250000000*5%/$D$6)*1.04</f>
        <v>429000000</v>
      </c>
      <c r="I18" s="457">
        <f t="shared" si="72"/>
        <v>429000000</v>
      </c>
      <c r="J18" s="457">
        <f t="shared" si="80"/>
        <v>35750000</v>
      </c>
      <c r="K18" s="221"/>
      <c r="L18" s="457">
        <v>12</v>
      </c>
      <c r="M18" s="457">
        <f>IF(Currency="USD",ROUNDUP($E18*$H18*(1+O$6),-3),ROUNDUP($E18*$H18*(1+O$6)/EXR,-3)*EXR)</f>
        <v>468000000</v>
      </c>
      <c r="N18" s="457">
        <f t="shared" si="81"/>
        <v>468000000</v>
      </c>
      <c r="O18" s="457">
        <f t="shared" si="82"/>
        <v>39000000</v>
      </c>
      <c r="P18" s="221"/>
      <c r="Q18" s="457">
        <v>12</v>
      </c>
      <c r="R18" s="457">
        <f>IF(Currency="USD",ROUNDUP($E18*$H18*(1+T$6),-3),ROUNDUP($E18*$H18*(1+T$6)/EXR,-3)*EXR)</f>
        <v>468000000</v>
      </c>
      <c r="S18" s="457">
        <f t="shared" si="83"/>
        <v>468000000</v>
      </c>
      <c r="T18" s="457">
        <f t="shared" si="84"/>
        <v>39000000</v>
      </c>
      <c r="U18" s="221"/>
      <c r="V18" s="457">
        <v>12</v>
      </c>
      <c r="W18" s="457">
        <f t="shared" si="85"/>
        <v>429000000</v>
      </c>
      <c r="X18" s="457">
        <f t="shared" si="86"/>
        <v>429000000</v>
      </c>
      <c r="Y18" s="457">
        <f t="shared" si="87"/>
        <v>35750000</v>
      </c>
      <c r="Z18" s="221"/>
      <c r="AA18" s="457">
        <v>12</v>
      </c>
      <c r="AB18" s="457">
        <f>IF(Currency="USD",ROUNDUP($E18*$H18*(1+AD$6),-3),ROUNDUP($E18*$H18*(1+AD$6)/EXR,-3)*EXR)</f>
        <v>442000000</v>
      </c>
      <c r="AC18" s="457">
        <f t="shared" si="88"/>
        <v>442000000</v>
      </c>
      <c r="AD18" s="457">
        <f t="shared" si="89"/>
        <v>36833333.333333336</v>
      </c>
      <c r="AE18" s="221"/>
      <c r="AF18" s="457">
        <v>12</v>
      </c>
      <c r="AG18" s="457">
        <f>IF(Currency="USD",ROUNDUP($E18*$H18*(1+AI$6),-3),ROUNDUP($E18*$H18*(1+AI$6)/EXR,-3)*EXR)</f>
        <v>442000000</v>
      </c>
      <c r="AH18" s="457">
        <f t="shared" si="90"/>
        <v>442000000</v>
      </c>
      <c r="AI18" s="457">
        <f t="shared" si="91"/>
        <v>36833333.333333336</v>
      </c>
      <c r="AJ18" s="221"/>
      <c r="AO18" s="15">
        <f t="shared" si="92"/>
        <v>35750000</v>
      </c>
      <c r="AP18" s="15">
        <f t="shared" si="73"/>
        <v>35750000</v>
      </c>
      <c r="AQ18" s="15">
        <f t="shared" si="73"/>
        <v>35750000</v>
      </c>
      <c r="AR18" s="15">
        <f t="shared" si="73"/>
        <v>35750000</v>
      </c>
      <c r="AS18" s="15">
        <f t="shared" si="73"/>
        <v>35750000</v>
      </c>
      <c r="AT18" s="15">
        <f t="shared" si="73"/>
        <v>35750000</v>
      </c>
      <c r="AU18" s="15">
        <f t="shared" si="73"/>
        <v>35750000</v>
      </c>
      <c r="AV18" s="15">
        <f t="shared" si="73"/>
        <v>35750000</v>
      </c>
      <c r="AW18" s="15">
        <f t="shared" si="73"/>
        <v>35750000</v>
      </c>
      <c r="AX18" s="15">
        <f t="shared" si="73"/>
        <v>35750000</v>
      </c>
      <c r="AY18" s="15">
        <f t="shared" si="73"/>
        <v>35750000</v>
      </c>
      <c r="AZ18" s="15">
        <f t="shared" si="73"/>
        <v>35750000</v>
      </c>
      <c r="BA18" s="15">
        <f t="shared" si="73"/>
        <v>0</v>
      </c>
      <c r="BB18" s="15">
        <f t="shared" si="73"/>
        <v>0</v>
      </c>
      <c r="BC18" s="15">
        <f t="shared" si="73"/>
        <v>0</v>
      </c>
      <c r="BD18" s="15">
        <f t="shared" si="73"/>
        <v>0</v>
      </c>
      <c r="BE18" s="15">
        <f t="shared" si="73"/>
        <v>0</v>
      </c>
      <c r="BF18" s="15">
        <f t="shared" si="73"/>
        <v>0</v>
      </c>
      <c r="BG18" s="15">
        <f t="shared" si="73"/>
        <v>0</v>
      </c>
      <c r="BH18" s="15">
        <f t="shared" si="73"/>
        <v>0</v>
      </c>
      <c r="BI18" s="15">
        <f t="shared" si="73"/>
        <v>0</v>
      </c>
      <c r="BJ18" s="15">
        <f t="shared" si="73"/>
        <v>0</v>
      </c>
      <c r="BK18" s="15">
        <f t="shared" si="73"/>
        <v>0</v>
      </c>
      <c r="BL18" s="15">
        <f t="shared" si="73"/>
        <v>0</v>
      </c>
      <c r="BM18" s="15">
        <f t="shared" si="73"/>
        <v>0</v>
      </c>
      <c r="BN18" s="15">
        <f t="shared" si="73"/>
        <v>0</v>
      </c>
      <c r="BO18" s="15">
        <f t="shared" si="73"/>
        <v>0</v>
      </c>
      <c r="BP18" s="15">
        <f t="shared" si="73"/>
        <v>0</v>
      </c>
      <c r="BQ18" s="15">
        <f t="shared" si="73"/>
        <v>0</v>
      </c>
      <c r="BR18" s="15">
        <f t="shared" si="73"/>
        <v>0</v>
      </c>
      <c r="BT18" s="15">
        <f t="shared" si="93"/>
        <v>39000000</v>
      </c>
      <c r="BU18" s="15">
        <f t="shared" si="74"/>
        <v>39000000</v>
      </c>
      <c r="BV18" s="15">
        <f t="shared" si="74"/>
        <v>39000000</v>
      </c>
      <c r="BW18" s="15">
        <f t="shared" si="74"/>
        <v>39000000</v>
      </c>
      <c r="BX18" s="15">
        <f t="shared" si="74"/>
        <v>39000000</v>
      </c>
      <c r="BY18" s="15">
        <f t="shared" si="74"/>
        <v>39000000</v>
      </c>
      <c r="BZ18" s="15">
        <f t="shared" si="74"/>
        <v>39000000</v>
      </c>
      <c r="CA18" s="15">
        <f t="shared" si="74"/>
        <v>39000000</v>
      </c>
      <c r="CB18" s="15">
        <f t="shared" si="74"/>
        <v>39000000</v>
      </c>
      <c r="CC18" s="15">
        <f t="shared" si="74"/>
        <v>39000000</v>
      </c>
      <c r="CD18" s="15">
        <f t="shared" si="74"/>
        <v>39000000</v>
      </c>
      <c r="CE18" s="15">
        <f t="shared" si="74"/>
        <v>39000000</v>
      </c>
      <c r="CF18" s="15">
        <f t="shared" si="74"/>
        <v>0</v>
      </c>
      <c r="CG18" s="15">
        <f t="shared" si="74"/>
        <v>0</v>
      </c>
      <c r="CH18" s="15">
        <f t="shared" si="74"/>
        <v>0</v>
      </c>
      <c r="CI18" s="15">
        <f t="shared" si="74"/>
        <v>0</v>
      </c>
      <c r="CJ18" s="15">
        <f t="shared" si="74"/>
        <v>0</v>
      </c>
      <c r="CK18" s="15">
        <f t="shared" si="74"/>
        <v>0</v>
      </c>
      <c r="CL18" s="15">
        <f t="shared" si="74"/>
        <v>0</v>
      </c>
      <c r="CM18" s="15">
        <f t="shared" si="74"/>
        <v>0</v>
      </c>
      <c r="CN18" s="15">
        <f t="shared" si="74"/>
        <v>0</v>
      </c>
      <c r="CO18" s="15">
        <f t="shared" si="74"/>
        <v>0</v>
      </c>
      <c r="CP18" s="15">
        <f t="shared" si="74"/>
        <v>0</v>
      </c>
      <c r="CQ18" s="15">
        <f t="shared" si="74"/>
        <v>0</v>
      </c>
      <c r="CR18" s="15">
        <f t="shared" si="74"/>
        <v>0</v>
      </c>
      <c r="CS18" s="15">
        <f t="shared" si="74"/>
        <v>0</v>
      </c>
      <c r="CT18" s="15">
        <f t="shared" si="74"/>
        <v>0</v>
      </c>
      <c r="CU18" s="15">
        <f t="shared" si="74"/>
        <v>0</v>
      </c>
      <c r="CV18" s="15">
        <f t="shared" si="74"/>
        <v>0</v>
      </c>
      <c r="CW18" s="15">
        <f t="shared" si="74"/>
        <v>0</v>
      </c>
      <c r="CY18" s="15">
        <f t="shared" si="94"/>
        <v>39000000</v>
      </c>
      <c r="CZ18" s="15">
        <f t="shared" si="75"/>
        <v>39000000</v>
      </c>
      <c r="DA18" s="15">
        <f t="shared" si="75"/>
        <v>39000000</v>
      </c>
      <c r="DB18" s="15">
        <f t="shared" si="75"/>
        <v>39000000</v>
      </c>
      <c r="DC18" s="15">
        <f t="shared" si="75"/>
        <v>39000000</v>
      </c>
      <c r="DD18" s="15">
        <f t="shared" si="75"/>
        <v>39000000</v>
      </c>
      <c r="DE18" s="15">
        <f t="shared" si="75"/>
        <v>39000000</v>
      </c>
      <c r="DF18" s="15">
        <f t="shared" si="75"/>
        <v>39000000</v>
      </c>
      <c r="DG18" s="15">
        <f t="shared" si="75"/>
        <v>39000000</v>
      </c>
      <c r="DH18" s="15">
        <f t="shared" si="75"/>
        <v>39000000</v>
      </c>
      <c r="DI18" s="15">
        <f t="shared" si="75"/>
        <v>39000000</v>
      </c>
      <c r="DJ18" s="15">
        <f t="shared" si="75"/>
        <v>39000000</v>
      </c>
      <c r="DK18" s="15">
        <f t="shared" si="75"/>
        <v>0</v>
      </c>
      <c r="DL18" s="15">
        <f t="shared" si="75"/>
        <v>0</v>
      </c>
      <c r="DM18" s="15">
        <f t="shared" si="75"/>
        <v>0</v>
      </c>
      <c r="DN18" s="15">
        <f t="shared" si="75"/>
        <v>0</v>
      </c>
      <c r="DO18" s="15">
        <f t="shared" si="75"/>
        <v>0</v>
      </c>
      <c r="DP18" s="15">
        <f t="shared" si="76"/>
        <v>0</v>
      </c>
      <c r="DQ18" s="15">
        <f t="shared" si="76"/>
        <v>0</v>
      </c>
      <c r="DR18" s="15">
        <f t="shared" si="76"/>
        <v>0</v>
      </c>
      <c r="DS18" s="15">
        <f t="shared" si="76"/>
        <v>0</v>
      </c>
      <c r="DT18" s="15">
        <f t="shared" si="76"/>
        <v>0</v>
      </c>
      <c r="DU18" s="15">
        <f t="shared" si="76"/>
        <v>0</v>
      </c>
      <c r="DV18" s="15">
        <f t="shared" si="76"/>
        <v>0</v>
      </c>
      <c r="DW18" s="15">
        <f t="shared" si="76"/>
        <v>0</v>
      </c>
      <c r="DX18" s="15">
        <f t="shared" si="76"/>
        <v>0</v>
      </c>
      <c r="DY18" s="15">
        <f t="shared" si="76"/>
        <v>0</v>
      </c>
      <c r="DZ18" s="15">
        <f t="shared" si="76"/>
        <v>0</v>
      </c>
      <c r="EA18" s="15">
        <f t="shared" si="76"/>
        <v>0</v>
      </c>
      <c r="EB18" s="15">
        <f t="shared" si="76"/>
        <v>0</v>
      </c>
      <c r="ED18" s="15">
        <f t="shared" si="95"/>
        <v>35750000</v>
      </c>
      <c r="EE18" s="15">
        <f t="shared" si="95"/>
        <v>35750000</v>
      </c>
      <c r="EF18" s="15">
        <f t="shared" si="95"/>
        <v>35750000</v>
      </c>
      <c r="EG18" s="15">
        <f t="shared" si="95"/>
        <v>35750000</v>
      </c>
      <c r="EH18" s="15">
        <f t="shared" si="95"/>
        <v>35750000</v>
      </c>
      <c r="EI18" s="15">
        <f t="shared" si="95"/>
        <v>35750000</v>
      </c>
      <c r="EJ18" s="15">
        <f t="shared" si="95"/>
        <v>35750000</v>
      </c>
      <c r="EK18" s="15">
        <f t="shared" si="95"/>
        <v>35750000</v>
      </c>
      <c r="EL18" s="15">
        <f t="shared" si="95"/>
        <v>35750000</v>
      </c>
      <c r="EM18" s="15">
        <f t="shared" si="95"/>
        <v>35750000</v>
      </c>
      <c r="EN18" s="15">
        <f t="shared" si="95"/>
        <v>35750000</v>
      </c>
      <c r="EO18" s="15">
        <f t="shared" si="95"/>
        <v>35750000</v>
      </c>
      <c r="EP18" s="15">
        <f t="shared" si="95"/>
        <v>0</v>
      </c>
      <c r="EQ18" s="15">
        <f t="shared" si="95"/>
        <v>0</v>
      </c>
      <c r="ER18" s="15">
        <f t="shared" si="95"/>
        <v>0</v>
      </c>
      <c r="ES18" s="15">
        <f t="shared" si="95"/>
        <v>0</v>
      </c>
      <c r="ET18" s="15">
        <f t="shared" si="99"/>
        <v>0</v>
      </c>
      <c r="EU18" s="15">
        <f t="shared" si="99"/>
        <v>0</v>
      </c>
      <c r="EV18" s="15">
        <f t="shared" si="99"/>
        <v>0</v>
      </c>
      <c r="EW18" s="15">
        <f t="shared" si="99"/>
        <v>0</v>
      </c>
      <c r="EX18" s="15">
        <f t="shared" si="99"/>
        <v>0</v>
      </c>
      <c r="EY18" s="15">
        <f t="shared" si="99"/>
        <v>0</v>
      </c>
      <c r="EZ18" s="15">
        <f t="shared" si="99"/>
        <v>0</v>
      </c>
      <c r="FA18" s="15">
        <f t="shared" si="99"/>
        <v>0</v>
      </c>
      <c r="FB18" s="15">
        <f t="shared" si="99"/>
        <v>0</v>
      </c>
      <c r="FC18" s="15">
        <f t="shared" si="99"/>
        <v>0</v>
      </c>
      <c r="FD18" s="15">
        <f t="shared" si="99"/>
        <v>0</v>
      </c>
      <c r="FE18" s="15">
        <f t="shared" si="99"/>
        <v>0</v>
      </c>
      <c r="FF18" s="15">
        <f t="shared" si="99"/>
        <v>0</v>
      </c>
      <c r="FG18" s="15">
        <f t="shared" si="99"/>
        <v>0</v>
      </c>
      <c r="FI18" s="15">
        <f t="shared" si="96"/>
        <v>36833333.333333336</v>
      </c>
      <c r="FJ18" s="15">
        <f t="shared" si="78"/>
        <v>36833333.333333336</v>
      </c>
      <c r="FK18" s="15">
        <f t="shared" si="78"/>
        <v>36833333.333333336</v>
      </c>
      <c r="FL18" s="15">
        <f t="shared" si="78"/>
        <v>36833333.333333336</v>
      </c>
      <c r="FM18" s="15">
        <f t="shared" si="78"/>
        <v>36833333.333333336</v>
      </c>
      <c r="FN18" s="15">
        <f t="shared" si="78"/>
        <v>36833333.333333336</v>
      </c>
      <c r="FO18" s="15">
        <f t="shared" si="78"/>
        <v>36833333.333333336</v>
      </c>
      <c r="FP18" s="15">
        <f t="shared" si="78"/>
        <v>36833333.333333336</v>
      </c>
      <c r="FQ18" s="15">
        <f t="shared" si="78"/>
        <v>36833333.333333336</v>
      </c>
      <c r="FR18" s="15">
        <f t="shared" si="78"/>
        <v>36833333.333333336</v>
      </c>
      <c r="FS18" s="15">
        <f t="shared" si="78"/>
        <v>36833333.333333336</v>
      </c>
      <c r="FT18" s="15">
        <f t="shared" si="78"/>
        <v>36833333.333333336</v>
      </c>
      <c r="FU18" s="15">
        <f t="shared" si="78"/>
        <v>0</v>
      </c>
      <c r="FV18" s="15">
        <f t="shared" si="78"/>
        <v>0</v>
      </c>
      <c r="FW18" s="15">
        <f t="shared" si="78"/>
        <v>0</v>
      </c>
      <c r="FX18" s="15">
        <f t="shared" si="78"/>
        <v>0</v>
      </c>
      <c r="FY18" s="15">
        <f t="shared" si="78"/>
        <v>0</v>
      </c>
      <c r="FZ18" s="15">
        <f t="shared" si="78"/>
        <v>0</v>
      </c>
      <c r="GA18" s="15">
        <f t="shared" si="78"/>
        <v>0</v>
      </c>
      <c r="GB18" s="15">
        <f t="shared" si="78"/>
        <v>0</v>
      </c>
      <c r="GC18" s="15">
        <f t="shared" si="78"/>
        <v>0</v>
      </c>
      <c r="GD18" s="15">
        <f t="shared" si="78"/>
        <v>0</v>
      </c>
      <c r="GE18" s="15">
        <f t="shared" si="78"/>
        <v>0</v>
      </c>
      <c r="GF18" s="15">
        <f t="shared" si="78"/>
        <v>0</v>
      </c>
      <c r="GG18" s="15">
        <f t="shared" si="78"/>
        <v>0</v>
      </c>
      <c r="GH18" s="15">
        <f t="shared" si="78"/>
        <v>0</v>
      </c>
      <c r="GI18" s="15">
        <f t="shared" si="78"/>
        <v>0</v>
      </c>
      <c r="GJ18" s="15">
        <f t="shared" si="78"/>
        <v>0</v>
      </c>
      <c r="GK18" s="15">
        <f t="shared" si="78"/>
        <v>0</v>
      </c>
      <c r="GL18" s="15">
        <f t="shared" si="78"/>
        <v>0</v>
      </c>
      <c r="GN18" s="15">
        <f t="shared" si="97"/>
        <v>36833333.333333336</v>
      </c>
      <c r="GO18" s="15">
        <f t="shared" si="79"/>
        <v>36833333.333333336</v>
      </c>
      <c r="GP18" s="15">
        <f t="shared" si="79"/>
        <v>36833333.333333336</v>
      </c>
      <c r="GQ18" s="15">
        <f t="shared" si="79"/>
        <v>36833333.333333336</v>
      </c>
      <c r="GR18" s="15">
        <f t="shared" si="79"/>
        <v>36833333.333333336</v>
      </c>
      <c r="GS18" s="15">
        <f t="shared" si="79"/>
        <v>36833333.333333336</v>
      </c>
      <c r="GT18" s="15">
        <f t="shared" si="79"/>
        <v>36833333.333333336</v>
      </c>
      <c r="GU18" s="15">
        <f t="shared" si="79"/>
        <v>36833333.333333336</v>
      </c>
      <c r="GV18" s="15">
        <f t="shared" si="79"/>
        <v>36833333.333333336</v>
      </c>
      <c r="GW18" s="15">
        <f t="shared" si="79"/>
        <v>36833333.333333336</v>
      </c>
      <c r="GX18" s="15">
        <f t="shared" si="79"/>
        <v>36833333.333333336</v>
      </c>
      <c r="GY18" s="15">
        <f t="shared" si="79"/>
        <v>36833333.333333336</v>
      </c>
      <c r="GZ18" s="15">
        <f t="shared" si="79"/>
        <v>0</v>
      </c>
      <c r="HA18" s="15">
        <f t="shared" si="79"/>
        <v>0</v>
      </c>
      <c r="HB18" s="15">
        <f t="shared" si="79"/>
        <v>0</v>
      </c>
      <c r="HC18" s="15">
        <f t="shared" si="79"/>
        <v>0</v>
      </c>
      <c r="HD18" s="15">
        <f t="shared" si="79"/>
        <v>0</v>
      </c>
      <c r="HE18" s="15">
        <f t="shared" si="79"/>
        <v>0</v>
      </c>
      <c r="HF18" s="15">
        <f t="shared" si="79"/>
        <v>0</v>
      </c>
      <c r="HG18" s="15">
        <f t="shared" si="79"/>
        <v>0</v>
      </c>
      <c r="HH18" s="15">
        <f t="shared" si="79"/>
        <v>0</v>
      </c>
      <c r="HI18" s="15">
        <f t="shared" si="79"/>
        <v>0</v>
      </c>
      <c r="HJ18" s="15">
        <f t="shared" si="79"/>
        <v>0</v>
      </c>
      <c r="HK18" s="15">
        <f t="shared" si="79"/>
        <v>0</v>
      </c>
      <c r="HL18" s="15">
        <f t="shared" si="79"/>
        <v>0</v>
      </c>
      <c r="HM18" s="15">
        <f t="shared" si="79"/>
        <v>0</v>
      </c>
      <c r="HN18" s="15">
        <f t="shared" si="79"/>
        <v>0</v>
      </c>
      <c r="HO18" s="15">
        <f t="shared" si="79"/>
        <v>0</v>
      </c>
      <c r="HP18" s="15">
        <f t="shared" si="79"/>
        <v>0</v>
      </c>
      <c r="HQ18" s="15">
        <f t="shared" si="79"/>
        <v>0</v>
      </c>
    </row>
    <row r="19" spans="1:225" s="16" customFormat="1" ht="3.75" customHeight="1" x14ac:dyDescent="0.25">
      <c r="A19"/>
      <c r="B19"/>
      <c r="C19" s="19"/>
      <c r="F19" s="223"/>
      <c r="G19" s="29"/>
      <c r="H19" s="29"/>
      <c r="I19" s="29"/>
      <c r="J19" s="29"/>
      <c r="K19" s="223"/>
      <c r="L19" s="29"/>
      <c r="M19" s="29"/>
      <c r="N19" s="29"/>
      <c r="O19" s="29"/>
      <c r="P19" s="223"/>
      <c r="Q19" s="29"/>
      <c r="R19" s="29"/>
      <c r="S19" s="29"/>
      <c r="T19" s="29"/>
      <c r="U19" s="223"/>
      <c r="V19" s="29"/>
      <c r="W19" s="29"/>
      <c r="X19" s="29"/>
      <c r="Y19" s="29"/>
      <c r="Z19" s="223"/>
      <c r="AA19" s="29"/>
      <c r="AB19" s="29"/>
      <c r="AC19" s="29"/>
      <c r="AD19" s="29"/>
      <c r="AE19" s="223"/>
      <c r="AF19" s="29"/>
      <c r="AG19" s="29"/>
      <c r="AH19" s="29"/>
      <c r="AI19" s="29"/>
      <c r="AJ19" s="223"/>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T19" s="29"/>
      <c r="BU19" s="29"/>
      <c r="BV19" s="29"/>
      <c r="BW19" s="29"/>
      <c r="BX19" s="29"/>
      <c r="BY19" s="29"/>
      <c r="BZ19" s="29"/>
      <c r="CA19" s="29"/>
      <c r="CB19" s="29"/>
      <c r="CC19" s="29"/>
      <c r="CD19" s="29"/>
      <c r="CE19" s="29"/>
      <c r="CF19" s="29"/>
      <c r="CG19" s="29"/>
      <c r="CH19" s="29"/>
      <c r="CI19" s="29"/>
      <c r="CJ19" s="29"/>
      <c r="CK19" s="29"/>
      <c r="CL19" s="29"/>
      <c r="CM19" s="29"/>
      <c r="CN19" s="29"/>
      <c r="CO19" s="29"/>
      <c r="CP19" s="29"/>
      <c r="CQ19" s="29"/>
      <c r="CR19" s="29"/>
      <c r="CS19" s="29"/>
      <c r="CT19" s="29"/>
      <c r="CU19" s="29"/>
      <c r="CV19" s="29"/>
      <c r="CW19" s="29"/>
      <c r="CY19" s="29"/>
      <c r="CZ19" s="29"/>
      <c r="DA19" s="29"/>
      <c r="DB19" s="29"/>
      <c r="DC19" s="29"/>
      <c r="DD19" s="29"/>
      <c r="DE19" s="29"/>
      <c r="DF19" s="29"/>
      <c r="DG19" s="29"/>
      <c r="DH19" s="29"/>
      <c r="DI19" s="29"/>
      <c r="DJ19" s="29"/>
      <c r="DK19" s="29"/>
      <c r="DL19" s="29"/>
      <c r="DM19" s="29"/>
      <c r="DN19" s="29"/>
      <c r="DO19" s="29"/>
      <c r="DP19" s="29"/>
      <c r="DQ19" s="29"/>
      <c r="DR19" s="29"/>
      <c r="DS19" s="29"/>
      <c r="DT19" s="29"/>
      <c r="DU19" s="29"/>
      <c r="DV19" s="29"/>
      <c r="DW19" s="29"/>
      <c r="DX19" s="29"/>
      <c r="DY19" s="29"/>
      <c r="DZ19" s="29"/>
      <c r="EA19" s="29"/>
      <c r="EB19" s="29"/>
      <c r="ED19" s="29"/>
      <c r="EE19" s="29"/>
      <c r="EF19" s="29"/>
      <c r="EG19" s="29"/>
      <c r="EH19" s="29"/>
      <c r="EI19" s="29"/>
      <c r="EJ19" s="29"/>
      <c r="EK19" s="29"/>
      <c r="EL19" s="29"/>
      <c r="EM19" s="29"/>
      <c r="EN19" s="29"/>
      <c r="EO19" s="29"/>
      <c r="EP19" s="29"/>
      <c r="EQ19" s="29"/>
      <c r="ER19" s="29"/>
      <c r="ES19" s="29"/>
      <c r="ET19" s="29"/>
      <c r="EU19" s="29"/>
      <c r="EV19" s="29"/>
      <c r="EW19" s="29"/>
      <c r="EX19" s="29"/>
      <c r="EY19" s="29"/>
      <c r="EZ19" s="29"/>
      <c r="FA19" s="29"/>
      <c r="FB19" s="29"/>
      <c r="FC19" s="29"/>
      <c r="FD19" s="29"/>
      <c r="FE19" s="29"/>
      <c r="FF19" s="29"/>
      <c r="FG19" s="29"/>
      <c r="FI19" s="29"/>
      <c r="FJ19" s="29"/>
      <c r="FK19" s="29"/>
      <c r="FL19" s="29"/>
      <c r="FM19" s="29"/>
      <c r="FN19" s="29"/>
      <c r="FO19" s="29"/>
      <c r="FP19" s="29"/>
      <c r="FQ19" s="29"/>
      <c r="FR19" s="29"/>
      <c r="FS19" s="29"/>
      <c r="FT19" s="29"/>
      <c r="FU19" s="29"/>
      <c r="FV19" s="29"/>
      <c r="FW19" s="29"/>
      <c r="FX19" s="29"/>
      <c r="FY19" s="29"/>
      <c r="FZ19" s="29"/>
      <c r="GA19" s="29"/>
      <c r="GB19" s="29"/>
      <c r="GC19" s="29"/>
      <c r="GD19" s="29"/>
      <c r="GE19" s="29"/>
      <c r="GF19" s="29"/>
      <c r="GG19" s="29"/>
      <c r="GH19" s="29"/>
      <c r="GI19" s="29"/>
      <c r="GJ19" s="29"/>
      <c r="GK19" s="29"/>
      <c r="GL19" s="29"/>
      <c r="GN19" s="29"/>
      <c r="GO19" s="29"/>
      <c r="GP19" s="29"/>
      <c r="GQ19" s="29"/>
      <c r="GR19" s="29"/>
      <c r="GS19" s="29"/>
      <c r="GT19" s="29"/>
      <c r="GU19" s="29"/>
      <c r="GV19" s="29"/>
      <c r="GW19" s="29"/>
      <c r="GX19" s="29"/>
      <c r="GY19" s="29"/>
      <c r="GZ19" s="29"/>
      <c r="HA19" s="29"/>
      <c r="HB19" s="29"/>
      <c r="HC19" s="29"/>
      <c r="HD19" s="29"/>
      <c r="HE19" s="29"/>
      <c r="HF19" s="29"/>
      <c r="HG19" s="29"/>
      <c r="HH19" s="29"/>
      <c r="HI19" s="29"/>
      <c r="HJ19" s="29"/>
      <c r="HK19" s="29"/>
      <c r="HL19" s="29"/>
      <c r="HM19" s="29"/>
      <c r="HN19" s="29"/>
      <c r="HO19" s="29"/>
      <c r="HP19" s="29"/>
      <c r="HQ19" s="29"/>
    </row>
    <row r="20" spans="1:225" s="1" customFormat="1" x14ac:dyDescent="0.25">
      <c r="A20" t="s">
        <v>481</v>
      </c>
      <c r="B20"/>
      <c r="C20" s="37" t="s">
        <v>57</v>
      </c>
      <c r="D20" s="230" t="s">
        <v>32</v>
      </c>
      <c r="E20" s="26"/>
      <c r="F20" s="220"/>
      <c r="G20" s="140"/>
      <c r="H20" s="30"/>
      <c r="I20" s="30">
        <f>SUM(I21:I33)</f>
        <v>38110800000</v>
      </c>
      <c r="J20" s="30">
        <f>SUM(J21:J33)</f>
        <v>3175900000</v>
      </c>
      <c r="K20" s="220"/>
      <c r="L20" s="140"/>
      <c r="M20" s="140"/>
      <c r="N20" s="30">
        <f>SUM(N21:N33)</f>
        <v>40872000000</v>
      </c>
      <c r="O20" s="30">
        <f>SUM(O21:O33)</f>
        <v>3406000000.0000005</v>
      </c>
      <c r="P20" s="220"/>
      <c r="Q20" s="140"/>
      <c r="R20" s="140"/>
      <c r="S20" s="30">
        <f>SUM(S21:S33)</f>
        <v>40872000000</v>
      </c>
      <c r="T20" s="30">
        <f>SUM(T21:T33)</f>
        <v>3406000000.0000005</v>
      </c>
      <c r="U20" s="220"/>
      <c r="V20" s="140"/>
      <c r="W20" s="140"/>
      <c r="X20" s="30">
        <f>SUM(X21:X33)</f>
        <v>38110800000</v>
      </c>
      <c r="Y20" s="30">
        <f>SUM(Y21:Y33)</f>
        <v>3175900000</v>
      </c>
      <c r="Z20" s="220"/>
      <c r="AA20" s="140"/>
      <c r="AB20" s="140"/>
      <c r="AC20" s="30">
        <f>SUM(AC21:AC33)</f>
        <v>38116000000</v>
      </c>
      <c r="AD20" s="30">
        <f>SUM(AD21:AD33)</f>
        <v>3176333333.333333</v>
      </c>
      <c r="AE20" s="220"/>
      <c r="AF20" s="140"/>
      <c r="AG20" s="140"/>
      <c r="AH20" s="30">
        <f>SUM(AH21:AH33)</f>
        <v>38116000000</v>
      </c>
      <c r="AI20" s="30">
        <f>SUM(AI21:AI33)</f>
        <v>3176333333.333333</v>
      </c>
      <c r="AJ20" s="220"/>
      <c r="AO20" s="30">
        <f t="shared" ref="AO20:BR20" si="100">SUM(AO21:AO33)</f>
        <v>3175900000</v>
      </c>
      <c r="AP20" s="30">
        <f t="shared" si="100"/>
        <v>3175900000</v>
      </c>
      <c r="AQ20" s="30">
        <f t="shared" si="100"/>
        <v>3175900000</v>
      </c>
      <c r="AR20" s="30">
        <f t="shared" si="100"/>
        <v>3175900000</v>
      </c>
      <c r="AS20" s="30">
        <f t="shared" si="100"/>
        <v>3175900000</v>
      </c>
      <c r="AT20" s="30">
        <f t="shared" si="100"/>
        <v>3175900000</v>
      </c>
      <c r="AU20" s="30">
        <f t="shared" si="100"/>
        <v>3175900000</v>
      </c>
      <c r="AV20" s="30">
        <f t="shared" si="100"/>
        <v>3175900000</v>
      </c>
      <c r="AW20" s="30">
        <f t="shared" si="100"/>
        <v>3175900000</v>
      </c>
      <c r="AX20" s="30">
        <f t="shared" si="100"/>
        <v>3175900000</v>
      </c>
      <c r="AY20" s="30">
        <f t="shared" si="100"/>
        <v>3175900000</v>
      </c>
      <c r="AZ20" s="30">
        <f t="shared" si="100"/>
        <v>3175900000</v>
      </c>
      <c r="BA20" s="30">
        <f t="shared" si="100"/>
        <v>0</v>
      </c>
      <c r="BB20" s="30">
        <f t="shared" si="100"/>
        <v>0</v>
      </c>
      <c r="BC20" s="30">
        <f t="shared" si="100"/>
        <v>0</v>
      </c>
      <c r="BD20" s="30">
        <f t="shared" si="100"/>
        <v>0</v>
      </c>
      <c r="BE20" s="30">
        <f t="shared" si="100"/>
        <v>0</v>
      </c>
      <c r="BF20" s="30">
        <f t="shared" si="100"/>
        <v>0</v>
      </c>
      <c r="BG20" s="30">
        <f t="shared" si="100"/>
        <v>0</v>
      </c>
      <c r="BH20" s="30">
        <f t="shared" si="100"/>
        <v>0</v>
      </c>
      <c r="BI20" s="30">
        <f t="shared" si="100"/>
        <v>0</v>
      </c>
      <c r="BJ20" s="30">
        <f t="shared" si="100"/>
        <v>0</v>
      </c>
      <c r="BK20" s="30">
        <f t="shared" si="100"/>
        <v>0</v>
      </c>
      <c r="BL20" s="30">
        <f t="shared" si="100"/>
        <v>0</v>
      </c>
      <c r="BM20" s="30">
        <f t="shared" si="100"/>
        <v>0</v>
      </c>
      <c r="BN20" s="30">
        <f t="shared" si="100"/>
        <v>0</v>
      </c>
      <c r="BO20" s="30">
        <f t="shared" si="100"/>
        <v>0</v>
      </c>
      <c r="BP20" s="30">
        <f t="shared" si="100"/>
        <v>0</v>
      </c>
      <c r="BQ20" s="30">
        <f t="shared" si="100"/>
        <v>0</v>
      </c>
      <c r="BR20" s="30">
        <f t="shared" si="100"/>
        <v>0</v>
      </c>
      <c r="BT20" s="30">
        <f t="shared" ref="BT20" si="101">SUM(BT21:BT33)</f>
        <v>3406000000.0000005</v>
      </c>
      <c r="BU20" s="30">
        <f t="shared" ref="BU20" si="102">SUM(BU21:BU33)</f>
        <v>3406000000.0000005</v>
      </c>
      <c r="BV20" s="30">
        <f t="shared" ref="BV20" si="103">SUM(BV21:BV33)</f>
        <v>3406000000.0000005</v>
      </c>
      <c r="BW20" s="30">
        <f t="shared" ref="BW20" si="104">SUM(BW21:BW33)</f>
        <v>3406000000.0000005</v>
      </c>
      <c r="BX20" s="30">
        <f t="shared" ref="BX20" si="105">SUM(BX21:BX33)</f>
        <v>3406000000.0000005</v>
      </c>
      <c r="BY20" s="30">
        <f t="shared" ref="BY20" si="106">SUM(BY21:BY33)</f>
        <v>3406000000.0000005</v>
      </c>
      <c r="BZ20" s="30">
        <f t="shared" ref="BZ20" si="107">SUM(BZ21:BZ33)</f>
        <v>3406000000.0000005</v>
      </c>
      <c r="CA20" s="30">
        <f t="shared" ref="CA20" si="108">SUM(CA21:CA33)</f>
        <v>3406000000.0000005</v>
      </c>
      <c r="CB20" s="30">
        <f t="shared" ref="CB20" si="109">SUM(CB21:CB33)</f>
        <v>3406000000.0000005</v>
      </c>
      <c r="CC20" s="30">
        <f t="shared" ref="CC20" si="110">SUM(CC21:CC33)</f>
        <v>3406000000.0000005</v>
      </c>
      <c r="CD20" s="30">
        <f t="shared" ref="CD20" si="111">SUM(CD21:CD33)</f>
        <v>3406000000.0000005</v>
      </c>
      <c r="CE20" s="30">
        <f t="shared" ref="CE20" si="112">SUM(CE21:CE33)</f>
        <v>3406000000.0000005</v>
      </c>
      <c r="CF20" s="30">
        <f t="shared" ref="CF20" si="113">SUM(CF21:CF33)</f>
        <v>0</v>
      </c>
      <c r="CG20" s="30">
        <f t="shared" ref="CG20" si="114">SUM(CG21:CG33)</f>
        <v>0</v>
      </c>
      <c r="CH20" s="30">
        <f t="shared" ref="CH20" si="115">SUM(CH21:CH33)</f>
        <v>0</v>
      </c>
      <c r="CI20" s="30">
        <f t="shared" ref="CI20" si="116">SUM(CI21:CI33)</f>
        <v>0</v>
      </c>
      <c r="CJ20" s="30">
        <f t="shared" ref="CJ20" si="117">SUM(CJ21:CJ33)</f>
        <v>0</v>
      </c>
      <c r="CK20" s="30">
        <f t="shared" ref="CK20" si="118">SUM(CK21:CK33)</f>
        <v>0</v>
      </c>
      <c r="CL20" s="30">
        <f t="shared" ref="CL20" si="119">SUM(CL21:CL33)</f>
        <v>0</v>
      </c>
      <c r="CM20" s="30">
        <f t="shared" ref="CM20" si="120">SUM(CM21:CM33)</f>
        <v>0</v>
      </c>
      <c r="CN20" s="30">
        <f t="shared" ref="CN20" si="121">SUM(CN21:CN33)</f>
        <v>0</v>
      </c>
      <c r="CO20" s="30">
        <f t="shared" ref="CO20" si="122">SUM(CO21:CO33)</f>
        <v>0</v>
      </c>
      <c r="CP20" s="30">
        <f t="shared" ref="CP20" si="123">SUM(CP21:CP33)</f>
        <v>0</v>
      </c>
      <c r="CQ20" s="30">
        <f t="shared" ref="CQ20" si="124">SUM(CQ21:CQ33)</f>
        <v>0</v>
      </c>
      <c r="CR20" s="30">
        <f t="shared" ref="CR20" si="125">SUM(CR21:CR33)</f>
        <v>0</v>
      </c>
      <c r="CS20" s="30">
        <f t="shared" ref="CS20" si="126">SUM(CS21:CS33)</f>
        <v>0</v>
      </c>
      <c r="CT20" s="30">
        <f t="shared" ref="CT20" si="127">SUM(CT21:CT33)</f>
        <v>0</v>
      </c>
      <c r="CU20" s="30">
        <f t="shared" ref="CU20" si="128">SUM(CU21:CU33)</f>
        <v>0</v>
      </c>
      <c r="CV20" s="30">
        <f t="shared" ref="CV20" si="129">SUM(CV21:CV33)</f>
        <v>0</v>
      </c>
      <c r="CW20" s="30">
        <f t="shared" ref="CW20" si="130">SUM(CW21:CW33)</f>
        <v>0</v>
      </c>
      <c r="CY20" s="30">
        <f t="shared" ref="CY20:EB20" si="131">SUM(CY21:CY33)</f>
        <v>3406000000.0000005</v>
      </c>
      <c r="CZ20" s="30">
        <f t="shared" si="131"/>
        <v>3406000000.0000005</v>
      </c>
      <c r="DA20" s="30">
        <f t="shared" si="131"/>
        <v>3406000000.0000005</v>
      </c>
      <c r="DB20" s="30">
        <f t="shared" si="131"/>
        <v>3406000000.0000005</v>
      </c>
      <c r="DC20" s="30">
        <f t="shared" si="131"/>
        <v>3406000000.0000005</v>
      </c>
      <c r="DD20" s="30">
        <f t="shared" si="131"/>
        <v>3406000000.0000005</v>
      </c>
      <c r="DE20" s="30">
        <f t="shared" si="131"/>
        <v>3406000000.0000005</v>
      </c>
      <c r="DF20" s="30">
        <f t="shared" si="131"/>
        <v>3406000000.0000005</v>
      </c>
      <c r="DG20" s="30">
        <f t="shared" si="131"/>
        <v>3406000000.0000005</v>
      </c>
      <c r="DH20" s="30">
        <f t="shared" si="131"/>
        <v>3406000000.0000005</v>
      </c>
      <c r="DI20" s="30">
        <f t="shared" si="131"/>
        <v>3406000000.0000005</v>
      </c>
      <c r="DJ20" s="30">
        <f t="shared" si="131"/>
        <v>3406000000.0000005</v>
      </c>
      <c r="DK20" s="30">
        <f t="shared" si="131"/>
        <v>0</v>
      </c>
      <c r="DL20" s="30">
        <f t="shared" si="131"/>
        <v>0</v>
      </c>
      <c r="DM20" s="30">
        <f t="shared" si="131"/>
        <v>0</v>
      </c>
      <c r="DN20" s="30">
        <f t="shared" si="131"/>
        <v>0</v>
      </c>
      <c r="DO20" s="30">
        <f t="shared" si="131"/>
        <v>0</v>
      </c>
      <c r="DP20" s="30">
        <f t="shared" si="131"/>
        <v>0</v>
      </c>
      <c r="DQ20" s="30">
        <f t="shared" si="131"/>
        <v>0</v>
      </c>
      <c r="DR20" s="30">
        <f t="shared" si="131"/>
        <v>0</v>
      </c>
      <c r="DS20" s="30">
        <f t="shared" si="131"/>
        <v>0</v>
      </c>
      <c r="DT20" s="30">
        <f t="shared" si="131"/>
        <v>0</v>
      </c>
      <c r="DU20" s="30">
        <f t="shared" si="131"/>
        <v>0</v>
      </c>
      <c r="DV20" s="30">
        <f t="shared" si="131"/>
        <v>0</v>
      </c>
      <c r="DW20" s="30">
        <f t="shared" si="131"/>
        <v>0</v>
      </c>
      <c r="DX20" s="30">
        <f t="shared" si="131"/>
        <v>0</v>
      </c>
      <c r="DY20" s="30">
        <f t="shared" si="131"/>
        <v>0</v>
      </c>
      <c r="DZ20" s="30">
        <f t="shared" si="131"/>
        <v>0</v>
      </c>
      <c r="EA20" s="30">
        <f t="shared" si="131"/>
        <v>0</v>
      </c>
      <c r="EB20" s="30">
        <f t="shared" si="131"/>
        <v>0</v>
      </c>
      <c r="ED20" s="30">
        <f t="shared" ref="ED20:FG20" si="132">SUM(ED21:ED33)</f>
        <v>3175900000</v>
      </c>
      <c r="EE20" s="30">
        <f t="shared" si="132"/>
        <v>3175900000</v>
      </c>
      <c r="EF20" s="30">
        <f t="shared" si="132"/>
        <v>3175900000</v>
      </c>
      <c r="EG20" s="30">
        <f t="shared" si="132"/>
        <v>3175900000</v>
      </c>
      <c r="EH20" s="30">
        <f t="shared" si="132"/>
        <v>3175900000</v>
      </c>
      <c r="EI20" s="30">
        <f t="shared" si="132"/>
        <v>3175900000</v>
      </c>
      <c r="EJ20" s="30">
        <f t="shared" si="132"/>
        <v>3175900000</v>
      </c>
      <c r="EK20" s="30">
        <f t="shared" si="132"/>
        <v>3175900000</v>
      </c>
      <c r="EL20" s="30">
        <f t="shared" si="132"/>
        <v>3175900000</v>
      </c>
      <c r="EM20" s="30">
        <f t="shared" si="132"/>
        <v>3175900000</v>
      </c>
      <c r="EN20" s="30">
        <f t="shared" si="132"/>
        <v>3175900000</v>
      </c>
      <c r="EO20" s="30">
        <f t="shared" si="132"/>
        <v>3175900000</v>
      </c>
      <c r="EP20" s="30">
        <f t="shared" si="132"/>
        <v>0</v>
      </c>
      <c r="EQ20" s="30">
        <f t="shared" si="132"/>
        <v>0</v>
      </c>
      <c r="ER20" s="30">
        <f t="shared" si="132"/>
        <v>0</v>
      </c>
      <c r="ES20" s="30">
        <f t="shared" si="132"/>
        <v>0</v>
      </c>
      <c r="ET20" s="30">
        <f t="shared" si="132"/>
        <v>0</v>
      </c>
      <c r="EU20" s="30">
        <f t="shared" si="132"/>
        <v>0</v>
      </c>
      <c r="EV20" s="30">
        <f t="shared" si="132"/>
        <v>0</v>
      </c>
      <c r="EW20" s="30">
        <f t="shared" si="132"/>
        <v>0</v>
      </c>
      <c r="EX20" s="30">
        <f t="shared" si="132"/>
        <v>0</v>
      </c>
      <c r="EY20" s="30">
        <f t="shared" si="132"/>
        <v>0</v>
      </c>
      <c r="EZ20" s="30">
        <f t="shared" si="132"/>
        <v>0</v>
      </c>
      <c r="FA20" s="30">
        <f t="shared" si="132"/>
        <v>0</v>
      </c>
      <c r="FB20" s="30">
        <f t="shared" si="132"/>
        <v>0</v>
      </c>
      <c r="FC20" s="30">
        <f t="shared" si="132"/>
        <v>0</v>
      </c>
      <c r="FD20" s="30">
        <f t="shared" si="132"/>
        <v>0</v>
      </c>
      <c r="FE20" s="30">
        <f t="shared" si="132"/>
        <v>0</v>
      </c>
      <c r="FF20" s="30">
        <f t="shared" si="132"/>
        <v>0</v>
      </c>
      <c r="FG20" s="30">
        <f t="shared" si="132"/>
        <v>0</v>
      </c>
      <c r="FI20" s="30">
        <f t="shared" ref="FI20:GL20" si="133">SUM(FI21:FI33)</f>
        <v>3176333333.333333</v>
      </c>
      <c r="FJ20" s="30">
        <f t="shared" si="133"/>
        <v>3176333333.333333</v>
      </c>
      <c r="FK20" s="30">
        <f t="shared" si="133"/>
        <v>3176333333.333333</v>
      </c>
      <c r="FL20" s="30">
        <f t="shared" si="133"/>
        <v>3176333333.333333</v>
      </c>
      <c r="FM20" s="30">
        <f t="shared" si="133"/>
        <v>3176333333.333333</v>
      </c>
      <c r="FN20" s="30">
        <f t="shared" si="133"/>
        <v>3176333333.333333</v>
      </c>
      <c r="FO20" s="30">
        <f t="shared" si="133"/>
        <v>3176333333.333333</v>
      </c>
      <c r="FP20" s="30">
        <f t="shared" si="133"/>
        <v>3176333333.333333</v>
      </c>
      <c r="FQ20" s="30">
        <f t="shared" si="133"/>
        <v>3176333333.333333</v>
      </c>
      <c r="FR20" s="30">
        <f t="shared" si="133"/>
        <v>3176333333.333333</v>
      </c>
      <c r="FS20" s="30">
        <f t="shared" si="133"/>
        <v>3176333333.333333</v>
      </c>
      <c r="FT20" s="30">
        <f t="shared" si="133"/>
        <v>3176333333.333333</v>
      </c>
      <c r="FU20" s="30">
        <f t="shared" si="133"/>
        <v>0</v>
      </c>
      <c r="FV20" s="30">
        <f t="shared" si="133"/>
        <v>0</v>
      </c>
      <c r="FW20" s="30">
        <f t="shared" si="133"/>
        <v>0</v>
      </c>
      <c r="FX20" s="30">
        <f t="shared" si="133"/>
        <v>0</v>
      </c>
      <c r="FY20" s="30">
        <f t="shared" si="133"/>
        <v>0</v>
      </c>
      <c r="FZ20" s="30">
        <f t="shared" si="133"/>
        <v>0</v>
      </c>
      <c r="GA20" s="30">
        <f t="shared" si="133"/>
        <v>0</v>
      </c>
      <c r="GB20" s="30">
        <f t="shared" si="133"/>
        <v>0</v>
      </c>
      <c r="GC20" s="30">
        <f t="shared" si="133"/>
        <v>0</v>
      </c>
      <c r="GD20" s="30">
        <f t="shared" si="133"/>
        <v>0</v>
      </c>
      <c r="GE20" s="30">
        <f t="shared" si="133"/>
        <v>0</v>
      </c>
      <c r="GF20" s="30">
        <f t="shared" si="133"/>
        <v>0</v>
      </c>
      <c r="GG20" s="30">
        <f t="shared" si="133"/>
        <v>0</v>
      </c>
      <c r="GH20" s="30">
        <f t="shared" si="133"/>
        <v>0</v>
      </c>
      <c r="GI20" s="30">
        <f t="shared" si="133"/>
        <v>0</v>
      </c>
      <c r="GJ20" s="30">
        <f t="shared" si="133"/>
        <v>0</v>
      </c>
      <c r="GK20" s="30">
        <f t="shared" si="133"/>
        <v>0</v>
      </c>
      <c r="GL20" s="30">
        <f t="shared" si="133"/>
        <v>0</v>
      </c>
      <c r="GN20" s="30">
        <f t="shared" ref="GN20" si="134">SUM(GN21:GN33)</f>
        <v>3176333333.333333</v>
      </c>
      <c r="GO20" s="30">
        <f t="shared" ref="GO20" si="135">SUM(GO21:GO33)</f>
        <v>3176333333.333333</v>
      </c>
      <c r="GP20" s="30">
        <f t="shared" ref="GP20" si="136">SUM(GP21:GP33)</f>
        <v>3176333333.333333</v>
      </c>
      <c r="GQ20" s="30">
        <f t="shared" ref="GQ20" si="137">SUM(GQ21:GQ33)</f>
        <v>3176333333.333333</v>
      </c>
      <c r="GR20" s="30">
        <f t="shared" ref="GR20" si="138">SUM(GR21:GR33)</f>
        <v>3176333333.333333</v>
      </c>
      <c r="GS20" s="30">
        <f t="shared" ref="GS20" si="139">SUM(GS21:GS33)</f>
        <v>3176333333.333333</v>
      </c>
      <c r="GT20" s="30">
        <f t="shared" ref="GT20" si="140">SUM(GT21:GT33)</f>
        <v>3176333333.333333</v>
      </c>
      <c r="GU20" s="30">
        <f t="shared" ref="GU20" si="141">SUM(GU21:GU33)</f>
        <v>3176333333.333333</v>
      </c>
      <c r="GV20" s="30">
        <f t="shared" ref="GV20" si="142">SUM(GV21:GV33)</f>
        <v>3176333333.333333</v>
      </c>
      <c r="GW20" s="30">
        <f t="shared" ref="GW20" si="143">SUM(GW21:GW33)</f>
        <v>3176333333.333333</v>
      </c>
      <c r="GX20" s="30">
        <f t="shared" ref="GX20" si="144">SUM(GX21:GX33)</f>
        <v>3176333333.333333</v>
      </c>
      <c r="GY20" s="30">
        <f t="shared" ref="GY20" si="145">SUM(GY21:GY33)</f>
        <v>3176333333.333333</v>
      </c>
      <c r="GZ20" s="30">
        <f t="shared" ref="GZ20" si="146">SUM(GZ21:GZ33)</f>
        <v>0</v>
      </c>
      <c r="HA20" s="30">
        <f t="shared" ref="HA20" si="147">SUM(HA21:HA33)</f>
        <v>0</v>
      </c>
      <c r="HB20" s="30">
        <f t="shared" ref="HB20" si="148">SUM(HB21:HB33)</f>
        <v>0</v>
      </c>
      <c r="HC20" s="30">
        <f t="shared" ref="HC20" si="149">SUM(HC21:HC33)</f>
        <v>0</v>
      </c>
      <c r="HD20" s="30">
        <f t="shared" ref="HD20" si="150">SUM(HD21:HD33)</f>
        <v>0</v>
      </c>
      <c r="HE20" s="30">
        <f t="shared" ref="HE20" si="151">SUM(HE21:HE33)</f>
        <v>0</v>
      </c>
      <c r="HF20" s="30">
        <f t="shared" ref="HF20" si="152">SUM(HF21:HF33)</f>
        <v>0</v>
      </c>
      <c r="HG20" s="30">
        <f t="shared" ref="HG20" si="153">SUM(HG21:HG33)</f>
        <v>0</v>
      </c>
      <c r="HH20" s="30">
        <f t="shared" ref="HH20" si="154">SUM(HH21:HH33)</f>
        <v>0</v>
      </c>
      <c r="HI20" s="30">
        <f t="shared" ref="HI20" si="155">SUM(HI21:HI33)</f>
        <v>0</v>
      </c>
      <c r="HJ20" s="30">
        <f t="shared" ref="HJ20" si="156">SUM(HJ21:HJ33)</f>
        <v>0</v>
      </c>
      <c r="HK20" s="30">
        <f t="shared" ref="HK20" si="157">SUM(HK21:HK33)</f>
        <v>0</v>
      </c>
      <c r="HL20" s="30">
        <f t="shared" ref="HL20" si="158">SUM(HL21:HL33)</f>
        <v>0</v>
      </c>
      <c r="HM20" s="30">
        <f t="shared" ref="HM20" si="159">SUM(HM21:HM33)</f>
        <v>0</v>
      </c>
      <c r="HN20" s="30">
        <f t="shared" ref="HN20" si="160">SUM(HN21:HN33)</f>
        <v>0</v>
      </c>
      <c r="HO20" s="30">
        <f t="shared" ref="HO20" si="161">SUM(HO21:HO33)</f>
        <v>0</v>
      </c>
      <c r="HP20" s="30">
        <f t="shared" ref="HP20" si="162">SUM(HP21:HP33)</f>
        <v>0</v>
      </c>
      <c r="HQ20" s="30">
        <f t="shared" ref="HQ20" si="163">SUM(HQ21:HQ33)</f>
        <v>0</v>
      </c>
    </row>
    <row r="21" spans="1:225" outlineLevel="1" x14ac:dyDescent="0.25">
      <c r="B21" t="s">
        <v>346</v>
      </c>
      <c r="C21" s="610" t="s">
        <v>220</v>
      </c>
      <c r="D21" s="611" t="s">
        <v>210</v>
      </c>
      <c r="E21" s="612">
        <v>1</v>
      </c>
      <c r="F21" s="221"/>
      <c r="G21" s="613">
        <v>12</v>
      </c>
      <c r="H21" s="615">
        <f>(7500000000/$D$6)*1.04</f>
        <v>7800000000</v>
      </c>
      <c r="I21" s="613">
        <f t="shared" ref="I21:I33" si="164">$E21*$H21</f>
        <v>7800000000</v>
      </c>
      <c r="J21" s="613">
        <f t="shared" ref="J21:J33" si="165">I21/G21</f>
        <v>650000000</v>
      </c>
      <c r="K21" s="221"/>
      <c r="L21" s="613">
        <v>12</v>
      </c>
      <c r="M21" s="613">
        <f t="shared" ref="M21:M33" si="166">IF(Currency="USD",ROUNDUP($E21*$H21*(1+O$6),-3),ROUNDUP($E21*$H21*(1+O$6)/EXR,-3)*EXR)</f>
        <v>8346000000</v>
      </c>
      <c r="N21" s="613">
        <f t="shared" ref="N21:N33" si="167">$E21*M21</f>
        <v>8346000000</v>
      </c>
      <c r="O21" s="613">
        <f t="shared" ref="O21:O33" si="168">N21/L21</f>
        <v>695500000</v>
      </c>
      <c r="P21" s="221"/>
      <c r="Q21" s="613">
        <v>12</v>
      </c>
      <c r="R21" s="613">
        <f t="shared" ref="R21:R33" si="169">IF(Currency="USD",ROUNDUP($E21*$H21*(1+T$6),-3),ROUNDUP($E21*$H21*(1+T$6)/EXR,-3)*EXR)</f>
        <v>8346000000</v>
      </c>
      <c r="S21" s="613">
        <f t="shared" ref="S21:S33" si="170">$E21*R21</f>
        <v>8346000000</v>
      </c>
      <c r="T21" s="613">
        <f t="shared" ref="T21:T33" si="171">S21/Q21</f>
        <v>695500000</v>
      </c>
      <c r="U21" s="221"/>
      <c r="V21" s="613">
        <v>12</v>
      </c>
      <c r="W21" s="613">
        <f t="shared" ref="W21:W33" si="172">H21</f>
        <v>7800000000</v>
      </c>
      <c r="X21" s="613">
        <f t="shared" ref="X21:X33" si="173">$E21*W21</f>
        <v>7800000000</v>
      </c>
      <c r="Y21" s="613">
        <f t="shared" ref="Y21:Y33" si="174">X21/V21</f>
        <v>650000000</v>
      </c>
      <c r="Z21" s="221"/>
      <c r="AA21" s="613">
        <v>12</v>
      </c>
      <c r="AB21" s="613">
        <f t="shared" ref="AB21:AB33" si="175">IF(Currency="USD",ROUNDUP($E21*$H21*(1+AD$6),-3),ROUNDUP($E21*$H21*(1+AD$6)/EXR,-3)*EXR)</f>
        <v>7800000000</v>
      </c>
      <c r="AC21" s="613">
        <f t="shared" ref="AC21:AC33" si="176">$E21*AB21</f>
        <v>7800000000</v>
      </c>
      <c r="AD21" s="613">
        <f t="shared" ref="AD21:AD33" si="177">AC21/AA21</f>
        <v>650000000</v>
      </c>
      <c r="AE21" s="221"/>
      <c r="AF21" s="613">
        <v>12</v>
      </c>
      <c r="AG21" s="613">
        <f t="shared" ref="AG21:AG33" si="178">IF(Currency="USD",ROUNDUP($E21*$H21*(1+AI$6),-3),ROUNDUP($E21*$H21*(1+AI$6)/EXR,-3)*EXR)</f>
        <v>7800000000</v>
      </c>
      <c r="AH21" s="613">
        <f t="shared" ref="AH21:AH33" si="179">$E21*AG21</f>
        <v>7800000000</v>
      </c>
      <c r="AI21" s="613">
        <f t="shared" ref="AI21:AI33" si="180">AH21/AF21</f>
        <v>650000000</v>
      </c>
      <c r="AJ21" s="221"/>
      <c r="AL21" t="s">
        <v>547</v>
      </c>
      <c r="AM21" t="s">
        <v>337</v>
      </c>
      <c r="AO21" s="15">
        <f t="shared" ref="AO21:BD33" si="181">IF($G21&gt;=AO$8,$J21,0)</f>
        <v>650000000</v>
      </c>
      <c r="AP21" s="15">
        <f t="shared" si="181"/>
        <v>650000000</v>
      </c>
      <c r="AQ21" s="15">
        <f t="shared" si="181"/>
        <v>650000000</v>
      </c>
      <c r="AR21" s="15">
        <f t="shared" si="181"/>
        <v>650000000</v>
      </c>
      <c r="AS21" s="15">
        <f t="shared" si="181"/>
        <v>650000000</v>
      </c>
      <c r="AT21" s="15">
        <f t="shared" si="181"/>
        <v>650000000</v>
      </c>
      <c r="AU21" s="15">
        <f t="shared" si="181"/>
        <v>650000000</v>
      </c>
      <c r="AV21" s="15">
        <f t="shared" si="181"/>
        <v>650000000</v>
      </c>
      <c r="AW21" s="15">
        <f t="shared" si="181"/>
        <v>650000000</v>
      </c>
      <c r="AX21" s="15">
        <f t="shared" si="181"/>
        <v>650000000</v>
      </c>
      <c r="AY21" s="15">
        <f t="shared" si="181"/>
        <v>650000000</v>
      </c>
      <c r="AZ21" s="15">
        <f t="shared" si="181"/>
        <v>650000000</v>
      </c>
      <c r="BA21" s="15">
        <f t="shared" si="181"/>
        <v>0</v>
      </c>
      <c r="BB21" s="15">
        <f t="shared" si="181"/>
        <v>0</v>
      </c>
      <c r="BC21" s="15">
        <f t="shared" si="181"/>
        <v>0</v>
      </c>
      <c r="BD21" s="15">
        <f t="shared" si="181"/>
        <v>0</v>
      </c>
      <c r="BE21" s="15">
        <f t="shared" ref="BE21:BR33" si="182">IF($G21&gt;=BE$8,$J21,0)</f>
        <v>0</v>
      </c>
      <c r="BF21" s="15">
        <f t="shared" si="182"/>
        <v>0</v>
      </c>
      <c r="BG21" s="15">
        <f t="shared" si="182"/>
        <v>0</v>
      </c>
      <c r="BH21" s="15">
        <f t="shared" si="182"/>
        <v>0</v>
      </c>
      <c r="BI21" s="15">
        <f t="shared" si="182"/>
        <v>0</v>
      </c>
      <c r="BJ21" s="15">
        <f t="shared" si="182"/>
        <v>0</v>
      </c>
      <c r="BK21" s="15">
        <f t="shared" si="182"/>
        <v>0</v>
      </c>
      <c r="BL21" s="15">
        <f t="shared" si="182"/>
        <v>0</v>
      </c>
      <c r="BM21" s="15">
        <f t="shared" si="182"/>
        <v>0</v>
      </c>
      <c r="BN21" s="15">
        <f t="shared" si="182"/>
        <v>0</v>
      </c>
      <c r="BO21" s="15">
        <f t="shared" si="182"/>
        <v>0</v>
      </c>
      <c r="BP21" s="15">
        <f t="shared" si="182"/>
        <v>0</v>
      </c>
      <c r="BQ21" s="15">
        <f t="shared" si="182"/>
        <v>0</v>
      </c>
      <c r="BR21" s="15">
        <f t="shared" si="182"/>
        <v>0</v>
      </c>
      <c r="BT21" s="15">
        <f t="shared" ref="BT21:CI33" si="183">IF($L21&gt;=BT$8,$O21,0)</f>
        <v>695500000</v>
      </c>
      <c r="BU21" s="15">
        <f t="shared" si="183"/>
        <v>695500000</v>
      </c>
      <c r="BV21" s="15">
        <f t="shared" si="183"/>
        <v>695500000</v>
      </c>
      <c r="BW21" s="15">
        <f t="shared" si="183"/>
        <v>695500000</v>
      </c>
      <c r="BX21" s="15">
        <f t="shared" si="183"/>
        <v>695500000</v>
      </c>
      <c r="BY21" s="15">
        <f t="shared" si="183"/>
        <v>695500000</v>
      </c>
      <c r="BZ21" s="15">
        <f t="shared" si="183"/>
        <v>695500000</v>
      </c>
      <c r="CA21" s="15">
        <f t="shared" si="183"/>
        <v>695500000</v>
      </c>
      <c r="CB21" s="15">
        <f t="shared" si="183"/>
        <v>695500000</v>
      </c>
      <c r="CC21" s="15">
        <f t="shared" si="183"/>
        <v>695500000</v>
      </c>
      <c r="CD21" s="15">
        <f t="shared" si="183"/>
        <v>695500000</v>
      </c>
      <c r="CE21" s="15">
        <f t="shared" si="183"/>
        <v>695500000</v>
      </c>
      <c r="CF21" s="15">
        <f t="shared" si="183"/>
        <v>0</v>
      </c>
      <c r="CG21" s="15">
        <f t="shared" si="183"/>
        <v>0</v>
      </c>
      <c r="CH21" s="15">
        <f t="shared" si="183"/>
        <v>0</v>
      </c>
      <c r="CI21" s="15">
        <f t="shared" si="183"/>
        <v>0</v>
      </c>
      <c r="CJ21" s="15">
        <f t="shared" ref="CJ21:CW33" si="184">IF($L21&gt;=CJ$8,$O21,0)</f>
        <v>0</v>
      </c>
      <c r="CK21" s="15">
        <f t="shared" si="184"/>
        <v>0</v>
      </c>
      <c r="CL21" s="15">
        <f t="shared" si="184"/>
        <v>0</v>
      </c>
      <c r="CM21" s="15">
        <f t="shared" si="184"/>
        <v>0</v>
      </c>
      <c r="CN21" s="15">
        <f t="shared" si="184"/>
        <v>0</v>
      </c>
      <c r="CO21" s="15">
        <f t="shared" si="184"/>
        <v>0</v>
      </c>
      <c r="CP21" s="15">
        <f t="shared" si="184"/>
        <v>0</v>
      </c>
      <c r="CQ21" s="15">
        <f t="shared" si="184"/>
        <v>0</v>
      </c>
      <c r="CR21" s="15">
        <f t="shared" si="184"/>
        <v>0</v>
      </c>
      <c r="CS21" s="15">
        <f t="shared" si="184"/>
        <v>0</v>
      </c>
      <c r="CT21" s="15">
        <f t="shared" si="184"/>
        <v>0</v>
      </c>
      <c r="CU21" s="15">
        <f t="shared" si="184"/>
        <v>0</v>
      </c>
      <c r="CV21" s="15">
        <f t="shared" si="184"/>
        <v>0</v>
      </c>
      <c r="CW21" s="15">
        <f t="shared" si="184"/>
        <v>0</v>
      </c>
      <c r="CY21" s="15">
        <f t="shared" ref="CY21:DN33" si="185">IF($Q21&gt;=CY$8,$T21,0)</f>
        <v>695500000</v>
      </c>
      <c r="CZ21" s="15">
        <f t="shared" si="185"/>
        <v>695500000</v>
      </c>
      <c r="DA21" s="15">
        <f t="shared" si="185"/>
        <v>695500000</v>
      </c>
      <c r="DB21" s="15">
        <f t="shared" si="185"/>
        <v>695500000</v>
      </c>
      <c r="DC21" s="15">
        <f t="shared" si="185"/>
        <v>695500000</v>
      </c>
      <c r="DD21" s="15">
        <f t="shared" si="185"/>
        <v>695500000</v>
      </c>
      <c r="DE21" s="15">
        <f t="shared" si="185"/>
        <v>695500000</v>
      </c>
      <c r="DF21" s="15">
        <f t="shared" si="185"/>
        <v>695500000</v>
      </c>
      <c r="DG21" s="15">
        <f t="shared" si="185"/>
        <v>695500000</v>
      </c>
      <c r="DH21" s="15">
        <f t="shared" si="185"/>
        <v>695500000</v>
      </c>
      <c r="DI21" s="15">
        <f t="shared" si="185"/>
        <v>695500000</v>
      </c>
      <c r="DJ21" s="15">
        <f t="shared" si="185"/>
        <v>695500000</v>
      </c>
      <c r="DK21" s="15">
        <f t="shared" si="185"/>
        <v>0</v>
      </c>
      <c r="DL21" s="15">
        <f t="shared" si="185"/>
        <v>0</v>
      </c>
      <c r="DM21" s="15">
        <f t="shared" si="185"/>
        <v>0</v>
      </c>
      <c r="DN21" s="15">
        <f t="shared" si="185"/>
        <v>0</v>
      </c>
      <c r="DO21" s="15">
        <f t="shared" ref="DO21:EB33" si="186">IF($Q21&gt;=DO$8,$T21,0)</f>
        <v>0</v>
      </c>
      <c r="DP21" s="15">
        <f t="shared" si="186"/>
        <v>0</v>
      </c>
      <c r="DQ21" s="15">
        <f t="shared" si="186"/>
        <v>0</v>
      </c>
      <c r="DR21" s="15">
        <f t="shared" si="186"/>
        <v>0</v>
      </c>
      <c r="DS21" s="15">
        <f t="shared" si="186"/>
        <v>0</v>
      </c>
      <c r="DT21" s="15">
        <f t="shared" si="186"/>
        <v>0</v>
      </c>
      <c r="DU21" s="15">
        <f t="shared" si="186"/>
        <v>0</v>
      </c>
      <c r="DV21" s="15">
        <f t="shared" si="186"/>
        <v>0</v>
      </c>
      <c r="DW21" s="15">
        <f t="shared" si="186"/>
        <v>0</v>
      </c>
      <c r="DX21" s="15">
        <f t="shared" si="186"/>
        <v>0</v>
      </c>
      <c r="DY21" s="15">
        <f t="shared" si="186"/>
        <v>0</v>
      </c>
      <c r="DZ21" s="15">
        <f t="shared" si="186"/>
        <v>0</v>
      </c>
      <c r="EA21" s="15">
        <f t="shared" si="186"/>
        <v>0</v>
      </c>
      <c r="EB21" s="15">
        <f t="shared" si="186"/>
        <v>0</v>
      </c>
      <c r="ED21" s="15">
        <f t="shared" ref="ED21:ES33" si="187">IF($V21&gt;=ED$8,$Y21,0)</f>
        <v>650000000</v>
      </c>
      <c r="EE21" s="15">
        <f t="shared" si="187"/>
        <v>650000000</v>
      </c>
      <c r="EF21" s="15">
        <f t="shared" si="187"/>
        <v>650000000</v>
      </c>
      <c r="EG21" s="15">
        <f t="shared" si="187"/>
        <v>650000000</v>
      </c>
      <c r="EH21" s="15">
        <f t="shared" si="187"/>
        <v>650000000</v>
      </c>
      <c r="EI21" s="15">
        <f t="shared" si="187"/>
        <v>650000000</v>
      </c>
      <c r="EJ21" s="15">
        <f t="shared" si="187"/>
        <v>650000000</v>
      </c>
      <c r="EK21" s="15">
        <f t="shared" si="187"/>
        <v>650000000</v>
      </c>
      <c r="EL21" s="15">
        <f t="shared" si="187"/>
        <v>650000000</v>
      </c>
      <c r="EM21" s="15">
        <f t="shared" si="187"/>
        <v>650000000</v>
      </c>
      <c r="EN21" s="15">
        <f t="shared" si="187"/>
        <v>650000000</v>
      </c>
      <c r="EO21" s="15">
        <f t="shared" si="187"/>
        <v>650000000</v>
      </c>
      <c r="EP21" s="15">
        <f t="shared" si="187"/>
        <v>0</v>
      </c>
      <c r="EQ21" s="15">
        <f t="shared" si="187"/>
        <v>0</v>
      </c>
      <c r="ER21" s="15">
        <f t="shared" si="187"/>
        <v>0</v>
      </c>
      <c r="ES21" s="15">
        <f t="shared" si="187"/>
        <v>0</v>
      </c>
      <c r="ET21" s="15">
        <f t="shared" ref="ET21:FG33" si="188">IF($V21&gt;=ET$8,$Y21,0)</f>
        <v>0</v>
      </c>
      <c r="EU21" s="15">
        <f t="shared" si="188"/>
        <v>0</v>
      </c>
      <c r="EV21" s="15">
        <f t="shared" si="188"/>
        <v>0</v>
      </c>
      <c r="EW21" s="15">
        <f t="shared" si="188"/>
        <v>0</v>
      </c>
      <c r="EX21" s="15">
        <f t="shared" si="188"/>
        <v>0</v>
      </c>
      <c r="EY21" s="15">
        <f t="shared" si="188"/>
        <v>0</v>
      </c>
      <c r="EZ21" s="15">
        <f t="shared" si="188"/>
        <v>0</v>
      </c>
      <c r="FA21" s="15">
        <f t="shared" si="188"/>
        <v>0</v>
      </c>
      <c r="FB21" s="15">
        <f t="shared" si="188"/>
        <v>0</v>
      </c>
      <c r="FC21" s="15">
        <f t="shared" si="188"/>
        <v>0</v>
      </c>
      <c r="FD21" s="15">
        <f t="shared" si="188"/>
        <v>0</v>
      </c>
      <c r="FE21" s="15">
        <f t="shared" si="188"/>
        <v>0</v>
      </c>
      <c r="FF21" s="15">
        <f t="shared" si="188"/>
        <v>0</v>
      </c>
      <c r="FG21" s="15">
        <f t="shared" si="188"/>
        <v>0</v>
      </c>
      <c r="FI21" s="15">
        <f t="shared" ref="FI21:FX33" si="189">IF($AA21&gt;=FI$8,$AD21,0)</f>
        <v>650000000</v>
      </c>
      <c r="FJ21" s="15">
        <f t="shared" si="189"/>
        <v>650000000</v>
      </c>
      <c r="FK21" s="15">
        <f t="shared" si="189"/>
        <v>650000000</v>
      </c>
      <c r="FL21" s="15">
        <f t="shared" si="189"/>
        <v>650000000</v>
      </c>
      <c r="FM21" s="15">
        <f t="shared" si="189"/>
        <v>650000000</v>
      </c>
      <c r="FN21" s="15">
        <f t="shared" si="189"/>
        <v>650000000</v>
      </c>
      <c r="FO21" s="15">
        <f t="shared" si="189"/>
        <v>650000000</v>
      </c>
      <c r="FP21" s="15">
        <f t="shared" si="189"/>
        <v>650000000</v>
      </c>
      <c r="FQ21" s="15">
        <f t="shared" si="189"/>
        <v>650000000</v>
      </c>
      <c r="FR21" s="15">
        <f t="shared" si="189"/>
        <v>650000000</v>
      </c>
      <c r="FS21" s="15">
        <f t="shared" si="189"/>
        <v>650000000</v>
      </c>
      <c r="FT21" s="15">
        <f t="shared" si="189"/>
        <v>650000000</v>
      </c>
      <c r="FU21" s="15">
        <f t="shared" si="189"/>
        <v>0</v>
      </c>
      <c r="FV21" s="15">
        <f t="shared" si="189"/>
        <v>0</v>
      </c>
      <c r="FW21" s="15">
        <f t="shared" si="189"/>
        <v>0</v>
      </c>
      <c r="FX21" s="15">
        <f t="shared" si="189"/>
        <v>0</v>
      </c>
      <c r="FY21" s="15">
        <f t="shared" ref="FY21:GL33" si="190">IF($AA21&gt;=FY$8,$AD21,0)</f>
        <v>0</v>
      </c>
      <c r="FZ21" s="15">
        <f t="shared" si="190"/>
        <v>0</v>
      </c>
      <c r="GA21" s="15">
        <f t="shared" si="190"/>
        <v>0</v>
      </c>
      <c r="GB21" s="15">
        <f t="shared" si="190"/>
        <v>0</v>
      </c>
      <c r="GC21" s="15">
        <f t="shared" si="190"/>
        <v>0</v>
      </c>
      <c r="GD21" s="15">
        <f t="shared" si="190"/>
        <v>0</v>
      </c>
      <c r="GE21" s="15">
        <f t="shared" si="190"/>
        <v>0</v>
      </c>
      <c r="GF21" s="15">
        <f t="shared" si="190"/>
        <v>0</v>
      </c>
      <c r="GG21" s="15">
        <f t="shared" si="190"/>
        <v>0</v>
      </c>
      <c r="GH21" s="15">
        <f t="shared" si="190"/>
        <v>0</v>
      </c>
      <c r="GI21" s="15">
        <f t="shared" si="190"/>
        <v>0</v>
      </c>
      <c r="GJ21" s="15">
        <f t="shared" si="190"/>
        <v>0</v>
      </c>
      <c r="GK21" s="15">
        <f t="shared" si="190"/>
        <v>0</v>
      </c>
      <c r="GL21" s="15">
        <f t="shared" si="190"/>
        <v>0</v>
      </c>
      <c r="GN21" s="15">
        <f t="shared" ref="GN21:HC33" si="191">IF($AF21&gt;=GN$8,$AI21,0)</f>
        <v>650000000</v>
      </c>
      <c r="GO21" s="15">
        <f t="shared" si="191"/>
        <v>650000000</v>
      </c>
      <c r="GP21" s="15">
        <f t="shared" si="191"/>
        <v>650000000</v>
      </c>
      <c r="GQ21" s="15">
        <f t="shared" si="191"/>
        <v>650000000</v>
      </c>
      <c r="GR21" s="15">
        <f t="shared" si="191"/>
        <v>650000000</v>
      </c>
      <c r="GS21" s="15">
        <f t="shared" si="191"/>
        <v>650000000</v>
      </c>
      <c r="GT21" s="15">
        <f t="shared" si="191"/>
        <v>650000000</v>
      </c>
      <c r="GU21" s="15">
        <f t="shared" si="191"/>
        <v>650000000</v>
      </c>
      <c r="GV21" s="15">
        <f t="shared" si="191"/>
        <v>650000000</v>
      </c>
      <c r="GW21" s="15">
        <f t="shared" si="191"/>
        <v>650000000</v>
      </c>
      <c r="GX21" s="15">
        <f t="shared" si="191"/>
        <v>650000000</v>
      </c>
      <c r="GY21" s="15">
        <f t="shared" si="191"/>
        <v>650000000</v>
      </c>
      <c r="GZ21" s="15">
        <f t="shared" si="191"/>
        <v>0</v>
      </c>
      <c r="HA21" s="15">
        <f t="shared" si="191"/>
        <v>0</v>
      </c>
      <c r="HB21" s="15">
        <f t="shared" si="191"/>
        <v>0</v>
      </c>
      <c r="HC21" s="15">
        <f t="shared" si="191"/>
        <v>0</v>
      </c>
      <c r="HD21" s="15">
        <f t="shared" ref="HD21:HQ33" si="192">IF($AF21&gt;=HD$8,$AI21,0)</f>
        <v>0</v>
      </c>
      <c r="HE21" s="15">
        <f t="shared" si="192"/>
        <v>0</v>
      </c>
      <c r="HF21" s="15">
        <f t="shared" si="192"/>
        <v>0</v>
      </c>
      <c r="HG21" s="15">
        <f t="shared" si="192"/>
        <v>0</v>
      </c>
      <c r="HH21" s="15">
        <f t="shared" si="192"/>
        <v>0</v>
      </c>
      <c r="HI21" s="15">
        <f t="shared" si="192"/>
        <v>0</v>
      </c>
      <c r="HJ21" s="15">
        <f t="shared" si="192"/>
        <v>0</v>
      </c>
      <c r="HK21" s="15">
        <f t="shared" si="192"/>
        <v>0</v>
      </c>
      <c r="HL21" s="15">
        <f t="shared" si="192"/>
        <v>0</v>
      </c>
      <c r="HM21" s="15">
        <f t="shared" si="192"/>
        <v>0</v>
      </c>
      <c r="HN21" s="15">
        <f t="shared" si="192"/>
        <v>0</v>
      </c>
      <c r="HO21" s="15">
        <f t="shared" si="192"/>
        <v>0</v>
      </c>
      <c r="HP21" s="15">
        <f t="shared" si="192"/>
        <v>0</v>
      </c>
      <c r="HQ21" s="15">
        <f t="shared" si="192"/>
        <v>0</v>
      </c>
    </row>
    <row r="22" spans="1:225" outlineLevel="1" x14ac:dyDescent="0.25">
      <c r="B22" t="s">
        <v>346</v>
      </c>
      <c r="C22" s="496" t="s">
        <v>221</v>
      </c>
      <c r="D22" s="614" t="s">
        <v>212</v>
      </c>
      <c r="E22" s="467">
        <v>1</v>
      </c>
      <c r="F22" s="221"/>
      <c r="G22" s="457">
        <v>12</v>
      </c>
      <c r="H22" s="468">
        <f>(7500000000/$D$6)*1.04</f>
        <v>7800000000</v>
      </c>
      <c r="I22" s="457">
        <f t="shared" si="164"/>
        <v>7800000000</v>
      </c>
      <c r="J22" s="457">
        <f t="shared" si="165"/>
        <v>650000000</v>
      </c>
      <c r="K22" s="221"/>
      <c r="L22" s="457">
        <v>12</v>
      </c>
      <c r="M22" s="457">
        <f t="shared" si="166"/>
        <v>8346000000</v>
      </c>
      <c r="N22" s="457">
        <f t="shared" si="167"/>
        <v>8346000000</v>
      </c>
      <c r="O22" s="457">
        <f t="shared" si="168"/>
        <v>695500000</v>
      </c>
      <c r="P22" s="221"/>
      <c r="Q22" s="457">
        <v>12</v>
      </c>
      <c r="R22" s="457">
        <f t="shared" si="169"/>
        <v>8346000000</v>
      </c>
      <c r="S22" s="457">
        <f t="shared" si="170"/>
        <v>8346000000</v>
      </c>
      <c r="T22" s="457">
        <f t="shared" si="171"/>
        <v>695500000</v>
      </c>
      <c r="U22" s="221"/>
      <c r="V22" s="457">
        <v>12</v>
      </c>
      <c r="W22" s="457">
        <f t="shared" si="172"/>
        <v>7800000000</v>
      </c>
      <c r="X22" s="457">
        <f t="shared" si="173"/>
        <v>7800000000</v>
      </c>
      <c r="Y22" s="457">
        <f t="shared" si="174"/>
        <v>650000000</v>
      </c>
      <c r="Z22" s="221"/>
      <c r="AA22" s="457">
        <v>12</v>
      </c>
      <c r="AB22" s="457">
        <f t="shared" si="175"/>
        <v>7800000000</v>
      </c>
      <c r="AC22" s="457">
        <f t="shared" si="176"/>
        <v>7800000000</v>
      </c>
      <c r="AD22" s="457">
        <f t="shared" si="177"/>
        <v>650000000</v>
      </c>
      <c r="AE22" s="221"/>
      <c r="AF22" s="457">
        <v>12</v>
      </c>
      <c r="AG22" s="457">
        <f t="shared" si="178"/>
        <v>7800000000</v>
      </c>
      <c r="AH22" s="457">
        <f t="shared" si="179"/>
        <v>7800000000</v>
      </c>
      <c r="AI22" s="457">
        <f t="shared" si="180"/>
        <v>650000000</v>
      </c>
      <c r="AJ22" s="221"/>
      <c r="AL22" t="s">
        <v>547</v>
      </c>
      <c r="AM22" t="s">
        <v>337</v>
      </c>
      <c r="AO22" s="15">
        <f t="shared" si="181"/>
        <v>650000000</v>
      </c>
      <c r="AP22" s="15">
        <f t="shared" si="181"/>
        <v>650000000</v>
      </c>
      <c r="AQ22" s="15">
        <f t="shared" si="181"/>
        <v>650000000</v>
      </c>
      <c r="AR22" s="15">
        <f t="shared" si="181"/>
        <v>650000000</v>
      </c>
      <c r="AS22" s="15">
        <f t="shared" si="181"/>
        <v>650000000</v>
      </c>
      <c r="AT22" s="15">
        <f t="shared" si="181"/>
        <v>650000000</v>
      </c>
      <c r="AU22" s="15">
        <f t="shared" si="181"/>
        <v>650000000</v>
      </c>
      <c r="AV22" s="15">
        <f t="shared" si="181"/>
        <v>650000000</v>
      </c>
      <c r="AW22" s="15">
        <f t="shared" si="181"/>
        <v>650000000</v>
      </c>
      <c r="AX22" s="15">
        <f t="shared" si="181"/>
        <v>650000000</v>
      </c>
      <c r="AY22" s="15">
        <f t="shared" si="181"/>
        <v>650000000</v>
      </c>
      <c r="AZ22" s="15">
        <f t="shared" si="181"/>
        <v>650000000</v>
      </c>
      <c r="BA22" s="15">
        <f t="shared" si="181"/>
        <v>0</v>
      </c>
      <c r="BB22" s="15">
        <f t="shared" si="181"/>
        <v>0</v>
      </c>
      <c r="BC22" s="15">
        <f t="shared" si="181"/>
        <v>0</v>
      </c>
      <c r="BD22" s="15">
        <f t="shared" si="181"/>
        <v>0</v>
      </c>
      <c r="BE22" s="15">
        <f t="shared" si="182"/>
        <v>0</v>
      </c>
      <c r="BF22" s="15">
        <f t="shared" si="182"/>
        <v>0</v>
      </c>
      <c r="BG22" s="15">
        <f t="shared" si="182"/>
        <v>0</v>
      </c>
      <c r="BH22" s="15">
        <f t="shared" si="182"/>
        <v>0</v>
      </c>
      <c r="BI22" s="15">
        <f t="shared" si="182"/>
        <v>0</v>
      </c>
      <c r="BJ22" s="15">
        <f t="shared" si="182"/>
        <v>0</v>
      </c>
      <c r="BK22" s="15">
        <f t="shared" si="182"/>
        <v>0</v>
      </c>
      <c r="BL22" s="15">
        <f t="shared" si="182"/>
        <v>0</v>
      </c>
      <c r="BM22" s="15">
        <f t="shared" si="182"/>
        <v>0</v>
      </c>
      <c r="BN22" s="15">
        <f t="shared" si="182"/>
        <v>0</v>
      </c>
      <c r="BO22" s="15">
        <f t="shared" si="182"/>
        <v>0</v>
      </c>
      <c r="BP22" s="15">
        <f t="shared" si="182"/>
        <v>0</v>
      </c>
      <c r="BQ22" s="15">
        <f t="shared" si="182"/>
        <v>0</v>
      </c>
      <c r="BR22" s="15">
        <f t="shared" si="182"/>
        <v>0</v>
      </c>
      <c r="BT22" s="15">
        <f t="shared" si="183"/>
        <v>695500000</v>
      </c>
      <c r="BU22" s="15">
        <f t="shared" si="183"/>
        <v>695500000</v>
      </c>
      <c r="BV22" s="15">
        <f t="shared" si="183"/>
        <v>695500000</v>
      </c>
      <c r="BW22" s="15">
        <f t="shared" si="183"/>
        <v>695500000</v>
      </c>
      <c r="BX22" s="15">
        <f t="shared" si="183"/>
        <v>695500000</v>
      </c>
      <c r="BY22" s="15">
        <f t="shared" si="183"/>
        <v>695500000</v>
      </c>
      <c r="BZ22" s="15">
        <f t="shared" si="183"/>
        <v>695500000</v>
      </c>
      <c r="CA22" s="15">
        <f t="shared" si="183"/>
        <v>695500000</v>
      </c>
      <c r="CB22" s="15">
        <f t="shared" si="183"/>
        <v>695500000</v>
      </c>
      <c r="CC22" s="15">
        <f t="shared" si="183"/>
        <v>695500000</v>
      </c>
      <c r="CD22" s="15">
        <f t="shared" si="183"/>
        <v>695500000</v>
      </c>
      <c r="CE22" s="15">
        <f t="shared" si="183"/>
        <v>695500000</v>
      </c>
      <c r="CF22" s="15">
        <f t="shared" si="183"/>
        <v>0</v>
      </c>
      <c r="CG22" s="15">
        <f t="shared" si="183"/>
        <v>0</v>
      </c>
      <c r="CH22" s="15">
        <f t="shared" si="183"/>
        <v>0</v>
      </c>
      <c r="CI22" s="15">
        <f t="shared" si="183"/>
        <v>0</v>
      </c>
      <c r="CJ22" s="15">
        <f t="shared" si="184"/>
        <v>0</v>
      </c>
      <c r="CK22" s="15">
        <f t="shared" si="184"/>
        <v>0</v>
      </c>
      <c r="CL22" s="15">
        <f t="shared" si="184"/>
        <v>0</v>
      </c>
      <c r="CM22" s="15">
        <f t="shared" si="184"/>
        <v>0</v>
      </c>
      <c r="CN22" s="15">
        <f t="shared" si="184"/>
        <v>0</v>
      </c>
      <c r="CO22" s="15">
        <f t="shared" si="184"/>
        <v>0</v>
      </c>
      <c r="CP22" s="15">
        <f t="shared" si="184"/>
        <v>0</v>
      </c>
      <c r="CQ22" s="15">
        <f t="shared" si="184"/>
        <v>0</v>
      </c>
      <c r="CR22" s="15">
        <f t="shared" si="184"/>
        <v>0</v>
      </c>
      <c r="CS22" s="15">
        <f t="shared" si="184"/>
        <v>0</v>
      </c>
      <c r="CT22" s="15">
        <f t="shared" si="184"/>
        <v>0</v>
      </c>
      <c r="CU22" s="15">
        <f t="shared" si="184"/>
        <v>0</v>
      </c>
      <c r="CV22" s="15">
        <f t="shared" si="184"/>
        <v>0</v>
      </c>
      <c r="CW22" s="15">
        <f t="shared" si="184"/>
        <v>0</v>
      </c>
      <c r="CY22" s="15">
        <f t="shared" si="185"/>
        <v>695500000</v>
      </c>
      <c r="CZ22" s="15">
        <f t="shared" si="185"/>
        <v>695500000</v>
      </c>
      <c r="DA22" s="15">
        <f t="shared" si="185"/>
        <v>695500000</v>
      </c>
      <c r="DB22" s="15">
        <f t="shared" si="185"/>
        <v>695500000</v>
      </c>
      <c r="DC22" s="15">
        <f t="shared" si="185"/>
        <v>695500000</v>
      </c>
      <c r="DD22" s="15">
        <f t="shared" si="185"/>
        <v>695500000</v>
      </c>
      <c r="DE22" s="15">
        <f t="shared" si="185"/>
        <v>695500000</v>
      </c>
      <c r="DF22" s="15">
        <f t="shared" si="185"/>
        <v>695500000</v>
      </c>
      <c r="DG22" s="15">
        <f t="shared" si="185"/>
        <v>695500000</v>
      </c>
      <c r="DH22" s="15">
        <f t="shared" si="185"/>
        <v>695500000</v>
      </c>
      <c r="DI22" s="15">
        <f t="shared" si="185"/>
        <v>695500000</v>
      </c>
      <c r="DJ22" s="15">
        <f t="shared" si="185"/>
        <v>695500000</v>
      </c>
      <c r="DK22" s="15">
        <f t="shared" si="185"/>
        <v>0</v>
      </c>
      <c r="DL22" s="15">
        <f t="shared" si="185"/>
        <v>0</v>
      </c>
      <c r="DM22" s="15">
        <f t="shared" si="185"/>
        <v>0</v>
      </c>
      <c r="DN22" s="15">
        <f t="shared" si="185"/>
        <v>0</v>
      </c>
      <c r="DO22" s="15">
        <f t="shared" si="186"/>
        <v>0</v>
      </c>
      <c r="DP22" s="15">
        <f t="shared" si="186"/>
        <v>0</v>
      </c>
      <c r="DQ22" s="15">
        <f t="shared" si="186"/>
        <v>0</v>
      </c>
      <c r="DR22" s="15">
        <f t="shared" si="186"/>
        <v>0</v>
      </c>
      <c r="DS22" s="15">
        <f t="shared" si="186"/>
        <v>0</v>
      </c>
      <c r="DT22" s="15">
        <f t="shared" si="186"/>
        <v>0</v>
      </c>
      <c r="DU22" s="15">
        <f t="shared" si="186"/>
        <v>0</v>
      </c>
      <c r="DV22" s="15">
        <f t="shared" si="186"/>
        <v>0</v>
      </c>
      <c r="DW22" s="15">
        <f t="shared" si="186"/>
        <v>0</v>
      </c>
      <c r="DX22" s="15">
        <f t="shared" si="186"/>
        <v>0</v>
      </c>
      <c r="DY22" s="15">
        <f t="shared" si="186"/>
        <v>0</v>
      </c>
      <c r="DZ22" s="15">
        <f t="shared" si="186"/>
        <v>0</v>
      </c>
      <c r="EA22" s="15">
        <f t="shared" si="186"/>
        <v>0</v>
      </c>
      <c r="EB22" s="15">
        <f t="shared" si="186"/>
        <v>0</v>
      </c>
      <c r="ED22" s="15">
        <f t="shared" si="187"/>
        <v>650000000</v>
      </c>
      <c r="EE22" s="15">
        <f t="shared" si="187"/>
        <v>650000000</v>
      </c>
      <c r="EF22" s="15">
        <f t="shared" si="187"/>
        <v>650000000</v>
      </c>
      <c r="EG22" s="15">
        <f t="shared" si="187"/>
        <v>650000000</v>
      </c>
      <c r="EH22" s="15">
        <f t="shared" si="187"/>
        <v>650000000</v>
      </c>
      <c r="EI22" s="15">
        <f t="shared" si="187"/>
        <v>650000000</v>
      </c>
      <c r="EJ22" s="15">
        <f t="shared" si="187"/>
        <v>650000000</v>
      </c>
      <c r="EK22" s="15">
        <f t="shared" si="187"/>
        <v>650000000</v>
      </c>
      <c r="EL22" s="15">
        <f t="shared" si="187"/>
        <v>650000000</v>
      </c>
      <c r="EM22" s="15">
        <f t="shared" si="187"/>
        <v>650000000</v>
      </c>
      <c r="EN22" s="15">
        <f t="shared" si="187"/>
        <v>650000000</v>
      </c>
      <c r="EO22" s="15">
        <f t="shared" si="187"/>
        <v>650000000</v>
      </c>
      <c r="EP22" s="15">
        <f t="shared" si="187"/>
        <v>0</v>
      </c>
      <c r="EQ22" s="15">
        <f t="shared" si="187"/>
        <v>0</v>
      </c>
      <c r="ER22" s="15">
        <f t="shared" si="187"/>
        <v>0</v>
      </c>
      <c r="ES22" s="15">
        <f t="shared" si="187"/>
        <v>0</v>
      </c>
      <c r="ET22" s="15">
        <f t="shared" si="188"/>
        <v>0</v>
      </c>
      <c r="EU22" s="15">
        <f t="shared" si="188"/>
        <v>0</v>
      </c>
      <c r="EV22" s="15">
        <f t="shared" si="188"/>
        <v>0</v>
      </c>
      <c r="EW22" s="15">
        <f t="shared" si="188"/>
        <v>0</v>
      </c>
      <c r="EX22" s="15">
        <f t="shared" si="188"/>
        <v>0</v>
      </c>
      <c r="EY22" s="15">
        <f t="shared" si="188"/>
        <v>0</v>
      </c>
      <c r="EZ22" s="15">
        <f t="shared" si="188"/>
        <v>0</v>
      </c>
      <c r="FA22" s="15">
        <f t="shared" si="188"/>
        <v>0</v>
      </c>
      <c r="FB22" s="15">
        <f t="shared" si="188"/>
        <v>0</v>
      </c>
      <c r="FC22" s="15">
        <f t="shared" si="188"/>
        <v>0</v>
      </c>
      <c r="FD22" s="15">
        <f t="shared" si="188"/>
        <v>0</v>
      </c>
      <c r="FE22" s="15">
        <f t="shared" si="188"/>
        <v>0</v>
      </c>
      <c r="FF22" s="15">
        <f t="shared" si="188"/>
        <v>0</v>
      </c>
      <c r="FG22" s="15">
        <f t="shared" si="188"/>
        <v>0</v>
      </c>
      <c r="FI22" s="15">
        <f t="shared" si="189"/>
        <v>650000000</v>
      </c>
      <c r="FJ22" s="15">
        <f t="shared" si="189"/>
        <v>650000000</v>
      </c>
      <c r="FK22" s="15">
        <f t="shared" si="189"/>
        <v>650000000</v>
      </c>
      <c r="FL22" s="15">
        <f t="shared" si="189"/>
        <v>650000000</v>
      </c>
      <c r="FM22" s="15">
        <f t="shared" si="189"/>
        <v>650000000</v>
      </c>
      <c r="FN22" s="15">
        <f t="shared" si="189"/>
        <v>650000000</v>
      </c>
      <c r="FO22" s="15">
        <f t="shared" si="189"/>
        <v>650000000</v>
      </c>
      <c r="FP22" s="15">
        <f t="shared" si="189"/>
        <v>650000000</v>
      </c>
      <c r="FQ22" s="15">
        <f t="shared" si="189"/>
        <v>650000000</v>
      </c>
      <c r="FR22" s="15">
        <f t="shared" si="189"/>
        <v>650000000</v>
      </c>
      <c r="FS22" s="15">
        <f t="shared" si="189"/>
        <v>650000000</v>
      </c>
      <c r="FT22" s="15">
        <f t="shared" si="189"/>
        <v>650000000</v>
      </c>
      <c r="FU22" s="15">
        <f t="shared" si="189"/>
        <v>0</v>
      </c>
      <c r="FV22" s="15">
        <f t="shared" si="189"/>
        <v>0</v>
      </c>
      <c r="FW22" s="15">
        <f t="shared" si="189"/>
        <v>0</v>
      </c>
      <c r="FX22" s="15">
        <f t="shared" si="189"/>
        <v>0</v>
      </c>
      <c r="FY22" s="15">
        <f t="shared" si="190"/>
        <v>0</v>
      </c>
      <c r="FZ22" s="15">
        <f t="shared" si="190"/>
        <v>0</v>
      </c>
      <c r="GA22" s="15">
        <f t="shared" si="190"/>
        <v>0</v>
      </c>
      <c r="GB22" s="15">
        <f t="shared" si="190"/>
        <v>0</v>
      </c>
      <c r="GC22" s="15">
        <f t="shared" si="190"/>
        <v>0</v>
      </c>
      <c r="GD22" s="15">
        <f t="shared" si="190"/>
        <v>0</v>
      </c>
      <c r="GE22" s="15">
        <f t="shared" si="190"/>
        <v>0</v>
      </c>
      <c r="GF22" s="15">
        <f t="shared" si="190"/>
        <v>0</v>
      </c>
      <c r="GG22" s="15">
        <f t="shared" si="190"/>
        <v>0</v>
      </c>
      <c r="GH22" s="15">
        <f t="shared" si="190"/>
        <v>0</v>
      </c>
      <c r="GI22" s="15">
        <f t="shared" si="190"/>
        <v>0</v>
      </c>
      <c r="GJ22" s="15">
        <f t="shared" si="190"/>
        <v>0</v>
      </c>
      <c r="GK22" s="15">
        <f t="shared" si="190"/>
        <v>0</v>
      </c>
      <c r="GL22" s="15">
        <f t="shared" si="190"/>
        <v>0</v>
      </c>
      <c r="GN22" s="15">
        <f t="shared" si="191"/>
        <v>650000000</v>
      </c>
      <c r="GO22" s="15">
        <f t="shared" si="191"/>
        <v>650000000</v>
      </c>
      <c r="GP22" s="15">
        <f t="shared" si="191"/>
        <v>650000000</v>
      </c>
      <c r="GQ22" s="15">
        <f t="shared" si="191"/>
        <v>650000000</v>
      </c>
      <c r="GR22" s="15">
        <f t="shared" si="191"/>
        <v>650000000</v>
      </c>
      <c r="GS22" s="15">
        <f t="shared" si="191"/>
        <v>650000000</v>
      </c>
      <c r="GT22" s="15">
        <f t="shared" si="191"/>
        <v>650000000</v>
      </c>
      <c r="GU22" s="15">
        <f t="shared" si="191"/>
        <v>650000000</v>
      </c>
      <c r="GV22" s="15">
        <f t="shared" si="191"/>
        <v>650000000</v>
      </c>
      <c r="GW22" s="15">
        <f t="shared" si="191"/>
        <v>650000000</v>
      </c>
      <c r="GX22" s="15">
        <f t="shared" si="191"/>
        <v>650000000</v>
      </c>
      <c r="GY22" s="15">
        <f t="shared" si="191"/>
        <v>650000000</v>
      </c>
      <c r="GZ22" s="15">
        <f t="shared" si="191"/>
        <v>0</v>
      </c>
      <c r="HA22" s="15">
        <f t="shared" si="191"/>
        <v>0</v>
      </c>
      <c r="HB22" s="15">
        <f t="shared" si="191"/>
        <v>0</v>
      </c>
      <c r="HC22" s="15">
        <f t="shared" si="191"/>
        <v>0</v>
      </c>
      <c r="HD22" s="15">
        <f t="shared" si="192"/>
        <v>0</v>
      </c>
      <c r="HE22" s="15">
        <f t="shared" si="192"/>
        <v>0</v>
      </c>
      <c r="HF22" s="15">
        <f t="shared" si="192"/>
        <v>0</v>
      </c>
      <c r="HG22" s="15">
        <f t="shared" si="192"/>
        <v>0</v>
      </c>
      <c r="HH22" s="15">
        <f t="shared" si="192"/>
        <v>0</v>
      </c>
      <c r="HI22" s="15">
        <f t="shared" si="192"/>
        <v>0</v>
      </c>
      <c r="HJ22" s="15">
        <f t="shared" si="192"/>
        <v>0</v>
      </c>
      <c r="HK22" s="15">
        <f t="shared" si="192"/>
        <v>0</v>
      </c>
      <c r="HL22" s="15">
        <f t="shared" si="192"/>
        <v>0</v>
      </c>
      <c r="HM22" s="15">
        <f t="shared" si="192"/>
        <v>0</v>
      </c>
      <c r="HN22" s="15">
        <f t="shared" si="192"/>
        <v>0</v>
      </c>
      <c r="HO22" s="15">
        <f t="shared" si="192"/>
        <v>0</v>
      </c>
      <c r="HP22" s="15">
        <f t="shared" si="192"/>
        <v>0</v>
      </c>
      <c r="HQ22" s="15">
        <f t="shared" si="192"/>
        <v>0</v>
      </c>
    </row>
    <row r="23" spans="1:225" outlineLevel="1" x14ac:dyDescent="0.25">
      <c r="B23" t="s">
        <v>346</v>
      </c>
      <c r="C23" s="496" t="s">
        <v>222</v>
      </c>
      <c r="D23" s="614" t="s">
        <v>208</v>
      </c>
      <c r="E23" s="467">
        <v>1</v>
      </c>
      <c r="F23" s="221"/>
      <c r="G23" s="457">
        <v>12</v>
      </c>
      <c r="H23" s="468">
        <f>(3750000000/$D$6)*1.04</f>
        <v>3900000000</v>
      </c>
      <c r="I23" s="457">
        <f t="shared" si="164"/>
        <v>3900000000</v>
      </c>
      <c r="J23" s="457">
        <f t="shared" si="165"/>
        <v>325000000</v>
      </c>
      <c r="K23" s="221"/>
      <c r="L23" s="457">
        <v>12</v>
      </c>
      <c r="M23" s="457">
        <f t="shared" si="166"/>
        <v>4186000000</v>
      </c>
      <c r="N23" s="457">
        <f t="shared" si="167"/>
        <v>4186000000</v>
      </c>
      <c r="O23" s="457">
        <f t="shared" si="168"/>
        <v>348833333.33333331</v>
      </c>
      <c r="P23" s="221"/>
      <c r="Q23" s="457">
        <v>12</v>
      </c>
      <c r="R23" s="457">
        <f t="shared" si="169"/>
        <v>4186000000</v>
      </c>
      <c r="S23" s="457">
        <f t="shared" si="170"/>
        <v>4186000000</v>
      </c>
      <c r="T23" s="457">
        <f t="shared" si="171"/>
        <v>348833333.33333331</v>
      </c>
      <c r="U23" s="221"/>
      <c r="V23" s="457">
        <v>12</v>
      </c>
      <c r="W23" s="457">
        <f t="shared" si="172"/>
        <v>3900000000</v>
      </c>
      <c r="X23" s="457">
        <f t="shared" si="173"/>
        <v>3900000000</v>
      </c>
      <c r="Y23" s="457">
        <f t="shared" si="174"/>
        <v>325000000</v>
      </c>
      <c r="Z23" s="221"/>
      <c r="AA23" s="457">
        <v>12</v>
      </c>
      <c r="AB23" s="457">
        <f t="shared" si="175"/>
        <v>3900000000</v>
      </c>
      <c r="AC23" s="457">
        <f t="shared" si="176"/>
        <v>3900000000</v>
      </c>
      <c r="AD23" s="457">
        <f t="shared" si="177"/>
        <v>325000000</v>
      </c>
      <c r="AE23" s="221"/>
      <c r="AF23" s="457">
        <v>12</v>
      </c>
      <c r="AG23" s="457">
        <f t="shared" si="178"/>
        <v>3900000000</v>
      </c>
      <c r="AH23" s="457">
        <f t="shared" si="179"/>
        <v>3900000000</v>
      </c>
      <c r="AI23" s="457">
        <f t="shared" si="180"/>
        <v>325000000</v>
      </c>
      <c r="AJ23" s="221"/>
      <c r="AL23" t="s">
        <v>547</v>
      </c>
      <c r="AM23" t="s">
        <v>337</v>
      </c>
      <c r="AO23" s="15">
        <f t="shared" si="181"/>
        <v>325000000</v>
      </c>
      <c r="AP23" s="15">
        <f t="shared" si="181"/>
        <v>325000000</v>
      </c>
      <c r="AQ23" s="15">
        <f t="shared" si="181"/>
        <v>325000000</v>
      </c>
      <c r="AR23" s="15">
        <f t="shared" si="181"/>
        <v>325000000</v>
      </c>
      <c r="AS23" s="15">
        <f t="shared" si="181"/>
        <v>325000000</v>
      </c>
      <c r="AT23" s="15">
        <f t="shared" si="181"/>
        <v>325000000</v>
      </c>
      <c r="AU23" s="15">
        <f t="shared" si="181"/>
        <v>325000000</v>
      </c>
      <c r="AV23" s="15">
        <f t="shared" si="181"/>
        <v>325000000</v>
      </c>
      <c r="AW23" s="15">
        <f t="shared" si="181"/>
        <v>325000000</v>
      </c>
      <c r="AX23" s="15">
        <f t="shared" si="181"/>
        <v>325000000</v>
      </c>
      <c r="AY23" s="15">
        <f t="shared" si="181"/>
        <v>325000000</v>
      </c>
      <c r="AZ23" s="15">
        <f t="shared" si="181"/>
        <v>325000000</v>
      </c>
      <c r="BA23" s="15">
        <f t="shared" si="181"/>
        <v>0</v>
      </c>
      <c r="BB23" s="15">
        <f t="shared" si="181"/>
        <v>0</v>
      </c>
      <c r="BC23" s="15">
        <f t="shared" si="181"/>
        <v>0</v>
      </c>
      <c r="BD23" s="15">
        <f t="shared" si="181"/>
        <v>0</v>
      </c>
      <c r="BE23" s="15">
        <f t="shared" si="182"/>
        <v>0</v>
      </c>
      <c r="BF23" s="15">
        <f t="shared" si="182"/>
        <v>0</v>
      </c>
      <c r="BG23" s="15">
        <f t="shared" si="182"/>
        <v>0</v>
      </c>
      <c r="BH23" s="15">
        <f t="shared" si="182"/>
        <v>0</v>
      </c>
      <c r="BI23" s="15">
        <f t="shared" si="182"/>
        <v>0</v>
      </c>
      <c r="BJ23" s="15">
        <f t="shared" si="182"/>
        <v>0</v>
      </c>
      <c r="BK23" s="15">
        <f t="shared" si="182"/>
        <v>0</v>
      </c>
      <c r="BL23" s="15">
        <f t="shared" si="182"/>
        <v>0</v>
      </c>
      <c r="BM23" s="15">
        <f t="shared" si="182"/>
        <v>0</v>
      </c>
      <c r="BN23" s="15">
        <f t="shared" si="182"/>
        <v>0</v>
      </c>
      <c r="BO23" s="15">
        <f t="shared" si="182"/>
        <v>0</v>
      </c>
      <c r="BP23" s="15">
        <f t="shared" si="182"/>
        <v>0</v>
      </c>
      <c r="BQ23" s="15">
        <f t="shared" si="182"/>
        <v>0</v>
      </c>
      <c r="BR23" s="15">
        <f t="shared" si="182"/>
        <v>0</v>
      </c>
      <c r="BT23" s="15">
        <f t="shared" si="183"/>
        <v>348833333.33333331</v>
      </c>
      <c r="BU23" s="15">
        <f t="shared" si="183"/>
        <v>348833333.33333331</v>
      </c>
      <c r="BV23" s="15">
        <f t="shared" si="183"/>
        <v>348833333.33333331</v>
      </c>
      <c r="BW23" s="15">
        <f t="shared" si="183"/>
        <v>348833333.33333331</v>
      </c>
      <c r="BX23" s="15">
        <f t="shared" si="183"/>
        <v>348833333.33333331</v>
      </c>
      <c r="BY23" s="15">
        <f t="shared" si="183"/>
        <v>348833333.33333331</v>
      </c>
      <c r="BZ23" s="15">
        <f t="shared" si="183"/>
        <v>348833333.33333331</v>
      </c>
      <c r="CA23" s="15">
        <f t="shared" si="183"/>
        <v>348833333.33333331</v>
      </c>
      <c r="CB23" s="15">
        <f t="shared" si="183"/>
        <v>348833333.33333331</v>
      </c>
      <c r="CC23" s="15">
        <f t="shared" si="183"/>
        <v>348833333.33333331</v>
      </c>
      <c r="CD23" s="15">
        <f t="shared" si="183"/>
        <v>348833333.33333331</v>
      </c>
      <c r="CE23" s="15">
        <f t="shared" si="183"/>
        <v>348833333.33333331</v>
      </c>
      <c r="CF23" s="15">
        <f t="shared" si="183"/>
        <v>0</v>
      </c>
      <c r="CG23" s="15">
        <f t="shared" si="183"/>
        <v>0</v>
      </c>
      <c r="CH23" s="15">
        <f t="shared" si="183"/>
        <v>0</v>
      </c>
      <c r="CI23" s="15">
        <f t="shared" si="183"/>
        <v>0</v>
      </c>
      <c r="CJ23" s="15">
        <f t="shared" si="184"/>
        <v>0</v>
      </c>
      <c r="CK23" s="15">
        <f t="shared" si="184"/>
        <v>0</v>
      </c>
      <c r="CL23" s="15">
        <f t="shared" si="184"/>
        <v>0</v>
      </c>
      <c r="CM23" s="15">
        <f t="shared" si="184"/>
        <v>0</v>
      </c>
      <c r="CN23" s="15">
        <f t="shared" si="184"/>
        <v>0</v>
      </c>
      <c r="CO23" s="15">
        <f t="shared" si="184"/>
        <v>0</v>
      </c>
      <c r="CP23" s="15">
        <f t="shared" si="184"/>
        <v>0</v>
      </c>
      <c r="CQ23" s="15">
        <f t="shared" si="184"/>
        <v>0</v>
      </c>
      <c r="CR23" s="15">
        <f t="shared" si="184"/>
        <v>0</v>
      </c>
      <c r="CS23" s="15">
        <f t="shared" si="184"/>
        <v>0</v>
      </c>
      <c r="CT23" s="15">
        <f t="shared" si="184"/>
        <v>0</v>
      </c>
      <c r="CU23" s="15">
        <f t="shared" si="184"/>
        <v>0</v>
      </c>
      <c r="CV23" s="15">
        <f t="shared" si="184"/>
        <v>0</v>
      </c>
      <c r="CW23" s="15">
        <f t="shared" si="184"/>
        <v>0</v>
      </c>
      <c r="CY23" s="15">
        <f t="shared" si="185"/>
        <v>348833333.33333331</v>
      </c>
      <c r="CZ23" s="15">
        <f t="shared" si="185"/>
        <v>348833333.33333331</v>
      </c>
      <c r="DA23" s="15">
        <f t="shared" si="185"/>
        <v>348833333.33333331</v>
      </c>
      <c r="DB23" s="15">
        <f t="shared" si="185"/>
        <v>348833333.33333331</v>
      </c>
      <c r="DC23" s="15">
        <f t="shared" si="185"/>
        <v>348833333.33333331</v>
      </c>
      <c r="DD23" s="15">
        <f t="shared" si="185"/>
        <v>348833333.33333331</v>
      </c>
      <c r="DE23" s="15">
        <f t="shared" si="185"/>
        <v>348833333.33333331</v>
      </c>
      <c r="DF23" s="15">
        <f t="shared" si="185"/>
        <v>348833333.33333331</v>
      </c>
      <c r="DG23" s="15">
        <f t="shared" si="185"/>
        <v>348833333.33333331</v>
      </c>
      <c r="DH23" s="15">
        <f t="shared" si="185"/>
        <v>348833333.33333331</v>
      </c>
      <c r="DI23" s="15">
        <f t="shared" si="185"/>
        <v>348833333.33333331</v>
      </c>
      <c r="DJ23" s="15">
        <f t="shared" si="185"/>
        <v>348833333.33333331</v>
      </c>
      <c r="DK23" s="15">
        <f t="shared" si="185"/>
        <v>0</v>
      </c>
      <c r="DL23" s="15">
        <f t="shared" si="185"/>
        <v>0</v>
      </c>
      <c r="DM23" s="15">
        <f t="shared" si="185"/>
        <v>0</v>
      </c>
      <c r="DN23" s="15">
        <f t="shared" si="185"/>
        <v>0</v>
      </c>
      <c r="DO23" s="15">
        <f t="shared" si="186"/>
        <v>0</v>
      </c>
      <c r="DP23" s="15">
        <f t="shared" si="186"/>
        <v>0</v>
      </c>
      <c r="DQ23" s="15">
        <f t="shared" si="186"/>
        <v>0</v>
      </c>
      <c r="DR23" s="15">
        <f t="shared" si="186"/>
        <v>0</v>
      </c>
      <c r="DS23" s="15">
        <f t="shared" si="186"/>
        <v>0</v>
      </c>
      <c r="DT23" s="15">
        <f t="shared" si="186"/>
        <v>0</v>
      </c>
      <c r="DU23" s="15">
        <f t="shared" si="186"/>
        <v>0</v>
      </c>
      <c r="DV23" s="15">
        <f t="shared" si="186"/>
        <v>0</v>
      </c>
      <c r="DW23" s="15">
        <f t="shared" si="186"/>
        <v>0</v>
      </c>
      <c r="DX23" s="15">
        <f t="shared" si="186"/>
        <v>0</v>
      </c>
      <c r="DY23" s="15">
        <f t="shared" si="186"/>
        <v>0</v>
      </c>
      <c r="DZ23" s="15">
        <f t="shared" si="186"/>
        <v>0</v>
      </c>
      <c r="EA23" s="15">
        <f t="shared" si="186"/>
        <v>0</v>
      </c>
      <c r="EB23" s="15">
        <f t="shared" si="186"/>
        <v>0</v>
      </c>
      <c r="ED23" s="15">
        <f t="shared" si="187"/>
        <v>325000000</v>
      </c>
      <c r="EE23" s="15">
        <f t="shared" si="187"/>
        <v>325000000</v>
      </c>
      <c r="EF23" s="15">
        <f t="shared" si="187"/>
        <v>325000000</v>
      </c>
      <c r="EG23" s="15">
        <f t="shared" si="187"/>
        <v>325000000</v>
      </c>
      <c r="EH23" s="15">
        <f t="shared" si="187"/>
        <v>325000000</v>
      </c>
      <c r="EI23" s="15">
        <f t="shared" si="187"/>
        <v>325000000</v>
      </c>
      <c r="EJ23" s="15">
        <f t="shared" si="187"/>
        <v>325000000</v>
      </c>
      <c r="EK23" s="15">
        <f t="shared" si="187"/>
        <v>325000000</v>
      </c>
      <c r="EL23" s="15">
        <f t="shared" si="187"/>
        <v>325000000</v>
      </c>
      <c r="EM23" s="15">
        <f t="shared" si="187"/>
        <v>325000000</v>
      </c>
      <c r="EN23" s="15">
        <f t="shared" si="187"/>
        <v>325000000</v>
      </c>
      <c r="EO23" s="15">
        <f t="shared" si="187"/>
        <v>325000000</v>
      </c>
      <c r="EP23" s="15">
        <f t="shared" si="187"/>
        <v>0</v>
      </c>
      <c r="EQ23" s="15">
        <f t="shared" si="187"/>
        <v>0</v>
      </c>
      <c r="ER23" s="15">
        <f t="shared" si="187"/>
        <v>0</v>
      </c>
      <c r="ES23" s="15">
        <f t="shared" si="187"/>
        <v>0</v>
      </c>
      <c r="ET23" s="15">
        <f t="shared" si="188"/>
        <v>0</v>
      </c>
      <c r="EU23" s="15">
        <f t="shared" si="188"/>
        <v>0</v>
      </c>
      <c r="EV23" s="15">
        <f t="shared" si="188"/>
        <v>0</v>
      </c>
      <c r="EW23" s="15">
        <f t="shared" si="188"/>
        <v>0</v>
      </c>
      <c r="EX23" s="15">
        <f t="shared" si="188"/>
        <v>0</v>
      </c>
      <c r="EY23" s="15">
        <f t="shared" si="188"/>
        <v>0</v>
      </c>
      <c r="EZ23" s="15">
        <f t="shared" si="188"/>
        <v>0</v>
      </c>
      <c r="FA23" s="15">
        <f t="shared" si="188"/>
        <v>0</v>
      </c>
      <c r="FB23" s="15">
        <f t="shared" si="188"/>
        <v>0</v>
      </c>
      <c r="FC23" s="15">
        <f t="shared" si="188"/>
        <v>0</v>
      </c>
      <c r="FD23" s="15">
        <f t="shared" si="188"/>
        <v>0</v>
      </c>
      <c r="FE23" s="15">
        <f t="shared" si="188"/>
        <v>0</v>
      </c>
      <c r="FF23" s="15">
        <f t="shared" si="188"/>
        <v>0</v>
      </c>
      <c r="FG23" s="15">
        <f t="shared" si="188"/>
        <v>0</v>
      </c>
      <c r="FI23" s="15">
        <f t="shared" si="189"/>
        <v>325000000</v>
      </c>
      <c r="FJ23" s="15">
        <f t="shared" si="189"/>
        <v>325000000</v>
      </c>
      <c r="FK23" s="15">
        <f t="shared" si="189"/>
        <v>325000000</v>
      </c>
      <c r="FL23" s="15">
        <f t="shared" si="189"/>
        <v>325000000</v>
      </c>
      <c r="FM23" s="15">
        <f t="shared" si="189"/>
        <v>325000000</v>
      </c>
      <c r="FN23" s="15">
        <f t="shared" si="189"/>
        <v>325000000</v>
      </c>
      <c r="FO23" s="15">
        <f t="shared" si="189"/>
        <v>325000000</v>
      </c>
      <c r="FP23" s="15">
        <f t="shared" si="189"/>
        <v>325000000</v>
      </c>
      <c r="FQ23" s="15">
        <f t="shared" si="189"/>
        <v>325000000</v>
      </c>
      <c r="FR23" s="15">
        <f t="shared" si="189"/>
        <v>325000000</v>
      </c>
      <c r="FS23" s="15">
        <f t="shared" si="189"/>
        <v>325000000</v>
      </c>
      <c r="FT23" s="15">
        <f t="shared" si="189"/>
        <v>325000000</v>
      </c>
      <c r="FU23" s="15">
        <f t="shared" si="189"/>
        <v>0</v>
      </c>
      <c r="FV23" s="15">
        <f t="shared" si="189"/>
        <v>0</v>
      </c>
      <c r="FW23" s="15">
        <f t="shared" si="189"/>
        <v>0</v>
      </c>
      <c r="FX23" s="15">
        <f t="shared" si="189"/>
        <v>0</v>
      </c>
      <c r="FY23" s="15">
        <f t="shared" si="190"/>
        <v>0</v>
      </c>
      <c r="FZ23" s="15">
        <f t="shared" si="190"/>
        <v>0</v>
      </c>
      <c r="GA23" s="15">
        <f t="shared" si="190"/>
        <v>0</v>
      </c>
      <c r="GB23" s="15">
        <f t="shared" si="190"/>
        <v>0</v>
      </c>
      <c r="GC23" s="15">
        <f t="shared" si="190"/>
        <v>0</v>
      </c>
      <c r="GD23" s="15">
        <f t="shared" si="190"/>
        <v>0</v>
      </c>
      <c r="GE23" s="15">
        <f t="shared" si="190"/>
        <v>0</v>
      </c>
      <c r="GF23" s="15">
        <f t="shared" si="190"/>
        <v>0</v>
      </c>
      <c r="GG23" s="15">
        <f t="shared" si="190"/>
        <v>0</v>
      </c>
      <c r="GH23" s="15">
        <f t="shared" si="190"/>
        <v>0</v>
      </c>
      <c r="GI23" s="15">
        <f t="shared" si="190"/>
        <v>0</v>
      </c>
      <c r="GJ23" s="15">
        <f t="shared" si="190"/>
        <v>0</v>
      </c>
      <c r="GK23" s="15">
        <f t="shared" si="190"/>
        <v>0</v>
      </c>
      <c r="GL23" s="15">
        <f t="shared" si="190"/>
        <v>0</v>
      </c>
      <c r="GN23" s="15">
        <f t="shared" si="191"/>
        <v>325000000</v>
      </c>
      <c r="GO23" s="15">
        <f t="shared" si="191"/>
        <v>325000000</v>
      </c>
      <c r="GP23" s="15">
        <f t="shared" si="191"/>
        <v>325000000</v>
      </c>
      <c r="GQ23" s="15">
        <f t="shared" si="191"/>
        <v>325000000</v>
      </c>
      <c r="GR23" s="15">
        <f t="shared" si="191"/>
        <v>325000000</v>
      </c>
      <c r="GS23" s="15">
        <f t="shared" si="191"/>
        <v>325000000</v>
      </c>
      <c r="GT23" s="15">
        <f t="shared" si="191"/>
        <v>325000000</v>
      </c>
      <c r="GU23" s="15">
        <f t="shared" si="191"/>
        <v>325000000</v>
      </c>
      <c r="GV23" s="15">
        <f t="shared" si="191"/>
        <v>325000000</v>
      </c>
      <c r="GW23" s="15">
        <f t="shared" si="191"/>
        <v>325000000</v>
      </c>
      <c r="GX23" s="15">
        <f t="shared" si="191"/>
        <v>325000000</v>
      </c>
      <c r="GY23" s="15">
        <f t="shared" si="191"/>
        <v>325000000</v>
      </c>
      <c r="GZ23" s="15">
        <f t="shared" si="191"/>
        <v>0</v>
      </c>
      <c r="HA23" s="15">
        <f t="shared" si="191"/>
        <v>0</v>
      </c>
      <c r="HB23" s="15">
        <f t="shared" si="191"/>
        <v>0</v>
      </c>
      <c r="HC23" s="15">
        <f t="shared" si="191"/>
        <v>0</v>
      </c>
      <c r="HD23" s="15">
        <f t="shared" si="192"/>
        <v>0</v>
      </c>
      <c r="HE23" s="15">
        <f t="shared" si="192"/>
        <v>0</v>
      </c>
      <c r="HF23" s="15">
        <f t="shared" si="192"/>
        <v>0</v>
      </c>
      <c r="HG23" s="15">
        <f t="shared" si="192"/>
        <v>0</v>
      </c>
      <c r="HH23" s="15">
        <f t="shared" si="192"/>
        <v>0</v>
      </c>
      <c r="HI23" s="15">
        <f t="shared" si="192"/>
        <v>0</v>
      </c>
      <c r="HJ23" s="15">
        <f t="shared" si="192"/>
        <v>0</v>
      </c>
      <c r="HK23" s="15">
        <f t="shared" si="192"/>
        <v>0</v>
      </c>
      <c r="HL23" s="15">
        <f t="shared" si="192"/>
        <v>0</v>
      </c>
      <c r="HM23" s="15">
        <f t="shared" si="192"/>
        <v>0</v>
      </c>
      <c r="HN23" s="15">
        <f t="shared" si="192"/>
        <v>0</v>
      </c>
      <c r="HO23" s="15">
        <f t="shared" si="192"/>
        <v>0</v>
      </c>
      <c r="HP23" s="15">
        <f t="shared" si="192"/>
        <v>0</v>
      </c>
      <c r="HQ23" s="15">
        <f t="shared" si="192"/>
        <v>0</v>
      </c>
    </row>
    <row r="24" spans="1:225" outlineLevel="1" x14ac:dyDescent="0.25">
      <c r="B24" t="s">
        <v>346</v>
      </c>
      <c r="C24" s="496" t="s">
        <v>223</v>
      </c>
      <c r="D24" s="614" t="s">
        <v>33</v>
      </c>
      <c r="E24" s="467">
        <v>1</v>
      </c>
      <c r="F24" s="221"/>
      <c r="G24" s="457">
        <v>12</v>
      </c>
      <c r="H24" s="468">
        <f>(3125000000/$D$6)*1.04</f>
        <v>3250000000</v>
      </c>
      <c r="I24" s="457">
        <f t="shared" si="164"/>
        <v>3250000000</v>
      </c>
      <c r="J24" s="457">
        <f t="shared" si="165"/>
        <v>270833333.33333331</v>
      </c>
      <c r="K24" s="221"/>
      <c r="L24" s="457">
        <v>12</v>
      </c>
      <c r="M24" s="457">
        <f t="shared" si="166"/>
        <v>3484000000</v>
      </c>
      <c r="N24" s="457">
        <f t="shared" si="167"/>
        <v>3484000000</v>
      </c>
      <c r="O24" s="457">
        <f t="shared" si="168"/>
        <v>290333333.33333331</v>
      </c>
      <c r="P24" s="221"/>
      <c r="Q24" s="457">
        <v>12</v>
      </c>
      <c r="R24" s="457">
        <f t="shared" si="169"/>
        <v>3484000000</v>
      </c>
      <c r="S24" s="457">
        <f t="shared" si="170"/>
        <v>3484000000</v>
      </c>
      <c r="T24" s="457">
        <f t="shared" si="171"/>
        <v>290333333.33333331</v>
      </c>
      <c r="U24" s="221"/>
      <c r="V24" s="457">
        <v>12</v>
      </c>
      <c r="W24" s="457">
        <f t="shared" si="172"/>
        <v>3250000000</v>
      </c>
      <c r="X24" s="457">
        <f t="shared" si="173"/>
        <v>3250000000</v>
      </c>
      <c r="Y24" s="457">
        <f t="shared" si="174"/>
        <v>270833333.33333331</v>
      </c>
      <c r="Z24" s="221"/>
      <c r="AA24" s="457">
        <v>12</v>
      </c>
      <c r="AB24" s="457">
        <f t="shared" si="175"/>
        <v>3250000000</v>
      </c>
      <c r="AC24" s="457">
        <f t="shared" si="176"/>
        <v>3250000000</v>
      </c>
      <c r="AD24" s="457">
        <f t="shared" si="177"/>
        <v>270833333.33333331</v>
      </c>
      <c r="AE24" s="221"/>
      <c r="AF24" s="457">
        <v>12</v>
      </c>
      <c r="AG24" s="457">
        <f t="shared" si="178"/>
        <v>3250000000</v>
      </c>
      <c r="AH24" s="457">
        <f t="shared" si="179"/>
        <v>3250000000</v>
      </c>
      <c r="AI24" s="457">
        <f t="shared" si="180"/>
        <v>270833333.33333331</v>
      </c>
      <c r="AJ24" s="221"/>
      <c r="AL24" t="s">
        <v>547</v>
      </c>
      <c r="AM24" t="s">
        <v>336</v>
      </c>
      <c r="AO24" s="15">
        <f t="shared" si="181"/>
        <v>270833333.33333331</v>
      </c>
      <c r="AP24" s="15">
        <f t="shared" si="181"/>
        <v>270833333.33333331</v>
      </c>
      <c r="AQ24" s="15">
        <f t="shared" si="181"/>
        <v>270833333.33333331</v>
      </c>
      <c r="AR24" s="15">
        <f t="shared" si="181"/>
        <v>270833333.33333331</v>
      </c>
      <c r="AS24" s="15">
        <f t="shared" si="181"/>
        <v>270833333.33333331</v>
      </c>
      <c r="AT24" s="15">
        <f t="shared" si="181"/>
        <v>270833333.33333331</v>
      </c>
      <c r="AU24" s="15">
        <f t="shared" si="181"/>
        <v>270833333.33333331</v>
      </c>
      <c r="AV24" s="15">
        <f t="shared" si="181"/>
        <v>270833333.33333331</v>
      </c>
      <c r="AW24" s="15">
        <f t="shared" si="181"/>
        <v>270833333.33333331</v>
      </c>
      <c r="AX24" s="15">
        <f t="shared" si="181"/>
        <v>270833333.33333331</v>
      </c>
      <c r="AY24" s="15">
        <f t="shared" si="181"/>
        <v>270833333.33333331</v>
      </c>
      <c r="AZ24" s="15">
        <f t="shared" si="181"/>
        <v>270833333.33333331</v>
      </c>
      <c r="BA24" s="15">
        <f t="shared" si="181"/>
        <v>0</v>
      </c>
      <c r="BB24" s="15">
        <f t="shared" si="181"/>
        <v>0</v>
      </c>
      <c r="BC24" s="15">
        <f t="shared" si="181"/>
        <v>0</v>
      </c>
      <c r="BD24" s="15">
        <f t="shared" si="181"/>
        <v>0</v>
      </c>
      <c r="BE24" s="15">
        <f t="shared" si="182"/>
        <v>0</v>
      </c>
      <c r="BF24" s="15">
        <f t="shared" si="182"/>
        <v>0</v>
      </c>
      <c r="BG24" s="15">
        <f t="shared" si="182"/>
        <v>0</v>
      </c>
      <c r="BH24" s="15">
        <f t="shared" si="182"/>
        <v>0</v>
      </c>
      <c r="BI24" s="15">
        <f t="shared" si="182"/>
        <v>0</v>
      </c>
      <c r="BJ24" s="15">
        <f t="shared" si="182"/>
        <v>0</v>
      </c>
      <c r="BK24" s="15">
        <f t="shared" si="182"/>
        <v>0</v>
      </c>
      <c r="BL24" s="15">
        <f t="shared" si="182"/>
        <v>0</v>
      </c>
      <c r="BM24" s="15">
        <f t="shared" si="182"/>
        <v>0</v>
      </c>
      <c r="BN24" s="15">
        <f t="shared" si="182"/>
        <v>0</v>
      </c>
      <c r="BO24" s="15">
        <f t="shared" si="182"/>
        <v>0</v>
      </c>
      <c r="BP24" s="15">
        <f t="shared" si="182"/>
        <v>0</v>
      </c>
      <c r="BQ24" s="15">
        <f t="shared" si="182"/>
        <v>0</v>
      </c>
      <c r="BR24" s="15">
        <f t="shared" si="182"/>
        <v>0</v>
      </c>
      <c r="BT24" s="15">
        <f t="shared" si="183"/>
        <v>290333333.33333331</v>
      </c>
      <c r="BU24" s="15">
        <f t="shared" si="183"/>
        <v>290333333.33333331</v>
      </c>
      <c r="BV24" s="15">
        <f t="shared" si="183"/>
        <v>290333333.33333331</v>
      </c>
      <c r="BW24" s="15">
        <f t="shared" si="183"/>
        <v>290333333.33333331</v>
      </c>
      <c r="BX24" s="15">
        <f t="shared" si="183"/>
        <v>290333333.33333331</v>
      </c>
      <c r="BY24" s="15">
        <f t="shared" si="183"/>
        <v>290333333.33333331</v>
      </c>
      <c r="BZ24" s="15">
        <f t="shared" si="183"/>
        <v>290333333.33333331</v>
      </c>
      <c r="CA24" s="15">
        <f t="shared" si="183"/>
        <v>290333333.33333331</v>
      </c>
      <c r="CB24" s="15">
        <f t="shared" si="183"/>
        <v>290333333.33333331</v>
      </c>
      <c r="CC24" s="15">
        <f t="shared" si="183"/>
        <v>290333333.33333331</v>
      </c>
      <c r="CD24" s="15">
        <f t="shared" si="183"/>
        <v>290333333.33333331</v>
      </c>
      <c r="CE24" s="15">
        <f t="shared" si="183"/>
        <v>290333333.33333331</v>
      </c>
      <c r="CF24" s="15">
        <f t="shared" si="183"/>
        <v>0</v>
      </c>
      <c r="CG24" s="15">
        <f t="shared" si="183"/>
        <v>0</v>
      </c>
      <c r="CH24" s="15">
        <f t="shared" si="183"/>
        <v>0</v>
      </c>
      <c r="CI24" s="15">
        <f t="shared" si="183"/>
        <v>0</v>
      </c>
      <c r="CJ24" s="15">
        <f t="shared" si="184"/>
        <v>0</v>
      </c>
      <c r="CK24" s="15">
        <f t="shared" si="184"/>
        <v>0</v>
      </c>
      <c r="CL24" s="15">
        <f t="shared" si="184"/>
        <v>0</v>
      </c>
      <c r="CM24" s="15">
        <f t="shared" si="184"/>
        <v>0</v>
      </c>
      <c r="CN24" s="15">
        <f t="shared" si="184"/>
        <v>0</v>
      </c>
      <c r="CO24" s="15">
        <f t="shared" si="184"/>
        <v>0</v>
      </c>
      <c r="CP24" s="15">
        <f t="shared" si="184"/>
        <v>0</v>
      </c>
      <c r="CQ24" s="15">
        <f t="shared" si="184"/>
        <v>0</v>
      </c>
      <c r="CR24" s="15">
        <f t="shared" si="184"/>
        <v>0</v>
      </c>
      <c r="CS24" s="15">
        <f t="shared" si="184"/>
        <v>0</v>
      </c>
      <c r="CT24" s="15">
        <f t="shared" si="184"/>
        <v>0</v>
      </c>
      <c r="CU24" s="15">
        <f t="shared" si="184"/>
        <v>0</v>
      </c>
      <c r="CV24" s="15">
        <f t="shared" si="184"/>
        <v>0</v>
      </c>
      <c r="CW24" s="15">
        <f t="shared" si="184"/>
        <v>0</v>
      </c>
      <c r="CY24" s="15">
        <f t="shared" si="185"/>
        <v>290333333.33333331</v>
      </c>
      <c r="CZ24" s="15">
        <f t="shared" si="185"/>
        <v>290333333.33333331</v>
      </c>
      <c r="DA24" s="15">
        <f t="shared" si="185"/>
        <v>290333333.33333331</v>
      </c>
      <c r="DB24" s="15">
        <f t="shared" si="185"/>
        <v>290333333.33333331</v>
      </c>
      <c r="DC24" s="15">
        <f t="shared" si="185"/>
        <v>290333333.33333331</v>
      </c>
      <c r="DD24" s="15">
        <f t="shared" si="185"/>
        <v>290333333.33333331</v>
      </c>
      <c r="DE24" s="15">
        <f t="shared" si="185"/>
        <v>290333333.33333331</v>
      </c>
      <c r="DF24" s="15">
        <f t="shared" si="185"/>
        <v>290333333.33333331</v>
      </c>
      <c r="DG24" s="15">
        <f t="shared" si="185"/>
        <v>290333333.33333331</v>
      </c>
      <c r="DH24" s="15">
        <f t="shared" si="185"/>
        <v>290333333.33333331</v>
      </c>
      <c r="DI24" s="15">
        <f t="shared" si="185"/>
        <v>290333333.33333331</v>
      </c>
      <c r="DJ24" s="15">
        <f t="shared" si="185"/>
        <v>290333333.33333331</v>
      </c>
      <c r="DK24" s="15">
        <f t="shared" si="185"/>
        <v>0</v>
      </c>
      <c r="DL24" s="15">
        <f t="shared" si="185"/>
        <v>0</v>
      </c>
      <c r="DM24" s="15">
        <f t="shared" si="185"/>
        <v>0</v>
      </c>
      <c r="DN24" s="15">
        <f t="shared" si="185"/>
        <v>0</v>
      </c>
      <c r="DO24" s="15">
        <f t="shared" si="186"/>
        <v>0</v>
      </c>
      <c r="DP24" s="15">
        <f t="shared" si="186"/>
        <v>0</v>
      </c>
      <c r="DQ24" s="15">
        <f t="shared" si="186"/>
        <v>0</v>
      </c>
      <c r="DR24" s="15">
        <f t="shared" si="186"/>
        <v>0</v>
      </c>
      <c r="DS24" s="15">
        <f t="shared" si="186"/>
        <v>0</v>
      </c>
      <c r="DT24" s="15">
        <f t="shared" si="186"/>
        <v>0</v>
      </c>
      <c r="DU24" s="15">
        <f t="shared" si="186"/>
        <v>0</v>
      </c>
      <c r="DV24" s="15">
        <f t="shared" si="186"/>
        <v>0</v>
      </c>
      <c r="DW24" s="15">
        <f t="shared" si="186"/>
        <v>0</v>
      </c>
      <c r="DX24" s="15">
        <f t="shared" si="186"/>
        <v>0</v>
      </c>
      <c r="DY24" s="15">
        <f t="shared" si="186"/>
        <v>0</v>
      </c>
      <c r="DZ24" s="15">
        <f t="shared" si="186"/>
        <v>0</v>
      </c>
      <c r="EA24" s="15">
        <f t="shared" si="186"/>
        <v>0</v>
      </c>
      <c r="EB24" s="15">
        <f t="shared" si="186"/>
        <v>0</v>
      </c>
      <c r="ED24" s="15">
        <f t="shared" si="187"/>
        <v>270833333.33333331</v>
      </c>
      <c r="EE24" s="15">
        <f t="shared" si="187"/>
        <v>270833333.33333331</v>
      </c>
      <c r="EF24" s="15">
        <f t="shared" si="187"/>
        <v>270833333.33333331</v>
      </c>
      <c r="EG24" s="15">
        <f t="shared" si="187"/>
        <v>270833333.33333331</v>
      </c>
      <c r="EH24" s="15">
        <f t="shared" si="187"/>
        <v>270833333.33333331</v>
      </c>
      <c r="EI24" s="15">
        <f t="shared" si="187"/>
        <v>270833333.33333331</v>
      </c>
      <c r="EJ24" s="15">
        <f t="shared" si="187"/>
        <v>270833333.33333331</v>
      </c>
      <c r="EK24" s="15">
        <f t="shared" si="187"/>
        <v>270833333.33333331</v>
      </c>
      <c r="EL24" s="15">
        <f t="shared" si="187"/>
        <v>270833333.33333331</v>
      </c>
      <c r="EM24" s="15">
        <f t="shared" si="187"/>
        <v>270833333.33333331</v>
      </c>
      <c r="EN24" s="15">
        <f t="shared" si="187"/>
        <v>270833333.33333331</v>
      </c>
      <c r="EO24" s="15">
        <f t="shared" si="187"/>
        <v>270833333.33333331</v>
      </c>
      <c r="EP24" s="15">
        <f t="shared" si="187"/>
        <v>0</v>
      </c>
      <c r="EQ24" s="15">
        <f t="shared" si="187"/>
        <v>0</v>
      </c>
      <c r="ER24" s="15">
        <f t="shared" si="187"/>
        <v>0</v>
      </c>
      <c r="ES24" s="15">
        <f t="shared" si="187"/>
        <v>0</v>
      </c>
      <c r="ET24" s="15">
        <f t="shared" si="188"/>
        <v>0</v>
      </c>
      <c r="EU24" s="15">
        <f t="shared" si="188"/>
        <v>0</v>
      </c>
      <c r="EV24" s="15">
        <f t="shared" si="188"/>
        <v>0</v>
      </c>
      <c r="EW24" s="15">
        <f t="shared" si="188"/>
        <v>0</v>
      </c>
      <c r="EX24" s="15">
        <f t="shared" si="188"/>
        <v>0</v>
      </c>
      <c r="EY24" s="15">
        <f t="shared" si="188"/>
        <v>0</v>
      </c>
      <c r="EZ24" s="15">
        <f t="shared" si="188"/>
        <v>0</v>
      </c>
      <c r="FA24" s="15">
        <f t="shared" si="188"/>
        <v>0</v>
      </c>
      <c r="FB24" s="15">
        <f t="shared" si="188"/>
        <v>0</v>
      </c>
      <c r="FC24" s="15">
        <f t="shared" si="188"/>
        <v>0</v>
      </c>
      <c r="FD24" s="15">
        <f t="shared" si="188"/>
        <v>0</v>
      </c>
      <c r="FE24" s="15">
        <f t="shared" si="188"/>
        <v>0</v>
      </c>
      <c r="FF24" s="15">
        <f t="shared" si="188"/>
        <v>0</v>
      </c>
      <c r="FG24" s="15">
        <f t="shared" si="188"/>
        <v>0</v>
      </c>
      <c r="FI24" s="15">
        <f t="shared" si="189"/>
        <v>270833333.33333331</v>
      </c>
      <c r="FJ24" s="15">
        <f t="shared" si="189"/>
        <v>270833333.33333331</v>
      </c>
      <c r="FK24" s="15">
        <f t="shared" si="189"/>
        <v>270833333.33333331</v>
      </c>
      <c r="FL24" s="15">
        <f t="shared" si="189"/>
        <v>270833333.33333331</v>
      </c>
      <c r="FM24" s="15">
        <f t="shared" si="189"/>
        <v>270833333.33333331</v>
      </c>
      <c r="FN24" s="15">
        <f t="shared" si="189"/>
        <v>270833333.33333331</v>
      </c>
      <c r="FO24" s="15">
        <f t="shared" si="189"/>
        <v>270833333.33333331</v>
      </c>
      <c r="FP24" s="15">
        <f t="shared" si="189"/>
        <v>270833333.33333331</v>
      </c>
      <c r="FQ24" s="15">
        <f t="shared" si="189"/>
        <v>270833333.33333331</v>
      </c>
      <c r="FR24" s="15">
        <f t="shared" si="189"/>
        <v>270833333.33333331</v>
      </c>
      <c r="FS24" s="15">
        <f t="shared" si="189"/>
        <v>270833333.33333331</v>
      </c>
      <c r="FT24" s="15">
        <f t="shared" si="189"/>
        <v>270833333.33333331</v>
      </c>
      <c r="FU24" s="15">
        <f t="shared" si="189"/>
        <v>0</v>
      </c>
      <c r="FV24" s="15">
        <f t="shared" si="189"/>
        <v>0</v>
      </c>
      <c r="FW24" s="15">
        <f t="shared" si="189"/>
        <v>0</v>
      </c>
      <c r="FX24" s="15">
        <f t="shared" si="189"/>
        <v>0</v>
      </c>
      <c r="FY24" s="15">
        <f t="shared" si="190"/>
        <v>0</v>
      </c>
      <c r="FZ24" s="15">
        <f t="shared" si="190"/>
        <v>0</v>
      </c>
      <c r="GA24" s="15">
        <f t="shared" si="190"/>
        <v>0</v>
      </c>
      <c r="GB24" s="15">
        <f t="shared" si="190"/>
        <v>0</v>
      </c>
      <c r="GC24" s="15">
        <f t="shared" si="190"/>
        <v>0</v>
      </c>
      <c r="GD24" s="15">
        <f t="shared" si="190"/>
        <v>0</v>
      </c>
      <c r="GE24" s="15">
        <f t="shared" si="190"/>
        <v>0</v>
      </c>
      <c r="GF24" s="15">
        <f t="shared" si="190"/>
        <v>0</v>
      </c>
      <c r="GG24" s="15">
        <f t="shared" si="190"/>
        <v>0</v>
      </c>
      <c r="GH24" s="15">
        <f t="shared" si="190"/>
        <v>0</v>
      </c>
      <c r="GI24" s="15">
        <f t="shared" si="190"/>
        <v>0</v>
      </c>
      <c r="GJ24" s="15">
        <f t="shared" si="190"/>
        <v>0</v>
      </c>
      <c r="GK24" s="15">
        <f t="shared" si="190"/>
        <v>0</v>
      </c>
      <c r="GL24" s="15">
        <f t="shared" si="190"/>
        <v>0</v>
      </c>
      <c r="GN24" s="15">
        <f t="shared" si="191"/>
        <v>270833333.33333331</v>
      </c>
      <c r="GO24" s="15">
        <f t="shared" si="191"/>
        <v>270833333.33333331</v>
      </c>
      <c r="GP24" s="15">
        <f t="shared" si="191"/>
        <v>270833333.33333331</v>
      </c>
      <c r="GQ24" s="15">
        <f t="shared" si="191"/>
        <v>270833333.33333331</v>
      </c>
      <c r="GR24" s="15">
        <f t="shared" si="191"/>
        <v>270833333.33333331</v>
      </c>
      <c r="GS24" s="15">
        <f t="shared" si="191"/>
        <v>270833333.33333331</v>
      </c>
      <c r="GT24" s="15">
        <f t="shared" si="191"/>
        <v>270833333.33333331</v>
      </c>
      <c r="GU24" s="15">
        <f t="shared" si="191"/>
        <v>270833333.33333331</v>
      </c>
      <c r="GV24" s="15">
        <f t="shared" si="191"/>
        <v>270833333.33333331</v>
      </c>
      <c r="GW24" s="15">
        <f t="shared" si="191"/>
        <v>270833333.33333331</v>
      </c>
      <c r="GX24" s="15">
        <f t="shared" si="191"/>
        <v>270833333.33333331</v>
      </c>
      <c r="GY24" s="15">
        <f t="shared" si="191"/>
        <v>270833333.33333331</v>
      </c>
      <c r="GZ24" s="15">
        <f t="shared" si="191"/>
        <v>0</v>
      </c>
      <c r="HA24" s="15">
        <f t="shared" si="191"/>
        <v>0</v>
      </c>
      <c r="HB24" s="15">
        <f t="shared" si="191"/>
        <v>0</v>
      </c>
      <c r="HC24" s="15">
        <f t="shared" si="191"/>
        <v>0</v>
      </c>
      <c r="HD24" s="15">
        <f t="shared" si="192"/>
        <v>0</v>
      </c>
      <c r="HE24" s="15">
        <f t="shared" si="192"/>
        <v>0</v>
      </c>
      <c r="HF24" s="15">
        <f t="shared" si="192"/>
        <v>0</v>
      </c>
      <c r="HG24" s="15">
        <f t="shared" si="192"/>
        <v>0</v>
      </c>
      <c r="HH24" s="15">
        <f t="shared" si="192"/>
        <v>0</v>
      </c>
      <c r="HI24" s="15">
        <f t="shared" si="192"/>
        <v>0</v>
      </c>
      <c r="HJ24" s="15">
        <f t="shared" si="192"/>
        <v>0</v>
      </c>
      <c r="HK24" s="15">
        <f t="shared" si="192"/>
        <v>0</v>
      </c>
      <c r="HL24" s="15">
        <f t="shared" si="192"/>
        <v>0</v>
      </c>
      <c r="HM24" s="15">
        <f t="shared" si="192"/>
        <v>0</v>
      </c>
      <c r="HN24" s="15">
        <f t="shared" si="192"/>
        <v>0</v>
      </c>
      <c r="HO24" s="15">
        <f t="shared" si="192"/>
        <v>0</v>
      </c>
      <c r="HP24" s="15">
        <f t="shared" si="192"/>
        <v>0</v>
      </c>
      <c r="HQ24" s="15">
        <f t="shared" si="192"/>
        <v>0</v>
      </c>
    </row>
    <row r="25" spans="1:225" outlineLevel="1" x14ac:dyDescent="0.25">
      <c r="B25" t="s">
        <v>346</v>
      </c>
      <c r="C25" s="496" t="s">
        <v>214</v>
      </c>
      <c r="D25" s="614" t="s">
        <v>209</v>
      </c>
      <c r="E25" s="467">
        <v>1</v>
      </c>
      <c r="F25" s="221"/>
      <c r="G25" s="457">
        <v>12</v>
      </c>
      <c r="H25" s="468">
        <f>(2500000000/$D$6)*1.04</f>
        <v>2600000000</v>
      </c>
      <c r="I25" s="457">
        <f t="shared" si="164"/>
        <v>2600000000</v>
      </c>
      <c r="J25" s="457">
        <f t="shared" si="165"/>
        <v>216666666.66666666</v>
      </c>
      <c r="K25" s="221"/>
      <c r="L25" s="457">
        <v>12</v>
      </c>
      <c r="M25" s="457">
        <f t="shared" si="166"/>
        <v>2782000000</v>
      </c>
      <c r="N25" s="457">
        <f t="shared" si="167"/>
        <v>2782000000</v>
      </c>
      <c r="O25" s="457">
        <f t="shared" si="168"/>
        <v>231833333.33333334</v>
      </c>
      <c r="P25" s="221"/>
      <c r="Q25" s="457">
        <v>12</v>
      </c>
      <c r="R25" s="457">
        <f t="shared" si="169"/>
        <v>2782000000</v>
      </c>
      <c r="S25" s="457">
        <f t="shared" si="170"/>
        <v>2782000000</v>
      </c>
      <c r="T25" s="457">
        <f t="shared" si="171"/>
        <v>231833333.33333334</v>
      </c>
      <c r="U25" s="221"/>
      <c r="V25" s="457">
        <v>12</v>
      </c>
      <c r="W25" s="457">
        <f t="shared" si="172"/>
        <v>2600000000</v>
      </c>
      <c r="X25" s="457">
        <f t="shared" si="173"/>
        <v>2600000000</v>
      </c>
      <c r="Y25" s="457">
        <f t="shared" si="174"/>
        <v>216666666.66666666</v>
      </c>
      <c r="Z25" s="221"/>
      <c r="AA25" s="457">
        <v>12</v>
      </c>
      <c r="AB25" s="457">
        <f t="shared" si="175"/>
        <v>2600000000</v>
      </c>
      <c r="AC25" s="457">
        <f t="shared" si="176"/>
        <v>2600000000</v>
      </c>
      <c r="AD25" s="457">
        <f t="shared" si="177"/>
        <v>216666666.66666666</v>
      </c>
      <c r="AE25" s="221"/>
      <c r="AF25" s="457">
        <v>12</v>
      </c>
      <c r="AG25" s="457">
        <f t="shared" si="178"/>
        <v>2600000000</v>
      </c>
      <c r="AH25" s="457">
        <f t="shared" si="179"/>
        <v>2600000000</v>
      </c>
      <c r="AI25" s="457">
        <f t="shared" si="180"/>
        <v>216666666.66666666</v>
      </c>
      <c r="AJ25" s="221"/>
      <c r="AL25" t="s">
        <v>547</v>
      </c>
      <c r="AM25" t="s">
        <v>337</v>
      </c>
      <c r="AO25" s="15">
        <f t="shared" si="181"/>
        <v>216666666.66666666</v>
      </c>
      <c r="AP25" s="15">
        <f t="shared" si="181"/>
        <v>216666666.66666666</v>
      </c>
      <c r="AQ25" s="15">
        <f t="shared" si="181"/>
        <v>216666666.66666666</v>
      </c>
      <c r="AR25" s="15">
        <f t="shared" si="181"/>
        <v>216666666.66666666</v>
      </c>
      <c r="AS25" s="15">
        <f t="shared" si="181"/>
        <v>216666666.66666666</v>
      </c>
      <c r="AT25" s="15">
        <f t="shared" si="181"/>
        <v>216666666.66666666</v>
      </c>
      <c r="AU25" s="15">
        <f t="shared" si="181"/>
        <v>216666666.66666666</v>
      </c>
      <c r="AV25" s="15">
        <f t="shared" si="181"/>
        <v>216666666.66666666</v>
      </c>
      <c r="AW25" s="15">
        <f t="shared" si="181"/>
        <v>216666666.66666666</v>
      </c>
      <c r="AX25" s="15">
        <f t="shared" si="181"/>
        <v>216666666.66666666</v>
      </c>
      <c r="AY25" s="15">
        <f t="shared" si="181"/>
        <v>216666666.66666666</v>
      </c>
      <c r="AZ25" s="15">
        <f t="shared" si="181"/>
        <v>216666666.66666666</v>
      </c>
      <c r="BA25" s="15">
        <f t="shared" si="181"/>
        <v>0</v>
      </c>
      <c r="BB25" s="15">
        <f t="shared" si="181"/>
        <v>0</v>
      </c>
      <c r="BC25" s="15">
        <f t="shared" si="181"/>
        <v>0</v>
      </c>
      <c r="BD25" s="15">
        <f t="shared" si="181"/>
        <v>0</v>
      </c>
      <c r="BE25" s="15">
        <f t="shared" si="182"/>
        <v>0</v>
      </c>
      <c r="BF25" s="15">
        <f t="shared" si="182"/>
        <v>0</v>
      </c>
      <c r="BG25" s="15">
        <f t="shared" si="182"/>
        <v>0</v>
      </c>
      <c r="BH25" s="15">
        <f t="shared" si="182"/>
        <v>0</v>
      </c>
      <c r="BI25" s="15">
        <f t="shared" si="182"/>
        <v>0</v>
      </c>
      <c r="BJ25" s="15">
        <f t="shared" si="182"/>
        <v>0</v>
      </c>
      <c r="BK25" s="15">
        <f t="shared" si="182"/>
        <v>0</v>
      </c>
      <c r="BL25" s="15">
        <f t="shared" si="182"/>
        <v>0</v>
      </c>
      <c r="BM25" s="15">
        <f t="shared" si="182"/>
        <v>0</v>
      </c>
      <c r="BN25" s="15">
        <f t="shared" si="182"/>
        <v>0</v>
      </c>
      <c r="BO25" s="15">
        <f t="shared" si="182"/>
        <v>0</v>
      </c>
      <c r="BP25" s="15">
        <f t="shared" si="182"/>
        <v>0</v>
      </c>
      <c r="BQ25" s="15">
        <f t="shared" si="182"/>
        <v>0</v>
      </c>
      <c r="BR25" s="15">
        <f t="shared" si="182"/>
        <v>0</v>
      </c>
      <c r="BT25" s="15">
        <f t="shared" si="183"/>
        <v>231833333.33333334</v>
      </c>
      <c r="BU25" s="15">
        <f t="shared" si="183"/>
        <v>231833333.33333334</v>
      </c>
      <c r="BV25" s="15">
        <f t="shared" si="183"/>
        <v>231833333.33333334</v>
      </c>
      <c r="BW25" s="15">
        <f t="shared" si="183"/>
        <v>231833333.33333334</v>
      </c>
      <c r="BX25" s="15">
        <f t="shared" si="183"/>
        <v>231833333.33333334</v>
      </c>
      <c r="BY25" s="15">
        <f t="shared" si="183"/>
        <v>231833333.33333334</v>
      </c>
      <c r="BZ25" s="15">
        <f t="shared" si="183"/>
        <v>231833333.33333334</v>
      </c>
      <c r="CA25" s="15">
        <f t="shared" si="183"/>
        <v>231833333.33333334</v>
      </c>
      <c r="CB25" s="15">
        <f t="shared" si="183"/>
        <v>231833333.33333334</v>
      </c>
      <c r="CC25" s="15">
        <f t="shared" si="183"/>
        <v>231833333.33333334</v>
      </c>
      <c r="CD25" s="15">
        <f t="shared" si="183"/>
        <v>231833333.33333334</v>
      </c>
      <c r="CE25" s="15">
        <f t="shared" si="183"/>
        <v>231833333.33333334</v>
      </c>
      <c r="CF25" s="15">
        <f t="shared" si="183"/>
        <v>0</v>
      </c>
      <c r="CG25" s="15">
        <f t="shared" si="183"/>
        <v>0</v>
      </c>
      <c r="CH25" s="15">
        <f t="shared" si="183"/>
        <v>0</v>
      </c>
      <c r="CI25" s="15">
        <f t="shared" si="183"/>
        <v>0</v>
      </c>
      <c r="CJ25" s="15">
        <f t="shared" si="184"/>
        <v>0</v>
      </c>
      <c r="CK25" s="15">
        <f t="shared" si="184"/>
        <v>0</v>
      </c>
      <c r="CL25" s="15">
        <f t="shared" si="184"/>
        <v>0</v>
      </c>
      <c r="CM25" s="15">
        <f t="shared" si="184"/>
        <v>0</v>
      </c>
      <c r="CN25" s="15">
        <f t="shared" si="184"/>
        <v>0</v>
      </c>
      <c r="CO25" s="15">
        <f t="shared" si="184"/>
        <v>0</v>
      </c>
      <c r="CP25" s="15">
        <f t="shared" si="184"/>
        <v>0</v>
      </c>
      <c r="CQ25" s="15">
        <f t="shared" si="184"/>
        <v>0</v>
      </c>
      <c r="CR25" s="15">
        <f t="shared" si="184"/>
        <v>0</v>
      </c>
      <c r="CS25" s="15">
        <f t="shared" si="184"/>
        <v>0</v>
      </c>
      <c r="CT25" s="15">
        <f t="shared" si="184"/>
        <v>0</v>
      </c>
      <c r="CU25" s="15">
        <f t="shared" si="184"/>
        <v>0</v>
      </c>
      <c r="CV25" s="15">
        <f t="shared" si="184"/>
        <v>0</v>
      </c>
      <c r="CW25" s="15">
        <f t="shared" si="184"/>
        <v>0</v>
      </c>
      <c r="CY25" s="15">
        <f t="shared" si="185"/>
        <v>231833333.33333334</v>
      </c>
      <c r="CZ25" s="15">
        <f t="shared" si="185"/>
        <v>231833333.33333334</v>
      </c>
      <c r="DA25" s="15">
        <f t="shared" si="185"/>
        <v>231833333.33333334</v>
      </c>
      <c r="DB25" s="15">
        <f t="shared" si="185"/>
        <v>231833333.33333334</v>
      </c>
      <c r="DC25" s="15">
        <f t="shared" si="185"/>
        <v>231833333.33333334</v>
      </c>
      <c r="DD25" s="15">
        <f t="shared" si="185"/>
        <v>231833333.33333334</v>
      </c>
      <c r="DE25" s="15">
        <f t="shared" si="185"/>
        <v>231833333.33333334</v>
      </c>
      <c r="DF25" s="15">
        <f t="shared" si="185"/>
        <v>231833333.33333334</v>
      </c>
      <c r="DG25" s="15">
        <f t="shared" si="185"/>
        <v>231833333.33333334</v>
      </c>
      <c r="DH25" s="15">
        <f t="shared" si="185"/>
        <v>231833333.33333334</v>
      </c>
      <c r="DI25" s="15">
        <f t="shared" si="185"/>
        <v>231833333.33333334</v>
      </c>
      <c r="DJ25" s="15">
        <f t="shared" si="185"/>
        <v>231833333.33333334</v>
      </c>
      <c r="DK25" s="15">
        <f t="shared" si="185"/>
        <v>0</v>
      </c>
      <c r="DL25" s="15">
        <f t="shared" si="185"/>
        <v>0</v>
      </c>
      <c r="DM25" s="15">
        <f t="shared" si="185"/>
        <v>0</v>
      </c>
      <c r="DN25" s="15">
        <f t="shared" si="185"/>
        <v>0</v>
      </c>
      <c r="DO25" s="15">
        <f t="shared" si="186"/>
        <v>0</v>
      </c>
      <c r="DP25" s="15">
        <f t="shared" si="186"/>
        <v>0</v>
      </c>
      <c r="DQ25" s="15">
        <f t="shared" si="186"/>
        <v>0</v>
      </c>
      <c r="DR25" s="15">
        <f t="shared" si="186"/>
        <v>0</v>
      </c>
      <c r="DS25" s="15">
        <f t="shared" si="186"/>
        <v>0</v>
      </c>
      <c r="DT25" s="15">
        <f t="shared" si="186"/>
        <v>0</v>
      </c>
      <c r="DU25" s="15">
        <f t="shared" si="186"/>
        <v>0</v>
      </c>
      <c r="DV25" s="15">
        <f t="shared" si="186"/>
        <v>0</v>
      </c>
      <c r="DW25" s="15">
        <f t="shared" si="186"/>
        <v>0</v>
      </c>
      <c r="DX25" s="15">
        <f t="shared" si="186"/>
        <v>0</v>
      </c>
      <c r="DY25" s="15">
        <f t="shared" si="186"/>
        <v>0</v>
      </c>
      <c r="DZ25" s="15">
        <f t="shared" si="186"/>
        <v>0</v>
      </c>
      <c r="EA25" s="15">
        <f t="shared" si="186"/>
        <v>0</v>
      </c>
      <c r="EB25" s="15">
        <f t="shared" si="186"/>
        <v>0</v>
      </c>
      <c r="ED25" s="15">
        <f t="shared" si="187"/>
        <v>216666666.66666666</v>
      </c>
      <c r="EE25" s="15">
        <f t="shared" si="187"/>
        <v>216666666.66666666</v>
      </c>
      <c r="EF25" s="15">
        <f t="shared" si="187"/>
        <v>216666666.66666666</v>
      </c>
      <c r="EG25" s="15">
        <f t="shared" si="187"/>
        <v>216666666.66666666</v>
      </c>
      <c r="EH25" s="15">
        <f t="shared" si="187"/>
        <v>216666666.66666666</v>
      </c>
      <c r="EI25" s="15">
        <f t="shared" si="187"/>
        <v>216666666.66666666</v>
      </c>
      <c r="EJ25" s="15">
        <f t="shared" si="187"/>
        <v>216666666.66666666</v>
      </c>
      <c r="EK25" s="15">
        <f t="shared" si="187"/>
        <v>216666666.66666666</v>
      </c>
      <c r="EL25" s="15">
        <f t="shared" si="187"/>
        <v>216666666.66666666</v>
      </c>
      <c r="EM25" s="15">
        <f t="shared" si="187"/>
        <v>216666666.66666666</v>
      </c>
      <c r="EN25" s="15">
        <f t="shared" si="187"/>
        <v>216666666.66666666</v>
      </c>
      <c r="EO25" s="15">
        <f t="shared" si="187"/>
        <v>216666666.66666666</v>
      </c>
      <c r="EP25" s="15">
        <f t="shared" si="187"/>
        <v>0</v>
      </c>
      <c r="EQ25" s="15">
        <f t="shared" si="187"/>
        <v>0</v>
      </c>
      <c r="ER25" s="15">
        <f t="shared" si="187"/>
        <v>0</v>
      </c>
      <c r="ES25" s="15">
        <f t="shared" si="187"/>
        <v>0</v>
      </c>
      <c r="ET25" s="15">
        <f t="shared" si="188"/>
        <v>0</v>
      </c>
      <c r="EU25" s="15">
        <f t="shared" si="188"/>
        <v>0</v>
      </c>
      <c r="EV25" s="15">
        <f t="shared" si="188"/>
        <v>0</v>
      </c>
      <c r="EW25" s="15">
        <f t="shared" si="188"/>
        <v>0</v>
      </c>
      <c r="EX25" s="15">
        <f t="shared" si="188"/>
        <v>0</v>
      </c>
      <c r="EY25" s="15">
        <f t="shared" si="188"/>
        <v>0</v>
      </c>
      <c r="EZ25" s="15">
        <f t="shared" si="188"/>
        <v>0</v>
      </c>
      <c r="FA25" s="15">
        <f t="shared" si="188"/>
        <v>0</v>
      </c>
      <c r="FB25" s="15">
        <f t="shared" si="188"/>
        <v>0</v>
      </c>
      <c r="FC25" s="15">
        <f t="shared" si="188"/>
        <v>0</v>
      </c>
      <c r="FD25" s="15">
        <f t="shared" si="188"/>
        <v>0</v>
      </c>
      <c r="FE25" s="15">
        <f t="shared" si="188"/>
        <v>0</v>
      </c>
      <c r="FF25" s="15">
        <f t="shared" si="188"/>
        <v>0</v>
      </c>
      <c r="FG25" s="15">
        <f t="shared" si="188"/>
        <v>0</v>
      </c>
      <c r="FI25" s="15">
        <f t="shared" si="189"/>
        <v>216666666.66666666</v>
      </c>
      <c r="FJ25" s="15">
        <f t="shared" si="189"/>
        <v>216666666.66666666</v>
      </c>
      <c r="FK25" s="15">
        <f t="shared" si="189"/>
        <v>216666666.66666666</v>
      </c>
      <c r="FL25" s="15">
        <f t="shared" si="189"/>
        <v>216666666.66666666</v>
      </c>
      <c r="FM25" s="15">
        <f t="shared" si="189"/>
        <v>216666666.66666666</v>
      </c>
      <c r="FN25" s="15">
        <f t="shared" si="189"/>
        <v>216666666.66666666</v>
      </c>
      <c r="FO25" s="15">
        <f t="shared" si="189"/>
        <v>216666666.66666666</v>
      </c>
      <c r="FP25" s="15">
        <f t="shared" si="189"/>
        <v>216666666.66666666</v>
      </c>
      <c r="FQ25" s="15">
        <f t="shared" si="189"/>
        <v>216666666.66666666</v>
      </c>
      <c r="FR25" s="15">
        <f t="shared" si="189"/>
        <v>216666666.66666666</v>
      </c>
      <c r="FS25" s="15">
        <f t="shared" si="189"/>
        <v>216666666.66666666</v>
      </c>
      <c r="FT25" s="15">
        <f t="shared" si="189"/>
        <v>216666666.66666666</v>
      </c>
      <c r="FU25" s="15">
        <f t="shared" si="189"/>
        <v>0</v>
      </c>
      <c r="FV25" s="15">
        <f t="shared" si="189"/>
        <v>0</v>
      </c>
      <c r="FW25" s="15">
        <f t="shared" si="189"/>
        <v>0</v>
      </c>
      <c r="FX25" s="15">
        <f t="shared" si="189"/>
        <v>0</v>
      </c>
      <c r="FY25" s="15">
        <f t="shared" si="190"/>
        <v>0</v>
      </c>
      <c r="FZ25" s="15">
        <f t="shared" si="190"/>
        <v>0</v>
      </c>
      <c r="GA25" s="15">
        <f t="shared" si="190"/>
        <v>0</v>
      </c>
      <c r="GB25" s="15">
        <f t="shared" si="190"/>
        <v>0</v>
      </c>
      <c r="GC25" s="15">
        <f t="shared" si="190"/>
        <v>0</v>
      </c>
      <c r="GD25" s="15">
        <f t="shared" si="190"/>
        <v>0</v>
      </c>
      <c r="GE25" s="15">
        <f t="shared" si="190"/>
        <v>0</v>
      </c>
      <c r="GF25" s="15">
        <f t="shared" si="190"/>
        <v>0</v>
      </c>
      <c r="GG25" s="15">
        <f t="shared" si="190"/>
        <v>0</v>
      </c>
      <c r="GH25" s="15">
        <f t="shared" si="190"/>
        <v>0</v>
      </c>
      <c r="GI25" s="15">
        <f t="shared" si="190"/>
        <v>0</v>
      </c>
      <c r="GJ25" s="15">
        <f t="shared" si="190"/>
        <v>0</v>
      </c>
      <c r="GK25" s="15">
        <f t="shared" si="190"/>
        <v>0</v>
      </c>
      <c r="GL25" s="15">
        <f t="shared" si="190"/>
        <v>0</v>
      </c>
      <c r="GN25" s="15">
        <f t="shared" si="191"/>
        <v>216666666.66666666</v>
      </c>
      <c r="GO25" s="15">
        <f t="shared" si="191"/>
        <v>216666666.66666666</v>
      </c>
      <c r="GP25" s="15">
        <f t="shared" si="191"/>
        <v>216666666.66666666</v>
      </c>
      <c r="GQ25" s="15">
        <f t="shared" si="191"/>
        <v>216666666.66666666</v>
      </c>
      <c r="GR25" s="15">
        <f t="shared" si="191"/>
        <v>216666666.66666666</v>
      </c>
      <c r="GS25" s="15">
        <f t="shared" si="191"/>
        <v>216666666.66666666</v>
      </c>
      <c r="GT25" s="15">
        <f t="shared" si="191"/>
        <v>216666666.66666666</v>
      </c>
      <c r="GU25" s="15">
        <f t="shared" si="191"/>
        <v>216666666.66666666</v>
      </c>
      <c r="GV25" s="15">
        <f t="shared" si="191"/>
        <v>216666666.66666666</v>
      </c>
      <c r="GW25" s="15">
        <f t="shared" si="191"/>
        <v>216666666.66666666</v>
      </c>
      <c r="GX25" s="15">
        <f t="shared" si="191"/>
        <v>216666666.66666666</v>
      </c>
      <c r="GY25" s="15">
        <f t="shared" si="191"/>
        <v>216666666.66666666</v>
      </c>
      <c r="GZ25" s="15">
        <f t="shared" si="191"/>
        <v>0</v>
      </c>
      <c r="HA25" s="15">
        <f t="shared" si="191"/>
        <v>0</v>
      </c>
      <c r="HB25" s="15">
        <f t="shared" si="191"/>
        <v>0</v>
      </c>
      <c r="HC25" s="15">
        <f t="shared" si="191"/>
        <v>0</v>
      </c>
      <c r="HD25" s="15">
        <f t="shared" si="192"/>
        <v>0</v>
      </c>
      <c r="HE25" s="15">
        <f t="shared" si="192"/>
        <v>0</v>
      </c>
      <c r="HF25" s="15">
        <f t="shared" si="192"/>
        <v>0</v>
      </c>
      <c r="HG25" s="15">
        <f t="shared" si="192"/>
        <v>0</v>
      </c>
      <c r="HH25" s="15">
        <f t="shared" si="192"/>
        <v>0</v>
      </c>
      <c r="HI25" s="15">
        <f t="shared" si="192"/>
        <v>0</v>
      </c>
      <c r="HJ25" s="15">
        <f t="shared" si="192"/>
        <v>0</v>
      </c>
      <c r="HK25" s="15">
        <f t="shared" si="192"/>
        <v>0</v>
      </c>
      <c r="HL25" s="15">
        <f t="shared" si="192"/>
        <v>0</v>
      </c>
      <c r="HM25" s="15">
        <f t="shared" si="192"/>
        <v>0</v>
      </c>
      <c r="HN25" s="15">
        <f t="shared" si="192"/>
        <v>0</v>
      </c>
      <c r="HO25" s="15">
        <f t="shared" si="192"/>
        <v>0</v>
      </c>
      <c r="HP25" s="15">
        <f t="shared" si="192"/>
        <v>0</v>
      </c>
      <c r="HQ25" s="15">
        <f t="shared" si="192"/>
        <v>0</v>
      </c>
    </row>
    <row r="26" spans="1:225" outlineLevel="1" x14ac:dyDescent="0.25">
      <c r="B26" t="s">
        <v>346</v>
      </c>
      <c r="C26" s="496" t="s">
        <v>364</v>
      </c>
      <c r="D26" s="614" t="s">
        <v>211</v>
      </c>
      <c r="E26" s="467">
        <v>1</v>
      </c>
      <c r="F26" s="221"/>
      <c r="G26" s="457">
        <v>12</v>
      </c>
      <c r="H26" s="468">
        <f>(2500000000/$D$6)*1.04</f>
        <v>2600000000</v>
      </c>
      <c r="I26" s="457">
        <f t="shared" si="164"/>
        <v>2600000000</v>
      </c>
      <c r="J26" s="457">
        <f t="shared" si="165"/>
        <v>216666666.66666666</v>
      </c>
      <c r="K26" s="221"/>
      <c r="L26" s="457">
        <v>12</v>
      </c>
      <c r="M26" s="457">
        <f t="shared" si="166"/>
        <v>2782000000</v>
      </c>
      <c r="N26" s="457">
        <f t="shared" si="167"/>
        <v>2782000000</v>
      </c>
      <c r="O26" s="457">
        <f t="shared" si="168"/>
        <v>231833333.33333334</v>
      </c>
      <c r="P26" s="221"/>
      <c r="Q26" s="457">
        <v>12</v>
      </c>
      <c r="R26" s="457">
        <f t="shared" si="169"/>
        <v>2782000000</v>
      </c>
      <c r="S26" s="457">
        <f t="shared" si="170"/>
        <v>2782000000</v>
      </c>
      <c r="T26" s="457">
        <f t="shared" si="171"/>
        <v>231833333.33333334</v>
      </c>
      <c r="U26" s="221"/>
      <c r="V26" s="457">
        <v>12</v>
      </c>
      <c r="W26" s="457">
        <f t="shared" si="172"/>
        <v>2600000000</v>
      </c>
      <c r="X26" s="457">
        <f t="shared" si="173"/>
        <v>2600000000</v>
      </c>
      <c r="Y26" s="457">
        <f t="shared" si="174"/>
        <v>216666666.66666666</v>
      </c>
      <c r="Z26" s="221"/>
      <c r="AA26" s="457">
        <v>12</v>
      </c>
      <c r="AB26" s="457">
        <f t="shared" si="175"/>
        <v>2600000000</v>
      </c>
      <c r="AC26" s="457">
        <f t="shared" si="176"/>
        <v>2600000000</v>
      </c>
      <c r="AD26" s="457">
        <f t="shared" si="177"/>
        <v>216666666.66666666</v>
      </c>
      <c r="AE26" s="221"/>
      <c r="AF26" s="457">
        <v>12</v>
      </c>
      <c r="AG26" s="457">
        <f t="shared" si="178"/>
        <v>2600000000</v>
      </c>
      <c r="AH26" s="457">
        <f t="shared" si="179"/>
        <v>2600000000</v>
      </c>
      <c r="AI26" s="457">
        <f t="shared" si="180"/>
        <v>216666666.66666666</v>
      </c>
      <c r="AJ26" s="221"/>
      <c r="AL26" t="s">
        <v>547</v>
      </c>
      <c r="AM26" t="s">
        <v>337</v>
      </c>
      <c r="AO26" s="15">
        <f t="shared" si="181"/>
        <v>216666666.66666666</v>
      </c>
      <c r="AP26" s="15">
        <f t="shared" si="181"/>
        <v>216666666.66666666</v>
      </c>
      <c r="AQ26" s="15">
        <f t="shared" si="181"/>
        <v>216666666.66666666</v>
      </c>
      <c r="AR26" s="15">
        <f t="shared" si="181"/>
        <v>216666666.66666666</v>
      </c>
      <c r="AS26" s="15">
        <f t="shared" si="181"/>
        <v>216666666.66666666</v>
      </c>
      <c r="AT26" s="15">
        <f t="shared" si="181"/>
        <v>216666666.66666666</v>
      </c>
      <c r="AU26" s="15">
        <f t="shared" si="181"/>
        <v>216666666.66666666</v>
      </c>
      <c r="AV26" s="15">
        <f t="shared" si="181"/>
        <v>216666666.66666666</v>
      </c>
      <c r="AW26" s="15">
        <f t="shared" si="181"/>
        <v>216666666.66666666</v>
      </c>
      <c r="AX26" s="15">
        <f t="shared" si="181"/>
        <v>216666666.66666666</v>
      </c>
      <c r="AY26" s="15">
        <f t="shared" si="181"/>
        <v>216666666.66666666</v>
      </c>
      <c r="AZ26" s="15">
        <f t="shared" si="181"/>
        <v>216666666.66666666</v>
      </c>
      <c r="BA26" s="15">
        <f t="shared" si="181"/>
        <v>0</v>
      </c>
      <c r="BB26" s="15">
        <f t="shared" si="181"/>
        <v>0</v>
      </c>
      <c r="BC26" s="15">
        <f t="shared" si="181"/>
        <v>0</v>
      </c>
      <c r="BD26" s="15">
        <f t="shared" si="181"/>
        <v>0</v>
      </c>
      <c r="BE26" s="15">
        <f t="shared" si="182"/>
        <v>0</v>
      </c>
      <c r="BF26" s="15">
        <f t="shared" si="182"/>
        <v>0</v>
      </c>
      <c r="BG26" s="15">
        <f t="shared" si="182"/>
        <v>0</v>
      </c>
      <c r="BH26" s="15">
        <f t="shared" si="182"/>
        <v>0</v>
      </c>
      <c r="BI26" s="15">
        <f t="shared" si="182"/>
        <v>0</v>
      </c>
      <c r="BJ26" s="15">
        <f t="shared" si="182"/>
        <v>0</v>
      </c>
      <c r="BK26" s="15">
        <f t="shared" si="182"/>
        <v>0</v>
      </c>
      <c r="BL26" s="15">
        <f t="shared" si="182"/>
        <v>0</v>
      </c>
      <c r="BM26" s="15">
        <f t="shared" si="182"/>
        <v>0</v>
      </c>
      <c r="BN26" s="15">
        <f t="shared" si="182"/>
        <v>0</v>
      </c>
      <c r="BO26" s="15">
        <f t="shared" si="182"/>
        <v>0</v>
      </c>
      <c r="BP26" s="15">
        <f t="shared" si="182"/>
        <v>0</v>
      </c>
      <c r="BQ26" s="15">
        <f t="shared" si="182"/>
        <v>0</v>
      </c>
      <c r="BR26" s="15">
        <f t="shared" si="182"/>
        <v>0</v>
      </c>
      <c r="BT26" s="15">
        <f t="shared" si="183"/>
        <v>231833333.33333334</v>
      </c>
      <c r="BU26" s="15">
        <f t="shared" si="183"/>
        <v>231833333.33333334</v>
      </c>
      <c r="BV26" s="15">
        <f t="shared" si="183"/>
        <v>231833333.33333334</v>
      </c>
      <c r="BW26" s="15">
        <f t="shared" si="183"/>
        <v>231833333.33333334</v>
      </c>
      <c r="BX26" s="15">
        <f t="shared" si="183"/>
        <v>231833333.33333334</v>
      </c>
      <c r="BY26" s="15">
        <f t="shared" si="183"/>
        <v>231833333.33333334</v>
      </c>
      <c r="BZ26" s="15">
        <f t="shared" si="183"/>
        <v>231833333.33333334</v>
      </c>
      <c r="CA26" s="15">
        <f t="shared" si="183"/>
        <v>231833333.33333334</v>
      </c>
      <c r="CB26" s="15">
        <f t="shared" si="183"/>
        <v>231833333.33333334</v>
      </c>
      <c r="CC26" s="15">
        <f t="shared" si="183"/>
        <v>231833333.33333334</v>
      </c>
      <c r="CD26" s="15">
        <f t="shared" si="183"/>
        <v>231833333.33333334</v>
      </c>
      <c r="CE26" s="15">
        <f t="shared" si="183"/>
        <v>231833333.33333334</v>
      </c>
      <c r="CF26" s="15">
        <f t="shared" si="183"/>
        <v>0</v>
      </c>
      <c r="CG26" s="15">
        <f t="shared" si="183"/>
        <v>0</v>
      </c>
      <c r="CH26" s="15">
        <f t="shared" si="183"/>
        <v>0</v>
      </c>
      <c r="CI26" s="15">
        <f t="shared" si="183"/>
        <v>0</v>
      </c>
      <c r="CJ26" s="15">
        <f t="shared" si="184"/>
        <v>0</v>
      </c>
      <c r="CK26" s="15">
        <f t="shared" si="184"/>
        <v>0</v>
      </c>
      <c r="CL26" s="15">
        <f t="shared" si="184"/>
        <v>0</v>
      </c>
      <c r="CM26" s="15">
        <f t="shared" si="184"/>
        <v>0</v>
      </c>
      <c r="CN26" s="15">
        <f t="shared" si="184"/>
        <v>0</v>
      </c>
      <c r="CO26" s="15">
        <f t="shared" si="184"/>
        <v>0</v>
      </c>
      <c r="CP26" s="15">
        <f t="shared" si="184"/>
        <v>0</v>
      </c>
      <c r="CQ26" s="15">
        <f t="shared" si="184"/>
        <v>0</v>
      </c>
      <c r="CR26" s="15">
        <f t="shared" si="184"/>
        <v>0</v>
      </c>
      <c r="CS26" s="15">
        <f t="shared" si="184"/>
        <v>0</v>
      </c>
      <c r="CT26" s="15">
        <f t="shared" si="184"/>
        <v>0</v>
      </c>
      <c r="CU26" s="15">
        <f t="shared" si="184"/>
        <v>0</v>
      </c>
      <c r="CV26" s="15">
        <f t="shared" si="184"/>
        <v>0</v>
      </c>
      <c r="CW26" s="15">
        <f t="shared" si="184"/>
        <v>0</v>
      </c>
      <c r="CY26" s="15">
        <f t="shared" si="185"/>
        <v>231833333.33333334</v>
      </c>
      <c r="CZ26" s="15">
        <f t="shared" si="185"/>
        <v>231833333.33333334</v>
      </c>
      <c r="DA26" s="15">
        <f t="shared" si="185"/>
        <v>231833333.33333334</v>
      </c>
      <c r="DB26" s="15">
        <f t="shared" si="185"/>
        <v>231833333.33333334</v>
      </c>
      <c r="DC26" s="15">
        <f t="shared" si="185"/>
        <v>231833333.33333334</v>
      </c>
      <c r="DD26" s="15">
        <f t="shared" si="185"/>
        <v>231833333.33333334</v>
      </c>
      <c r="DE26" s="15">
        <f t="shared" si="185"/>
        <v>231833333.33333334</v>
      </c>
      <c r="DF26" s="15">
        <f t="shared" si="185"/>
        <v>231833333.33333334</v>
      </c>
      <c r="DG26" s="15">
        <f t="shared" si="185"/>
        <v>231833333.33333334</v>
      </c>
      <c r="DH26" s="15">
        <f t="shared" si="185"/>
        <v>231833333.33333334</v>
      </c>
      <c r="DI26" s="15">
        <f t="shared" si="185"/>
        <v>231833333.33333334</v>
      </c>
      <c r="DJ26" s="15">
        <f t="shared" si="185"/>
        <v>231833333.33333334</v>
      </c>
      <c r="DK26" s="15">
        <f t="shared" si="185"/>
        <v>0</v>
      </c>
      <c r="DL26" s="15">
        <f t="shared" si="185"/>
        <v>0</v>
      </c>
      <c r="DM26" s="15">
        <f t="shared" si="185"/>
        <v>0</v>
      </c>
      <c r="DN26" s="15">
        <f t="shared" si="185"/>
        <v>0</v>
      </c>
      <c r="DO26" s="15">
        <f t="shared" si="186"/>
        <v>0</v>
      </c>
      <c r="DP26" s="15">
        <f t="shared" si="186"/>
        <v>0</v>
      </c>
      <c r="DQ26" s="15">
        <f t="shared" si="186"/>
        <v>0</v>
      </c>
      <c r="DR26" s="15">
        <f t="shared" si="186"/>
        <v>0</v>
      </c>
      <c r="DS26" s="15">
        <f t="shared" si="186"/>
        <v>0</v>
      </c>
      <c r="DT26" s="15">
        <f t="shared" si="186"/>
        <v>0</v>
      </c>
      <c r="DU26" s="15">
        <f t="shared" si="186"/>
        <v>0</v>
      </c>
      <c r="DV26" s="15">
        <f t="shared" si="186"/>
        <v>0</v>
      </c>
      <c r="DW26" s="15">
        <f t="shared" si="186"/>
        <v>0</v>
      </c>
      <c r="DX26" s="15">
        <f t="shared" si="186"/>
        <v>0</v>
      </c>
      <c r="DY26" s="15">
        <f t="shared" si="186"/>
        <v>0</v>
      </c>
      <c r="DZ26" s="15">
        <f t="shared" si="186"/>
        <v>0</v>
      </c>
      <c r="EA26" s="15">
        <f t="shared" si="186"/>
        <v>0</v>
      </c>
      <c r="EB26" s="15">
        <f t="shared" si="186"/>
        <v>0</v>
      </c>
      <c r="ED26" s="15">
        <f t="shared" si="187"/>
        <v>216666666.66666666</v>
      </c>
      <c r="EE26" s="15">
        <f t="shared" si="187"/>
        <v>216666666.66666666</v>
      </c>
      <c r="EF26" s="15">
        <f t="shared" si="187"/>
        <v>216666666.66666666</v>
      </c>
      <c r="EG26" s="15">
        <f t="shared" si="187"/>
        <v>216666666.66666666</v>
      </c>
      <c r="EH26" s="15">
        <f t="shared" si="187"/>
        <v>216666666.66666666</v>
      </c>
      <c r="EI26" s="15">
        <f t="shared" si="187"/>
        <v>216666666.66666666</v>
      </c>
      <c r="EJ26" s="15">
        <f t="shared" si="187"/>
        <v>216666666.66666666</v>
      </c>
      <c r="EK26" s="15">
        <f t="shared" si="187"/>
        <v>216666666.66666666</v>
      </c>
      <c r="EL26" s="15">
        <f t="shared" si="187"/>
        <v>216666666.66666666</v>
      </c>
      <c r="EM26" s="15">
        <f t="shared" si="187"/>
        <v>216666666.66666666</v>
      </c>
      <c r="EN26" s="15">
        <f t="shared" si="187"/>
        <v>216666666.66666666</v>
      </c>
      <c r="EO26" s="15">
        <f t="shared" si="187"/>
        <v>216666666.66666666</v>
      </c>
      <c r="EP26" s="15">
        <f t="shared" si="187"/>
        <v>0</v>
      </c>
      <c r="EQ26" s="15">
        <f t="shared" si="187"/>
        <v>0</v>
      </c>
      <c r="ER26" s="15">
        <f t="shared" si="187"/>
        <v>0</v>
      </c>
      <c r="ES26" s="15">
        <f t="shared" si="187"/>
        <v>0</v>
      </c>
      <c r="ET26" s="15">
        <f t="shared" si="188"/>
        <v>0</v>
      </c>
      <c r="EU26" s="15">
        <f t="shared" si="188"/>
        <v>0</v>
      </c>
      <c r="EV26" s="15">
        <f t="shared" si="188"/>
        <v>0</v>
      </c>
      <c r="EW26" s="15">
        <f t="shared" si="188"/>
        <v>0</v>
      </c>
      <c r="EX26" s="15">
        <f t="shared" si="188"/>
        <v>0</v>
      </c>
      <c r="EY26" s="15">
        <f t="shared" si="188"/>
        <v>0</v>
      </c>
      <c r="EZ26" s="15">
        <f t="shared" si="188"/>
        <v>0</v>
      </c>
      <c r="FA26" s="15">
        <f t="shared" si="188"/>
        <v>0</v>
      </c>
      <c r="FB26" s="15">
        <f t="shared" si="188"/>
        <v>0</v>
      </c>
      <c r="FC26" s="15">
        <f t="shared" si="188"/>
        <v>0</v>
      </c>
      <c r="FD26" s="15">
        <f t="shared" si="188"/>
        <v>0</v>
      </c>
      <c r="FE26" s="15">
        <f t="shared" si="188"/>
        <v>0</v>
      </c>
      <c r="FF26" s="15">
        <f t="shared" si="188"/>
        <v>0</v>
      </c>
      <c r="FG26" s="15">
        <f t="shared" si="188"/>
        <v>0</v>
      </c>
      <c r="FI26" s="15">
        <f t="shared" si="189"/>
        <v>216666666.66666666</v>
      </c>
      <c r="FJ26" s="15">
        <f t="shared" si="189"/>
        <v>216666666.66666666</v>
      </c>
      <c r="FK26" s="15">
        <f t="shared" si="189"/>
        <v>216666666.66666666</v>
      </c>
      <c r="FL26" s="15">
        <f t="shared" si="189"/>
        <v>216666666.66666666</v>
      </c>
      <c r="FM26" s="15">
        <f t="shared" si="189"/>
        <v>216666666.66666666</v>
      </c>
      <c r="FN26" s="15">
        <f t="shared" si="189"/>
        <v>216666666.66666666</v>
      </c>
      <c r="FO26" s="15">
        <f t="shared" si="189"/>
        <v>216666666.66666666</v>
      </c>
      <c r="FP26" s="15">
        <f t="shared" si="189"/>
        <v>216666666.66666666</v>
      </c>
      <c r="FQ26" s="15">
        <f t="shared" si="189"/>
        <v>216666666.66666666</v>
      </c>
      <c r="FR26" s="15">
        <f t="shared" si="189"/>
        <v>216666666.66666666</v>
      </c>
      <c r="FS26" s="15">
        <f t="shared" si="189"/>
        <v>216666666.66666666</v>
      </c>
      <c r="FT26" s="15">
        <f t="shared" si="189"/>
        <v>216666666.66666666</v>
      </c>
      <c r="FU26" s="15">
        <f t="shared" si="189"/>
        <v>0</v>
      </c>
      <c r="FV26" s="15">
        <f t="shared" si="189"/>
        <v>0</v>
      </c>
      <c r="FW26" s="15">
        <f t="shared" si="189"/>
        <v>0</v>
      </c>
      <c r="FX26" s="15">
        <f t="shared" si="189"/>
        <v>0</v>
      </c>
      <c r="FY26" s="15">
        <f t="shared" si="190"/>
        <v>0</v>
      </c>
      <c r="FZ26" s="15">
        <f t="shared" si="190"/>
        <v>0</v>
      </c>
      <c r="GA26" s="15">
        <f t="shared" si="190"/>
        <v>0</v>
      </c>
      <c r="GB26" s="15">
        <f t="shared" si="190"/>
        <v>0</v>
      </c>
      <c r="GC26" s="15">
        <f t="shared" si="190"/>
        <v>0</v>
      </c>
      <c r="GD26" s="15">
        <f t="shared" si="190"/>
        <v>0</v>
      </c>
      <c r="GE26" s="15">
        <f t="shared" si="190"/>
        <v>0</v>
      </c>
      <c r="GF26" s="15">
        <f t="shared" si="190"/>
        <v>0</v>
      </c>
      <c r="GG26" s="15">
        <f t="shared" si="190"/>
        <v>0</v>
      </c>
      <c r="GH26" s="15">
        <f t="shared" si="190"/>
        <v>0</v>
      </c>
      <c r="GI26" s="15">
        <f t="shared" si="190"/>
        <v>0</v>
      </c>
      <c r="GJ26" s="15">
        <f t="shared" si="190"/>
        <v>0</v>
      </c>
      <c r="GK26" s="15">
        <f t="shared" si="190"/>
        <v>0</v>
      </c>
      <c r="GL26" s="15">
        <f t="shared" si="190"/>
        <v>0</v>
      </c>
      <c r="GN26" s="15">
        <f t="shared" si="191"/>
        <v>216666666.66666666</v>
      </c>
      <c r="GO26" s="15">
        <f t="shared" si="191"/>
        <v>216666666.66666666</v>
      </c>
      <c r="GP26" s="15">
        <f t="shared" si="191"/>
        <v>216666666.66666666</v>
      </c>
      <c r="GQ26" s="15">
        <f t="shared" si="191"/>
        <v>216666666.66666666</v>
      </c>
      <c r="GR26" s="15">
        <f t="shared" si="191"/>
        <v>216666666.66666666</v>
      </c>
      <c r="GS26" s="15">
        <f t="shared" si="191"/>
        <v>216666666.66666666</v>
      </c>
      <c r="GT26" s="15">
        <f t="shared" si="191"/>
        <v>216666666.66666666</v>
      </c>
      <c r="GU26" s="15">
        <f t="shared" si="191"/>
        <v>216666666.66666666</v>
      </c>
      <c r="GV26" s="15">
        <f t="shared" si="191"/>
        <v>216666666.66666666</v>
      </c>
      <c r="GW26" s="15">
        <f t="shared" si="191"/>
        <v>216666666.66666666</v>
      </c>
      <c r="GX26" s="15">
        <f t="shared" si="191"/>
        <v>216666666.66666666</v>
      </c>
      <c r="GY26" s="15">
        <f t="shared" si="191"/>
        <v>216666666.66666666</v>
      </c>
      <c r="GZ26" s="15">
        <f t="shared" si="191"/>
        <v>0</v>
      </c>
      <c r="HA26" s="15">
        <f t="shared" si="191"/>
        <v>0</v>
      </c>
      <c r="HB26" s="15">
        <f t="shared" si="191"/>
        <v>0</v>
      </c>
      <c r="HC26" s="15">
        <f t="shared" si="191"/>
        <v>0</v>
      </c>
      <c r="HD26" s="15">
        <f t="shared" si="192"/>
        <v>0</v>
      </c>
      <c r="HE26" s="15">
        <f t="shared" si="192"/>
        <v>0</v>
      </c>
      <c r="HF26" s="15">
        <f t="shared" si="192"/>
        <v>0</v>
      </c>
      <c r="HG26" s="15">
        <f t="shared" si="192"/>
        <v>0</v>
      </c>
      <c r="HH26" s="15">
        <f t="shared" si="192"/>
        <v>0</v>
      </c>
      <c r="HI26" s="15">
        <f t="shared" si="192"/>
        <v>0</v>
      </c>
      <c r="HJ26" s="15">
        <f t="shared" si="192"/>
        <v>0</v>
      </c>
      <c r="HK26" s="15">
        <f t="shared" si="192"/>
        <v>0</v>
      </c>
      <c r="HL26" s="15">
        <f t="shared" si="192"/>
        <v>0</v>
      </c>
      <c r="HM26" s="15">
        <f t="shared" si="192"/>
        <v>0</v>
      </c>
      <c r="HN26" s="15">
        <f t="shared" si="192"/>
        <v>0</v>
      </c>
      <c r="HO26" s="15">
        <f t="shared" si="192"/>
        <v>0</v>
      </c>
      <c r="HP26" s="15">
        <f t="shared" si="192"/>
        <v>0</v>
      </c>
      <c r="HQ26" s="15">
        <f t="shared" si="192"/>
        <v>0</v>
      </c>
    </row>
    <row r="27" spans="1:225" outlineLevel="1" x14ac:dyDescent="0.25">
      <c r="B27" t="s">
        <v>346</v>
      </c>
      <c r="C27" s="496" t="s">
        <v>372</v>
      </c>
      <c r="D27" s="614" t="s">
        <v>213</v>
      </c>
      <c r="E27" s="467">
        <v>1</v>
      </c>
      <c r="F27" s="221"/>
      <c r="G27" s="457">
        <v>12</v>
      </c>
      <c r="H27" s="468">
        <f>(2500000000/$D$6)*1.04</f>
        <v>2600000000</v>
      </c>
      <c r="I27" s="457">
        <f t="shared" si="164"/>
        <v>2600000000</v>
      </c>
      <c r="J27" s="457">
        <f t="shared" si="165"/>
        <v>216666666.66666666</v>
      </c>
      <c r="K27" s="221"/>
      <c r="L27" s="457">
        <v>12</v>
      </c>
      <c r="M27" s="457">
        <f t="shared" si="166"/>
        <v>2782000000</v>
      </c>
      <c r="N27" s="457">
        <f t="shared" si="167"/>
        <v>2782000000</v>
      </c>
      <c r="O27" s="457">
        <f t="shared" si="168"/>
        <v>231833333.33333334</v>
      </c>
      <c r="P27" s="221"/>
      <c r="Q27" s="457">
        <v>12</v>
      </c>
      <c r="R27" s="457">
        <f t="shared" si="169"/>
        <v>2782000000</v>
      </c>
      <c r="S27" s="457">
        <f t="shared" si="170"/>
        <v>2782000000</v>
      </c>
      <c r="T27" s="457">
        <f t="shared" si="171"/>
        <v>231833333.33333334</v>
      </c>
      <c r="U27" s="221"/>
      <c r="V27" s="457">
        <v>12</v>
      </c>
      <c r="W27" s="457">
        <f t="shared" si="172"/>
        <v>2600000000</v>
      </c>
      <c r="X27" s="457">
        <f t="shared" si="173"/>
        <v>2600000000</v>
      </c>
      <c r="Y27" s="457">
        <f t="shared" si="174"/>
        <v>216666666.66666666</v>
      </c>
      <c r="Z27" s="221"/>
      <c r="AA27" s="457">
        <v>12</v>
      </c>
      <c r="AB27" s="457">
        <f t="shared" si="175"/>
        <v>2600000000</v>
      </c>
      <c r="AC27" s="457">
        <f t="shared" si="176"/>
        <v>2600000000</v>
      </c>
      <c r="AD27" s="457">
        <f t="shared" si="177"/>
        <v>216666666.66666666</v>
      </c>
      <c r="AE27" s="221"/>
      <c r="AF27" s="457">
        <v>12</v>
      </c>
      <c r="AG27" s="457">
        <f t="shared" si="178"/>
        <v>2600000000</v>
      </c>
      <c r="AH27" s="457">
        <f t="shared" si="179"/>
        <v>2600000000</v>
      </c>
      <c r="AI27" s="457">
        <f t="shared" si="180"/>
        <v>216666666.66666666</v>
      </c>
      <c r="AJ27" s="221"/>
      <c r="AL27" t="s">
        <v>547</v>
      </c>
      <c r="AM27" t="s">
        <v>337</v>
      </c>
      <c r="AO27" s="15">
        <f t="shared" si="181"/>
        <v>216666666.66666666</v>
      </c>
      <c r="AP27" s="15">
        <f t="shared" si="181"/>
        <v>216666666.66666666</v>
      </c>
      <c r="AQ27" s="15">
        <f t="shared" si="181"/>
        <v>216666666.66666666</v>
      </c>
      <c r="AR27" s="15">
        <f t="shared" si="181"/>
        <v>216666666.66666666</v>
      </c>
      <c r="AS27" s="15">
        <f t="shared" si="181"/>
        <v>216666666.66666666</v>
      </c>
      <c r="AT27" s="15">
        <f t="shared" si="181"/>
        <v>216666666.66666666</v>
      </c>
      <c r="AU27" s="15">
        <f t="shared" si="181"/>
        <v>216666666.66666666</v>
      </c>
      <c r="AV27" s="15">
        <f t="shared" si="181"/>
        <v>216666666.66666666</v>
      </c>
      <c r="AW27" s="15">
        <f t="shared" si="181"/>
        <v>216666666.66666666</v>
      </c>
      <c r="AX27" s="15">
        <f t="shared" si="181"/>
        <v>216666666.66666666</v>
      </c>
      <c r="AY27" s="15">
        <f t="shared" si="181"/>
        <v>216666666.66666666</v>
      </c>
      <c r="AZ27" s="15">
        <f t="shared" si="181"/>
        <v>216666666.66666666</v>
      </c>
      <c r="BA27" s="15">
        <f t="shared" si="181"/>
        <v>0</v>
      </c>
      <c r="BB27" s="15">
        <f t="shared" si="181"/>
        <v>0</v>
      </c>
      <c r="BC27" s="15">
        <f t="shared" si="181"/>
        <v>0</v>
      </c>
      <c r="BD27" s="15">
        <f t="shared" si="181"/>
        <v>0</v>
      </c>
      <c r="BE27" s="15">
        <f t="shared" si="182"/>
        <v>0</v>
      </c>
      <c r="BF27" s="15">
        <f t="shared" si="182"/>
        <v>0</v>
      </c>
      <c r="BG27" s="15">
        <f t="shared" si="182"/>
        <v>0</v>
      </c>
      <c r="BH27" s="15">
        <f t="shared" si="182"/>
        <v>0</v>
      </c>
      <c r="BI27" s="15">
        <f t="shared" si="182"/>
        <v>0</v>
      </c>
      <c r="BJ27" s="15">
        <f t="shared" si="182"/>
        <v>0</v>
      </c>
      <c r="BK27" s="15">
        <f t="shared" si="182"/>
        <v>0</v>
      </c>
      <c r="BL27" s="15">
        <f t="shared" si="182"/>
        <v>0</v>
      </c>
      <c r="BM27" s="15">
        <f t="shared" si="182"/>
        <v>0</v>
      </c>
      <c r="BN27" s="15">
        <f t="shared" si="182"/>
        <v>0</v>
      </c>
      <c r="BO27" s="15">
        <f t="shared" si="182"/>
        <v>0</v>
      </c>
      <c r="BP27" s="15">
        <f t="shared" si="182"/>
        <v>0</v>
      </c>
      <c r="BQ27" s="15">
        <f t="shared" si="182"/>
        <v>0</v>
      </c>
      <c r="BR27" s="15">
        <f t="shared" si="182"/>
        <v>0</v>
      </c>
      <c r="BT27" s="15">
        <f t="shared" si="183"/>
        <v>231833333.33333334</v>
      </c>
      <c r="BU27" s="15">
        <f t="shared" si="183"/>
        <v>231833333.33333334</v>
      </c>
      <c r="BV27" s="15">
        <f t="shared" si="183"/>
        <v>231833333.33333334</v>
      </c>
      <c r="BW27" s="15">
        <f t="shared" si="183"/>
        <v>231833333.33333334</v>
      </c>
      <c r="BX27" s="15">
        <f t="shared" si="183"/>
        <v>231833333.33333334</v>
      </c>
      <c r="BY27" s="15">
        <f t="shared" si="183"/>
        <v>231833333.33333334</v>
      </c>
      <c r="BZ27" s="15">
        <f t="shared" si="183"/>
        <v>231833333.33333334</v>
      </c>
      <c r="CA27" s="15">
        <f t="shared" si="183"/>
        <v>231833333.33333334</v>
      </c>
      <c r="CB27" s="15">
        <f t="shared" si="183"/>
        <v>231833333.33333334</v>
      </c>
      <c r="CC27" s="15">
        <f t="shared" si="183"/>
        <v>231833333.33333334</v>
      </c>
      <c r="CD27" s="15">
        <f t="shared" si="183"/>
        <v>231833333.33333334</v>
      </c>
      <c r="CE27" s="15">
        <f t="shared" si="183"/>
        <v>231833333.33333334</v>
      </c>
      <c r="CF27" s="15">
        <f t="shared" si="183"/>
        <v>0</v>
      </c>
      <c r="CG27" s="15">
        <f t="shared" si="183"/>
        <v>0</v>
      </c>
      <c r="CH27" s="15">
        <f t="shared" si="183"/>
        <v>0</v>
      </c>
      <c r="CI27" s="15">
        <f t="shared" si="183"/>
        <v>0</v>
      </c>
      <c r="CJ27" s="15">
        <f t="shared" si="184"/>
        <v>0</v>
      </c>
      <c r="CK27" s="15">
        <f t="shared" si="184"/>
        <v>0</v>
      </c>
      <c r="CL27" s="15">
        <f t="shared" si="184"/>
        <v>0</v>
      </c>
      <c r="CM27" s="15">
        <f t="shared" si="184"/>
        <v>0</v>
      </c>
      <c r="CN27" s="15">
        <f t="shared" si="184"/>
        <v>0</v>
      </c>
      <c r="CO27" s="15">
        <f t="shared" si="184"/>
        <v>0</v>
      </c>
      <c r="CP27" s="15">
        <f t="shared" si="184"/>
        <v>0</v>
      </c>
      <c r="CQ27" s="15">
        <f t="shared" si="184"/>
        <v>0</v>
      </c>
      <c r="CR27" s="15">
        <f t="shared" si="184"/>
        <v>0</v>
      </c>
      <c r="CS27" s="15">
        <f t="shared" si="184"/>
        <v>0</v>
      </c>
      <c r="CT27" s="15">
        <f t="shared" si="184"/>
        <v>0</v>
      </c>
      <c r="CU27" s="15">
        <f t="shared" si="184"/>
        <v>0</v>
      </c>
      <c r="CV27" s="15">
        <f t="shared" si="184"/>
        <v>0</v>
      </c>
      <c r="CW27" s="15">
        <f t="shared" si="184"/>
        <v>0</v>
      </c>
      <c r="CY27" s="15">
        <f t="shared" si="185"/>
        <v>231833333.33333334</v>
      </c>
      <c r="CZ27" s="15">
        <f t="shared" si="185"/>
        <v>231833333.33333334</v>
      </c>
      <c r="DA27" s="15">
        <f t="shared" si="185"/>
        <v>231833333.33333334</v>
      </c>
      <c r="DB27" s="15">
        <f t="shared" si="185"/>
        <v>231833333.33333334</v>
      </c>
      <c r="DC27" s="15">
        <f t="shared" si="185"/>
        <v>231833333.33333334</v>
      </c>
      <c r="DD27" s="15">
        <f t="shared" si="185"/>
        <v>231833333.33333334</v>
      </c>
      <c r="DE27" s="15">
        <f t="shared" si="185"/>
        <v>231833333.33333334</v>
      </c>
      <c r="DF27" s="15">
        <f t="shared" si="185"/>
        <v>231833333.33333334</v>
      </c>
      <c r="DG27" s="15">
        <f t="shared" si="185"/>
        <v>231833333.33333334</v>
      </c>
      <c r="DH27" s="15">
        <f t="shared" si="185"/>
        <v>231833333.33333334</v>
      </c>
      <c r="DI27" s="15">
        <f t="shared" si="185"/>
        <v>231833333.33333334</v>
      </c>
      <c r="DJ27" s="15">
        <f t="shared" si="185"/>
        <v>231833333.33333334</v>
      </c>
      <c r="DK27" s="15">
        <f t="shared" si="185"/>
        <v>0</v>
      </c>
      <c r="DL27" s="15">
        <f t="shared" si="185"/>
        <v>0</v>
      </c>
      <c r="DM27" s="15">
        <f t="shared" si="185"/>
        <v>0</v>
      </c>
      <c r="DN27" s="15">
        <f t="shared" si="185"/>
        <v>0</v>
      </c>
      <c r="DO27" s="15">
        <f t="shared" si="186"/>
        <v>0</v>
      </c>
      <c r="DP27" s="15">
        <f t="shared" si="186"/>
        <v>0</v>
      </c>
      <c r="DQ27" s="15">
        <f t="shared" si="186"/>
        <v>0</v>
      </c>
      <c r="DR27" s="15">
        <f t="shared" si="186"/>
        <v>0</v>
      </c>
      <c r="DS27" s="15">
        <f t="shared" si="186"/>
        <v>0</v>
      </c>
      <c r="DT27" s="15">
        <f t="shared" si="186"/>
        <v>0</v>
      </c>
      <c r="DU27" s="15">
        <f t="shared" si="186"/>
        <v>0</v>
      </c>
      <c r="DV27" s="15">
        <f t="shared" si="186"/>
        <v>0</v>
      </c>
      <c r="DW27" s="15">
        <f t="shared" si="186"/>
        <v>0</v>
      </c>
      <c r="DX27" s="15">
        <f t="shared" si="186"/>
        <v>0</v>
      </c>
      <c r="DY27" s="15">
        <f t="shared" si="186"/>
        <v>0</v>
      </c>
      <c r="DZ27" s="15">
        <f t="shared" si="186"/>
        <v>0</v>
      </c>
      <c r="EA27" s="15">
        <f t="shared" si="186"/>
        <v>0</v>
      </c>
      <c r="EB27" s="15">
        <f t="shared" si="186"/>
        <v>0</v>
      </c>
      <c r="ED27" s="15">
        <f t="shared" si="187"/>
        <v>216666666.66666666</v>
      </c>
      <c r="EE27" s="15">
        <f t="shared" si="187"/>
        <v>216666666.66666666</v>
      </c>
      <c r="EF27" s="15">
        <f t="shared" si="187"/>
        <v>216666666.66666666</v>
      </c>
      <c r="EG27" s="15">
        <f t="shared" si="187"/>
        <v>216666666.66666666</v>
      </c>
      <c r="EH27" s="15">
        <f t="shared" si="187"/>
        <v>216666666.66666666</v>
      </c>
      <c r="EI27" s="15">
        <f t="shared" si="187"/>
        <v>216666666.66666666</v>
      </c>
      <c r="EJ27" s="15">
        <f t="shared" si="187"/>
        <v>216666666.66666666</v>
      </c>
      <c r="EK27" s="15">
        <f t="shared" si="187"/>
        <v>216666666.66666666</v>
      </c>
      <c r="EL27" s="15">
        <f t="shared" si="187"/>
        <v>216666666.66666666</v>
      </c>
      <c r="EM27" s="15">
        <f t="shared" si="187"/>
        <v>216666666.66666666</v>
      </c>
      <c r="EN27" s="15">
        <f t="shared" si="187"/>
        <v>216666666.66666666</v>
      </c>
      <c r="EO27" s="15">
        <f t="shared" si="187"/>
        <v>216666666.66666666</v>
      </c>
      <c r="EP27" s="15">
        <f t="shared" si="187"/>
        <v>0</v>
      </c>
      <c r="EQ27" s="15">
        <f t="shared" si="187"/>
        <v>0</v>
      </c>
      <c r="ER27" s="15">
        <f t="shared" si="187"/>
        <v>0</v>
      </c>
      <c r="ES27" s="15">
        <f t="shared" si="187"/>
        <v>0</v>
      </c>
      <c r="ET27" s="15">
        <f t="shared" si="188"/>
        <v>0</v>
      </c>
      <c r="EU27" s="15">
        <f t="shared" si="188"/>
        <v>0</v>
      </c>
      <c r="EV27" s="15">
        <f t="shared" si="188"/>
        <v>0</v>
      </c>
      <c r="EW27" s="15">
        <f t="shared" si="188"/>
        <v>0</v>
      </c>
      <c r="EX27" s="15">
        <f t="shared" si="188"/>
        <v>0</v>
      </c>
      <c r="EY27" s="15">
        <f t="shared" si="188"/>
        <v>0</v>
      </c>
      <c r="EZ27" s="15">
        <f t="shared" si="188"/>
        <v>0</v>
      </c>
      <c r="FA27" s="15">
        <f t="shared" si="188"/>
        <v>0</v>
      </c>
      <c r="FB27" s="15">
        <f t="shared" si="188"/>
        <v>0</v>
      </c>
      <c r="FC27" s="15">
        <f t="shared" si="188"/>
        <v>0</v>
      </c>
      <c r="FD27" s="15">
        <f t="shared" si="188"/>
        <v>0</v>
      </c>
      <c r="FE27" s="15">
        <f t="shared" si="188"/>
        <v>0</v>
      </c>
      <c r="FF27" s="15">
        <f t="shared" si="188"/>
        <v>0</v>
      </c>
      <c r="FG27" s="15">
        <f t="shared" si="188"/>
        <v>0</v>
      </c>
      <c r="FI27" s="15">
        <f t="shared" si="189"/>
        <v>216666666.66666666</v>
      </c>
      <c r="FJ27" s="15">
        <f t="shared" si="189"/>
        <v>216666666.66666666</v>
      </c>
      <c r="FK27" s="15">
        <f t="shared" si="189"/>
        <v>216666666.66666666</v>
      </c>
      <c r="FL27" s="15">
        <f t="shared" si="189"/>
        <v>216666666.66666666</v>
      </c>
      <c r="FM27" s="15">
        <f t="shared" si="189"/>
        <v>216666666.66666666</v>
      </c>
      <c r="FN27" s="15">
        <f t="shared" si="189"/>
        <v>216666666.66666666</v>
      </c>
      <c r="FO27" s="15">
        <f t="shared" si="189"/>
        <v>216666666.66666666</v>
      </c>
      <c r="FP27" s="15">
        <f t="shared" si="189"/>
        <v>216666666.66666666</v>
      </c>
      <c r="FQ27" s="15">
        <f t="shared" si="189"/>
        <v>216666666.66666666</v>
      </c>
      <c r="FR27" s="15">
        <f t="shared" si="189"/>
        <v>216666666.66666666</v>
      </c>
      <c r="FS27" s="15">
        <f t="shared" si="189"/>
        <v>216666666.66666666</v>
      </c>
      <c r="FT27" s="15">
        <f t="shared" si="189"/>
        <v>216666666.66666666</v>
      </c>
      <c r="FU27" s="15">
        <f t="shared" si="189"/>
        <v>0</v>
      </c>
      <c r="FV27" s="15">
        <f t="shared" si="189"/>
        <v>0</v>
      </c>
      <c r="FW27" s="15">
        <f t="shared" si="189"/>
        <v>0</v>
      </c>
      <c r="FX27" s="15">
        <f t="shared" si="189"/>
        <v>0</v>
      </c>
      <c r="FY27" s="15">
        <f t="shared" si="190"/>
        <v>0</v>
      </c>
      <c r="FZ27" s="15">
        <f t="shared" si="190"/>
        <v>0</v>
      </c>
      <c r="GA27" s="15">
        <f t="shared" si="190"/>
        <v>0</v>
      </c>
      <c r="GB27" s="15">
        <f t="shared" si="190"/>
        <v>0</v>
      </c>
      <c r="GC27" s="15">
        <f t="shared" si="190"/>
        <v>0</v>
      </c>
      <c r="GD27" s="15">
        <f t="shared" si="190"/>
        <v>0</v>
      </c>
      <c r="GE27" s="15">
        <f t="shared" si="190"/>
        <v>0</v>
      </c>
      <c r="GF27" s="15">
        <f t="shared" si="190"/>
        <v>0</v>
      </c>
      <c r="GG27" s="15">
        <f t="shared" si="190"/>
        <v>0</v>
      </c>
      <c r="GH27" s="15">
        <f t="shared" si="190"/>
        <v>0</v>
      </c>
      <c r="GI27" s="15">
        <f t="shared" si="190"/>
        <v>0</v>
      </c>
      <c r="GJ27" s="15">
        <f t="shared" si="190"/>
        <v>0</v>
      </c>
      <c r="GK27" s="15">
        <f t="shared" si="190"/>
        <v>0</v>
      </c>
      <c r="GL27" s="15">
        <f t="shared" si="190"/>
        <v>0</v>
      </c>
      <c r="GN27" s="15">
        <f t="shared" si="191"/>
        <v>216666666.66666666</v>
      </c>
      <c r="GO27" s="15">
        <f t="shared" si="191"/>
        <v>216666666.66666666</v>
      </c>
      <c r="GP27" s="15">
        <f t="shared" si="191"/>
        <v>216666666.66666666</v>
      </c>
      <c r="GQ27" s="15">
        <f t="shared" si="191"/>
        <v>216666666.66666666</v>
      </c>
      <c r="GR27" s="15">
        <f t="shared" si="191"/>
        <v>216666666.66666666</v>
      </c>
      <c r="GS27" s="15">
        <f t="shared" si="191"/>
        <v>216666666.66666666</v>
      </c>
      <c r="GT27" s="15">
        <f t="shared" si="191"/>
        <v>216666666.66666666</v>
      </c>
      <c r="GU27" s="15">
        <f t="shared" si="191"/>
        <v>216666666.66666666</v>
      </c>
      <c r="GV27" s="15">
        <f t="shared" si="191"/>
        <v>216666666.66666666</v>
      </c>
      <c r="GW27" s="15">
        <f t="shared" si="191"/>
        <v>216666666.66666666</v>
      </c>
      <c r="GX27" s="15">
        <f t="shared" si="191"/>
        <v>216666666.66666666</v>
      </c>
      <c r="GY27" s="15">
        <f t="shared" si="191"/>
        <v>216666666.66666666</v>
      </c>
      <c r="GZ27" s="15">
        <f t="shared" si="191"/>
        <v>0</v>
      </c>
      <c r="HA27" s="15">
        <f t="shared" si="191"/>
        <v>0</v>
      </c>
      <c r="HB27" s="15">
        <f t="shared" si="191"/>
        <v>0</v>
      </c>
      <c r="HC27" s="15">
        <f t="shared" si="191"/>
        <v>0</v>
      </c>
      <c r="HD27" s="15">
        <f t="shared" si="192"/>
        <v>0</v>
      </c>
      <c r="HE27" s="15">
        <f t="shared" si="192"/>
        <v>0</v>
      </c>
      <c r="HF27" s="15">
        <f t="shared" si="192"/>
        <v>0</v>
      </c>
      <c r="HG27" s="15">
        <f t="shared" si="192"/>
        <v>0</v>
      </c>
      <c r="HH27" s="15">
        <f t="shared" si="192"/>
        <v>0</v>
      </c>
      <c r="HI27" s="15">
        <f t="shared" si="192"/>
        <v>0</v>
      </c>
      <c r="HJ27" s="15">
        <f t="shared" si="192"/>
        <v>0</v>
      </c>
      <c r="HK27" s="15">
        <f t="shared" si="192"/>
        <v>0</v>
      </c>
      <c r="HL27" s="15">
        <f t="shared" si="192"/>
        <v>0</v>
      </c>
      <c r="HM27" s="15">
        <f t="shared" si="192"/>
        <v>0</v>
      </c>
      <c r="HN27" s="15">
        <f t="shared" si="192"/>
        <v>0</v>
      </c>
      <c r="HO27" s="15">
        <f t="shared" si="192"/>
        <v>0</v>
      </c>
      <c r="HP27" s="15">
        <f t="shared" si="192"/>
        <v>0</v>
      </c>
      <c r="HQ27" s="15">
        <f t="shared" si="192"/>
        <v>0</v>
      </c>
    </row>
    <row r="28" spans="1:225" s="142" customFormat="1" outlineLevel="1" x14ac:dyDescent="0.25">
      <c r="B28" s="142" t="s">
        <v>346</v>
      </c>
      <c r="C28" s="619" t="s">
        <v>373</v>
      </c>
      <c r="D28" s="620" t="s">
        <v>366</v>
      </c>
      <c r="E28" s="621">
        <v>1</v>
      </c>
      <c r="F28" s="224"/>
      <c r="G28" s="622">
        <v>12</v>
      </c>
      <c r="H28" s="472">
        <f>(2000000000/$D$6)*1.04</f>
        <v>2080000000</v>
      </c>
      <c r="I28" s="622">
        <f t="shared" si="164"/>
        <v>2080000000</v>
      </c>
      <c r="J28" s="622">
        <f t="shared" si="165"/>
        <v>173333333.33333334</v>
      </c>
      <c r="K28" s="224"/>
      <c r="L28" s="622">
        <v>12</v>
      </c>
      <c r="M28" s="622">
        <f t="shared" si="166"/>
        <v>2236000000</v>
      </c>
      <c r="N28" s="622">
        <f t="shared" si="167"/>
        <v>2236000000</v>
      </c>
      <c r="O28" s="622">
        <f t="shared" si="168"/>
        <v>186333333.33333334</v>
      </c>
      <c r="P28" s="224"/>
      <c r="Q28" s="622">
        <v>12</v>
      </c>
      <c r="R28" s="622">
        <f t="shared" si="169"/>
        <v>2236000000</v>
      </c>
      <c r="S28" s="622">
        <f t="shared" si="170"/>
        <v>2236000000</v>
      </c>
      <c r="T28" s="622">
        <f t="shared" si="171"/>
        <v>186333333.33333334</v>
      </c>
      <c r="U28" s="224"/>
      <c r="V28" s="622">
        <v>12</v>
      </c>
      <c r="W28" s="622">
        <f t="shared" si="172"/>
        <v>2080000000</v>
      </c>
      <c r="X28" s="622">
        <f t="shared" si="173"/>
        <v>2080000000</v>
      </c>
      <c r="Y28" s="622">
        <f t="shared" si="174"/>
        <v>173333333.33333334</v>
      </c>
      <c r="Z28" s="224"/>
      <c r="AA28" s="622">
        <v>12</v>
      </c>
      <c r="AB28" s="622">
        <f t="shared" si="175"/>
        <v>2080000000</v>
      </c>
      <c r="AC28" s="622">
        <f t="shared" si="176"/>
        <v>2080000000</v>
      </c>
      <c r="AD28" s="622">
        <f t="shared" si="177"/>
        <v>173333333.33333334</v>
      </c>
      <c r="AE28" s="224"/>
      <c r="AF28" s="622">
        <v>12</v>
      </c>
      <c r="AG28" s="622">
        <f t="shared" si="178"/>
        <v>2080000000</v>
      </c>
      <c r="AH28" s="622">
        <f t="shared" si="179"/>
        <v>2080000000</v>
      </c>
      <c r="AI28" s="622">
        <f t="shared" si="180"/>
        <v>173333333.33333334</v>
      </c>
      <c r="AJ28" s="224"/>
      <c r="AL28" t="s">
        <v>547</v>
      </c>
      <c r="AM28" s="142" t="s">
        <v>337</v>
      </c>
      <c r="AO28" s="143">
        <f t="shared" si="181"/>
        <v>173333333.33333334</v>
      </c>
      <c r="AP28" s="143">
        <f t="shared" si="181"/>
        <v>173333333.33333334</v>
      </c>
      <c r="AQ28" s="143">
        <f t="shared" si="181"/>
        <v>173333333.33333334</v>
      </c>
      <c r="AR28" s="143">
        <f t="shared" si="181"/>
        <v>173333333.33333334</v>
      </c>
      <c r="AS28" s="143">
        <f t="shared" si="181"/>
        <v>173333333.33333334</v>
      </c>
      <c r="AT28" s="143">
        <f t="shared" si="181"/>
        <v>173333333.33333334</v>
      </c>
      <c r="AU28" s="143">
        <f t="shared" si="181"/>
        <v>173333333.33333334</v>
      </c>
      <c r="AV28" s="143">
        <f t="shared" si="181"/>
        <v>173333333.33333334</v>
      </c>
      <c r="AW28" s="143">
        <f t="shared" si="181"/>
        <v>173333333.33333334</v>
      </c>
      <c r="AX28" s="143">
        <f t="shared" si="181"/>
        <v>173333333.33333334</v>
      </c>
      <c r="AY28" s="143">
        <f t="shared" si="181"/>
        <v>173333333.33333334</v>
      </c>
      <c r="AZ28" s="143">
        <f t="shared" si="181"/>
        <v>173333333.33333334</v>
      </c>
      <c r="BA28" s="143">
        <f t="shared" si="181"/>
        <v>0</v>
      </c>
      <c r="BB28" s="143">
        <f t="shared" si="181"/>
        <v>0</v>
      </c>
      <c r="BC28" s="143">
        <f t="shared" si="181"/>
        <v>0</v>
      </c>
      <c r="BD28" s="143">
        <f t="shared" si="181"/>
        <v>0</v>
      </c>
      <c r="BE28" s="143">
        <f t="shared" si="182"/>
        <v>0</v>
      </c>
      <c r="BF28" s="143">
        <f t="shared" si="182"/>
        <v>0</v>
      </c>
      <c r="BG28" s="143">
        <f t="shared" si="182"/>
        <v>0</v>
      </c>
      <c r="BH28" s="143">
        <f t="shared" si="182"/>
        <v>0</v>
      </c>
      <c r="BI28" s="143">
        <f t="shared" si="182"/>
        <v>0</v>
      </c>
      <c r="BJ28" s="143">
        <f t="shared" si="182"/>
        <v>0</v>
      </c>
      <c r="BK28" s="143">
        <f t="shared" si="182"/>
        <v>0</v>
      </c>
      <c r="BL28" s="143">
        <f t="shared" si="182"/>
        <v>0</v>
      </c>
      <c r="BM28" s="143">
        <f t="shared" si="182"/>
        <v>0</v>
      </c>
      <c r="BN28" s="143">
        <f t="shared" si="182"/>
        <v>0</v>
      </c>
      <c r="BO28" s="143">
        <f t="shared" si="182"/>
        <v>0</v>
      </c>
      <c r="BP28" s="143">
        <f t="shared" si="182"/>
        <v>0</v>
      </c>
      <c r="BQ28" s="143">
        <f t="shared" si="182"/>
        <v>0</v>
      </c>
      <c r="BR28" s="143">
        <f t="shared" si="182"/>
        <v>0</v>
      </c>
      <c r="BT28" s="143">
        <f t="shared" si="183"/>
        <v>186333333.33333334</v>
      </c>
      <c r="BU28" s="143">
        <f t="shared" si="183"/>
        <v>186333333.33333334</v>
      </c>
      <c r="BV28" s="143">
        <f t="shared" si="183"/>
        <v>186333333.33333334</v>
      </c>
      <c r="BW28" s="143">
        <f t="shared" si="183"/>
        <v>186333333.33333334</v>
      </c>
      <c r="BX28" s="143">
        <f t="shared" si="183"/>
        <v>186333333.33333334</v>
      </c>
      <c r="BY28" s="143">
        <f t="shared" si="183"/>
        <v>186333333.33333334</v>
      </c>
      <c r="BZ28" s="143">
        <f t="shared" si="183"/>
        <v>186333333.33333334</v>
      </c>
      <c r="CA28" s="143">
        <f t="shared" si="183"/>
        <v>186333333.33333334</v>
      </c>
      <c r="CB28" s="143">
        <f t="shared" si="183"/>
        <v>186333333.33333334</v>
      </c>
      <c r="CC28" s="143">
        <f t="shared" si="183"/>
        <v>186333333.33333334</v>
      </c>
      <c r="CD28" s="143">
        <f t="shared" si="183"/>
        <v>186333333.33333334</v>
      </c>
      <c r="CE28" s="143">
        <f t="shared" si="183"/>
        <v>186333333.33333334</v>
      </c>
      <c r="CF28" s="143">
        <f t="shared" si="183"/>
        <v>0</v>
      </c>
      <c r="CG28" s="143">
        <f t="shared" si="183"/>
        <v>0</v>
      </c>
      <c r="CH28" s="143">
        <f t="shared" si="183"/>
        <v>0</v>
      </c>
      <c r="CI28" s="143">
        <f t="shared" si="183"/>
        <v>0</v>
      </c>
      <c r="CJ28" s="143">
        <f t="shared" si="184"/>
        <v>0</v>
      </c>
      <c r="CK28" s="143">
        <f t="shared" si="184"/>
        <v>0</v>
      </c>
      <c r="CL28" s="143">
        <f t="shared" si="184"/>
        <v>0</v>
      </c>
      <c r="CM28" s="143">
        <f t="shared" si="184"/>
        <v>0</v>
      </c>
      <c r="CN28" s="143">
        <f t="shared" si="184"/>
        <v>0</v>
      </c>
      <c r="CO28" s="143">
        <f t="shared" si="184"/>
        <v>0</v>
      </c>
      <c r="CP28" s="143">
        <f t="shared" si="184"/>
        <v>0</v>
      </c>
      <c r="CQ28" s="143">
        <f t="shared" si="184"/>
        <v>0</v>
      </c>
      <c r="CR28" s="143">
        <f t="shared" si="184"/>
        <v>0</v>
      </c>
      <c r="CS28" s="143">
        <f t="shared" si="184"/>
        <v>0</v>
      </c>
      <c r="CT28" s="143">
        <f t="shared" si="184"/>
        <v>0</v>
      </c>
      <c r="CU28" s="143">
        <f t="shared" si="184"/>
        <v>0</v>
      </c>
      <c r="CV28" s="143">
        <f t="shared" si="184"/>
        <v>0</v>
      </c>
      <c r="CW28" s="143">
        <f t="shared" si="184"/>
        <v>0</v>
      </c>
      <c r="CY28" s="143">
        <f t="shared" si="185"/>
        <v>186333333.33333334</v>
      </c>
      <c r="CZ28" s="143">
        <f t="shared" si="185"/>
        <v>186333333.33333334</v>
      </c>
      <c r="DA28" s="143">
        <f t="shared" si="185"/>
        <v>186333333.33333334</v>
      </c>
      <c r="DB28" s="143">
        <f t="shared" si="185"/>
        <v>186333333.33333334</v>
      </c>
      <c r="DC28" s="143">
        <f t="shared" si="185"/>
        <v>186333333.33333334</v>
      </c>
      <c r="DD28" s="143">
        <f t="shared" si="185"/>
        <v>186333333.33333334</v>
      </c>
      <c r="DE28" s="143">
        <f t="shared" si="185"/>
        <v>186333333.33333334</v>
      </c>
      <c r="DF28" s="143">
        <f t="shared" si="185"/>
        <v>186333333.33333334</v>
      </c>
      <c r="DG28" s="143">
        <f t="shared" si="185"/>
        <v>186333333.33333334</v>
      </c>
      <c r="DH28" s="143">
        <f t="shared" si="185"/>
        <v>186333333.33333334</v>
      </c>
      <c r="DI28" s="143">
        <f t="shared" si="185"/>
        <v>186333333.33333334</v>
      </c>
      <c r="DJ28" s="143">
        <f t="shared" si="185"/>
        <v>186333333.33333334</v>
      </c>
      <c r="DK28" s="143">
        <f t="shared" si="185"/>
        <v>0</v>
      </c>
      <c r="DL28" s="143">
        <f t="shared" si="185"/>
        <v>0</v>
      </c>
      <c r="DM28" s="143">
        <f t="shared" si="185"/>
        <v>0</v>
      </c>
      <c r="DN28" s="143">
        <f t="shared" si="185"/>
        <v>0</v>
      </c>
      <c r="DO28" s="143">
        <f t="shared" si="186"/>
        <v>0</v>
      </c>
      <c r="DP28" s="143">
        <f t="shared" si="186"/>
        <v>0</v>
      </c>
      <c r="DQ28" s="143">
        <f t="shared" si="186"/>
        <v>0</v>
      </c>
      <c r="DR28" s="143">
        <f t="shared" si="186"/>
        <v>0</v>
      </c>
      <c r="DS28" s="143">
        <f t="shared" si="186"/>
        <v>0</v>
      </c>
      <c r="DT28" s="143">
        <f t="shared" si="186"/>
        <v>0</v>
      </c>
      <c r="DU28" s="143">
        <f t="shared" si="186"/>
        <v>0</v>
      </c>
      <c r="DV28" s="143">
        <f t="shared" si="186"/>
        <v>0</v>
      </c>
      <c r="DW28" s="143">
        <f t="shared" si="186"/>
        <v>0</v>
      </c>
      <c r="DX28" s="143">
        <f t="shared" si="186"/>
        <v>0</v>
      </c>
      <c r="DY28" s="143">
        <f t="shared" si="186"/>
        <v>0</v>
      </c>
      <c r="DZ28" s="143">
        <f t="shared" si="186"/>
        <v>0</v>
      </c>
      <c r="EA28" s="143">
        <f t="shared" si="186"/>
        <v>0</v>
      </c>
      <c r="EB28" s="143">
        <f t="shared" si="186"/>
        <v>0</v>
      </c>
      <c r="ED28" s="143">
        <f t="shared" si="187"/>
        <v>173333333.33333334</v>
      </c>
      <c r="EE28" s="143">
        <f t="shared" si="187"/>
        <v>173333333.33333334</v>
      </c>
      <c r="EF28" s="143">
        <f t="shared" si="187"/>
        <v>173333333.33333334</v>
      </c>
      <c r="EG28" s="143">
        <f t="shared" si="187"/>
        <v>173333333.33333334</v>
      </c>
      <c r="EH28" s="143">
        <f t="shared" si="187"/>
        <v>173333333.33333334</v>
      </c>
      <c r="EI28" s="143">
        <f t="shared" si="187"/>
        <v>173333333.33333334</v>
      </c>
      <c r="EJ28" s="143">
        <f t="shared" si="187"/>
        <v>173333333.33333334</v>
      </c>
      <c r="EK28" s="143">
        <f t="shared" si="187"/>
        <v>173333333.33333334</v>
      </c>
      <c r="EL28" s="143">
        <f t="shared" si="187"/>
        <v>173333333.33333334</v>
      </c>
      <c r="EM28" s="143">
        <f t="shared" si="187"/>
        <v>173333333.33333334</v>
      </c>
      <c r="EN28" s="143">
        <f t="shared" si="187"/>
        <v>173333333.33333334</v>
      </c>
      <c r="EO28" s="143">
        <f t="shared" si="187"/>
        <v>173333333.33333334</v>
      </c>
      <c r="EP28" s="143">
        <f t="shared" si="187"/>
        <v>0</v>
      </c>
      <c r="EQ28" s="143">
        <f t="shared" si="187"/>
        <v>0</v>
      </c>
      <c r="ER28" s="143">
        <f t="shared" si="187"/>
        <v>0</v>
      </c>
      <c r="ES28" s="143">
        <f t="shared" si="187"/>
        <v>0</v>
      </c>
      <c r="ET28" s="143">
        <f t="shared" si="188"/>
        <v>0</v>
      </c>
      <c r="EU28" s="143">
        <f t="shared" si="188"/>
        <v>0</v>
      </c>
      <c r="EV28" s="143">
        <f t="shared" si="188"/>
        <v>0</v>
      </c>
      <c r="EW28" s="143">
        <f t="shared" si="188"/>
        <v>0</v>
      </c>
      <c r="EX28" s="143">
        <f t="shared" si="188"/>
        <v>0</v>
      </c>
      <c r="EY28" s="143">
        <f t="shared" si="188"/>
        <v>0</v>
      </c>
      <c r="EZ28" s="143">
        <f t="shared" si="188"/>
        <v>0</v>
      </c>
      <c r="FA28" s="143">
        <f t="shared" si="188"/>
        <v>0</v>
      </c>
      <c r="FB28" s="143">
        <f t="shared" si="188"/>
        <v>0</v>
      </c>
      <c r="FC28" s="143">
        <f t="shared" si="188"/>
        <v>0</v>
      </c>
      <c r="FD28" s="143">
        <f t="shared" si="188"/>
        <v>0</v>
      </c>
      <c r="FE28" s="143">
        <f t="shared" si="188"/>
        <v>0</v>
      </c>
      <c r="FF28" s="143">
        <f t="shared" si="188"/>
        <v>0</v>
      </c>
      <c r="FG28" s="143">
        <f t="shared" si="188"/>
        <v>0</v>
      </c>
      <c r="FI28" s="143">
        <f t="shared" si="189"/>
        <v>173333333.33333334</v>
      </c>
      <c r="FJ28" s="143">
        <f t="shared" si="189"/>
        <v>173333333.33333334</v>
      </c>
      <c r="FK28" s="143">
        <f t="shared" si="189"/>
        <v>173333333.33333334</v>
      </c>
      <c r="FL28" s="143">
        <f t="shared" si="189"/>
        <v>173333333.33333334</v>
      </c>
      <c r="FM28" s="143">
        <f t="shared" si="189"/>
        <v>173333333.33333334</v>
      </c>
      <c r="FN28" s="143">
        <f t="shared" si="189"/>
        <v>173333333.33333334</v>
      </c>
      <c r="FO28" s="143">
        <f t="shared" si="189"/>
        <v>173333333.33333334</v>
      </c>
      <c r="FP28" s="143">
        <f t="shared" si="189"/>
        <v>173333333.33333334</v>
      </c>
      <c r="FQ28" s="143">
        <f t="shared" si="189"/>
        <v>173333333.33333334</v>
      </c>
      <c r="FR28" s="143">
        <f t="shared" si="189"/>
        <v>173333333.33333334</v>
      </c>
      <c r="FS28" s="143">
        <f t="shared" si="189"/>
        <v>173333333.33333334</v>
      </c>
      <c r="FT28" s="143">
        <f t="shared" si="189"/>
        <v>173333333.33333334</v>
      </c>
      <c r="FU28" s="143">
        <f t="shared" si="189"/>
        <v>0</v>
      </c>
      <c r="FV28" s="143">
        <f t="shared" si="189"/>
        <v>0</v>
      </c>
      <c r="FW28" s="143">
        <f t="shared" si="189"/>
        <v>0</v>
      </c>
      <c r="FX28" s="143">
        <f t="shared" si="189"/>
        <v>0</v>
      </c>
      <c r="FY28" s="143">
        <f t="shared" si="190"/>
        <v>0</v>
      </c>
      <c r="FZ28" s="143">
        <f t="shared" si="190"/>
        <v>0</v>
      </c>
      <c r="GA28" s="143">
        <f t="shared" si="190"/>
        <v>0</v>
      </c>
      <c r="GB28" s="143">
        <f t="shared" si="190"/>
        <v>0</v>
      </c>
      <c r="GC28" s="143">
        <f t="shared" si="190"/>
        <v>0</v>
      </c>
      <c r="GD28" s="143">
        <f t="shared" si="190"/>
        <v>0</v>
      </c>
      <c r="GE28" s="143">
        <f t="shared" si="190"/>
        <v>0</v>
      </c>
      <c r="GF28" s="143">
        <f t="shared" si="190"/>
        <v>0</v>
      </c>
      <c r="GG28" s="143">
        <f t="shared" si="190"/>
        <v>0</v>
      </c>
      <c r="GH28" s="143">
        <f t="shared" si="190"/>
        <v>0</v>
      </c>
      <c r="GI28" s="143">
        <f t="shared" si="190"/>
        <v>0</v>
      </c>
      <c r="GJ28" s="143">
        <f t="shared" si="190"/>
        <v>0</v>
      </c>
      <c r="GK28" s="143">
        <f t="shared" si="190"/>
        <v>0</v>
      </c>
      <c r="GL28" s="143">
        <f t="shared" si="190"/>
        <v>0</v>
      </c>
      <c r="GN28" s="143">
        <f t="shared" si="191"/>
        <v>173333333.33333334</v>
      </c>
      <c r="GO28" s="143">
        <f t="shared" si="191"/>
        <v>173333333.33333334</v>
      </c>
      <c r="GP28" s="143">
        <f t="shared" si="191"/>
        <v>173333333.33333334</v>
      </c>
      <c r="GQ28" s="143">
        <f t="shared" si="191"/>
        <v>173333333.33333334</v>
      </c>
      <c r="GR28" s="143">
        <f t="shared" si="191"/>
        <v>173333333.33333334</v>
      </c>
      <c r="GS28" s="143">
        <f t="shared" si="191"/>
        <v>173333333.33333334</v>
      </c>
      <c r="GT28" s="143">
        <f t="shared" si="191"/>
        <v>173333333.33333334</v>
      </c>
      <c r="GU28" s="143">
        <f t="shared" si="191"/>
        <v>173333333.33333334</v>
      </c>
      <c r="GV28" s="143">
        <f t="shared" si="191"/>
        <v>173333333.33333334</v>
      </c>
      <c r="GW28" s="143">
        <f t="shared" si="191"/>
        <v>173333333.33333334</v>
      </c>
      <c r="GX28" s="143">
        <f t="shared" si="191"/>
        <v>173333333.33333334</v>
      </c>
      <c r="GY28" s="143">
        <f t="shared" si="191"/>
        <v>173333333.33333334</v>
      </c>
      <c r="GZ28" s="143">
        <f t="shared" si="191"/>
        <v>0</v>
      </c>
      <c r="HA28" s="143">
        <f t="shared" si="191"/>
        <v>0</v>
      </c>
      <c r="HB28" s="143">
        <f t="shared" si="191"/>
        <v>0</v>
      </c>
      <c r="HC28" s="143">
        <f t="shared" si="191"/>
        <v>0</v>
      </c>
      <c r="HD28" s="143">
        <f t="shared" si="192"/>
        <v>0</v>
      </c>
      <c r="HE28" s="143">
        <f t="shared" si="192"/>
        <v>0</v>
      </c>
      <c r="HF28" s="143">
        <f t="shared" si="192"/>
        <v>0</v>
      </c>
      <c r="HG28" s="143">
        <f t="shared" si="192"/>
        <v>0</v>
      </c>
      <c r="HH28" s="143">
        <f t="shared" si="192"/>
        <v>0</v>
      </c>
      <c r="HI28" s="143">
        <f t="shared" si="192"/>
        <v>0</v>
      </c>
      <c r="HJ28" s="143">
        <f t="shared" si="192"/>
        <v>0</v>
      </c>
      <c r="HK28" s="143">
        <f t="shared" si="192"/>
        <v>0</v>
      </c>
      <c r="HL28" s="143">
        <f t="shared" si="192"/>
        <v>0</v>
      </c>
      <c r="HM28" s="143">
        <f t="shared" si="192"/>
        <v>0</v>
      </c>
      <c r="HN28" s="143">
        <f t="shared" si="192"/>
        <v>0</v>
      </c>
      <c r="HO28" s="143">
        <f t="shared" si="192"/>
        <v>0</v>
      </c>
      <c r="HP28" s="143">
        <f t="shared" si="192"/>
        <v>0</v>
      </c>
      <c r="HQ28" s="143">
        <f t="shared" si="192"/>
        <v>0</v>
      </c>
    </row>
    <row r="29" spans="1:225" s="142" customFormat="1" outlineLevel="1" x14ac:dyDescent="0.25">
      <c r="B29" s="142" t="s">
        <v>346</v>
      </c>
      <c r="C29" s="619" t="s">
        <v>413</v>
      </c>
      <c r="D29" s="620" t="s">
        <v>365</v>
      </c>
      <c r="E29" s="621">
        <v>1</v>
      </c>
      <c r="F29" s="224"/>
      <c r="G29" s="622">
        <v>12</v>
      </c>
      <c r="H29" s="472">
        <f>(2000000000/$D$6)*1.04</f>
        <v>2080000000</v>
      </c>
      <c r="I29" s="622">
        <f t="shared" si="164"/>
        <v>2080000000</v>
      </c>
      <c r="J29" s="622">
        <f t="shared" si="165"/>
        <v>173333333.33333334</v>
      </c>
      <c r="K29" s="224"/>
      <c r="L29" s="622">
        <v>12</v>
      </c>
      <c r="M29" s="622">
        <f t="shared" si="166"/>
        <v>2236000000</v>
      </c>
      <c r="N29" s="622">
        <f t="shared" si="167"/>
        <v>2236000000</v>
      </c>
      <c r="O29" s="622">
        <f t="shared" si="168"/>
        <v>186333333.33333334</v>
      </c>
      <c r="P29" s="224"/>
      <c r="Q29" s="622">
        <v>12</v>
      </c>
      <c r="R29" s="622">
        <f t="shared" si="169"/>
        <v>2236000000</v>
      </c>
      <c r="S29" s="622">
        <f t="shared" si="170"/>
        <v>2236000000</v>
      </c>
      <c r="T29" s="622">
        <f t="shared" si="171"/>
        <v>186333333.33333334</v>
      </c>
      <c r="U29" s="224"/>
      <c r="V29" s="622">
        <v>12</v>
      </c>
      <c r="W29" s="622">
        <f t="shared" si="172"/>
        <v>2080000000</v>
      </c>
      <c r="X29" s="622">
        <f t="shared" si="173"/>
        <v>2080000000</v>
      </c>
      <c r="Y29" s="622">
        <f t="shared" si="174"/>
        <v>173333333.33333334</v>
      </c>
      <c r="Z29" s="224"/>
      <c r="AA29" s="622">
        <v>12</v>
      </c>
      <c r="AB29" s="622">
        <f t="shared" si="175"/>
        <v>2080000000</v>
      </c>
      <c r="AC29" s="622">
        <f t="shared" si="176"/>
        <v>2080000000</v>
      </c>
      <c r="AD29" s="622">
        <f t="shared" si="177"/>
        <v>173333333.33333334</v>
      </c>
      <c r="AE29" s="224"/>
      <c r="AF29" s="622">
        <v>12</v>
      </c>
      <c r="AG29" s="622">
        <f t="shared" si="178"/>
        <v>2080000000</v>
      </c>
      <c r="AH29" s="622">
        <f t="shared" si="179"/>
        <v>2080000000</v>
      </c>
      <c r="AI29" s="622">
        <f t="shared" si="180"/>
        <v>173333333.33333334</v>
      </c>
      <c r="AJ29" s="224"/>
      <c r="AL29" t="s">
        <v>547</v>
      </c>
      <c r="AM29" s="142" t="s">
        <v>337</v>
      </c>
      <c r="AO29" s="143">
        <f t="shared" si="181"/>
        <v>173333333.33333334</v>
      </c>
      <c r="AP29" s="143">
        <f t="shared" si="181"/>
        <v>173333333.33333334</v>
      </c>
      <c r="AQ29" s="143">
        <f t="shared" si="181"/>
        <v>173333333.33333334</v>
      </c>
      <c r="AR29" s="143">
        <f t="shared" si="181"/>
        <v>173333333.33333334</v>
      </c>
      <c r="AS29" s="143">
        <f t="shared" si="181"/>
        <v>173333333.33333334</v>
      </c>
      <c r="AT29" s="143">
        <f t="shared" si="181"/>
        <v>173333333.33333334</v>
      </c>
      <c r="AU29" s="143">
        <f t="shared" si="181"/>
        <v>173333333.33333334</v>
      </c>
      <c r="AV29" s="143">
        <f t="shared" si="181"/>
        <v>173333333.33333334</v>
      </c>
      <c r="AW29" s="143">
        <f t="shared" si="181"/>
        <v>173333333.33333334</v>
      </c>
      <c r="AX29" s="143">
        <f t="shared" si="181"/>
        <v>173333333.33333334</v>
      </c>
      <c r="AY29" s="143">
        <f t="shared" si="181"/>
        <v>173333333.33333334</v>
      </c>
      <c r="AZ29" s="143">
        <f t="shared" si="181"/>
        <v>173333333.33333334</v>
      </c>
      <c r="BA29" s="143">
        <f t="shared" si="181"/>
        <v>0</v>
      </c>
      <c r="BB29" s="143">
        <f t="shared" si="181"/>
        <v>0</v>
      </c>
      <c r="BC29" s="143">
        <f t="shared" si="181"/>
        <v>0</v>
      </c>
      <c r="BD29" s="143">
        <f t="shared" si="181"/>
        <v>0</v>
      </c>
      <c r="BE29" s="143">
        <f t="shared" si="182"/>
        <v>0</v>
      </c>
      <c r="BF29" s="143">
        <f t="shared" si="182"/>
        <v>0</v>
      </c>
      <c r="BG29" s="143">
        <f t="shared" si="182"/>
        <v>0</v>
      </c>
      <c r="BH29" s="143">
        <f t="shared" si="182"/>
        <v>0</v>
      </c>
      <c r="BI29" s="143">
        <f t="shared" si="182"/>
        <v>0</v>
      </c>
      <c r="BJ29" s="143">
        <f t="shared" si="182"/>
        <v>0</v>
      </c>
      <c r="BK29" s="143">
        <f t="shared" si="182"/>
        <v>0</v>
      </c>
      <c r="BL29" s="143">
        <f t="shared" si="182"/>
        <v>0</v>
      </c>
      <c r="BM29" s="143">
        <f t="shared" si="182"/>
        <v>0</v>
      </c>
      <c r="BN29" s="143">
        <f t="shared" si="182"/>
        <v>0</v>
      </c>
      <c r="BO29" s="143">
        <f t="shared" si="182"/>
        <v>0</v>
      </c>
      <c r="BP29" s="143">
        <f t="shared" si="182"/>
        <v>0</v>
      </c>
      <c r="BQ29" s="143">
        <f t="shared" si="182"/>
        <v>0</v>
      </c>
      <c r="BR29" s="143">
        <f t="shared" si="182"/>
        <v>0</v>
      </c>
      <c r="BT29" s="143">
        <f t="shared" si="183"/>
        <v>186333333.33333334</v>
      </c>
      <c r="BU29" s="143">
        <f t="shared" si="183"/>
        <v>186333333.33333334</v>
      </c>
      <c r="BV29" s="143">
        <f t="shared" si="183"/>
        <v>186333333.33333334</v>
      </c>
      <c r="BW29" s="143">
        <f t="shared" si="183"/>
        <v>186333333.33333334</v>
      </c>
      <c r="BX29" s="143">
        <f t="shared" si="183"/>
        <v>186333333.33333334</v>
      </c>
      <c r="BY29" s="143">
        <f t="shared" si="183"/>
        <v>186333333.33333334</v>
      </c>
      <c r="BZ29" s="143">
        <f t="shared" si="183"/>
        <v>186333333.33333334</v>
      </c>
      <c r="CA29" s="143">
        <f t="shared" si="183"/>
        <v>186333333.33333334</v>
      </c>
      <c r="CB29" s="143">
        <f t="shared" si="183"/>
        <v>186333333.33333334</v>
      </c>
      <c r="CC29" s="143">
        <f t="shared" si="183"/>
        <v>186333333.33333334</v>
      </c>
      <c r="CD29" s="143">
        <f t="shared" si="183"/>
        <v>186333333.33333334</v>
      </c>
      <c r="CE29" s="143">
        <f t="shared" si="183"/>
        <v>186333333.33333334</v>
      </c>
      <c r="CF29" s="143">
        <f t="shared" si="183"/>
        <v>0</v>
      </c>
      <c r="CG29" s="143">
        <f t="shared" si="183"/>
        <v>0</v>
      </c>
      <c r="CH29" s="143">
        <f t="shared" si="183"/>
        <v>0</v>
      </c>
      <c r="CI29" s="143">
        <f t="shared" si="183"/>
        <v>0</v>
      </c>
      <c r="CJ29" s="143">
        <f t="shared" si="184"/>
        <v>0</v>
      </c>
      <c r="CK29" s="143">
        <f t="shared" si="184"/>
        <v>0</v>
      </c>
      <c r="CL29" s="143">
        <f t="shared" si="184"/>
        <v>0</v>
      </c>
      <c r="CM29" s="143">
        <f t="shared" si="184"/>
        <v>0</v>
      </c>
      <c r="CN29" s="143">
        <f t="shared" si="184"/>
        <v>0</v>
      </c>
      <c r="CO29" s="143">
        <f t="shared" si="184"/>
        <v>0</v>
      </c>
      <c r="CP29" s="143">
        <f t="shared" si="184"/>
        <v>0</v>
      </c>
      <c r="CQ29" s="143">
        <f t="shared" si="184"/>
        <v>0</v>
      </c>
      <c r="CR29" s="143">
        <f t="shared" si="184"/>
        <v>0</v>
      </c>
      <c r="CS29" s="143">
        <f t="shared" si="184"/>
        <v>0</v>
      </c>
      <c r="CT29" s="143">
        <f t="shared" si="184"/>
        <v>0</v>
      </c>
      <c r="CU29" s="143">
        <f t="shared" si="184"/>
        <v>0</v>
      </c>
      <c r="CV29" s="143">
        <f t="shared" si="184"/>
        <v>0</v>
      </c>
      <c r="CW29" s="143">
        <f t="shared" si="184"/>
        <v>0</v>
      </c>
      <c r="CY29" s="143">
        <f t="shared" si="185"/>
        <v>186333333.33333334</v>
      </c>
      <c r="CZ29" s="143">
        <f t="shared" si="185"/>
        <v>186333333.33333334</v>
      </c>
      <c r="DA29" s="143">
        <f t="shared" si="185"/>
        <v>186333333.33333334</v>
      </c>
      <c r="DB29" s="143">
        <f t="shared" si="185"/>
        <v>186333333.33333334</v>
      </c>
      <c r="DC29" s="143">
        <f t="shared" si="185"/>
        <v>186333333.33333334</v>
      </c>
      <c r="DD29" s="143">
        <f t="shared" si="185"/>
        <v>186333333.33333334</v>
      </c>
      <c r="DE29" s="143">
        <f t="shared" si="185"/>
        <v>186333333.33333334</v>
      </c>
      <c r="DF29" s="143">
        <f t="shared" si="185"/>
        <v>186333333.33333334</v>
      </c>
      <c r="DG29" s="143">
        <f t="shared" si="185"/>
        <v>186333333.33333334</v>
      </c>
      <c r="DH29" s="143">
        <f t="shared" si="185"/>
        <v>186333333.33333334</v>
      </c>
      <c r="DI29" s="143">
        <f t="shared" si="185"/>
        <v>186333333.33333334</v>
      </c>
      <c r="DJ29" s="143">
        <f t="shared" si="185"/>
        <v>186333333.33333334</v>
      </c>
      <c r="DK29" s="143">
        <f t="shared" si="185"/>
        <v>0</v>
      </c>
      <c r="DL29" s="143">
        <f t="shared" si="185"/>
        <v>0</v>
      </c>
      <c r="DM29" s="143">
        <f t="shared" si="185"/>
        <v>0</v>
      </c>
      <c r="DN29" s="143">
        <f t="shared" si="185"/>
        <v>0</v>
      </c>
      <c r="DO29" s="143">
        <f t="shared" si="186"/>
        <v>0</v>
      </c>
      <c r="DP29" s="143">
        <f t="shared" si="186"/>
        <v>0</v>
      </c>
      <c r="DQ29" s="143">
        <f t="shared" si="186"/>
        <v>0</v>
      </c>
      <c r="DR29" s="143">
        <f t="shared" si="186"/>
        <v>0</v>
      </c>
      <c r="DS29" s="143">
        <f t="shared" si="186"/>
        <v>0</v>
      </c>
      <c r="DT29" s="143">
        <f t="shared" si="186"/>
        <v>0</v>
      </c>
      <c r="DU29" s="143">
        <f t="shared" si="186"/>
        <v>0</v>
      </c>
      <c r="DV29" s="143">
        <f t="shared" si="186"/>
        <v>0</v>
      </c>
      <c r="DW29" s="143">
        <f t="shared" si="186"/>
        <v>0</v>
      </c>
      <c r="DX29" s="143">
        <f t="shared" si="186"/>
        <v>0</v>
      </c>
      <c r="DY29" s="143">
        <f t="shared" si="186"/>
        <v>0</v>
      </c>
      <c r="DZ29" s="143">
        <f t="shared" si="186"/>
        <v>0</v>
      </c>
      <c r="EA29" s="143">
        <f t="shared" si="186"/>
        <v>0</v>
      </c>
      <c r="EB29" s="143">
        <f t="shared" si="186"/>
        <v>0</v>
      </c>
      <c r="ED29" s="143">
        <f t="shared" si="187"/>
        <v>173333333.33333334</v>
      </c>
      <c r="EE29" s="143">
        <f t="shared" si="187"/>
        <v>173333333.33333334</v>
      </c>
      <c r="EF29" s="143">
        <f t="shared" si="187"/>
        <v>173333333.33333334</v>
      </c>
      <c r="EG29" s="143">
        <f t="shared" si="187"/>
        <v>173333333.33333334</v>
      </c>
      <c r="EH29" s="143">
        <f t="shared" si="187"/>
        <v>173333333.33333334</v>
      </c>
      <c r="EI29" s="143">
        <f t="shared" si="187"/>
        <v>173333333.33333334</v>
      </c>
      <c r="EJ29" s="143">
        <f t="shared" si="187"/>
        <v>173333333.33333334</v>
      </c>
      <c r="EK29" s="143">
        <f t="shared" si="187"/>
        <v>173333333.33333334</v>
      </c>
      <c r="EL29" s="143">
        <f t="shared" si="187"/>
        <v>173333333.33333334</v>
      </c>
      <c r="EM29" s="143">
        <f t="shared" si="187"/>
        <v>173333333.33333334</v>
      </c>
      <c r="EN29" s="143">
        <f t="shared" si="187"/>
        <v>173333333.33333334</v>
      </c>
      <c r="EO29" s="143">
        <f t="shared" si="187"/>
        <v>173333333.33333334</v>
      </c>
      <c r="EP29" s="143">
        <f t="shared" si="187"/>
        <v>0</v>
      </c>
      <c r="EQ29" s="143">
        <f t="shared" si="187"/>
        <v>0</v>
      </c>
      <c r="ER29" s="143">
        <f t="shared" si="187"/>
        <v>0</v>
      </c>
      <c r="ES29" s="143">
        <f t="shared" si="187"/>
        <v>0</v>
      </c>
      <c r="ET29" s="143">
        <f t="shared" si="188"/>
        <v>0</v>
      </c>
      <c r="EU29" s="143">
        <f t="shared" si="188"/>
        <v>0</v>
      </c>
      <c r="EV29" s="143">
        <f t="shared" si="188"/>
        <v>0</v>
      </c>
      <c r="EW29" s="143">
        <f t="shared" si="188"/>
        <v>0</v>
      </c>
      <c r="EX29" s="143">
        <f t="shared" si="188"/>
        <v>0</v>
      </c>
      <c r="EY29" s="143">
        <f t="shared" si="188"/>
        <v>0</v>
      </c>
      <c r="EZ29" s="143">
        <f t="shared" si="188"/>
        <v>0</v>
      </c>
      <c r="FA29" s="143">
        <f t="shared" si="188"/>
        <v>0</v>
      </c>
      <c r="FB29" s="143">
        <f t="shared" si="188"/>
        <v>0</v>
      </c>
      <c r="FC29" s="143">
        <f t="shared" si="188"/>
        <v>0</v>
      </c>
      <c r="FD29" s="143">
        <f t="shared" si="188"/>
        <v>0</v>
      </c>
      <c r="FE29" s="143">
        <f t="shared" si="188"/>
        <v>0</v>
      </c>
      <c r="FF29" s="143">
        <f t="shared" si="188"/>
        <v>0</v>
      </c>
      <c r="FG29" s="143">
        <f t="shared" si="188"/>
        <v>0</v>
      </c>
      <c r="FI29" s="143">
        <f t="shared" si="189"/>
        <v>173333333.33333334</v>
      </c>
      <c r="FJ29" s="143">
        <f t="shared" si="189"/>
        <v>173333333.33333334</v>
      </c>
      <c r="FK29" s="143">
        <f t="shared" si="189"/>
        <v>173333333.33333334</v>
      </c>
      <c r="FL29" s="143">
        <f t="shared" si="189"/>
        <v>173333333.33333334</v>
      </c>
      <c r="FM29" s="143">
        <f t="shared" si="189"/>
        <v>173333333.33333334</v>
      </c>
      <c r="FN29" s="143">
        <f t="shared" si="189"/>
        <v>173333333.33333334</v>
      </c>
      <c r="FO29" s="143">
        <f t="shared" si="189"/>
        <v>173333333.33333334</v>
      </c>
      <c r="FP29" s="143">
        <f t="shared" si="189"/>
        <v>173333333.33333334</v>
      </c>
      <c r="FQ29" s="143">
        <f t="shared" si="189"/>
        <v>173333333.33333334</v>
      </c>
      <c r="FR29" s="143">
        <f t="shared" si="189"/>
        <v>173333333.33333334</v>
      </c>
      <c r="FS29" s="143">
        <f t="shared" si="189"/>
        <v>173333333.33333334</v>
      </c>
      <c r="FT29" s="143">
        <f t="shared" si="189"/>
        <v>173333333.33333334</v>
      </c>
      <c r="FU29" s="143">
        <f t="shared" si="189"/>
        <v>0</v>
      </c>
      <c r="FV29" s="143">
        <f t="shared" si="189"/>
        <v>0</v>
      </c>
      <c r="FW29" s="143">
        <f t="shared" si="189"/>
        <v>0</v>
      </c>
      <c r="FX29" s="143">
        <f t="shared" si="189"/>
        <v>0</v>
      </c>
      <c r="FY29" s="143">
        <f t="shared" si="190"/>
        <v>0</v>
      </c>
      <c r="FZ29" s="143">
        <f t="shared" si="190"/>
        <v>0</v>
      </c>
      <c r="GA29" s="143">
        <f t="shared" si="190"/>
        <v>0</v>
      </c>
      <c r="GB29" s="143">
        <f t="shared" si="190"/>
        <v>0</v>
      </c>
      <c r="GC29" s="143">
        <f t="shared" si="190"/>
        <v>0</v>
      </c>
      <c r="GD29" s="143">
        <f t="shared" si="190"/>
        <v>0</v>
      </c>
      <c r="GE29" s="143">
        <f t="shared" si="190"/>
        <v>0</v>
      </c>
      <c r="GF29" s="143">
        <f t="shared" si="190"/>
        <v>0</v>
      </c>
      <c r="GG29" s="143">
        <f t="shared" si="190"/>
        <v>0</v>
      </c>
      <c r="GH29" s="143">
        <f t="shared" si="190"/>
        <v>0</v>
      </c>
      <c r="GI29" s="143">
        <f t="shared" si="190"/>
        <v>0</v>
      </c>
      <c r="GJ29" s="143">
        <f t="shared" si="190"/>
        <v>0</v>
      </c>
      <c r="GK29" s="143">
        <f t="shared" si="190"/>
        <v>0</v>
      </c>
      <c r="GL29" s="143">
        <f t="shared" si="190"/>
        <v>0</v>
      </c>
      <c r="GN29" s="143">
        <f t="shared" si="191"/>
        <v>173333333.33333334</v>
      </c>
      <c r="GO29" s="143">
        <f t="shared" si="191"/>
        <v>173333333.33333334</v>
      </c>
      <c r="GP29" s="143">
        <f t="shared" si="191"/>
        <v>173333333.33333334</v>
      </c>
      <c r="GQ29" s="143">
        <f t="shared" si="191"/>
        <v>173333333.33333334</v>
      </c>
      <c r="GR29" s="143">
        <f t="shared" si="191"/>
        <v>173333333.33333334</v>
      </c>
      <c r="GS29" s="143">
        <f t="shared" si="191"/>
        <v>173333333.33333334</v>
      </c>
      <c r="GT29" s="143">
        <f t="shared" si="191"/>
        <v>173333333.33333334</v>
      </c>
      <c r="GU29" s="143">
        <f t="shared" si="191"/>
        <v>173333333.33333334</v>
      </c>
      <c r="GV29" s="143">
        <f t="shared" si="191"/>
        <v>173333333.33333334</v>
      </c>
      <c r="GW29" s="143">
        <f t="shared" si="191"/>
        <v>173333333.33333334</v>
      </c>
      <c r="GX29" s="143">
        <f t="shared" si="191"/>
        <v>173333333.33333334</v>
      </c>
      <c r="GY29" s="143">
        <f t="shared" si="191"/>
        <v>173333333.33333334</v>
      </c>
      <c r="GZ29" s="143">
        <f t="shared" si="191"/>
        <v>0</v>
      </c>
      <c r="HA29" s="143">
        <f t="shared" si="191"/>
        <v>0</v>
      </c>
      <c r="HB29" s="143">
        <f t="shared" si="191"/>
        <v>0</v>
      </c>
      <c r="HC29" s="143">
        <f t="shared" si="191"/>
        <v>0</v>
      </c>
      <c r="HD29" s="143">
        <f t="shared" si="192"/>
        <v>0</v>
      </c>
      <c r="HE29" s="143">
        <f t="shared" si="192"/>
        <v>0</v>
      </c>
      <c r="HF29" s="143">
        <f t="shared" si="192"/>
        <v>0</v>
      </c>
      <c r="HG29" s="143">
        <f t="shared" si="192"/>
        <v>0</v>
      </c>
      <c r="HH29" s="143">
        <f t="shared" si="192"/>
        <v>0</v>
      </c>
      <c r="HI29" s="143">
        <f t="shared" si="192"/>
        <v>0</v>
      </c>
      <c r="HJ29" s="143">
        <f t="shared" si="192"/>
        <v>0</v>
      </c>
      <c r="HK29" s="143">
        <f t="shared" si="192"/>
        <v>0</v>
      </c>
      <c r="HL29" s="143">
        <f t="shared" si="192"/>
        <v>0</v>
      </c>
      <c r="HM29" s="143">
        <f t="shared" si="192"/>
        <v>0</v>
      </c>
      <c r="HN29" s="143">
        <f t="shared" si="192"/>
        <v>0</v>
      </c>
      <c r="HO29" s="143">
        <f t="shared" si="192"/>
        <v>0</v>
      </c>
      <c r="HP29" s="143">
        <f t="shared" si="192"/>
        <v>0</v>
      </c>
      <c r="HQ29" s="143">
        <f t="shared" si="192"/>
        <v>0</v>
      </c>
    </row>
    <row r="30" spans="1:225" outlineLevel="1" x14ac:dyDescent="0.25">
      <c r="B30" t="s">
        <v>346</v>
      </c>
      <c r="C30" s="496" t="s">
        <v>414</v>
      </c>
      <c r="D30" s="614" t="s">
        <v>34</v>
      </c>
      <c r="E30" s="467">
        <v>1</v>
      </c>
      <c r="F30" s="221"/>
      <c r="G30" s="457">
        <v>12</v>
      </c>
      <c r="H30" s="468">
        <f>(1300000000/$D$6)*1.04</f>
        <v>1352000000</v>
      </c>
      <c r="I30" s="457">
        <f t="shared" si="164"/>
        <v>1352000000</v>
      </c>
      <c r="J30" s="457">
        <f t="shared" si="165"/>
        <v>112666666.66666667</v>
      </c>
      <c r="K30" s="221"/>
      <c r="L30" s="457">
        <v>12</v>
      </c>
      <c r="M30" s="457">
        <f t="shared" si="166"/>
        <v>1456000000</v>
      </c>
      <c r="N30" s="457">
        <f t="shared" si="167"/>
        <v>1456000000</v>
      </c>
      <c r="O30" s="457">
        <f t="shared" si="168"/>
        <v>121333333.33333333</v>
      </c>
      <c r="P30" s="221"/>
      <c r="Q30" s="457">
        <v>12</v>
      </c>
      <c r="R30" s="457">
        <f t="shared" si="169"/>
        <v>1456000000</v>
      </c>
      <c r="S30" s="457">
        <f t="shared" si="170"/>
        <v>1456000000</v>
      </c>
      <c r="T30" s="457">
        <f t="shared" si="171"/>
        <v>121333333.33333333</v>
      </c>
      <c r="U30" s="221"/>
      <c r="V30" s="457">
        <v>12</v>
      </c>
      <c r="W30" s="457">
        <f t="shared" si="172"/>
        <v>1352000000</v>
      </c>
      <c r="X30" s="457">
        <f t="shared" si="173"/>
        <v>1352000000</v>
      </c>
      <c r="Y30" s="457">
        <f t="shared" si="174"/>
        <v>112666666.66666667</v>
      </c>
      <c r="Z30" s="221"/>
      <c r="AA30" s="457">
        <v>12</v>
      </c>
      <c r="AB30" s="457">
        <f t="shared" si="175"/>
        <v>1352000000</v>
      </c>
      <c r="AC30" s="457">
        <f t="shared" si="176"/>
        <v>1352000000</v>
      </c>
      <c r="AD30" s="457">
        <f t="shared" si="177"/>
        <v>112666666.66666667</v>
      </c>
      <c r="AE30" s="221"/>
      <c r="AF30" s="457">
        <v>12</v>
      </c>
      <c r="AG30" s="457">
        <f t="shared" si="178"/>
        <v>1352000000</v>
      </c>
      <c r="AH30" s="457">
        <f t="shared" si="179"/>
        <v>1352000000</v>
      </c>
      <c r="AI30" s="457">
        <f t="shared" si="180"/>
        <v>112666666.66666667</v>
      </c>
      <c r="AJ30" s="221"/>
      <c r="AL30" t="s">
        <v>547</v>
      </c>
      <c r="AM30" t="s">
        <v>336</v>
      </c>
      <c r="AO30" s="15">
        <f t="shared" si="181"/>
        <v>112666666.66666667</v>
      </c>
      <c r="AP30" s="15">
        <f t="shared" si="181"/>
        <v>112666666.66666667</v>
      </c>
      <c r="AQ30" s="15">
        <f t="shared" si="181"/>
        <v>112666666.66666667</v>
      </c>
      <c r="AR30" s="15">
        <f t="shared" si="181"/>
        <v>112666666.66666667</v>
      </c>
      <c r="AS30" s="15">
        <f t="shared" si="181"/>
        <v>112666666.66666667</v>
      </c>
      <c r="AT30" s="15">
        <f t="shared" si="181"/>
        <v>112666666.66666667</v>
      </c>
      <c r="AU30" s="15">
        <f t="shared" si="181"/>
        <v>112666666.66666667</v>
      </c>
      <c r="AV30" s="15">
        <f t="shared" si="181"/>
        <v>112666666.66666667</v>
      </c>
      <c r="AW30" s="15">
        <f t="shared" si="181"/>
        <v>112666666.66666667</v>
      </c>
      <c r="AX30" s="15">
        <f t="shared" si="181"/>
        <v>112666666.66666667</v>
      </c>
      <c r="AY30" s="15">
        <f t="shared" si="181"/>
        <v>112666666.66666667</v>
      </c>
      <c r="AZ30" s="15">
        <f t="shared" si="181"/>
        <v>112666666.66666667</v>
      </c>
      <c r="BA30" s="15">
        <f t="shared" si="181"/>
        <v>0</v>
      </c>
      <c r="BB30" s="15">
        <f t="shared" si="181"/>
        <v>0</v>
      </c>
      <c r="BC30" s="15">
        <f t="shared" si="181"/>
        <v>0</v>
      </c>
      <c r="BD30" s="15">
        <f t="shared" si="181"/>
        <v>0</v>
      </c>
      <c r="BE30" s="15">
        <f t="shared" si="182"/>
        <v>0</v>
      </c>
      <c r="BF30" s="15">
        <f t="shared" si="182"/>
        <v>0</v>
      </c>
      <c r="BG30" s="15">
        <f t="shared" si="182"/>
        <v>0</v>
      </c>
      <c r="BH30" s="15">
        <f t="shared" si="182"/>
        <v>0</v>
      </c>
      <c r="BI30" s="15">
        <f t="shared" si="182"/>
        <v>0</v>
      </c>
      <c r="BJ30" s="15">
        <f t="shared" si="182"/>
        <v>0</v>
      </c>
      <c r="BK30" s="15">
        <f t="shared" si="182"/>
        <v>0</v>
      </c>
      <c r="BL30" s="15">
        <f t="shared" si="182"/>
        <v>0</v>
      </c>
      <c r="BM30" s="15">
        <f t="shared" si="182"/>
        <v>0</v>
      </c>
      <c r="BN30" s="15">
        <f t="shared" si="182"/>
        <v>0</v>
      </c>
      <c r="BO30" s="15">
        <f t="shared" si="182"/>
        <v>0</v>
      </c>
      <c r="BP30" s="15">
        <f t="shared" si="182"/>
        <v>0</v>
      </c>
      <c r="BQ30" s="15">
        <f t="shared" si="182"/>
        <v>0</v>
      </c>
      <c r="BR30" s="15">
        <f t="shared" si="182"/>
        <v>0</v>
      </c>
      <c r="BT30" s="15">
        <f t="shared" si="183"/>
        <v>121333333.33333333</v>
      </c>
      <c r="BU30" s="15">
        <f t="shared" si="183"/>
        <v>121333333.33333333</v>
      </c>
      <c r="BV30" s="15">
        <f t="shared" si="183"/>
        <v>121333333.33333333</v>
      </c>
      <c r="BW30" s="15">
        <f t="shared" si="183"/>
        <v>121333333.33333333</v>
      </c>
      <c r="BX30" s="15">
        <f t="shared" si="183"/>
        <v>121333333.33333333</v>
      </c>
      <c r="BY30" s="15">
        <f t="shared" si="183"/>
        <v>121333333.33333333</v>
      </c>
      <c r="BZ30" s="15">
        <f t="shared" si="183"/>
        <v>121333333.33333333</v>
      </c>
      <c r="CA30" s="15">
        <f t="shared" si="183"/>
        <v>121333333.33333333</v>
      </c>
      <c r="CB30" s="15">
        <f t="shared" si="183"/>
        <v>121333333.33333333</v>
      </c>
      <c r="CC30" s="15">
        <f t="shared" si="183"/>
        <v>121333333.33333333</v>
      </c>
      <c r="CD30" s="15">
        <f t="shared" si="183"/>
        <v>121333333.33333333</v>
      </c>
      <c r="CE30" s="15">
        <f t="shared" si="183"/>
        <v>121333333.33333333</v>
      </c>
      <c r="CF30" s="15">
        <f t="shared" si="183"/>
        <v>0</v>
      </c>
      <c r="CG30" s="15">
        <f t="shared" si="183"/>
        <v>0</v>
      </c>
      <c r="CH30" s="15">
        <f t="shared" si="183"/>
        <v>0</v>
      </c>
      <c r="CI30" s="15">
        <f t="shared" si="183"/>
        <v>0</v>
      </c>
      <c r="CJ30" s="15">
        <f t="shared" si="184"/>
        <v>0</v>
      </c>
      <c r="CK30" s="15">
        <f t="shared" si="184"/>
        <v>0</v>
      </c>
      <c r="CL30" s="15">
        <f t="shared" si="184"/>
        <v>0</v>
      </c>
      <c r="CM30" s="15">
        <f t="shared" si="184"/>
        <v>0</v>
      </c>
      <c r="CN30" s="15">
        <f t="shared" si="184"/>
        <v>0</v>
      </c>
      <c r="CO30" s="15">
        <f t="shared" si="184"/>
        <v>0</v>
      </c>
      <c r="CP30" s="15">
        <f t="shared" si="184"/>
        <v>0</v>
      </c>
      <c r="CQ30" s="15">
        <f t="shared" si="184"/>
        <v>0</v>
      </c>
      <c r="CR30" s="15">
        <f t="shared" si="184"/>
        <v>0</v>
      </c>
      <c r="CS30" s="15">
        <f t="shared" si="184"/>
        <v>0</v>
      </c>
      <c r="CT30" s="15">
        <f t="shared" si="184"/>
        <v>0</v>
      </c>
      <c r="CU30" s="15">
        <f t="shared" si="184"/>
        <v>0</v>
      </c>
      <c r="CV30" s="15">
        <f t="shared" si="184"/>
        <v>0</v>
      </c>
      <c r="CW30" s="15">
        <f t="shared" si="184"/>
        <v>0</v>
      </c>
      <c r="CY30" s="15">
        <f t="shared" si="185"/>
        <v>121333333.33333333</v>
      </c>
      <c r="CZ30" s="15">
        <f t="shared" si="185"/>
        <v>121333333.33333333</v>
      </c>
      <c r="DA30" s="15">
        <f t="shared" si="185"/>
        <v>121333333.33333333</v>
      </c>
      <c r="DB30" s="15">
        <f t="shared" si="185"/>
        <v>121333333.33333333</v>
      </c>
      <c r="DC30" s="15">
        <f t="shared" si="185"/>
        <v>121333333.33333333</v>
      </c>
      <c r="DD30" s="15">
        <f t="shared" si="185"/>
        <v>121333333.33333333</v>
      </c>
      <c r="DE30" s="15">
        <f t="shared" si="185"/>
        <v>121333333.33333333</v>
      </c>
      <c r="DF30" s="15">
        <f t="shared" si="185"/>
        <v>121333333.33333333</v>
      </c>
      <c r="DG30" s="15">
        <f t="shared" si="185"/>
        <v>121333333.33333333</v>
      </c>
      <c r="DH30" s="15">
        <f t="shared" si="185"/>
        <v>121333333.33333333</v>
      </c>
      <c r="DI30" s="15">
        <f t="shared" si="185"/>
        <v>121333333.33333333</v>
      </c>
      <c r="DJ30" s="15">
        <f t="shared" si="185"/>
        <v>121333333.33333333</v>
      </c>
      <c r="DK30" s="15">
        <f t="shared" si="185"/>
        <v>0</v>
      </c>
      <c r="DL30" s="15">
        <f t="shared" si="185"/>
        <v>0</v>
      </c>
      <c r="DM30" s="15">
        <f t="shared" si="185"/>
        <v>0</v>
      </c>
      <c r="DN30" s="15">
        <f t="shared" si="185"/>
        <v>0</v>
      </c>
      <c r="DO30" s="15">
        <f t="shared" si="186"/>
        <v>0</v>
      </c>
      <c r="DP30" s="15">
        <f t="shared" si="186"/>
        <v>0</v>
      </c>
      <c r="DQ30" s="15">
        <f t="shared" si="186"/>
        <v>0</v>
      </c>
      <c r="DR30" s="15">
        <f t="shared" si="186"/>
        <v>0</v>
      </c>
      <c r="DS30" s="15">
        <f t="shared" si="186"/>
        <v>0</v>
      </c>
      <c r="DT30" s="15">
        <f t="shared" si="186"/>
        <v>0</v>
      </c>
      <c r="DU30" s="15">
        <f t="shared" si="186"/>
        <v>0</v>
      </c>
      <c r="DV30" s="15">
        <f t="shared" si="186"/>
        <v>0</v>
      </c>
      <c r="DW30" s="15">
        <f t="shared" si="186"/>
        <v>0</v>
      </c>
      <c r="DX30" s="15">
        <f t="shared" si="186"/>
        <v>0</v>
      </c>
      <c r="DY30" s="15">
        <f t="shared" si="186"/>
        <v>0</v>
      </c>
      <c r="DZ30" s="15">
        <f t="shared" si="186"/>
        <v>0</v>
      </c>
      <c r="EA30" s="15">
        <f t="shared" si="186"/>
        <v>0</v>
      </c>
      <c r="EB30" s="15">
        <f t="shared" si="186"/>
        <v>0</v>
      </c>
      <c r="ED30" s="15">
        <f t="shared" si="187"/>
        <v>112666666.66666667</v>
      </c>
      <c r="EE30" s="15">
        <f t="shared" si="187"/>
        <v>112666666.66666667</v>
      </c>
      <c r="EF30" s="15">
        <f t="shared" si="187"/>
        <v>112666666.66666667</v>
      </c>
      <c r="EG30" s="15">
        <f t="shared" si="187"/>
        <v>112666666.66666667</v>
      </c>
      <c r="EH30" s="15">
        <f t="shared" si="187"/>
        <v>112666666.66666667</v>
      </c>
      <c r="EI30" s="15">
        <f t="shared" si="187"/>
        <v>112666666.66666667</v>
      </c>
      <c r="EJ30" s="15">
        <f t="shared" si="187"/>
        <v>112666666.66666667</v>
      </c>
      <c r="EK30" s="15">
        <f t="shared" si="187"/>
        <v>112666666.66666667</v>
      </c>
      <c r="EL30" s="15">
        <f t="shared" si="187"/>
        <v>112666666.66666667</v>
      </c>
      <c r="EM30" s="15">
        <f t="shared" si="187"/>
        <v>112666666.66666667</v>
      </c>
      <c r="EN30" s="15">
        <f t="shared" si="187"/>
        <v>112666666.66666667</v>
      </c>
      <c r="EO30" s="15">
        <f t="shared" si="187"/>
        <v>112666666.66666667</v>
      </c>
      <c r="EP30" s="15">
        <f t="shared" si="187"/>
        <v>0</v>
      </c>
      <c r="EQ30" s="15">
        <f t="shared" si="187"/>
        <v>0</v>
      </c>
      <c r="ER30" s="15">
        <f t="shared" si="187"/>
        <v>0</v>
      </c>
      <c r="ES30" s="15">
        <f t="shared" si="187"/>
        <v>0</v>
      </c>
      <c r="ET30" s="15">
        <f t="shared" si="188"/>
        <v>0</v>
      </c>
      <c r="EU30" s="15">
        <f t="shared" si="188"/>
        <v>0</v>
      </c>
      <c r="EV30" s="15">
        <f t="shared" si="188"/>
        <v>0</v>
      </c>
      <c r="EW30" s="15">
        <f t="shared" si="188"/>
        <v>0</v>
      </c>
      <c r="EX30" s="15">
        <f t="shared" si="188"/>
        <v>0</v>
      </c>
      <c r="EY30" s="15">
        <f t="shared" si="188"/>
        <v>0</v>
      </c>
      <c r="EZ30" s="15">
        <f t="shared" si="188"/>
        <v>0</v>
      </c>
      <c r="FA30" s="15">
        <f t="shared" si="188"/>
        <v>0</v>
      </c>
      <c r="FB30" s="15">
        <f t="shared" si="188"/>
        <v>0</v>
      </c>
      <c r="FC30" s="15">
        <f t="shared" si="188"/>
        <v>0</v>
      </c>
      <c r="FD30" s="15">
        <f t="shared" si="188"/>
        <v>0</v>
      </c>
      <c r="FE30" s="15">
        <f t="shared" si="188"/>
        <v>0</v>
      </c>
      <c r="FF30" s="15">
        <f t="shared" si="188"/>
        <v>0</v>
      </c>
      <c r="FG30" s="15">
        <f t="shared" si="188"/>
        <v>0</v>
      </c>
      <c r="FI30" s="15">
        <f t="shared" si="189"/>
        <v>112666666.66666667</v>
      </c>
      <c r="FJ30" s="15">
        <f t="shared" si="189"/>
        <v>112666666.66666667</v>
      </c>
      <c r="FK30" s="15">
        <f t="shared" si="189"/>
        <v>112666666.66666667</v>
      </c>
      <c r="FL30" s="15">
        <f t="shared" si="189"/>
        <v>112666666.66666667</v>
      </c>
      <c r="FM30" s="15">
        <f t="shared" si="189"/>
        <v>112666666.66666667</v>
      </c>
      <c r="FN30" s="15">
        <f t="shared" si="189"/>
        <v>112666666.66666667</v>
      </c>
      <c r="FO30" s="15">
        <f t="shared" si="189"/>
        <v>112666666.66666667</v>
      </c>
      <c r="FP30" s="15">
        <f t="shared" si="189"/>
        <v>112666666.66666667</v>
      </c>
      <c r="FQ30" s="15">
        <f t="shared" si="189"/>
        <v>112666666.66666667</v>
      </c>
      <c r="FR30" s="15">
        <f t="shared" si="189"/>
        <v>112666666.66666667</v>
      </c>
      <c r="FS30" s="15">
        <f t="shared" si="189"/>
        <v>112666666.66666667</v>
      </c>
      <c r="FT30" s="15">
        <f t="shared" si="189"/>
        <v>112666666.66666667</v>
      </c>
      <c r="FU30" s="15">
        <f t="shared" si="189"/>
        <v>0</v>
      </c>
      <c r="FV30" s="15">
        <f t="shared" si="189"/>
        <v>0</v>
      </c>
      <c r="FW30" s="15">
        <f t="shared" si="189"/>
        <v>0</v>
      </c>
      <c r="FX30" s="15">
        <f t="shared" si="189"/>
        <v>0</v>
      </c>
      <c r="FY30" s="15">
        <f t="shared" si="190"/>
        <v>0</v>
      </c>
      <c r="FZ30" s="15">
        <f t="shared" si="190"/>
        <v>0</v>
      </c>
      <c r="GA30" s="15">
        <f t="shared" si="190"/>
        <v>0</v>
      </c>
      <c r="GB30" s="15">
        <f t="shared" si="190"/>
        <v>0</v>
      </c>
      <c r="GC30" s="15">
        <f t="shared" si="190"/>
        <v>0</v>
      </c>
      <c r="GD30" s="15">
        <f t="shared" si="190"/>
        <v>0</v>
      </c>
      <c r="GE30" s="15">
        <f t="shared" si="190"/>
        <v>0</v>
      </c>
      <c r="GF30" s="15">
        <f t="shared" si="190"/>
        <v>0</v>
      </c>
      <c r="GG30" s="15">
        <f t="shared" si="190"/>
        <v>0</v>
      </c>
      <c r="GH30" s="15">
        <f t="shared" si="190"/>
        <v>0</v>
      </c>
      <c r="GI30" s="15">
        <f t="shared" si="190"/>
        <v>0</v>
      </c>
      <c r="GJ30" s="15">
        <f t="shared" si="190"/>
        <v>0</v>
      </c>
      <c r="GK30" s="15">
        <f t="shared" si="190"/>
        <v>0</v>
      </c>
      <c r="GL30" s="15">
        <f t="shared" si="190"/>
        <v>0</v>
      </c>
      <c r="GN30" s="15">
        <f t="shared" si="191"/>
        <v>112666666.66666667</v>
      </c>
      <c r="GO30" s="15">
        <f t="shared" si="191"/>
        <v>112666666.66666667</v>
      </c>
      <c r="GP30" s="15">
        <f t="shared" si="191"/>
        <v>112666666.66666667</v>
      </c>
      <c r="GQ30" s="15">
        <f t="shared" si="191"/>
        <v>112666666.66666667</v>
      </c>
      <c r="GR30" s="15">
        <f t="shared" si="191"/>
        <v>112666666.66666667</v>
      </c>
      <c r="GS30" s="15">
        <f t="shared" si="191"/>
        <v>112666666.66666667</v>
      </c>
      <c r="GT30" s="15">
        <f t="shared" si="191"/>
        <v>112666666.66666667</v>
      </c>
      <c r="GU30" s="15">
        <f t="shared" si="191"/>
        <v>112666666.66666667</v>
      </c>
      <c r="GV30" s="15">
        <f t="shared" si="191"/>
        <v>112666666.66666667</v>
      </c>
      <c r="GW30" s="15">
        <f t="shared" si="191"/>
        <v>112666666.66666667</v>
      </c>
      <c r="GX30" s="15">
        <f t="shared" si="191"/>
        <v>112666666.66666667</v>
      </c>
      <c r="GY30" s="15">
        <f t="shared" si="191"/>
        <v>112666666.66666667</v>
      </c>
      <c r="GZ30" s="15">
        <f t="shared" si="191"/>
        <v>0</v>
      </c>
      <c r="HA30" s="15">
        <f t="shared" si="191"/>
        <v>0</v>
      </c>
      <c r="HB30" s="15">
        <f t="shared" si="191"/>
        <v>0</v>
      </c>
      <c r="HC30" s="15">
        <f t="shared" si="191"/>
        <v>0</v>
      </c>
      <c r="HD30" s="15">
        <f t="shared" si="192"/>
        <v>0</v>
      </c>
      <c r="HE30" s="15">
        <f t="shared" si="192"/>
        <v>0</v>
      </c>
      <c r="HF30" s="15">
        <f t="shared" si="192"/>
        <v>0</v>
      </c>
      <c r="HG30" s="15">
        <f t="shared" si="192"/>
        <v>0</v>
      </c>
      <c r="HH30" s="15">
        <f t="shared" si="192"/>
        <v>0</v>
      </c>
      <c r="HI30" s="15">
        <f t="shared" si="192"/>
        <v>0</v>
      </c>
      <c r="HJ30" s="15">
        <f t="shared" si="192"/>
        <v>0</v>
      </c>
      <c r="HK30" s="15">
        <f t="shared" si="192"/>
        <v>0</v>
      </c>
      <c r="HL30" s="15">
        <f t="shared" si="192"/>
        <v>0</v>
      </c>
      <c r="HM30" s="15">
        <f t="shared" si="192"/>
        <v>0</v>
      </c>
      <c r="HN30" s="15">
        <f t="shared" si="192"/>
        <v>0</v>
      </c>
      <c r="HO30" s="15">
        <f t="shared" si="192"/>
        <v>0</v>
      </c>
      <c r="HP30" s="15">
        <f t="shared" si="192"/>
        <v>0</v>
      </c>
      <c r="HQ30" s="15">
        <f t="shared" si="192"/>
        <v>0</v>
      </c>
    </row>
    <row r="31" spans="1:225" outlineLevel="1" x14ac:dyDescent="0.25">
      <c r="B31" t="s">
        <v>346</v>
      </c>
      <c r="C31" s="496" t="s">
        <v>415</v>
      </c>
      <c r="D31" s="614" t="s">
        <v>206</v>
      </c>
      <c r="E31" s="467">
        <v>1</v>
      </c>
      <c r="F31" s="221"/>
      <c r="G31" s="457">
        <v>12</v>
      </c>
      <c r="H31" s="468">
        <f>(1200000000/$D$6)*1.04</f>
        <v>1248000000</v>
      </c>
      <c r="I31" s="457">
        <f t="shared" si="164"/>
        <v>1248000000</v>
      </c>
      <c r="J31" s="457">
        <f t="shared" si="165"/>
        <v>104000000</v>
      </c>
      <c r="K31" s="221"/>
      <c r="L31" s="457">
        <v>12</v>
      </c>
      <c r="M31" s="457">
        <f t="shared" si="166"/>
        <v>1352000000</v>
      </c>
      <c r="N31" s="457">
        <f t="shared" si="167"/>
        <v>1352000000</v>
      </c>
      <c r="O31" s="457">
        <f t="shared" si="168"/>
        <v>112666666.66666667</v>
      </c>
      <c r="P31" s="221"/>
      <c r="Q31" s="457">
        <v>12</v>
      </c>
      <c r="R31" s="457">
        <f t="shared" si="169"/>
        <v>1352000000</v>
      </c>
      <c r="S31" s="457">
        <f t="shared" si="170"/>
        <v>1352000000</v>
      </c>
      <c r="T31" s="457">
        <f t="shared" si="171"/>
        <v>112666666.66666667</v>
      </c>
      <c r="U31" s="221"/>
      <c r="V31" s="457">
        <v>12</v>
      </c>
      <c r="W31" s="457">
        <f t="shared" si="172"/>
        <v>1248000000</v>
      </c>
      <c r="X31" s="457">
        <f t="shared" si="173"/>
        <v>1248000000</v>
      </c>
      <c r="Y31" s="457">
        <f t="shared" si="174"/>
        <v>104000000</v>
      </c>
      <c r="Z31" s="221"/>
      <c r="AA31" s="457">
        <v>12</v>
      </c>
      <c r="AB31" s="457">
        <f t="shared" si="175"/>
        <v>1248000000</v>
      </c>
      <c r="AC31" s="457">
        <f t="shared" si="176"/>
        <v>1248000000</v>
      </c>
      <c r="AD31" s="457">
        <f t="shared" si="177"/>
        <v>104000000</v>
      </c>
      <c r="AE31" s="221"/>
      <c r="AF31" s="457">
        <v>12</v>
      </c>
      <c r="AG31" s="457">
        <f t="shared" si="178"/>
        <v>1248000000</v>
      </c>
      <c r="AH31" s="457">
        <f t="shared" si="179"/>
        <v>1248000000</v>
      </c>
      <c r="AI31" s="457">
        <f t="shared" si="180"/>
        <v>104000000</v>
      </c>
      <c r="AJ31" s="221"/>
      <c r="AL31" t="s">
        <v>547</v>
      </c>
      <c r="AM31" t="s">
        <v>337</v>
      </c>
      <c r="AO31" s="15">
        <f t="shared" si="181"/>
        <v>104000000</v>
      </c>
      <c r="AP31" s="15">
        <f t="shared" si="181"/>
        <v>104000000</v>
      </c>
      <c r="AQ31" s="15">
        <f t="shared" si="181"/>
        <v>104000000</v>
      </c>
      <c r="AR31" s="15">
        <f t="shared" si="181"/>
        <v>104000000</v>
      </c>
      <c r="AS31" s="15">
        <f t="shared" si="181"/>
        <v>104000000</v>
      </c>
      <c r="AT31" s="15">
        <f t="shared" si="181"/>
        <v>104000000</v>
      </c>
      <c r="AU31" s="15">
        <f t="shared" si="181"/>
        <v>104000000</v>
      </c>
      <c r="AV31" s="15">
        <f t="shared" si="181"/>
        <v>104000000</v>
      </c>
      <c r="AW31" s="15">
        <f t="shared" si="181"/>
        <v>104000000</v>
      </c>
      <c r="AX31" s="15">
        <f t="shared" si="181"/>
        <v>104000000</v>
      </c>
      <c r="AY31" s="15">
        <f t="shared" si="181"/>
        <v>104000000</v>
      </c>
      <c r="AZ31" s="15">
        <f t="shared" si="181"/>
        <v>104000000</v>
      </c>
      <c r="BA31" s="15">
        <f t="shared" si="181"/>
        <v>0</v>
      </c>
      <c r="BB31" s="15">
        <f t="shared" si="181"/>
        <v>0</v>
      </c>
      <c r="BC31" s="15">
        <f t="shared" si="181"/>
        <v>0</v>
      </c>
      <c r="BD31" s="15">
        <f t="shared" si="181"/>
        <v>0</v>
      </c>
      <c r="BE31" s="15">
        <f t="shared" si="182"/>
        <v>0</v>
      </c>
      <c r="BF31" s="15">
        <f t="shared" si="182"/>
        <v>0</v>
      </c>
      <c r="BG31" s="15">
        <f t="shared" si="182"/>
        <v>0</v>
      </c>
      <c r="BH31" s="15">
        <f t="shared" si="182"/>
        <v>0</v>
      </c>
      <c r="BI31" s="15">
        <f t="shared" si="182"/>
        <v>0</v>
      </c>
      <c r="BJ31" s="15">
        <f t="shared" si="182"/>
        <v>0</v>
      </c>
      <c r="BK31" s="15">
        <f t="shared" si="182"/>
        <v>0</v>
      </c>
      <c r="BL31" s="15">
        <f t="shared" si="182"/>
        <v>0</v>
      </c>
      <c r="BM31" s="15">
        <f t="shared" si="182"/>
        <v>0</v>
      </c>
      <c r="BN31" s="15">
        <f t="shared" si="182"/>
        <v>0</v>
      </c>
      <c r="BO31" s="15">
        <f t="shared" si="182"/>
        <v>0</v>
      </c>
      <c r="BP31" s="15">
        <f t="shared" si="182"/>
        <v>0</v>
      </c>
      <c r="BQ31" s="15">
        <f t="shared" si="182"/>
        <v>0</v>
      </c>
      <c r="BR31" s="15">
        <f t="shared" si="182"/>
        <v>0</v>
      </c>
      <c r="BT31" s="15">
        <f t="shared" si="183"/>
        <v>112666666.66666667</v>
      </c>
      <c r="BU31" s="15">
        <f t="shared" si="183"/>
        <v>112666666.66666667</v>
      </c>
      <c r="BV31" s="15">
        <f t="shared" si="183"/>
        <v>112666666.66666667</v>
      </c>
      <c r="BW31" s="15">
        <f t="shared" si="183"/>
        <v>112666666.66666667</v>
      </c>
      <c r="BX31" s="15">
        <f t="shared" si="183"/>
        <v>112666666.66666667</v>
      </c>
      <c r="BY31" s="15">
        <f t="shared" si="183"/>
        <v>112666666.66666667</v>
      </c>
      <c r="BZ31" s="15">
        <f t="shared" si="183"/>
        <v>112666666.66666667</v>
      </c>
      <c r="CA31" s="15">
        <f t="shared" si="183"/>
        <v>112666666.66666667</v>
      </c>
      <c r="CB31" s="15">
        <f t="shared" si="183"/>
        <v>112666666.66666667</v>
      </c>
      <c r="CC31" s="15">
        <f t="shared" si="183"/>
        <v>112666666.66666667</v>
      </c>
      <c r="CD31" s="15">
        <f t="shared" si="183"/>
        <v>112666666.66666667</v>
      </c>
      <c r="CE31" s="15">
        <f t="shared" si="183"/>
        <v>112666666.66666667</v>
      </c>
      <c r="CF31" s="15">
        <f t="shared" si="183"/>
        <v>0</v>
      </c>
      <c r="CG31" s="15">
        <f t="shared" si="183"/>
        <v>0</v>
      </c>
      <c r="CH31" s="15">
        <f t="shared" si="183"/>
        <v>0</v>
      </c>
      <c r="CI31" s="15">
        <f t="shared" si="183"/>
        <v>0</v>
      </c>
      <c r="CJ31" s="15">
        <f t="shared" si="184"/>
        <v>0</v>
      </c>
      <c r="CK31" s="15">
        <f t="shared" si="184"/>
        <v>0</v>
      </c>
      <c r="CL31" s="15">
        <f t="shared" si="184"/>
        <v>0</v>
      </c>
      <c r="CM31" s="15">
        <f t="shared" si="184"/>
        <v>0</v>
      </c>
      <c r="CN31" s="15">
        <f t="shared" si="184"/>
        <v>0</v>
      </c>
      <c r="CO31" s="15">
        <f t="shared" si="184"/>
        <v>0</v>
      </c>
      <c r="CP31" s="15">
        <f t="shared" si="184"/>
        <v>0</v>
      </c>
      <c r="CQ31" s="15">
        <f t="shared" si="184"/>
        <v>0</v>
      </c>
      <c r="CR31" s="15">
        <f t="shared" si="184"/>
        <v>0</v>
      </c>
      <c r="CS31" s="15">
        <f t="shared" si="184"/>
        <v>0</v>
      </c>
      <c r="CT31" s="15">
        <f t="shared" si="184"/>
        <v>0</v>
      </c>
      <c r="CU31" s="15">
        <f t="shared" si="184"/>
        <v>0</v>
      </c>
      <c r="CV31" s="15">
        <f t="shared" si="184"/>
        <v>0</v>
      </c>
      <c r="CW31" s="15">
        <f t="shared" si="184"/>
        <v>0</v>
      </c>
      <c r="CY31" s="15">
        <f t="shared" si="185"/>
        <v>112666666.66666667</v>
      </c>
      <c r="CZ31" s="15">
        <f t="shared" si="185"/>
        <v>112666666.66666667</v>
      </c>
      <c r="DA31" s="15">
        <f t="shared" si="185"/>
        <v>112666666.66666667</v>
      </c>
      <c r="DB31" s="15">
        <f t="shared" si="185"/>
        <v>112666666.66666667</v>
      </c>
      <c r="DC31" s="15">
        <f t="shared" si="185"/>
        <v>112666666.66666667</v>
      </c>
      <c r="DD31" s="15">
        <f t="shared" si="185"/>
        <v>112666666.66666667</v>
      </c>
      <c r="DE31" s="15">
        <f t="shared" si="185"/>
        <v>112666666.66666667</v>
      </c>
      <c r="DF31" s="15">
        <f t="shared" si="185"/>
        <v>112666666.66666667</v>
      </c>
      <c r="DG31" s="15">
        <f t="shared" si="185"/>
        <v>112666666.66666667</v>
      </c>
      <c r="DH31" s="15">
        <f t="shared" si="185"/>
        <v>112666666.66666667</v>
      </c>
      <c r="DI31" s="15">
        <f t="shared" si="185"/>
        <v>112666666.66666667</v>
      </c>
      <c r="DJ31" s="15">
        <f t="shared" si="185"/>
        <v>112666666.66666667</v>
      </c>
      <c r="DK31" s="15">
        <f t="shared" si="185"/>
        <v>0</v>
      </c>
      <c r="DL31" s="15">
        <f t="shared" si="185"/>
        <v>0</v>
      </c>
      <c r="DM31" s="15">
        <f t="shared" si="185"/>
        <v>0</v>
      </c>
      <c r="DN31" s="15">
        <f t="shared" si="185"/>
        <v>0</v>
      </c>
      <c r="DO31" s="15">
        <f t="shared" si="186"/>
        <v>0</v>
      </c>
      <c r="DP31" s="15">
        <f t="shared" si="186"/>
        <v>0</v>
      </c>
      <c r="DQ31" s="15">
        <f t="shared" si="186"/>
        <v>0</v>
      </c>
      <c r="DR31" s="15">
        <f t="shared" si="186"/>
        <v>0</v>
      </c>
      <c r="DS31" s="15">
        <f t="shared" si="186"/>
        <v>0</v>
      </c>
      <c r="DT31" s="15">
        <f t="shared" si="186"/>
        <v>0</v>
      </c>
      <c r="DU31" s="15">
        <f t="shared" si="186"/>
        <v>0</v>
      </c>
      <c r="DV31" s="15">
        <f t="shared" si="186"/>
        <v>0</v>
      </c>
      <c r="DW31" s="15">
        <f t="shared" si="186"/>
        <v>0</v>
      </c>
      <c r="DX31" s="15">
        <f t="shared" si="186"/>
        <v>0</v>
      </c>
      <c r="DY31" s="15">
        <f t="shared" si="186"/>
        <v>0</v>
      </c>
      <c r="DZ31" s="15">
        <f t="shared" si="186"/>
        <v>0</v>
      </c>
      <c r="EA31" s="15">
        <f t="shared" si="186"/>
        <v>0</v>
      </c>
      <c r="EB31" s="15">
        <f t="shared" si="186"/>
        <v>0</v>
      </c>
      <c r="ED31" s="15">
        <f t="shared" si="187"/>
        <v>104000000</v>
      </c>
      <c r="EE31" s="15">
        <f t="shared" si="187"/>
        <v>104000000</v>
      </c>
      <c r="EF31" s="15">
        <f t="shared" si="187"/>
        <v>104000000</v>
      </c>
      <c r="EG31" s="15">
        <f t="shared" si="187"/>
        <v>104000000</v>
      </c>
      <c r="EH31" s="15">
        <f t="shared" si="187"/>
        <v>104000000</v>
      </c>
      <c r="EI31" s="15">
        <f t="shared" si="187"/>
        <v>104000000</v>
      </c>
      <c r="EJ31" s="15">
        <f t="shared" si="187"/>
        <v>104000000</v>
      </c>
      <c r="EK31" s="15">
        <f t="shared" si="187"/>
        <v>104000000</v>
      </c>
      <c r="EL31" s="15">
        <f t="shared" si="187"/>
        <v>104000000</v>
      </c>
      <c r="EM31" s="15">
        <f t="shared" si="187"/>
        <v>104000000</v>
      </c>
      <c r="EN31" s="15">
        <f t="shared" si="187"/>
        <v>104000000</v>
      </c>
      <c r="EO31" s="15">
        <f t="shared" si="187"/>
        <v>104000000</v>
      </c>
      <c r="EP31" s="15">
        <f t="shared" si="187"/>
        <v>0</v>
      </c>
      <c r="EQ31" s="15">
        <f t="shared" si="187"/>
        <v>0</v>
      </c>
      <c r="ER31" s="15">
        <f t="shared" si="187"/>
        <v>0</v>
      </c>
      <c r="ES31" s="15">
        <f t="shared" si="187"/>
        <v>0</v>
      </c>
      <c r="ET31" s="15">
        <f t="shared" si="188"/>
        <v>0</v>
      </c>
      <c r="EU31" s="15">
        <f t="shared" si="188"/>
        <v>0</v>
      </c>
      <c r="EV31" s="15">
        <f t="shared" si="188"/>
        <v>0</v>
      </c>
      <c r="EW31" s="15">
        <f t="shared" si="188"/>
        <v>0</v>
      </c>
      <c r="EX31" s="15">
        <f t="shared" si="188"/>
        <v>0</v>
      </c>
      <c r="EY31" s="15">
        <f t="shared" si="188"/>
        <v>0</v>
      </c>
      <c r="EZ31" s="15">
        <f t="shared" si="188"/>
        <v>0</v>
      </c>
      <c r="FA31" s="15">
        <f t="shared" si="188"/>
        <v>0</v>
      </c>
      <c r="FB31" s="15">
        <f t="shared" si="188"/>
        <v>0</v>
      </c>
      <c r="FC31" s="15">
        <f t="shared" si="188"/>
        <v>0</v>
      </c>
      <c r="FD31" s="15">
        <f t="shared" si="188"/>
        <v>0</v>
      </c>
      <c r="FE31" s="15">
        <f t="shared" si="188"/>
        <v>0</v>
      </c>
      <c r="FF31" s="15">
        <f t="shared" si="188"/>
        <v>0</v>
      </c>
      <c r="FG31" s="15">
        <f t="shared" si="188"/>
        <v>0</v>
      </c>
      <c r="FI31" s="15">
        <f t="shared" si="189"/>
        <v>104000000</v>
      </c>
      <c r="FJ31" s="15">
        <f t="shared" si="189"/>
        <v>104000000</v>
      </c>
      <c r="FK31" s="15">
        <f t="shared" si="189"/>
        <v>104000000</v>
      </c>
      <c r="FL31" s="15">
        <f t="shared" si="189"/>
        <v>104000000</v>
      </c>
      <c r="FM31" s="15">
        <f t="shared" si="189"/>
        <v>104000000</v>
      </c>
      <c r="FN31" s="15">
        <f t="shared" si="189"/>
        <v>104000000</v>
      </c>
      <c r="FO31" s="15">
        <f t="shared" si="189"/>
        <v>104000000</v>
      </c>
      <c r="FP31" s="15">
        <f t="shared" si="189"/>
        <v>104000000</v>
      </c>
      <c r="FQ31" s="15">
        <f t="shared" si="189"/>
        <v>104000000</v>
      </c>
      <c r="FR31" s="15">
        <f t="shared" si="189"/>
        <v>104000000</v>
      </c>
      <c r="FS31" s="15">
        <f t="shared" si="189"/>
        <v>104000000</v>
      </c>
      <c r="FT31" s="15">
        <f t="shared" si="189"/>
        <v>104000000</v>
      </c>
      <c r="FU31" s="15">
        <f t="shared" si="189"/>
        <v>0</v>
      </c>
      <c r="FV31" s="15">
        <f t="shared" si="189"/>
        <v>0</v>
      </c>
      <c r="FW31" s="15">
        <f t="shared" si="189"/>
        <v>0</v>
      </c>
      <c r="FX31" s="15">
        <f t="shared" si="189"/>
        <v>0</v>
      </c>
      <c r="FY31" s="15">
        <f t="shared" si="190"/>
        <v>0</v>
      </c>
      <c r="FZ31" s="15">
        <f t="shared" si="190"/>
        <v>0</v>
      </c>
      <c r="GA31" s="15">
        <f t="shared" si="190"/>
        <v>0</v>
      </c>
      <c r="GB31" s="15">
        <f t="shared" si="190"/>
        <v>0</v>
      </c>
      <c r="GC31" s="15">
        <f t="shared" si="190"/>
        <v>0</v>
      </c>
      <c r="GD31" s="15">
        <f t="shared" si="190"/>
        <v>0</v>
      </c>
      <c r="GE31" s="15">
        <f t="shared" si="190"/>
        <v>0</v>
      </c>
      <c r="GF31" s="15">
        <f t="shared" si="190"/>
        <v>0</v>
      </c>
      <c r="GG31" s="15">
        <f t="shared" si="190"/>
        <v>0</v>
      </c>
      <c r="GH31" s="15">
        <f t="shared" si="190"/>
        <v>0</v>
      </c>
      <c r="GI31" s="15">
        <f t="shared" si="190"/>
        <v>0</v>
      </c>
      <c r="GJ31" s="15">
        <f t="shared" si="190"/>
        <v>0</v>
      </c>
      <c r="GK31" s="15">
        <f t="shared" si="190"/>
        <v>0</v>
      </c>
      <c r="GL31" s="15">
        <f t="shared" si="190"/>
        <v>0</v>
      </c>
      <c r="GN31" s="15">
        <f t="shared" si="191"/>
        <v>104000000</v>
      </c>
      <c r="GO31" s="15">
        <f t="shared" si="191"/>
        <v>104000000</v>
      </c>
      <c r="GP31" s="15">
        <f t="shared" si="191"/>
        <v>104000000</v>
      </c>
      <c r="GQ31" s="15">
        <f t="shared" si="191"/>
        <v>104000000</v>
      </c>
      <c r="GR31" s="15">
        <f t="shared" si="191"/>
        <v>104000000</v>
      </c>
      <c r="GS31" s="15">
        <f t="shared" si="191"/>
        <v>104000000</v>
      </c>
      <c r="GT31" s="15">
        <f t="shared" si="191"/>
        <v>104000000</v>
      </c>
      <c r="GU31" s="15">
        <f t="shared" si="191"/>
        <v>104000000</v>
      </c>
      <c r="GV31" s="15">
        <f t="shared" si="191"/>
        <v>104000000</v>
      </c>
      <c r="GW31" s="15">
        <f t="shared" si="191"/>
        <v>104000000</v>
      </c>
      <c r="GX31" s="15">
        <f t="shared" si="191"/>
        <v>104000000</v>
      </c>
      <c r="GY31" s="15">
        <f t="shared" si="191"/>
        <v>104000000</v>
      </c>
      <c r="GZ31" s="15">
        <f t="shared" si="191"/>
        <v>0</v>
      </c>
      <c r="HA31" s="15">
        <f t="shared" si="191"/>
        <v>0</v>
      </c>
      <c r="HB31" s="15">
        <f t="shared" si="191"/>
        <v>0</v>
      </c>
      <c r="HC31" s="15">
        <f t="shared" si="191"/>
        <v>0</v>
      </c>
      <c r="HD31" s="15">
        <f t="shared" si="192"/>
        <v>0</v>
      </c>
      <c r="HE31" s="15">
        <f t="shared" si="192"/>
        <v>0</v>
      </c>
      <c r="HF31" s="15">
        <f t="shared" si="192"/>
        <v>0</v>
      </c>
      <c r="HG31" s="15">
        <f t="shared" si="192"/>
        <v>0</v>
      </c>
      <c r="HH31" s="15">
        <f t="shared" si="192"/>
        <v>0</v>
      </c>
      <c r="HI31" s="15">
        <f t="shared" si="192"/>
        <v>0</v>
      </c>
      <c r="HJ31" s="15">
        <f t="shared" si="192"/>
        <v>0</v>
      </c>
      <c r="HK31" s="15">
        <f t="shared" si="192"/>
        <v>0</v>
      </c>
      <c r="HL31" s="15">
        <f t="shared" si="192"/>
        <v>0</v>
      </c>
      <c r="HM31" s="15">
        <f t="shared" si="192"/>
        <v>0</v>
      </c>
      <c r="HN31" s="15">
        <f t="shared" si="192"/>
        <v>0</v>
      </c>
      <c r="HO31" s="15">
        <f t="shared" si="192"/>
        <v>0</v>
      </c>
      <c r="HP31" s="15">
        <f t="shared" si="192"/>
        <v>0</v>
      </c>
      <c r="HQ31" s="15">
        <f t="shared" si="192"/>
        <v>0</v>
      </c>
    </row>
    <row r="32" spans="1:225" s="142" customFormat="1" outlineLevel="1" x14ac:dyDescent="0.25">
      <c r="A32"/>
      <c r="B32" t="s">
        <v>346</v>
      </c>
      <c r="C32" s="496" t="s">
        <v>416</v>
      </c>
      <c r="D32" s="614" t="s">
        <v>207</v>
      </c>
      <c r="E32" s="467">
        <v>1</v>
      </c>
      <c r="F32" s="221"/>
      <c r="G32" s="457">
        <v>12</v>
      </c>
      <c r="H32" s="468">
        <f>(750000000/$D$6)*1.04</f>
        <v>780000000</v>
      </c>
      <c r="I32" s="457">
        <f t="shared" si="164"/>
        <v>780000000</v>
      </c>
      <c r="J32" s="457">
        <f t="shared" si="165"/>
        <v>65000000</v>
      </c>
      <c r="K32" s="221"/>
      <c r="L32" s="457">
        <v>12</v>
      </c>
      <c r="M32" s="457">
        <f t="shared" si="166"/>
        <v>858000000</v>
      </c>
      <c r="N32" s="457">
        <f t="shared" si="167"/>
        <v>858000000</v>
      </c>
      <c r="O32" s="457">
        <f t="shared" si="168"/>
        <v>71500000</v>
      </c>
      <c r="P32" s="221"/>
      <c r="Q32" s="457">
        <v>12</v>
      </c>
      <c r="R32" s="457">
        <f t="shared" si="169"/>
        <v>858000000</v>
      </c>
      <c r="S32" s="457">
        <f t="shared" si="170"/>
        <v>858000000</v>
      </c>
      <c r="T32" s="457">
        <f t="shared" si="171"/>
        <v>71500000</v>
      </c>
      <c r="U32" s="221"/>
      <c r="V32" s="457">
        <v>12</v>
      </c>
      <c r="W32" s="457">
        <f t="shared" si="172"/>
        <v>780000000</v>
      </c>
      <c r="X32" s="457">
        <f t="shared" si="173"/>
        <v>780000000</v>
      </c>
      <c r="Y32" s="457">
        <f t="shared" si="174"/>
        <v>65000000</v>
      </c>
      <c r="Z32" s="221"/>
      <c r="AA32" s="457">
        <v>12</v>
      </c>
      <c r="AB32" s="457">
        <f t="shared" si="175"/>
        <v>780000000</v>
      </c>
      <c r="AC32" s="457">
        <f t="shared" si="176"/>
        <v>780000000</v>
      </c>
      <c r="AD32" s="457">
        <f t="shared" si="177"/>
        <v>65000000</v>
      </c>
      <c r="AE32" s="221"/>
      <c r="AF32" s="457">
        <v>12</v>
      </c>
      <c r="AG32" s="457">
        <f t="shared" si="178"/>
        <v>780000000</v>
      </c>
      <c r="AH32" s="457">
        <f t="shared" si="179"/>
        <v>780000000</v>
      </c>
      <c r="AI32" s="457">
        <f t="shared" si="180"/>
        <v>65000000</v>
      </c>
      <c r="AJ32" s="221"/>
      <c r="AK32"/>
      <c r="AL32" t="s">
        <v>547</v>
      </c>
      <c r="AM32" t="s">
        <v>337</v>
      </c>
      <c r="AN32"/>
      <c r="AO32" s="15">
        <f t="shared" si="181"/>
        <v>65000000</v>
      </c>
      <c r="AP32" s="15">
        <f t="shared" si="181"/>
        <v>65000000</v>
      </c>
      <c r="AQ32" s="15">
        <f t="shared" si="181"/>
        <v>65000000</v>
      </c>
      <c r="AR32" s="15">
        <f t="shared" si="181"/>
        <v>65000000</v>
      </c>
      <c r="AS32" s="15">
        <f t="shared" si="181"/>
        <v>65000000</v>
      </c>
      <c r="AT32" s="15">
        <f t="shared" si="181"/>
        <v>65000000</v>
      </c>
      <c r="AU32" s="15">
        <f t="shared" si="181"/>
        <v>65000000</v>
      </c>
      <c r="AV32" s="15">
        <f t="shared" si="181"/>
        <v>65000000</v>
      </c>
      <c r="AW32" s="15">
        <f t="shared" si="181"/>
        <v>65000000</v>
      </c>
      <c r="AX32" s="15">
        <f t="shared" si="181"/>
        <v>65000000</v>
      </c>
      <c r="AY32" s="15">
        <f t="shared" si="181"/>
        <v>65000000</v>
      </c>
      <c r="AZ32" s="15">
        <f t="shared" si="181"/>
        <v>65000000</v>
      </c>
      <c r="BA32" s="15">
        <f t="shared" si="181"/>
        <v>0</v>
      </c>
      <c r="BB32" s="15">
        <f t="shared" si="181"/>
        <v>0</v>
      </c>
      <c r="BC32" s="15">
        <f t="shared" si="181"/>
        <v>0</v>
      </c>
      <c r="BD32" s="15">
        <f t="shared" si="181"/>
        <v>0</v>
      </c>
      <c r="BE32" s="15">
        <f t="shared" si="182"/>
        <v>0</v>
      </c>
      <c r="BF32" s="15">
        <f t="shared" si="182"/>
        <v>0</v>
      </c>
      <c r="BG32" s="15">
        <f t="shared" si="182"/>
        <v>0</v>
      </c>
      <c r="BH32" s="15">
        <f t="shared" si="182"/>
        <v>0</v>
      </c>
      <c r="BI32" s="15">
        <f t="shared" si="182"/>
        <v>0</v>
      </c>
      <c r="BJ32" s="15">
        <f t="shared" si="182"/>
        <v>0</v>
      </c>
      <c r="BK32" s="15">
        <f t="shared" si="182"/>
        <v>0</v>
      </c>
      <c r="BL32" s="15">
        <f t="shared" si="182"/>
        <v>0</v>
      </c>
      <c r="BM32" s="15">
        <f t="shared" si="182"/>
        <v>0</v>
      </c>
      <c r="BN32" s="15">
        <f t="shared" si="182"/>
        <v>0</v>
      </c>
      <c r="BO32" s="15">
        <f t="shared" si="182"/>
        <v>0</v>
      </c>
      <c r="BP32" s="15">
        <f t="shared" si="182"/>
        <v>0</v>
      </c>
      <c r="BQ32" s="15">
        <f t="shared" si="182"/>
        <v>0</v>
      </c>
      <c r="BR32" s="15">
        <f t="shared" si="182"/>
        <v>0</v>
      </c>
      <c r="BS32"/>
      <c r="BT32" s="15">
        <f t="shared" si="183"/>
        <v>71500000</v>
      </c>
      <c r="BU32" s="15">
        <f t="shared" si="183"/>
        <v>71500000</v>
      </c>
      <c r="BV32" s="15">
        <f t="shared" si="183"/>
        <v>71500000</v>
      </c>
      <c r="BW32" s="15">
        <f t="shared" si="183"/>
        <v>71500000</v>
      </c>
      <c r="BX32" s="15">
        <f t="shared" si="183"/>
        <v>71500000</v>
      </c>
      <c r="BY32" s="15">
        <f t="shared" si="183"/>
        <v>71500000</v>
      </c>
      <c r="BZ32" s="15">
        <f t="shared" si="183"/>
        <v>71500000</v>
      </c>
      <c r="CA32" s="15">
        <f t="shared" si="183"/>
        <v>71500000</v>
      </c>
      <c r="CB32" s="15">
        <f t="shared" si="183"/>
        <v>71500000</v>
      </c>
      <c r="CC32" s="15">
        <f t="shared" si="183"/>
        <v>71500000</v>
      </c>
      <c r="CD32" s="15">
        <f t="shared" si="183"/>
        <v>71500000</v>
      </c>
      <c r="CE32" s="15">
        <f t="shared" si="183"/>
        <v>71500000</v>
      </c>
      <c r="CF32" s="15">
        <f t="shared" si="183"/>
        <v>0</v>
      </c>
      <c r="CG32" s="15">
        <f t="shared" si="183"/>
        <v>0</v>
      </c>
      <c r="CH32" s="15">
        <f t="shared" si="183"/>
        <v>0</v>
      </c>
      <c r="CI32" s="15">
        <f t="shared" si="183"/>
        <v>0</v>
      </c>
      <c r="CJ32" s="15">
        <f t="shared" si="184"/>
        <v>0</v>
      </c>
      <c r="CK32" s="15">
        <f t="shared" si="184"/>
        <v>0</v>
      </c>
      <c r="CL32" s="15">
        <f t="shared" si="184"/>
        <v>0</v>
      </c>
      <c r="CM32" s="15">
        <f t="shared" si="184"/>
        <v>0</v>
      </c>
      <c r="CN32" s="15">
        <f t="shared" si="184"/>
        <v>0</v>
      </c>
      <c r="CO32" s="15">
        <f t="shared" si="184"/>
        <v>0</v>
      </c>
      <c r="CP32" s="15">
        <f t="shared" si="184"/>
        <v>0</v>
      </c>
      <c r="CQ32" s="15">
        <f t="shared" si="184"/>
        <v>0</v>
      </c>
      <c r="CR32" s="15">
        <f t="shared" si="184"/>
        <v>0</v>
      </c>
      <c r="CS32" s="15">
        <f t="shared" si="184"/>
        <v>0</v>
      </c>
      <c r="CT32" s="15">
        <f t="shared" si="184"/>
        <v>0</v>
      </c>
      <c r="CU32" s="15">
        <f t="shared" si="184"/>
        <v>0</v>
      </c>
      <c r="CV32" s="15">
        <f t="shared" si="184"/>
        <v>0</v>
      </c>
      <c r="CW32" s="15">
        <f t="shared" si="184"/>
        <v>0</v>
      </c>
      <c r="CX32"/>
      <c r="CY32" s="15">
        <f t="shared" si="185"/>
        <v>71500000</v>
      </c>
      <c r="CZ32" s="15">
        <f t="shared" si="185"/>
        <v>71500000</v>
      </c>
      <c r="DA32" s="15">
        <f t="shared" si="185"/>
        <v>71500000</v>
      </c>
      <c r="DB32" s="15">
        <f t="shared" si="185"/>
        <v>71500000</v>
      </c>
      <c r="DC32" s="15">
        <f t="shared" si="185"/>
        <v>71500000</v>
      </c>
      <c r="DD32" s="15">
        <f t="shared" si="185"/>
        <v>71500000</v>
      </c>
      <c r="DE32" s="15">
        <f t="shared" si="185"/>
        <v>71500000</v>
      </c>
      <c r="DF32" s="15">
        <f t="shared" si="185"/>
        <v>71500000</v>
      </c>
      <c r="DG32" s="15">
        <f t="shared" si="185"/>
        <v>71500000</v>
      </c>
      <c r="DH32" s="15">
        <f t="shared" si="185"/>
        <v>71500000</v>
      </c>
      <c r="DI32" s="15">
        <f t="shared" si="185"/>
        <v>71500000</v>
      </c>
      <c r="DJ32" s="15">
        <f t="shared" si="185"/>
        <v>71500000</v>
      </c>
      <c r="DK32" s="15">
        <f t="shared" si="185"/>
        <v>0</v>
      </c>
      <c r="DL32" s="15">
        <f t="shared" si="185"/>
        <v>0</v>
      </c>
      <c r="DM32" s="15">
        <f t="shared" si="185"/>
        <v>0</v>
      </c>
      <c r="DN32" s="15">
        <f t="shared" si="185"/>
        <v>0</v>
      </c>
      <c r="DO32" s="15">
        <f t="shared" si="186"/>
        <v>0</v>
      </c>
      <c r="DP32" s="15">
        <f t="shared" si="186"/>
        <v>0</v>
      </c>
      <c r="DQ32" s="15">
        <f t="shared" si="186"/>
        <v>0</v>
      </c>
      <c r="DR32" s="15">
        <f t="shared" si="186"/>
        <v>0</v>
      </c>
      <c r="DS32" s="15">
        <f t="shared" si="186"/>
        <v>0</v>
      </c>
      <c r="DT32" s="15">
        <f t="shared" si="186"/>
        <v>0</v>
      </c>
      <c r="DU32" s="15">
        <f t="shared" si="186"/>
        <v>0</v>
      </c>
      <c r="DV32" s="15">
        <f t="shared" si="186"/>
        <v>0</v>
      </c>
      <c r="DW32" s="15">
        <f t="shared" si="186"/>
        <v>0</v>
      </c>
      <c r="DX32" s="15">
        <f t="shared" si="186"/>
        <v>0</v>
      </c>
      <c r="DY32" s="15">
        <f t="shared" si="186"/>
        <v>0</v>
      </c>
      <c r="DZ32" s="15">
        <f t="shared" si="186"/>
        <v>0</v>
      </c>
      <c r="EA32" s="15">
        <f t="shared" si="186"/>
        <v>0</v>
      </c>
      <c r="EB32" s="15">
        <f t="shared" si="186"/>
        <v>0</v>
      </c>
      <c r="EC32"/>
      <c r="ED32" s="15">
        <f t="shared" si="187"/>
        <v>65000000</v>
      </c>
      <c r="EE32" s="15">
        <f t="shared" si="187"/>
        <v>65000000</v>
      </c>
      <c r="EF32" s="15">
        <f t="shared" si="187"/>
        <v>65000000</v>
      </c>
      <c r="EG32" s="15">
        <f t="shared" si="187"/>
        <v>65000000</v>
      </c>
      <c r="EH32" s="15">
        <f t="shared" si="187"/>
        <v>65000000</v>
      </c>
      <c r="EI32" s="15">
        <f t="shared" si="187"/>
        <v>65000000</v>
      </c>
      <c r="EJ32" s="15">
        <f t="shared" si="187"/>
        <v>65000000</v>
      </c>
      <c r="EK32" s="15">
        <f t="shared" si="187"/>
        <v>65000000</v>
      </c>
      <c r="EL32" s="15">
        <f t="shared" si="187"/>
        <v>65000000</v>
      </c>
      <c r="EM32" s="15">
        <f t="shared" si="187"/>
        <v>65000000</v>
      </c>
      <c r="EN32" s="15">
        <f t="shared" si="187"/>
        <v>65000000</v>
      </c>
      <c r="EO32" s="15">
        <f t="shared" si="187"/>
        <v>65000000</v>
      </c>
      <c r="EP32" s="15">
        <f t="shared" si="187"/>
        <v>0</v>
      </c>
      <c r="EQ32" s="15">
        <f t="shared" si="187"/>
        <v>0</v>
      </c>
      <c r="ER32" s="15">
        <f t="shared" si="187"/>
        <v>0</v>
      </c>
      <c r="ES32" s="15">
        <f t="shared" si="187"/>
        <v>0</v>
      </c>
      <c r="ET32" s="15">
        <f t="shared" si="188"/>
        <v>0</v>
      </c>
      <c r="EU32" s="15">
        <f t="shared" si="188"/>
        <v>0</v>
      </c>
      <c r="EV32" s="15">
        <f t="shared" si="188"/>
        <v>0</v>
      </c>
      <c r="EW32" s="15">
        <f t="shared" si="188"/>
        <v>0</v>
      </c>
      <c r="EX32" s="15">
        <f t="shared" si="188"/>
        <v>0</v>
      </c>
      <c r="EY32" s="15">
        <f t="shared" si="188"/>
        <v>0</v>
      </c>
      <c r="EZ32" s="15">
        <f t="shared" si="188"/>
        <v>0</v>
      </c>
      <c r="FA32" s="15">
        <f t="shared" si="188"/>
        <v>0</v>
      </c>
      <c r="FB32" s="15">
        <f t="shared" si="188"/>
        <v>0</v>
      </c>
      <c r="FC32" s="15">
        <f t="shared" si="188"/>
        <v>0</v>
      </c>
      <c r="FD32" s="15">
        <f t="shared" si="188"/>
        <v>0</v>
      </c>
      <c r="FE32" s="15">
        <f t="shared" si="188"/>
        <v>0</v>
      </c>
      <c r="FF32" s="15">
        <f t="shared" si="188"/>
        <v>0</v>
      </c>
      <c r="FG32" s="15">
        <f t="shared" si="188"/>
        <v>0</v>
      </c>
      <c r="FH32"/>
      <c r="FI32" s="15">
        <f t="shared" si="189"/>
        <v>65000000</v>
      </c>
      <c r="FJ32" s="15">
        <f t="shared" si="189"/>
        <v>65000000</v>
      </c>
      <c r="FK32" s="15">
        <f t="shared" si="189"/>
        <v>65000000</v>
      </c>
      <c r="FL32" s="15">
        <f t="shared" si="189"/>
        <v>65000000</v>
      </c>
      <c r="FM32" s="15">
        <f t="shared" si="189"/>
        <v>65000000</v>
      </c>
      <c r="FN32" s="15">
        <f t="shared" si="189"/>
        <v>65000000</v>
      </c>
      <c r="FO32" s="15">
        <f t="shared" si="189"/>
        <v>65000000</v>
      </c>
      <c r="FP32" s="15">
        <f t="shared" si="189"/>
        <v>65000000</v>
      </c>
      <c r="FQ32" s="15">
        <f t="shared" si="189"/>
        <v>65000000</v>
      </c>
      <c r="FR32" s="15">
        <f t="shared" si="189"/>
        <v>65000000</v>
      </c>
      <c r="FS32" s="15">
        <f t="shared" si="189"/>
        <v>65000000</v>
      </c>
      <c r="FT32" s="15">
        <f t="shared" si="189"/>
        <v>65000000</v>
      </c>
      <c r="FU32" s="15">
        <f t="shared" si="189"/>
        <v>0</v>
      </c>
      <c r="FV32" s="15">
        <f t="shared" si="189"/>
        <v>0</v>
      </c>
      <c r="FW32" s="15">
        <f t="shared" si="189"/>
        <v>0</v>
      </c>
      <c r="FX32" s="15">
        <f t="shared" si="189"/>
        <v>0</v>
      </c>
      <c r="FY32" s="15">
        <f t="shared" si="190"/>
        <v>0</v>
      </c>
      <c r="FZ32" s="15">
        <f t="shared" si="190"/>
        <v>0</v>
      </c>
      <c r="GA32" s="15">
        <f t="shared" si="190"/>
        <v>0</v>
      </c>
      <c r="GB32" s="15">
        <f t="shared" si="190"/>
        <v>0</v>
      </c>
      <c r="GC32" s="15">
        <f t="shared" si="190"/>
        <v>0</v>
      </c>
      <c r="GD32" s="15">
        <f t="shared" si="190"/>
        <v>0</v>
      </c>
      <c r="GE32" s="15">
        <f t="shared" si="190"/>
        <v>0</v>
      </c>
      <c r="GF32" s="15">
        <f t="shared" si="190"/>
        <v>0</v>
      </c>
      <c r="GG32" s="15">
        <f t="shared" si="190"/>
        <v>0</v>
      </c>
      <c r="GH32" s="15">
        <f t="shared" si="190"/>
        <v>0</v>
      </c>
      <c r="GI32" s="15">
        <f t="shared" si="190"/>
        <v>0</v>
      </c>
      <c r="GJ32" s="15">
        <f t="shared" si="190"/>
        <v>0</v>
      </c>
      <c r="GK32" s="15">
        <f t="shared" si="190"/>
        <v>0</v>
      </c>
      <c r="GL32" s="15">
        <f t="shared" si="190"/>
        <v>0</v>
      </c>
      <c r="GM32"/>
      <c r="GN32" s="15">
        <f t="shared" si="191"/>
        <v>65000000</v>
      </c>
      <c r="GO32" s="15">
        <f t="shared" si="191"/>
        <v>65000000</v>
      </c>
      <c r="GP32" s="15">
        <f t="shared" si="191"/>
        <v>65000000</v>
      </c>
      <c r="GQ32" s="15">
        <f t="shared" si="191"/>
        <v>65000000</v>
      </c>
      <c r="GR32" s="15">
        <f t="shared" si="191"/>
        <v>65000000</v>
      </c>
      <c r="GS32" s="15">
        <f t="shared" si="191"/>
        <v>65000000</v>
      </c>
      <c r="GT32" s="15">
        <f t="shared" si="191"/>
        <v>65000000</v>
      </c>
      <c r="GU32" s="15">
        <f t="shared" si="191"/>
        <v>65000000</v>
      </c>
      <c r="GV32" s="15">
        <f t="shared" si="191"/>
        <v>65000000</v>
      </c>
      <c r="GW32" s="15">
        <f t="shared" si="191"/>
        <v>65000000</v>
      </c>
      <c r="GX32" s="15">
        <f t="shared" si="191"/>
        <v>65000000</v>
      </c>
      <c r="GY32" s="15">
        <f t="shared" si="191"/>
        <v>65000000</v>
      </c>
      <c r="GZ32" s="15">
        <f t="shared" si="191"/>
        <v>0</v>
      </c>
      <c r="HA32" s="15">
        <f t="shared" si="191"/>
        <v>0</v>
      </c>
      <c r="HB32" s="15">
        <f t="shared" si="191"/>
        <v>0</v>
      </c>
      <c r="HC32" s="15">
        <f t="shared" si="191"/>
        <v>0</v>
      </c>
      <c r="HD32" s="15">
        <f t="shared" si="192"/>
        <v>0</v>
      </c>
      <c r="HE32" s="15">
        <f t="shared" si="192"/>
        <v>0</v>
      </c>
      <c r="HF32" s="15">
        <f t="shared" si="192"/>
        <v>0</v>
      </c>
      <c r="HG32" s="15">
        <f t="shared" si="192"/>
        <v>0</v>
      </c>
      <c r="HH32" s="15">
        <f t="shared" si="192"/>
        <v>0</v>
      </c>
      <c r="HI32" s="15">
        <f t="shared" si="192"/>
        <v>0</v>
      </c>
      <c r="HJ32" s="15">
        <f t="shared" si="192"/>
        <v>0</v>
      </c>
      <c r="HK32" s="15">
        <f t="shared" si="192"/>
        <v>0</v>
      </c>
      <c r="HL32" s="15">
        <f t="shared" si="192"/>
        <v>0</v>
      </c>
      <c r="HM32" s="15">
        <f t="shared" si="192"/>
        <v>0</v>
      </c>
      <c r="HN32" s="15">
        <f t="shared" si="192"/>
        <v>0</v>
      </c>
      <c r="HO32" s="15">
        <f t="shared" si="192"/>
        <v>0</v>
      </c>
      <c r="HP32" s="15">
        <f t="shared" si="192"/>
        <v>0</v>
      </c>
      <c r="HQ32" s="15">
        <f t="shared" si="192"/>
        <v>0</v>
      </c>
    </row>
    <row r="33" spans="1:225" s="142" customFormat="1" outlineLevel="1" x14ac:dyDescent="0.25">
      <c r="A33"/>
      <c r="B33" t="s">
        <v>346</v>
      </c>
      <c r="C33" s="496" t="s">
        <v>417</v>
      </c>
      <c r="D33" s="614" t="s">
        <v>294</v>
      </c>
      <c r="E33" s="467">
        <v>1</v>
      </c>
      <c r="F33" s="221"/>
      <c r="G33" s="457">
        <v>12</v>
      </c>
      <c r="H33" s="468">
        <f>(20000000/$D$6)*1.04</f>
        <v>20800000</v>
      </c>
      <c r="I33" s="457">
        <f t="shared" si="164"/>
        <v>20800000</v>
      </c>
      <c r="J33" s="457">
        <f t="shared" si="165"/>
        <v>1733333.3333333333</v>
      </c>
      <c r="K33" s="221"/>
      <c r="L33" s="457">
        <v>12</v>
      </c>
      <c r="M33" s="457">
        <f t="shared" si="166"/>
        <v>26000000</v>
      </c>
      <c r="N33" s="457">
        <f t="shared" si="167"/>
        <v>26000000</v>
      </c>
      <c r="O33" s="457">
        <f t="shared" si="168"/>
        <v>2166666.6666666665</v>
      </c>
      <c r="P33" s="221"/>
      <c r="Q33" s="457">
        <v>12</v>
      </c>
      <c r="R33" s="457">
        <f t="shared" si="169"/>
        <v>26000000</v>
      </c>
      <c r="S33" s="457">
        <f t="shared" si="170"/>
        <v>26000000</v>
      </c>
      <c r="T33" s="457">
        <f t="shared" si="171"/>
        <v>2166666.6666666665</v>
      </c>
      <c r="U33" s="221"/>
      <c r="V33" s="457">
        <v>12</v>
      </c>
      <c r="W33" s="457">
        <f t="shared" si="172"/>
        <v>20800000</v>
      </c>
      <c r="X33" s="457">
        <f t="shared" si="173"/>
        <v>20800000</v>
      </c>
      <c r="Y33" s="457">
        <f t="shared" si="174"/>
        <v>1733333.3333333333</v>
      </c>
      <c r="Z33" s="221"/>
      <c r="AA33" s="457">
        <v>12</v>
      </c>
      <c r="AB33" s="457">
        <f t="shared" si="175"/>
        <v>26000000</v>
      </c>
      <c r="AC33" s="457">
        <f t="shared" si="176"/>
        <v>26000000</v>
      </c>
      <c r="AD33" s="457">
        <f t="shared" si="177"/>
        <v>2166666.6666666665</v>
      </c>
      <c r="AE33" s="221"/>
      <c r="AF33" s="457">
        <v>12</v>
      </c>
      <c r="AG33" s="457">
        <f t="shared" si="178"/>
        <v>26000000</v>
      </c>
      <c r="AH33" s="457">
        <f t="shared" si="179"/>
        <v>26000000</v>
      </c>
      <c r="AI33" s="457">
        <f t="shared" si="180"/>
        <v>2166666.6666666665</v>
      </c>
      <c r="AJ33" s="221"/>
      <c r="AK33"/>
      <c r="AL33" t="s">
        <v>547</v>
      </c>
      <c r="AM33" t="s">
        <v>337</v>
      </c>
      <c r="AN33"/>
      <c r="AO33" s="15">
        <f t="shared" si="181"/>
        <v>1733333.3333333333</v>
      </c>
      <c r="AP33" s="15">
        <f t="shared" si="181"/>
        <v>1733333.3333333333</v>
      </c>
      <c r="AQ33" s="15">
        <f t="shared" si="181"/>
        <v>1733333.3333333333</v>
      </c>
      <c r="AR33" s="15">
        <f t="shared" si="181"/>
        <v>1733333.3333333333</v>
      </c>
      <c r="AS33" s="15">
        <f t="shared" si="181"/>
        <v>1733333.3333333333</v>
      </c>
      <c r="AT33" s="15">
        <f t="shared" si="181"/>
        <v>1733333.3333333333</v>
      </c>
      <c r="AU33" s="15">
        <f t="shared" si="181"/>
        <v>1733333.3333333333</v>
      </c>
      <c r="AV33" s="15">
        <f t="shared" si="181"/>
        <v>1733333.3333333333</v>
      </c>
      <c r="AW33" s="15">
        <f t="shared" si="181"/>
        <v>1733333.3333333333</v>
      </c>
      <c r="AX33" s="15">
        <f t="shared" si="181"/>
        <v>1733333.3333333333</v>
      </c>
      <c r="AY33" s="15">
        <f t="shared" si="181"/>
        <v>1733333.3333333333</v>
      </c>
      <c r="AZ33" s="15">
        <f t="shared" si="181"/>
        <v>1733333.3333333333</v>
      </c>
      <c r="BA33" s="15">
        <f t="shared" si="181"/>
        <v>0</v>
      </c>
      <c r="BB33" s="15">
        <f t="shared" si="181"/>
        <v>0</v>
      </c>
      <c r="BC33" s="15">
        <f t="shared" si="181"/>
        <v>0</v>
      </c>
      <c r="BD33" s="15">
        <f t="shared" si="181"/>
        <v>0</v>
      </c>
      <c r="BE33" s="15">
        <f t="shared" si="182"/>
        <v>0</v>
      </c>
      <c r="BF33" s="15">
        <f t="shared" si="182"/>
        <v>0</v>
      </c>
      <c r="BG33" s="15">
        <f t="shared" si="182"/>
        <v>0</v>
      </c>
      <c r="BH33" s="15">
        <f t="shared" si="182"/>
        <v>0</v>
      </c>
      <c r="BI33" s="15">
        <f t="shared" si="182"/>
        <v>0</v>
      </c>
      <c r="BJ33" s="15">
        <f t="shared" si="182"/>
        <v>0</v>
      </c>
      <c r="BK33" s="15">
        <f t="shared" si="182"/>
        <v>0</v>
      </c>
      <c r="BL33" s="15">
        <f t="shared" si="182"/>
        <v>0</v>
      </c>
      <c r="BM33" s="15">
        <f t="shared" si="182"/>
        <v>0</v>
      </c>
      <c r="BN33" s="15">
        <f t="shared" si="182"/>
        <v>0</v>
      </c>
      <c r="BO33" s="15">
        <f t="shared" si="182"/>
        <v>0</v>
      </c>
      <c r="BP33" s="15">
        <f t="shared" si="182"/>
        <v>0</v>
      </c>
      <c r="BQ33" s="15">
        <f t="shared" si="182"/>
        <v>0</v>
      </c>
      <c r="BR33" s="15">
        <f t="shared" si="182"/>
        <v>0</v>
      </c>
      <c r="BS33"/>
      <c r="BT33" s="15">
        <f t="shared" si="183"/>
        <v>2166666.6666666665</v>
      </c>
      <c r="BU33" s="15">
        <f t="shared" si="183"/>
        <v>2166666.6666666665</v>
      </c>
      <c r="BV33" s="15">
        <f t="shared" si="183"/>
        <v>2166666.6666666665</v>
      </c>
      <c r="BW33" s="15">
        <f t="shared" si="183"/>
        <v>2166666.6666666665</v>
      </c>
      <c r="BX33" s="15">
        <f t="shared" si="183"/>
        <v>2166666.6666666665</v>
      </c>
      <c r="BY33" s="15">
        <f t="shared" si="183"/>
        <v>2166666.6666666665</v>
      </c>
      <c r="BZ33" s="15">
        <f t="shared" si="183"/>
        <v>2166666.6666666665</v>
      </c>
      <c r="CA33" s="15">
        <f t="shared" si="183"/>
        <v>2166666.6666666665</v>
      </c>
      <c r="CB33" s="15">
        <f t="shared" si="183"/>
        <v>2166666.6666666665</v>
      </c>
      <c r="CC33" s="15">
        <f t="shared" si="183"/>
        <v>2166666.6666666665</v>
      </c>
      <c r="CD33" s="15">
        <f t="shared" si="183"/>
        <v>2166666.6666666665</v>
      </c>
      <c r="CE33" s="15">
        <f t="shared" si="183"/>
        <v>2166666.6666666665</v>
      </c>
      <c r="CF33" s="15">
        <f t="shared" si="183"/>
        <v>0</v>
      </c>
      <c r="CG33" s="15">
        <f t="shared" si="183"/>
        <v>0</v>
      </c>
      <c r="CH33" s="15">
        <f t="shared" si="183"/>
        <v>0</v>
      </c>
      <c r="CI33" s="15">
        <f t="shared" si="183"/>
        <v>0</v>
      </c>
      <c r="CJ33" s="15">
        <f t="shared" si="184"/>
        <v>0</v>
      </c>
      <c r="CK33" s="15">
        <f t="shared" si="184"/>
        <v>0</v>
      </c>
      <c r="CL33" s="15">
        <f t="shared" si="184"/>
        <v>0</v>
      </c>
      <c r="CM33" s="15">
        <f t="shared" si="184"/>
        <v>0</v>
      </c>
      <c r="CN33" s="15">
        <f t="shared" si="184"/>
        <v>0</v>
      </c>
      <c r="CO33" s="15">
        <f t="shared" si="184"/>
        <v>0</v>
      </c>
      <c r="CP33" s="15">
        <f t="shared" si="184"/>
        <v>0</v>
      </c>
      <c r="CQ33" s="15">
        <f t="shared" si="184"/>
        <v>0</v>
      </c>
      <c r="CR33" s="15">
        <f t="shared" si="184"/>
        <v>0</v>
      </c>
      <c r="CS33" s="15">
        <f t="shared" si="184"/>
        <v>0</v>
      </c>
      <c r="CT33" s="15">
        <f t="shared" si="184"/>
        <v>0</v>
      </c>
      <c r="CU33" s="15">
        <f t="shared" si="184"/>
        <v>0</v>
      </c>
      <c r="CV33" s="15">
        <f t="shared" si="184"/>
        <v>0</v>
      </c>
      <c r="CW33" s="15">
        <f t="shared" si="184"/>
        <v>0</v>
      </c>
      <c r="CX33"/>
      <c r="CY33" s="15">
        <f t="shared" si="185"/>
        <v>2166666.6666666665</v>
      </c>
      <c r="CZ33" s="15">
        <f t="shared" si="185"/>
        <v>2166666.6666666665</v>
      </c>
      <c r="DA33" s="15">
        <f t="shared" si="185"/>
        <v>2166666.6666666665</v>
      </c>
      <c r="DB33" s="15">
        <f t="shared" si="185"/>
        <v>2166666.6666666665</v>
      </c>
      <c r="DC33" s="15">
        <f t="shared" si="185"/>
        <v>2166666.6666666665</v>
      </c>
      <c r="DD33" s="15">
        <f t="shared" si="185"/>
        <v>2166666.6666666665</v>
      </c>
      <c r="DE33" s="15">
        <f t="shared" si="185"/>
        <v>2166666.6666666665</v>
      </c>
      <c r="DF33" s="15">
        <f t="shared" si="185"/>
        <v>2166666.6666666665</v>
      </c>
      <c r="DG33" s="15">
        <f t="shared" si="185"/>
        <v>2166666.6666666665</v>
      </c>
      <c r="DH33" s="15">
        <f t="shared" si="185"/>
        <v>2166666.6666666665</v>
      </c>
      <c r="DI33" s="15">
        <f t="shared" si="185"/>
        <v>2166666.6666666665</v>
      </c>
      <c r="DJ33" s="15">
        <f t="shared" si="185"/>
        <v>2166666.6666666665</v>
      </c>
      <c r="DK33" s="15">
        <f t="shared" si="185"/>
        <v>0</v>
      </c>
      <c r="DL33" s="15">
        <f t="shared" si="185"/>
        <v>0</v>
      </c>
      <c r="DM33" s="15">
        <f t="shared" si="185"/>
        <v>0</v>
      </c>
      <c r="DN33" s="15">
        <f t="shared" si="185"/>
        <v>0</v>
      </c>
      <c r="DO33" s="15">
        <f t="shared" si="186"/>
        <v>0</v>
      </c>
      <c r="DP33" s="15">
        <f t="shared" si="186"/>
        <v>0</v>
      </c>
      <c r="DQ33" s="15">
        <f t="shared" si="186"/>
        <v>0</v>
      </c>
      <c r="DR33" s="15">
        <f t="shared" si="186"/>
        <v>0</v>
      </c>
      <c r="DS33" s="15">
        <f t="shared" si="186"/>
        <v>0</v>
      </c>
      <c r="DT33" s="15">
        <f t="shared" si="186"/>
        <v>0</v>
      </c>
      <c r="DU33" s="15">
        <f t="shared" si="186"/>
        <v>0</v>
      </c>
      <c r="DV33" s="15">
        <f t="shared" si="186"/>
        <v>0</v>
      </c>
      <c r="DW33" s="15">
        <f t="shared" si="186"/>
        <v>0</v>
      </c>
      <c r="DX33" s="15">
        <f t="shared" si="186"/>
        <v>0</v>
      </c>
      <c r="DY33" s="15">
        <f t="shared" si="186"/>
        <v>0</v>
      </c>
      <c r="DZ33" s="15">
        <f t="shared" si="186"/>
        <v>0</v>
      </c>
      <c r="EA33" s="15">
        <f t="shared" si="186"/>
        <v>0</v>
      </c>
      <c r="EB33" s="15">
        <f t="shared" si="186"/>
        <v>0</v>
      </c>
      <c r="EC33"/>
      <c r="ED33" s="15">
        <f t="shared" si="187"/>
        <v>1733333.3333333333</v>
      </c>
      <c r="EE33" s="15">
        <f t="shared" si="187"/>
        <v>1733333.3333333333</v>
      </c>
      <c r="EF33" s="15">
        <f t="shared" si="187"/>
        <v>1733333.3333333333</v>
      </c>
      <c r="EG33" s="15">
        <f t="shared" si="187"/>
        <v>1733333.3333333333</v>
      </c>
      <c r="EH33" s="15">
        <f t="shared" si="187"/>
        <v>1733333.3333333333</v>
      </c>
      <c r="EI33" s="15">
        <f t="shared" si="187"/>
        <v>1733333.3333333333</v>
      </c>
      <c r="EJ33" s="15">
        <f t="shared" si="187"/>
        <v>1733333.3333333333</v>
      </c>
      <c r="EK33" s="15">
        <f t="shared" si="187"/>
        <v>1733333.3333333333</v>
      </c>
      <c r="EL33" s="15">
        <f t="shared" si="187"/>
        <v>1733333.3333333333</v>
      </c>
      <c r="EM33" s="15">
        <f t="shared" si="187"/>
        <v>1733333.3333333333</v>
      </c>
      <c r="EN33" s="15">
        <f t="shared" si="187"/>
        <v>1733333.3333333333</v>
      </c>
      <c r="EO33" s="15">
        <f t="shared" si="187"/>
        <v>1733333.3333333333</v>
      </c>
      <c r="EP33" s="15">
        <f t="shared" si="187"/>
        <v>0</v>
      </c>
      <c r="EQ33" s="15">
        <f t="shared" si="187"/>
        <v>0</v>
      </c>
      <c r="ER33" s="15">
        <f t="shared" si="187"/>
        <v>0</v>
      </c>
      <c r="ES33" s="15">
        <f t="shared" si="187"/>
        <v>0</v>
      </c>
      <c r="ET33" s="15">
        <f t="shared" si="188"/>
        <v>0</v>
      </c>
      <c r="EU33" s="15">
        <f t="shared" si="188"/>
        <v>0</v>
      </c>
      <c r="EV33" s="15">
        <f t="shared" si="188"/>
        <v>0</v>
      </c>
      <c r="EW33" s="15">
        <f t="shared" si="188"/>
        <v>0</v>
      </c>
      <c r="EX33" s="15">
        <f t="shared" si="188"/>
        <v>0</v>
      </c>
      <c r="EY33" s="15">
        <f t="shared" si="188"/>
        <v>0</v>
      </c>
      <c r="EZ33" s="15">
        <f t="shared" si="188"/>
        <v>0</v>
      </c>
      <c r="FA33" s="15">
        <f t="shared" si="188"/>
        <v>0</v>
      </c>
      <c r="FB33" s="15">
        <f t="shared" si="188"/>
        <v>0</v>
      </c>
      <c r="FC33" s="15">
        <f t="shared" si="188"/>
        <v>0</v>
      </c>
      <c r="FD33" s="15">
        <f t="shared" si="188"/>
        <v>0</v>
      </c>
      <c r="FE33" s="15">
        <f t="shared" si="188"/>
        <v>0</v>
      </c>
      <c r="FF33" s="15">
        <f t="shared" si="188"/>
        <v>0</v>
      </c>
      <c r="FG33" s="15">
        <f t="shared" si="188"/>
        <v>0</v>
      </c>
      <c r="FH33"/>
      <c r="FI33" s="15">
        <f t="shared" si="189"/>
        <v>2166666.6666666665</v>
      </c>
      <c r="FJ33" s="15">
        <f t="shared" si="189"/>
        <v>2166666.6666666665</v>
      </c>
      <c r="FK33" s="15">
        <f t="shared" si="189"/>
        <v>2166666.6666666665</v>
      </c>
      <c r="FL33" s="15">
        <f t="shared" si="189"/>
        <v>2166666.6666666665</v>
      </c>
      <c r="FM33" s="15">
        <f t="shared" si="189"/>
        <v>2166666.6666666665</v>
      </c>
      <c r="FN33" s="15">
        <f t="shared" si="189"/>
        <v>2166666.6666666665</v>
      </c>
      <c r="FO33" s="15">
        <f t="shared" si="189"/>
        <v>2166666.6666666665</v>
      </c>
      <c r="FP33" s="15">
        <f t="shared" si="189"/>
        <v>2166666.6666666665</v>
      </c>
      <c r="FQ33" s="15">
        <f t="shared" si="189"/>
        <v>2166666.6666666665</v>
      </c>
      <c r="FR33" s="15">
        <f t="shared" si="189"/>
        <v>2166666.6666666665</v>
      </c>
      <c r="FS33" s="15">
        <f t="shared" si="189"/>
        <v>2166666.6666666665</v>
      </c>
      <c r="FT33" s="15">
        <f t="shared" si="189"/>
        <v>2166666.6666666665</v>
      </c>
      <c r="FU33" s="15">
        <f t="shared" si="189"/>
        <v>0</v>
      </c>
      <c r="FV33" s="15">
        <f t="shared" si="189"/>
        <v>0</v>
      </c>
      <c r="FW33" s="15">
        <f t="shared" si="189"/>
        <v>0</v>
      </c>
      <c r="FX33" s="15">
        <f t="shared" si="189"/>
        <v>0</v>
      </c>
      <c r="FY33" s="15">
        <f t="shared" si="190"/>
        <v>0</v>
      </c>
      <c r="FZ33" s="15">
        <f t="shared" si="190"/>
        <v>0</v>
      </c>
      <c r="GA33" s="15">
        <f t="shared" si="190"/>
        <v>0</v>
      </c>
      <c r="GB33" s="15">
        <f t="shared" si="190"/>
        <v>0</v>
      </c>
      <c r="GC33" s="15">
        <f t="shared" si="190"/>
        <v>0</v>
      </c>
      <c r="GD33" s="15">
        <f t="shared" si="190"/>
        <v>0</v>
      </c>
      <c r="GE33" s="15">
        <f t="shared" si="190"/>
        <v>0</v>
      </c>
      <c r="GF33" s="15">
        <f t="shared" si="190"/>
        <v>0</v>
      </c>
      <c r="GG33" s="15">
        <f t="shared" si="190"/>
        <v>0</v>
      </c>
      <c r="GH33" s="15">
        <f t="shared" si="190"/>
        <v>0</v>
      </c>
      <c r="GI33" s="15">
        <f t="shared" si="190"/>
        <v>0</v>
      </c>
      <c r="GJ33" s="15">
        <f t="shared" si="190"/>
        <v>0</v>
      </c>
      <c r="GK33" s="15">
        <f t="shared" si="190"/>
        <v>0</v>
      </c>
      <c r="GL33" s="15">
        <f t="shared" si="190"/>
        <v>0</v>
      </c>
      <c r="GM33"/>
      <c r="GN33" s="15">
        <f t="shared" si="191"/>
        <v>2166666.6666666665</v>
      </c>
      <c r="GO33" s="15">
        <f t="shared" si="191"/>
        <v>2166666.6666666665</v>
      </c>
      <c r="GP33" s="15">
        <f t="shared" si="191"/>
        <v>2166666.6666666665</v>
      </c>
      <c r="GQ33" s="15">
        <f t="shared" si="191"/>
        <v>2166666.6666666665</v>
      </c>
      <c r="GR33" s="15">
        <f t="shared" si="191"/>
        <v>2166666.6666666665</v>
      </c>
      <c r="GS33" s="15">
        <f t="shared" si="191"/>
        <v>2166666.6666666665</v>
      </c>
      <c r="GT33" s="15">
        <f t="shared" si="191"/>
        <v>2166666.6666666665</v>
      </c>
      <c r="GU33" s="15">
        <f t="shared" si="191"/>
        <v>2166666.6666666665</v>
      </c>
      <c r="GV33" s="15">
        <f t="shared" si="191"/>
        <v>2166666.6666666665</v>
      </c>
      <c r="GW33" s="15">
        <f t="shared" si="191"/>
        <v>2166666.6666666665</v>
      </c>
      <c r="GX33" s="15">
        <f t="shared" si="191"/>
        <v>2166666.6666666665</v>
      </c>
      <c r="GY33" s="15">
        <f t="shared" si="191"/>
        <v>2166666.6666666665</v>
      </c>
      <c r="GZ33" s="15">
        <f t="shared" si="191"/>
        <v>0</v>
      </c>
      <c r="HA33" s="15">
        <f t="shared" si="191"/>
        <v>0</v>
      </c>
      <c r="HB33" s="15">
        <f t="shared" si="191"/>
        <v>0</v>
      </c>
      <c r="HC33" s="15">
        <f t="shared" si="191"/>
        <v>0</v>
      </c>
      <c r="HD33" s="15">
        <f t="shared" si="192"/>
        <v>0</v>
      </c>
      <c r="HE33" s="15">
        <f t="shared" si="192"/>
        <v>0</v>
      </c>
      <c r="HF33" s="15">
        <f t="shared" si="192"/>
        <v>0</v>
      </c>
      <c r="HG33" s="15">
        <f t="shared" si="192"/>
        <v>0</v>
      </c>
      <c r="HH33" s="15">
        <f t="shared" si="192"/>
        <v>0</v>
      </c>
      <c r="HI33" s="15">
        <f t="shared" si="192"/>
        <v>0</v>
      </c>
      <c r="HJ33" s="15">
        <f t="shared" si="192"/>
        <v>0</v>
      </c>
      <c r="HK33" s="15">
        <f t="shared" si="192"/>
        <v>0</v>
      </c>
      <c r="HL33" s="15">
        <f t="shared" si="192"/>
        <v>0</v>
      </c>
      <c r="HM33" s="15">
        <f t="shared" si="192"/>
        <v>0</v>
      </c>
      <c r="HN33" s="15">
        <f t="shared" si="192"/>
        <v>0</v>
      </c>
      <c r="HO33" s="15">
        <f t="shared" si="192"/>
        <v>0</v>
      </c>
      <c r="HP33" s="15">
        <f t="shared" si="192"/>
        <v>0</v>
      </c>
      <c r="HQ33" s="15">
        <f t="shared" si="192"/>
        <v>0</v>
      </c>
    </row>
    <row r="34" spans="1:225" x14ac:dyDescent="0.25">
      <c r="F34" s="221"/>
      <c r="G34" s="15"/>
      <c r="H34" s="15"/>
      <c r="I34" s="15"/>
      <c r="J34" s="15"/>
      <c r="K34" s="221"/>
      <c r="L34" s="15"/>
      <c r="M34" s="15"/>
      <c r="N34" s="15"/>
      <c r="O34" s="15"/>
      <c r="P34" s="221"/>
      <c r="Q34" s="15"/>
      <c r="R34" s="15"/>
      <c r="S34" s="15"/>
      <c r="T34" s="15"/>
      <c r="U34" s="221"/>
      <c r="V34" s="15"/>
      <c r="W34" s="15"/>
      <c r="X34" s="15"/>
      <c r="Y34" s="15"/>
      <c r="Z34" s="221"/>
      <c r="AA34" s="15"/>
      <c r="AB34" s="15"/>
      <c r="AC34" s="15"/>
      <c r="AD34" s="15"/>
      <c r="AE34" s="221"/>
      <c r="AF34" s="15"/>
      <c r="AG34" s="15"/>
      <c r="AH34" s="15"/>
      <c r="AI34" s="15"/>
      <c r="AJ34" s="221"/>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row>
    <row r="35" spans="1:225" s="22" customFormat="1" ht="17.25" x14ac:dyDescent="0.3">
      <c r="A35" t="s">
        <v>482</v>
      </c>
      <c r="B35"/>
      <c r="C35" s="38" t="s">
        <v>42</v>
      </c>
      <c r="D35" s="22" t="s">
        <v>322</v>
      </c>
      <c r="E35" s="44">
        <f>SUM(E36:E37)</f>
        <v>2000</v>
      </c>
      <c r="F35" s="219"/>
      <c r="G35" s="139"/>
      <c r="H35" s="28"/>
      <c r="I35" s="28">
        <f>SUM(I36:I37)</f>
        <v>0</v>
      </c>
      <c r="J35" s="28">
        <f>SUM(J36:J37)</f>
        <v>0</v>
      </c>
      <c r="K35" s="219"/>
      <c r="L35" s="139"/>
      <c r="M35" s="139"/>
      <c r="N35" s="28">
        <f>SUM(N36:N37)</f>
        <v>150000000000</v>
      </c>
      <c r="O35" s="28">
        <f>SUM(O36:O37)</f>
        <v>6000000000</v>
      </c>
      <c r="P35" s="219"/>
      <c r="Q35" s="139"/>
      <c r="R35" s="139"/>
      <c r="S35" s="28">
        <f>SUM(S36:S37)</f>
        <v>150000000000</v>
      </c>
      <c r="T35" s="28">
        <f>SUM(T36:T37)</f>
        <v>6000000000</v>
      </c>
      <c r="U35" s="219"/>
      <c r="V35" s="139"/>
      <c r="W35" s="139"/>
      <c r="X35" s="28">
        <f>SUM(X36:X37)</f>
        <v>150000000000</v>
      </c>
      <c r="Y35" s="28">
        <f>SUM(Y36:Y37)</f>
        <v>6000000000</v>
      </c>
      <c r="Z35" s="219"/>
      <c r="AA35" s="139"/>
      <c r="AB35" s="139"/>
      <c r="AC35" s="28">
        <f>SUM(AC36:AC37)</f>
        <v>150000000000</v>
      </c>
      <c r="AD35" s="28">
        <f>SUM(AD36:AD37)</f>
        <v>6000000000</v>
      </c>
      <c r="AE35" s="219"/>
      <c r="AF35" s="139"/>
      <c r="AG35" s="139"/>
      <c r="AH35" s="28">
        <f>SUM(AH36:AH37)</f>
        <v>0</v>
      </c>
      <c r="AI35" s="28">
        <f>SUM(AI36:AI37)</f>
        <v>0</v>
      </c>
      <c r="AJ35" s="219"/>
      <c r="AO35" s="28">
        <f t="shared" ref="AO35:BR35" si="193">SUM(AO36:AO37)</f>
        <v>0</v>
      </c>
      <c r="AP35" s="28">
        <f t="shared" si="193"/>
        <v>0</v>
      </c>
      <c r="AQ35" s="28">
        <f t="shared" si="193"/>
        <v>0</v>
      </c>
      <c r="AR35" s="28">
        <f t="shared" si="193"/>
        <v>0</v>
      </c>
      <c r="AS35" s="28">
        <f t="shared" si="193"/>
        <v>0</v>
      </c>
      <c r="AT35" s="28">
        <f t="shared" si="193"/>
        <v>0</v>
      </c>
      <c r="AU35" s="28">
        <f t="shared" si="193"/>
        <v>0</v>
      </c>
      <c r="AV35" s="28">
        <f t="shared" si="193"/>
        <v>0</v>
      </c>
      <c r="AW35" s="28">
        <f t="shared" si="193"/>
        <v>0</v>
      </c>
      <c r="AX35" s="28">
        <f t="shared" si="193"/>
        <v>0</v>
      </c>
      <c r="AY35" s="28">
        <f t="shared" si="193"/>
        <v>0</v>
      </c>
      <c r="AZ35" s="28">
        <f t="shared" si="193"/>
        <v>0</v>
      </c>
      <c r="BA35" s="28">
        <f t="shared" si="193"/>
        <v>0</v>
      </c>
      <c r="BB35" s="28">
        <f t="shared" si="193"/>
        <v>0</v>
      </c>
      <c r="BC35" s="28">
        <f t="shared" si="193"/>
        <v>0</v>
      </c>
      <c r="BD35" s="28">
        <f t="shared" si="193"/>
        <v>0</v>
      </c>
      <c r="BE35" s="28">
        <f t="shared" si="193"/>
        <v>0</v>
      </c>
      <c r="BF35" s="28">
        <f t="shared" si="193"/>
        <v>0</v>
      </c>
      <c r="BG35" s="28">
        <f t="shared" si="193"/>
        <v>0</v>
      </c>
      <c r="BH35" s="28">
        <f t="shared" si="193"/>
        <v>0</v>
      </c>
      <c r="BI35" s="28">
        <f t="shared" si="193"/>
        <v>0</v>
      </c>
      <c r="BJ35" s="28">
        <f t="shared" si="193"/>
        <v>0</v>
      </c>
      <c r="BK35" s="28">
        <f t="shared" si="193"/>
        <v>0</v>
      </c>
      <c r="BL35" s="28">
        <f t="shared" si="193"/>
        <v>0</v>
      </c>
      <c r="BM35" s="28">
        <f t="shared" si="193"/>
        <v>0</v>
      </c>
      <c r="BN35" s="28">
        <f t="shared" si="193"/>
        <v>0</v>
      </c>
      <c r="BO35" s="28">
        <f t="shared" si="193"/>
        <v>0</v>
      </c>
      <c r="BP35" s="28">
        <f t="shared" si="193"/>
        <v>0</v>
      </c>
      <c r="BQ35" s="28">
        <f t="shared" si="193"/>
        <v>0</v>
      </c>
      <c r="BR35" s="28">
        <f t="shared" si="193"/>
        <v>0</v>
      </c>
      <c r="BT35" s="28">
        <f t="shared" ref="BT35" si="194">SUM(BT36:BT37)</f>
        <v>6000000000</v>
      </c>
      <c r="BU35" s="28">
        <f t="shared" ref="BU35" si="195">SUM(BU36:BU37)</f>
        <v>6000000000</v>
      </c>
      <c r="BV35" s="28">
        <f t="shared" ref="BV35" si="196">SUM(BV36:BV37)</f>
        <v>6000000000</v>
      </c>
      <c r="BW35" s="28">
        <f t="shared" ref="BW35" si="197">SUM(BW36:BW37)</f>
        <v>6000000000</v>
      </c>
      <c r="BX35" s="28">
        <f t="shared" ref="BX35" si="198">SUM(BX36:BX37)</f>
        <v>6000000000</v>
      </c>
      <c r="BY35" s="28">
        <f t="shared" ref="BY35" si="199">SUM(BY36:BY37)</f>
        <v>6000000000</v>
      </c>
      <c r="BZ35" s="28">
        <f t="shared" ref="BZ35" si="200">SUM(BZ36:BZ37)</f>
        <v>6000000000</v>
      </c>
      <c r="CA35" s="28">
        <f t="shared" ref="CA35" si="201">SUM(CA36:CA37)</f>
        <v>6000000000</v>
      </c>
      <c r="CB35" s="28">
        <f t="shared" ref="CB35" si="202">SUM(CB36:CB37)</f>
        <v>6000000000</v>
      </c>
      <c r="CC35" s="28">
        <f t="shared" ref="CC35" si="203">SUM(CC36:CC37)</f>
        <v>6000000000</v>
      </c>
      <c r="CD35" s="28">
        <f t="shared" ref="CD35" si="204">SUM(CD36:CD37)</f>
        <v>6000000000</v>
      </c>
      <c r="CE35" s="28">
        <f t="shared" ref="CE35" si="205">SUM(CE36:CE37)</f>
        <v>6000000000</v>
      </c>
      <c r="CF35" s="28">
        <f t="shared" ref="CF35" si="206">SUM(CF36:CF37)</f>
        <v>6000000000</v>
      </c>
      <c r="CG35" s="28">
        <f t="shared" ref="CG35" si="207">SUM(CG36:CG37)</f>
        <v>6000000000</v>
      </c>
      <c r="CH35" s="28">
        <f t="shared" ref="CH35" si="208">SUM(CH36:CH37)</f>
        <v>6000000000</v>
      </c>
      <c r="CI35" s="28">
        <f t="shared" ref="CI35" si="209">SUM(CI36:CI37)</f>
        <v>6000000000</v>
      </c>
      <c r="CJ35" s="28">
        <f t="shared" ref="CJ35" si="210">SUM(CJ36:CJ37)</f>
        <v>6000000000</v>
      </c>
      <c r="CK35" s="28">
        <f t="shared" ref="CK35" si="211">SUM(CK36:CK37)</f>
        <v>6000000000</v>
      </c>
      <c r="CL35" s="28">
        <f t="shared" ref="CL35" si="212">SUM(CL36:CL37)</f>
        <v>6000000000</v>
      </c>
      <c r="CM35" s="28">
        <f t="shared" ref="CM35" si="213">SUM(CM36:CM37)</f>
        <v>6000000000</v>
      </c>
      <c r="CN35" s="28">
        <f t="shared" ref="CN35" si="214">SUM(CN36:CN37)</f>
        <v>6000000000</v>
      </c>
      <c r="CO35" s="28">
        <f t="shared" ref="CO35" si="215">SUM(CO36:CO37)</f>
        <v>6000000000</v>
      </c>
      <c r="CP35" s="28">
        <f t="shared" ref="CP35" si="216">SUM(CP36:CP37)</f>
        <v>6000000000</v>
      </c>
      <c r="CQ35" s="28">
        <f t="shared" ref="CQ35" si="217">SUM(CQ36:CQ37)</f>
        <v>6000000000</v>
      </c>
      <c r="CR35" s="28">
        <f t="shared" ref="CR35" si="218">SUM(CR36:CR37)</f>
        <v>6000000000</v>
      </c>
      <c r="CS35" s="28">
        <f t="shared" ref="CS35" si="219">SUM(CS36:CS37)</f>
        <v>0</v>
      </c>
      <c r="CT35" s="28">
        <f t="shared" ref="CT35" si="220">SUM(CT36:CT37)</f>
        <v>0</v>
      </c>
      <c r="CU35" s="28">
        <f t="shared" ref="CU35" si="221">SUM(CU36:CU37)</f>
        <v>0</v>
      </c>
      <c r="CV35" s="28">
        <f t="shared" ref="CV35" si="222">SUM(CV36:CV37)</f>
        <v>0</v>
      </c>
      <c r="CW35" s="28">
        <f t="shared" ref="CW35" si="223">SUM(CW36:CW37)</f>
        <v>0</v>
      </c>
      <c r="CY35" s="28">
        <f t="shared" ref="CY35:EB35" si="224">SUM(CY36:CY37)</f>
        <v>6000000000</v>
      </c>
      <c r="CZ35" s="28">
        <f t="shared" si="224"/>
        <v>6000000000</v>
      </c>
      <c r="DA35" s="28">
        <f t="shared" si="224"/>
        <v>6000000000</v>
      </c>
      <c r="DB35" s="28">
        <f t="shared" si="224"/>
        <v>6000000000</v>
      </c>
      <c r="DC35" s="28">
        <f t="shared" si="224"/>
        <v>6000000000</v>
      </c>
      <c r="DD35" s="28">
        <f t="shared" si="224"/>
        <v>6000000000</v>
      </c>
      <c r="DE35" s="28">
        <f t="shared" si="224"/>
        <v>6000000000</v>
      </c>
      <c r="DF35" s="28">
        <f t="shared" si="224"/>
        <v>6000000000</v>
      </c>
      <c r="DG35" s="28">
        <f t="shared" si="224"/>
        <v>6000000000</v>
      </c>
      <c r="DH35" s="28">
        <f t="shared" si="224"/>
        <v>6000000000</v>
      </c>
      <c r="DI35" s="28">
        <f t="shared" si="224"/>
        <v>6000000000</v>
      </c>
      <c r="DJ35" s="28">
        <f t="shared" si="224"/>
        <v>6000000000</v>
      </c>
      <c r="DK35" s="28">
        <f t="shared" si="224"/>
        <v>6000000000</v>
      </c>
      <c r="DL35" s="28">
        <f t="shared" si="224"/>
        <v>6000000000</v>
      </c>
      <c r="DM35" s="28">
        <f t="shared" si="224"/>
        <v>6000000000</v>
      </c>
      <c r="DN35" s="28">
        <f t="shared" si="224"/>
        <v>6000000000</v>
      </c>
      <c r="DO35" s="28">
        <f t="shared" si="224"/>
        <v>6000000000</v>
      </c>
      <c r="DP35" s="28">
        <f t="shared" si="224"/>
        <v>6000000000</v>
      </c>
      <c r="DQ35" s="28">
        <f t="shared" si="224"/>
        <v>6000000000</v>
      </c>
      <c r="DR35" s="28">
        <f t="shared" si="224"/>
        <v>6000000000</v>
      </c>
      <c r="DS35" s="28">
        <f t="shared" si="224"/>
        <v>6000000000</v>
      </c>
      <c r="DT35" s="28">
        <f t="shared" si="224"/>
        <v>6000000000</v>
      </c>
      <c r="DU35" s="28">
        <f t="shared" si="224"/>
        <v>6000000000</v>
      </c>
      <c r="DV35" s="28">
        <f t="shared" si="224"/>
        <v>6000000000</v>
      </c>
      <c r="DW35" s="28">
        <f t="shared" si="224"/>
        <v>6000000000</v>
      </c>
      <c r="DX35" s="28">
        <f t="shared" si="224"/>
        <v>0</v>
      </c>
      <c r="DY35" s="28">
        <f t="shared" si="224"/>
        <v>0</v>
      </c>
      <c r="DZ35" s="28">
        <f t="shared" si="224"/>
        <v>0</v>
      </c>
      <c r="EA35" s="28">
        <f t="shared" si="224"/>
        <v>0</v>
      </c>
      <c r="EB35" s="28">
        <f t="shared" si="224"/>
        <v>0</v>
      </c>
      <c r="ED35" s="28">
        <f t="shared" ref="ED35:FG35" si="225">SUM(ED36:ED37)</f>
        <v>6000000000</v>
      </c>
      <c r="EE35" s="28">
        <f t="shared" si="225"/>
        <v>6000000000</v>
      </c>
      <c r="EF35" s="28">
        <f t="shared" si="225"/>
        <v>6000000000</v>
      </c>
      <c r="EG35" s="28">
        <f t="shared" si="225"/>
        <v>6000000000</v>
      </c>
      <c r="EH35" s="28">
        <f t="shared" si="225"/>
        <v>6000000000</v>
      </c>
      <c r="EI35" s="28">
        <f t="shared" si="225"/>
        <v>6000000000</v>
      </c>
      <c r="EJ35" s="28">
        <f t="shared" si="225"/>
        <v>6000000000</v>
      </c>
      <c r="EK35" s="28">
        <f t="shared" si="225"/>
        <v>6000000000</v>
      </c>
      <c r="EL35" s="28">
        <f t="shared" si="225"/>
        <v>6000000000</v>
      </c>
      <c r="EM35" s="28">
        <f t="shared" si="225"/>
        <v>6000000000</v>
      </c>
      <c r="EN35" s="28">
        <f t="shared" si="225"/>
        <v>6000000000</v>
      </c>
      <c r="EO35" s="28">
        <f t="shared" si="225"/>
        <v>6000000000</v>
      </c>
      <c r="EP35" s="28">
        <f t="shared" si="225"/>
        <v>6000000000</v>
      </c>
      <c r="EQ35" s="28">
        <f t="shared" si="225"/>
        <v>6000000000</v>
      </c>
      <c r="ER35" s="28">
        <f t="shared" si="225"/>
        <v>6000000000</v>
      </c>
      <c r="ES35" s="28">
        <f t="shared" si="225"/>
        <v>6000000000</v>
      </c>
      <c r="ET35" s="28">
        <f t="shared" si="225"/>
        <v>6000000000</v>
      </c>
      <c r="EU35" s="28">
        <f t="shared" si="225"/>
        <v>6000000000</v>
      </c>
      <c r="EV35" s="28">
        <f t="shared" si="225"/>
        <v>6000000000</v>
      </c>
      <c r="EW35" s="28">
        <f t="shared" si="225"/>
        <v>6000000000</v>
      </c>
      <c r="EX35" s="28">
        <f t="shared" si="225"/>
        <v>6000000000</v>
      </c>
      <c r="EY35" s="28">
        <f t="shared" si="225"/>
        <v>6000000000</v>
      </c>
      <c r="EZ35" s="28">
        <f t="shared" si="225"/>
        <v>6000000000</v>
      </c>
      <c r="FA35" s="28">
        <f t="shared" si="225"/>
        <v>6000000000</v>
      </c>
      <c r="FB35" s="28">
        <f t="shared" si="225"/>
        <v>6000000000</v>
      </c>
      <c r="FC35" s="28">
        <f t="shared" si="225"/>
        <v>0</v>
      </c>
      <c r="FD35" s="28">
        <f t="shared" si="225"/>
        <v>0</v>
      </c>
      <c r="FE35" s="28">
        <f t="shared" si="225"/>
        <v>0</v>
      </c>
      <c r="FF35" s="28">
        <f t="shared" si="225"/>
        <v>0</v>
      </c>
      <c r="FG35" s="28">
        <f t="shared" si="225"/>
        <v>0</v>
      </c>
      <c r="FI35" s="28">
        <f t="shared" ref="FI35:GL35" si="226">SUM(FI36:FI37)</f>
        <v>6000000000</v>
      </c>
      <c r="FJ35" s="28">
        <f t="shared" si="226"/>
        <v>6000000000</v>
      </c>
      <c r="FK35" s="28">
        <f t="shared" si="226"/>
        <v>6000000000</v>
      </c>
      <c r="FL35" s="28">
        <f t="shared" si="226"/>
        <v>6000000000</v>
      </c>
      <c r="FM35" s="28">
        <f t="shared" si="226"/>
        <v>6000000000</v>
      </c>
      <c r="FN35" s="28">
        <f t="shared" si="226"/>
        <v>6000000000</v>
      </c>
      <c r="FO35" s="28">
        <f t="shared" si="226"/>
        <v>6000000000</v>
      </c>
      <c r="FP35" s="28">
        <f t="shared" si="226"/>
        <v>6000000000</v>
      </c>
      <c r="FQ35" s="28">
        <f t="shared" si="226"/>
        <v>6000000000</v>
      </c>
      <c r="FR35" s="28">
        <f t="shared" si="226"/>
        <v>6000000000</v>
      </c>
      <c r="FS35" s="28">
        <f t="shared" si="226"/>
        <v>6000000000</v>
      </c>
      <c r="FT35" s="28">
        <f t="shared" si="226"/>
        <v>6000000000</v>
      </c>
      <c r="FU35" s="28">
        <f t="shared" si="226"/>
        <v>6000000000</v>
      </c>
      <c r="FV35" s="28">
        <f t="shared" si="226"/>
        <v>6000000000</v>
      </c>
      <c r="FW35" s="28">
        <f t="shared" si="226"/>
        <v>6000000000</v>
      </c>
      <c r="FX35" s="28">
        <f t="shared" si="226"/>
        <v>6000000000</v>
      </c>
      <c r="FY35" s="28">
        <f t="shared" si="226"/>
        <v>6000000000</v>
      </c>
      <c r="FZ35" s="28">
        <f t="shared" si="226"/>
        <v>6000000000</v>
      </c>
      <c r="GA35" s="28">
        <f t="shared" si="226"/>
        <v>6000000000</v>
      </c>
      <c r="GB35" s="28">
        <f t="shared" si="226"/>
        <v>6000000000</v>
      </c>
      <c r="GC35" s="28">
        <f t="shared" si="226"/>
        <v>6000000000</v>
      </c>
      <c r="GD35" s="28">
        <f t="shared" si="226"/>
        <v>6000000000</v>
      </c>
      <c r="GE35" s="28">
        <f t="shared" si="226"/>
        <v>6000000000</v>
      </c>
      <c r="GF35" s="28">
        <f t="shared" si="226"/>
        <v>6000000000</v>
      </c>
      <c r="GG35" s="28">
        <f t="shared" si="226"/>
        <v>6000000000</v>
      </c>
      <c r="GH35" s="28">
        <f t="shared" si="226"/>
        <v>0</v>
      </c>
      <c r="GI35" s="28">
        <f t="shared" si="226"/>
        <v>0</v>
      </c>
      <c r="GJ35" s="28">
        <f t="shared" si="226"/>
        <v>0</v>
      </c>
      <c r="GK35" s="28">
        <f t="shared" si="226"/>
        <v>0</v>
      </c>
      <c r="GL35" s="28">
        <f t="shared" si="226"/>
        <v>0</v>
      </c>
      <c r="GN35" s="28">
        <f t="shared" ref="GN35" si="227">SUM(GN36:GN37)</f>
        <v>0</v>
      </c>
      <c r="GO35" s="28">
        <f t="shared" ref="GO35" si="228">SUM(GO36:GO37)</f>
        <v>0</v>
      </c>
      <c r="GP35" s="28">
        <f t="shared" ref="GP35" si="229">SUM(GP36:GP37)</f>
        <v>0</v>
      </c>
      <c r="GQ35" s="28">
        <f t="shared" ref="GQ35" si="230">SUM(GQ36:GQ37)</f>
        <v>0</v>
      </c>
      <c r="GR35" s="28">
        <f t="shared" ref="GR35" si="231">SUM(GR36:GR37)</f>
        <v>0</v>
      </c>
      <c r="GS35" s="28">
        <f t="shared" ref="GS35" si="232">SUM(GS36:GS37)</f>
        <v>0</v>
      </c>
      <c r="GT35" s="28">
        <f t="shared" ref="GT35" si="233">SUM(GT36:GT37)</f>
        <v>0</v>
      </c>
      <c r="GU35" s="28">
        <f t="shared" ref="GU35" si="234">SUM(GU36:GU37)</f>
        <v>0</v>
      </c>
      <c r="GV35" s="28">
        <f t="shared" ref="GV35" si="235">SUM(GV36:GV37)</f>
        <v>0</v>
      </c>
      <c r="GW35" s="28">
        <f t="shared" ref="GW35" si="236">SUM(GW36:GW37)</f>
        <v>0</v>
      </c>
      <c r="GX35" s="28">
        <f t="shared" ref="GX35" si="237">SUM(GX36:GX37)</f>
        <v>0</v>
      </c>
      <c r="GY35" s="28">
        <f t="shared" ref="GY35" si="238">SUM(GY36:GY37)</f>
        <v>0</v>
      </c>
      <c r="GZ35" s="28">
        <f t="shared" ref="GZ35" si="239">SUM(GZ36:GZ37)</f>
        <v>0</v>
      </c>
      <c r="HA35" s="28">
        <f t="shared" ref="HA35" si="240">SUM(HA36:HA37)</f>
        <v>0</v>
      </c>
      <c r="HB35" s="28">
        <f t="shared" ref="HB35" si="241">SUM(HB36:HB37)</f>
        <v>0</v>
      </c>
      <c r="HC35" s="28">
        <f t="shared" ref="HC35" si="242">SUM(HC36:HC37)</f>
        <v>0</v>
      </c>
      <c r="HD35" s="28">
        <f t="shared" ref="HD35" si="243">SUM(HD36:HD37)</f>
        <v>0</v>
      </c>
      <c r="HE35" s="28">
        <f t="shared" ref="HE35" si="244">SUM(HE36:HE37)</f>
        <v>0</v>
      </c>
      <c r="HF35" s="28">
        <f t="shared" ref="HF35" si="245">SUM(HF36:HF37)</f>
        <v>0</v>
      </c>
      <c r="HG35" s="28">
        <f t="shared" ref="HG35" si="246">SUM(HG36:HG37)</f>
        <v>0</v>
      </c>
      <c r="HH35" s="28">
        <f t="shared" ref="HH35" si="247">SUM(HH36:HH37)</f>
        <v>0</v>
      </c>
      <c r="HI35" s="28">
        <f t="shared" ref="HI35" si="248">SUM(HI36:HI37)</f>
        <v>0</v>
      </c>
      <c r="HJ35" s="28">
        <f t="shared" ref="HJ35" si="249">SUM(HJ36:HJ37)</f>
        <v>0</v>
      </c>
      <c r="HK35" s="28">
        <f t="shared" ref="HK35" si="250">SUM(HK36:HK37)</f>
        <v>0</v>
      </c>
      <c r="HL35" s="28">
        <f t="shared" ref="HL35" si="251">SUM(HL36:HL37)</f>
        <v>0</v>
      </c>
      <c r="HM35" s="28">
        <f t="shared" ref="HM35" si="252">SUM(HM36:HM37)</f>
        <v>0</v>
      </c>
      <c r="HN35" s="28">
        <f t="shared" ref="HN35" si="253">SUM(HN36:HN37)</f>
        <v>0</v>
      </c>
      <c r="HO35" s="28">
        <f t="shared" ref="HO35" si="254">SUM(HO36:HO37)</f>
        <v>0</v>
      </c>
      <c r="HP35" s="28">
        <f t="shared" ref="HP35" si="255">SUM(HP36:HP37)</f>
        <v>0</v>
      </c>
      <c r="HQ35" s="28">
        <f t="shared" ref="HQ35" si="256">SUM(HQ36:HQ37)</f>
        <v>0</v>
      </c>
    </row>
    <row r="36" spans="1:225" outlineLevel="1" x14ac:dyDescent="0.25">
      <c r="B36" t="s">
        <v>133</v>
      </c>
      <c r="C36" s="623" t="s">
        <v>241</v>
      </c>
      <c r="D36" s="611" t="s">
        <v>67</v>
      </c>
      <c r="E36" s="615">
        <v>1900</v>
      </c>
      <c r="F36" s="221"/>
      <c r="G36" s="613">
        <v>25</v>
      </c>
      <c r="H36" s="615">
        <f>(75000000/$D$6)</f>
        <v>75000000</v>
      </c>
      <c r="I36" s="613">
        <f>$E36*$H36*0</f>
        <v>0</v>
      </c>
      <c r="J36" s="613">
        <f t="shared" ref="J36:J37" si="257">I36/G36</f>
        <v>0</v>
      </c>
      <c r="K36" s="221"/>
      <c r="L36" s="613">
        <v>25</v>
      </c>
      <c r="M36" s="613">
        <f>75000000/$D$6</f>
        <v>75000000</v>
      </c>
      <c r="N36" s="625">
        <f t="shared" ref="N36:N37" si="258">$E36*M36</f>
        <v>142500000000</v>
      </c>
      <c r="O36" s="613">
        <f t="shared" ref="O36:O37" si="259">N36/L36</f>
        <v>5700000000</v>
      </c>
      <c r="P36" s="221"/>
      <c r="Q36" s="613">
        <v>25</v>
      </c>
      <c r="R36" s="613">
        <f>75000000/$D$6</f>
        <v>75000000</v>
      </c>
      <c r="S36" s="625">
        <f t="shared" ref="S36:S37" si="260">$E36*R36</f>
        <v>142500000000</v>
      </c>
      <c r="T36" s="613">
        <f t="shared" ref="T36:T37" si="261">S36/Q36</f>
        <v>5700000000</v>
      </c>
      <c r="U36" s="221"/>
      <c r="V36" s="613">
        <v>25</v>
      </c>
      <c r="W36" s="613">
        <f t="shared" ref="W36:W37" si="262">H36</f>
        <v>75000000</v>
      </c>
      <c r="X36" s="625">
        <f>$E36*W36</f>
        <v>142500000000</v>
      </c>
      <c r="Y36" s="613">
        <f t="shared" ref="Y36:Y37" si="263">X36/V36</f>
        <v>5700000000</v>
      </c>
      <c r="Z36" s="221"/>
      <c r="AA36" s="613">
        <v>25</v>
      </c>
      <c r="AB36" s="613">
        <f>75000000/$D$6</f>
        <v>75000000</v>
      </c>
      <c r="AC36" s="625">
        <f t="shared" ref="AC36:AC37" si="264">$E36*AB36</f>
        <v>142500000000</v>
      </c>
      <c r="AD36" s="613">
        <f t="shared" ref="AD36:AD37" si="265">AC36/AA36</f>
        <v>5700000000</v>
      </c>
      <c r="AE36" s="221"/>
      <c r="AF36" s="613">
        <v>25</v>
      </c>
      <c r="AG36" s="613">
        <f>75000000/$D$6</f>
        <v>75000000</v>
      </c>
      <c r="AH36" s="625">
        <f>$E36*AG36*0</f>
        <v>0</v>
      </c>
      <c r="AI36" s="613">
        <f t="shared" ref="AI36:AI37" si="266">AH36/AF36</f>
        <v>0</v>
      </c>
      <c r="AJ36" s="221"/>
      <c r="AM36" t="s">
        <v>337</v>
      </c>
      <c r="AO36" s="15">
        <f t="shared" ref="AO36:BD37" si="267">IF($G36&gt;=AO$8,$J36,0)</f>
        <v>0</v>
      </c>
      <c r="AP36" s="15">
        <f t="shared" si="267"/>
        <v>0</v>
      </c>
      <c r="AQ36" s="15">
        <f t="shared" si="267"/>
        <v>0</v>
      </c>
      <c r="AR36" s="15">
        <f t="shared" si="267"/>
        <v>0</v>
      </c>
      <c r="AS36" s="15">
        <f t="shared" si="267"/>
        <v>0</v>
      </c>
      <c r="AT36" s="15">
        <f t="shared" si="267"/>
        <v>0</v>
      </c>
      <c r="AU36" s="15">
        <f t="shared" si="267"/>
        <v>0</v>
      </c>
      <c r="AV36" s="15">
        <f t="shared" si="267"/>
        <v>0</v>
      </c>
      <c r="AW36" s="15">
        <f t="shared" si="267"/>
        <v>0</v>
      </c>
      <c r="AX36" s="15">
        <f t="shared" si="267"/>
        <v>0</v>
      </c>
      <c r="AY36" s="15">
        <f t="shared" si="267"/>
        <v>0</v>
      </c>
      <c r="AZ36" s="15">
        <f t="shared" si="267"/>
        <v>0</v>
      </c>
      <c r="BA36" s="15">
        <f t="shared" si="267"/>
        <v>0</v>
      </c>
      <c r="BB36" s="15">
        <f t="shared" si="267"/>
        <v>0</v>
      </c>
      <c r="BC36" s="15">
        <f t="shared" si="267"/>
        <v>0</v>
      </c>
      <c r="BD36" s="15">
        <f t="shared" si="267"/>
        <v>0</v>
      </c>
      <c r="BE36" s="15">
        <f t="shared" ref="BE36:BR37" si="268">IF($G36&gt;=BE$8,$J36,0)</f>
        <v>0</v>
      </c>
      <c r="BF36" s="15">
        <f t="shared" si="268"/>
        <v>0</v>
      </c>
      <c r="BG36" s="15">
        <f t="shared" si="268"/>
        <v>0</v>
      </c>
      <c r="BH36" s="15">
        <f t="shared" si="268"/>
        <v>0</v>
      </c>
      <c r="BI36" s="15">
        <f t="shared" si="268"/>
        <v>0</v>
      </c>
      <c r="BJ36" s="15">
        <f t="shared" si="268"/>
        <v>0</v>
      </c>
      <c r="BK36" s="15">
        <f t="shared" si="268"/>
        <v>0</v>
      </c>
      <c r="BL36" s="15">
        <f t="shared" si="268"/>
        <v>0</v>
      </c>
      <c r="BM36" s="15">
        <f t="shared" si="268"/>
        <v>0</v>
      </c>
      <c r="BN36" s="15">
        <f t="shared" si="268"/>
        <v>0</v>
      </c>
      <c r="BO36" s="15">
        <f t="shared" si="268"/>
        <v>0</v>
      </c>
      <c r="BP36" s="15">
        <f t="shared" si="268"/>
        <v>0</v>
      </c>
      <c r="BQ36" s="15">
        <f t="shared" si="268"/>
        <v>0</v>
      </c>
      <c r="BR36" s="15">
        <f t="shared" si="268"/>
        <v>0</v>
      </c>
      <c r="BT36" s="15">
        <f t="shared" ref="BT36:CI37" si="269">IF($L36&gt;=BT$8,$O36,0)</f>
        <v>5700000000</v>
      </c>
      <c r="BU36" s="15">
        <f t="shared" si="269"/>
        <v>5700000000</v>
      </c>
      <c r="BV36" s="15">
        <f t="shared" si="269"/>
        <v>5700000000</v>
      </c>
      <c r="BW36" s="15">
        <f t="shared" si="269"/>
        <v>5700000000</v>
      </c>
      <c r="BX36" s="15">
        <f t="shared" si="269"/>
        <v>5700000000</v>
      </c>
      <c r="BY36" s="15">
        <f t="shared" si="269"/>
        <v>5700000000</v>
      </c>
      <c r="BZ36" s="15">
        <f t="shared" si="269"/>
        <v>5700000000</v>
      </c>
      <c r="CA36" s="15">
        <f t="shared" si="269"/>
        <v>5700000000</v>
      </c>
      <c r="CB36" s="15">
        <f t="shared" si="269"/>
        <v>5700000000</v>
      </c>
      <c r="CC36" s="15">
        <f t="shared" si="269"/>
        <v>5700000000</v>
      </c>
      <c r="CD36" s="15">
        <f t="shared" si="269"/>
        <v>5700000000</v>
      </c>
      <c r="CE36" s="15">
        <f t="shared" si="269"/>
        <v>5700000000</v>
      </c>
      <c r="CF36" s="15">
        <f t="shared" si="269"/>
        <v>5700000000</v>
      </c>
      <c r="CG36" s="15">
        <f t="shared" si="269"/>
        <v>5700000000</v>
      </c>
      <c r="CH36" s="15">
        <f t="shared" si="269"/>
        <v>5700000000</v>
      </c>
      <c r="CI36" s="15">
        <f t="shared" si="269"/>
        <v>5700000000</v>
      </c>
      <c r="CJ36" s="15">
        <f t="shared" ref="CJ36:CW37" si="270">IF($L36&gt;=CJ$8,$O36,0)</f>
        <v>5700000000</v>
      </c>
      <c r="CK36" s="15">
        <f t="shared" si="270"/>
        <v>5700000000</v>
      </c>
      <c r="CL36" s="15">
        <f t="shared" si="270"/>
        <v>5700000000</v>
      </c>
      <c r="CM36" s="15">
        <f t="shared" si="270"/>
        <v>5700000000</v>
      </c>
      <c r="CN36" s="15">
        <f t="shared" si="270"/>
        <v>5700000000</v>
      </c>
      <c r="CO36" s="15">
        <f t="shared" si="270"/>
        <v>5700000000</v>
      </c>
      <c r="CP36" s="15">
        <f t="shared" si="270"/>
        <v>5700000000</v>
      </c>
      <c r="CQ36" s="15">
        <f t="shared" si="270"/>
        <v>5700000000</v>
      </c>
      <c r="CR36" s="15">
        <f t="shared" si="270"/>
        <v>5700000000</v>
      </c>
      <c r="CS36" s="15">
        <f t="shared" si="270"/>
        <v>0</v>
      </c>
      <c r="CT36" s="15">
        <f t="shared" si="270"/>
        <v>0</v>
      </c>
      <c r="CU36" s="15">
        <f t="shared" si="270"/>
        <v>0</v>
      </c>
      <c r="CV36" s="15">
        <f t="shared" si="270"/>
        <v>0</v>
      </c>
      <c r="CW36" s="15">
        <f t="shared" si="270"/>
        <v>0</v>
      </c>
      <c r="CY36" s="15">
        <f t="shared" ref="CY36:DN37" si="271">IF($Q36&gt;=CY$8,$T36,0)</f>
        <v>5700000000</v>
      </c>
      <c r="CZ36" s="15">
        <f t="shared" si="271"/>
        <v>5700000000</v>
      </c>
      <c r="DA36" s="15">
        <f t="shared" si="271"/>
        <v>5700000000</v>
      </c>
      <c r="DB36" s="15">
        <f t="shared" si="271"/>
        <v>5700000000</v>
      </c>
      <c r="DC36" s="15">
        <f t="shared" si="271"/>
        <v>5700000000</v>
      </c>
      <c r="DD36" s="15">
        <f t="shared" si="271"/>
        <v>5700000000</v>
      </c>
      <c r="DE36" s="15">
        <f t="shared" si="271"/>
        <v>5700000000</v>
      </c>
      <c r="DF36" s="15">
        <f t="shared" si="271"/>
        <v>5700000000</v>
      </c>
      <c r="DG36" s="15">
        <f t="shared" si="271"/>
        <v>5700000000</v>
      </c>
      <c r="DH36" s="15">
        <f t="shared" si="271"/>
        <v>5700000000</v>
      </c>
      <c r="DI36" s="15">
        <f t="shared" si="271"/>
        <v>5700000000</v>
      </c>
      <c r="DJ36" s="15">
        <f t="shared" si="271"/>
        <v>5700000000</v>
      </c>
      <c r="DK36" s="15">
        <f t="shared" si="271"/>
        <v>5700000000</v>
      </c>
      <c r="DL36" s="15">
        <f t="shared" si="271"/>
        <v>5700000000</v>
      </c>
      <c r="DM36" s="15">
        <f t="shared" si="271"/>
        <v>5700000000</v>
      </c>
      <c r="DN36" s="15">
        <f t="shared" si="271"/>
        <v>5700000000</v>
      </c>
      <c r="DO36" s="15">
        <f t="shared" ref="DO36:EB37" si="272">IF($Q36&gt;=DO$8,$T36,0)</f>
        <v>5700000000</v>
      </c>
      <c r="DP36" s="15">
        <f t="shared" si="272"/>
        <v>5700000000</v>
      </c>
      <c r="DQ36" s="15">
        <f t="shared" si="272"/>
        <v>5700000000</v>
      </c>
      <c r="DR36" s="15">
        <f t="shared" si="272"/>
        <v>5700000000</v>
      </c>
      <c r="DS36" s="15">
        <f t="shared" si="272"/>
        <v>5700000000</v>
      </c>
      <c r="DT36" s="15">
        <f t="shared" si="272"/>
        <v>5700000000</v>
      </c>
      <c r="DU36" s="15">
        <f t="shared" si="272"/>
        <v>5700000000</v>
      </c>
      <c r="DV36" s="15">
        <f t="shared" si="272"/>
        <v>5700000000</v>
      </c>
      <c r="DW36" s="15">
        <f t="shared" si="272"/>
        <v>5700000000</v>
      </c>
      <c r="DX36" s="15">
        <f t="shared" si="272"/>
        <v>0</v>
      </c>
      <c r="DY36" s="15">
        <f t="shared" si="272"/>
        <v>0</v>
      </c>
      <c r="DZ36" s="15">
        <f t="shared" si="272"/>
        <v>0</v>
      </c>
      <c r="EA36" s="15">
        <f t="shared" si="272"/>
        <v>0</v>
      </c>
      <c r="EB36" s="15">
        <f t="shared" si="272"/>
        <v>0</v>
      </c>
      <c r="ED36" s="15">
        <f t="shared" ref="ED36:ES37" si="273">IF($V36&gt;=ED$8,$Y36,0)</f>
        <v>5700000000</v>
      </c>
      <c r="EE36" s="15">
        <f t="shared" si="273"/>
        <v>5700000000</v>
      </c>
      <c r="EF36" s="15">
        <f t="shared" si="273"/>
        <v>5700000000</v>
      </c>
      <c r="EG36" s="15">
        <f t="shared" si="273"/>
        <v>5700000000</v>
      </c>
      <c r="EH36" s="15">
        <f t="shared" si="273"/>
        <v>5700000000</v>
      </c>
      <c r="EI36" s="15">
        <f t="shared" si="273"/>
        <v>5700000000</v>
      </c>
      <c r="EJ36" s="15">
        <f t="shared" si="273"/>
        <v>5700000000</v>
      </c>
      <c r="EK36" s="15">
        <f t="shared" si="273"/>
        <v>5700000000</v>
      </c>
      <c r="EL36" s="15">
        <f t="shared" si="273"/>
        <v>5700000000</v>
      </c>
      <c r="EM36" s="15">
        <f t="shared" si="273"/>
        <v>5700000000</v>
      </c>
      <c r="EN36" s="15">
        <f t="shared" si="273"/>
        <v>5700000000</v>
      </c>
      <c r="EO36" s="15">
        <f t="shared" si="273"/>
        <v>5700000000</v>
      </c>
      <c r="EP36" s="15">
        <f t="shared" si="273"/>
        <v>5700000000</v>
      </c>
      <c r="EQ36" s="15">
        <f t="shared" si="273"/>
        <v>5700000000</v>
      </c>
      <c r="ER36" s="15">
        <f t="shared" si="273"/>
        <v>5700000000</v>
      </c>
      <c r="ES36" s="15">
        <f t="shared" si="273"/>
        <v>5700000000</v>
      </c>
      <c r="ET36" s="15">
        <f t="shared" ref="ET36:FG37" si="274">IF($V36&gt;=ET$8,$Y36,0)</f>
        <v>5700000000</v>
      </c>
      <c r="EU36" s="15">
        <f t="shared" si="274"/>
        <v>5700000000</v>
      </c>
      <c r="EV36" s="15">
        <f t="shared" si="274"/>
        <v>5700000000</v>
      </c>
      <c r="EW36" s="15">
        <f t="shared" si="274"/>
        <v>5700000000</v>
      </c>
      <c r="EX36" s="15">
        <f t="shared" si="274"/>
        <v>5700000000</v>
      </c>
      <c r="EY36" s="15">
        <f t="shared" si="274"/>
        <v>5700000000</v>
      </c>
      <c r="EZ36" s="15">
        <f t="shared" si="274"/>
        <v>5700000000</v>
      </c>
      <c r="FA36" s="15">
        <f t="shared" si="274"/>
        <v>5700000000</v>
      </c>
      <c r="FB36" s="15">
        <f t="shared" si="274"/>
        <v>5700000000</v>
      </c>
      <c r="FC36" s="15">
        <f t="shared" si="274"/>
        <v>0</v>
      </c>
      <c r="FD36" s="15">
        <f t="shared" si="274"/>
        <v>0</v>
      </c>
      <c r="FE36" s="15">
        <f t="shared" si="274"/>
        <v>0</v>
      </c>
      <c r="FF36" s="15">
        <f t="shared" si="274"/>
        <v>0</v>
      </c>
      <c r="FG36" s="15">
        <f t="shared" si="274"/>
        <v>0</v>
      </c>
      <c r="FI36" s="15">
        <f t="shared" ref="FI36:FX37" si="275">IF($AA36&gt;=FI$8,$AD36,0)</f>
        <v>5700000000</v>
      </c>
      <c r="FJ36" s="15">
        <f t="shared" si="275"/>
        <v>5700000000</v>
      </c>
      <c r="FK36" s="15">
        <f t="shared" si="275"/>
        <v>5700000000</v>
      </c>
      <c r="FL36" s="15">
        <f t="shared" si="275"/>
        <v>5700000000</v>
      </c>
      <c r="FM36" s="15">
        <f t="shared" si="275"/>
        <v>5700000000</v>
      </c>
      <c r="FN36" s="15">
        <f t="shared" si="275"/>
        <v>5700000000</v>
      </c>
      <c r="FO36" s="15">
        <f t="shared" si="275"/>
        <v>5700000000</v>
      </c>
      <c r="FP36" s="15">
        <f t="shared" si="275"/>
        <v>5700000000</v>
      </c>
      <c r="FQ36" s="15">
        <f t="shared" si="275"/>
        <v>5700000000</v>
      </c>
      <c r="FR36" s="15">
        <f t="shared" si="275"/>
        <v>5700000000</v>
      </c>
      <c r="FS36" s="15">
        <f t="shared" si="275"/>
        <v>5700000000</v>
      </c>
      <c r="FT36" s="15">
        <f t="shared" si="275"/>
        <v>5700000000</v>
      </c>
      <c r="FU36" s="15">
        <f t="shared" si="275"/>
        <v>5700000000</v>
      </c>
      <c r="FV36" s="15">
        <f t="shared" si="275"/>
        <v>5700000000</v>
      </c>
      <c r="FW36" s="15">
        <f t="shared" si="275"/>
        <v>5700000000</v>
      </c>
      <c r="FX36" s="15">
        <f t="shared" si="275"/>
        <v>5700000000</v>
      </c>
      <c r="FY36" s="15">
        <f t="shared" ref="FY36:GL37" si="276">IF($AA36&gt;=FY$8,$AD36,0)</f>
        <v>5700000000</v>
      </c>
      <c r="FZ36" s="15">
        <f t="shared" si="276"/>
        <v>5700000000</v>
      </c>
      <c r="GA36" s="15">
        <f t="shared" si="276"/>
        <v>5700000000</v>
      </c>
      <c r="GB36" s="15">
        <f t="shared" si="276"/>
        <v>5700000000</v>
      </c>
      <c r="GC36" s="15">
        <f t="shared" si="276"/>
        <v>5700000000</v>
      </c>
      <c r="GD36" s="15">
        <f t="shared" si="276"/>
        <v>5700000000</v>
      </c>
      <c r="GE36" s="15">
        <f t="shared" si="276"/>
        <v>5700000000</v>
      </c>
      <c r="GF36" s="15">
        <f t="shared" si="276"/>
        <v>5700000000</v>
      </c>
      <c r="GG36" s="15">
        <f t="shared" si="276"/>
        <v>5700000000</v>
      </c>
      <c r="GH36" s="15">
        <f t="shared" si="276"/>
        <v>0</v>
      </c>
      <c r="GI36" s="15">
        <f t="shared" si="276"/>
        <v>0</v>
      </c>
      <c r="GJ36" s="15">
        <f t="shared" si="276"/>
        <v>0</v>
      </c>
      <c r="GK36" s="15">
        <f t="shared" si="276"/>
        <v>0</v>
      </c>
      <c r="GL36" s="15">
        <f t="shared" si="276"/>
        <v>0</v>
      </c>
      <c r="GN36" s="15">
        <f t="shared" ref="GN36:HC37" si="277">IF($AF36&gt;=GN$8,$AI36,0)</f>
        <v>0</v>
      </c>
      <c r="GO36" s="15">
        <f t="shared" si="277"/>
        <v>0</v>
      </c>
      <c r="GP36" s="15">
        <f t="shared" si="277"/>
        <v>0</v>
      </c>
      <c r="GQ36" s="15">
        <f t="shared" si="277"/>
        <v>0</v>
      </c>
      <c r="GR36" s="15">
        <f t="shared" si="277"/>
        <v>0</v>
      </c>
      <c r="GS36" s="15">
        <f t="shared" si="277"/>
        <v>0</v>
      </c>
      <c r="GT36" s="15">
        <f t="shared" si="277"/>
        <v>0</v>
      </c>
      <c r="GU36" s="15">
        <f t="shared" si="277"/>
        <v>0</v>
      </c>
      <c r="GV36" s="15">
        <f t="shared" si="277"/>
        <v>0</v>
      </c>
      <c r="GW36" s="15">
        <f t="shared" si="277"/>
        <v>0</v>
      </c>
      <c r="GX36" s="15">
        <f t="shared" si="277"/>
        <v>0</v>
      </c>
      <c r="GY36" s="15">
        <f t="shared" si="277"/>
        <v>0</v>
      </c>
      <c r="GZ36" s="15">
        <f t="shared" si="277"/>
        <v>0</v>
      </c>
      <c r="HA36" s="15">
        <f t="shared" si="277"/>
        <v>0</v>
      </c>
      <c r="HB36" s="15">
        <f t="shared" si="277"/>
        <v>0</v>
      </c>
      <c r="HC36" s="15">
        <f t="shared" si="277"/>
        <v>0</v>
      </c>
      <c r="HD36" s="15">
        <f t="shared" ref="HD36:HQ37" si="278">IF($AF36&gt;=HD$8,$AI36,0)</f>
        <v>0</v>
      </c>
      <c r="HE36" s="15">
        <f t="shared" si="278"/>
        <v>0</v>
      </c>
      <c r="HF36" s="15">
        <f t="shared" si="278"/>
        <v>0</v>
      </c>
      <c r="HG36" s="15">
        <f t="shared" si="278"/>
        <v>0</v>
      </c>
      <c r="HH36" s="15">
        <f t="shared" si="278"/>
        <v>0</v>
      </c>
      <c r="HI36" s="15">
        <f t="shared" si="278"/>
        <v>0</v>
      </c>
      <c r="HJ36" s="15">
        <f t="shared" si="278"/>
        <v>0</v>
      </c>
      <c r="HK36" s="15">
        <f t="shared" si="278"/>
        <v>0</v>
      </c>
      <c r="HL36" s="15">
        <f t="shared" si="278"/>
        <v>0</v>
      </c>
      <c r="HM36" s="15">
        <f t="shared" si="278"/>
        <v>0</v>
      </c>
      <c r="HN36" s="15">
        <f t="shared" si="278"/>
        <v>0</v>
      </c>
      <c r="HO36" s="15">
        <f t="shared" si="278"/>
        <v>0</v>
      </c>
      <c r="HP36" s="15">
        <f t="shared" si="278"/>
        <v>0</v>
      </c>
      <c r="HQ36" s="15">
        <f t="shared" si="278"/>
        <v>0</v>
      </c>
    </row>
    <row r="37" spans="1:225" outlineLevel="1" x14ac:dyDescent="0.25">
      <c r="B37" t="s">
        <v>133</v>
      </c>
      <c r="C37" s="624" t="s">
        <v>242</v>
      </c>
      <c r="D37" s="614" t="s">
        <v>68</v>
      </c>
      <c r="E37" s="468">
        <v>100</v>
      </c>
      <c r="F37" s="221"/>
      <c r="G37" s="457">
        <v>25</v>
      </c>
      <c r="H37" s="468">
        <f>(75000000/$D$6)</f>
        <v>75000000</v>
      </c>
      <c r="I37" s="457">
        <f>$E37*$H37*0</f>
        <v>0</v>
      </c>
      <c r="J37" s="457">
        <f t="shared" si="257"/>
        <v>0</v>
      </c>
      <c r="K37" s="221"/>
      <c r="L37" s="457">
        <v>25</v>
      </c>
      <c r="M37" s="457">
        <f>75000000/$D$6</f>
        <v>75000000</v>
      </c>
      <c r="N37" s="618">
        <f t="shared" si="258"/>
        <v>7500000000</v>
      </c>
      <c r="O37" s="457">
        <f t="shared" si="259"/>
        <v>300000000</v>
      </c>
      <c r="P37" s="221"/>
      <c r="Q37" s="457">
        <v>25</v>
      </c>
      <c r="R37" s="457">
        <f>75000000/$D$6</f>
        <v>75000000</v>
      </c>
      <c r="S37" s="618">
        <f t="shared" si="260"/>
        <v>7500000000</v>
      </c>
      <c r="T37" s="457">
        <f t="shared" si="261"/>
        <v>300000000</v>
      </c>
      <c r="U37" s="221"/>
      <c r="V37" s="457">
        <v>25</v>
      </c>
      <c r="W37" s="457">
        <f t="shared" si="262"/>
        <v>75000000</v>
      </c>
      <c r="X37" s="618">
        <f>$E37*W37</f>
        <v>7500000000</v>
      </c>
      <c r="Y37" s="457">
        <f t="shared" si="263"/>
        <v>300000000</v>
      </c>
      <c r="Z37" s="221"/>
      <c r="AA37" s="457">
        <v>25</v>
      </c>
      <c r="AB37" s="457">
        <f>75000000/$D$6</f>
        <v>75000000</v>
      </c>
      <c r="AC37" s="618">
        <f t="shared" si="264"/>
        <v>7500000000</v>
      </c>
      <c r="AD37" s="457">
        <f t="shared" si="265"/>
        <v>300000000</v>
      </c>
      <c r="AE37" s="221"/>
      <c r="AF37" s="457">
        <v>25</v>
      </c>
      <c r="AG37" s="457">
        <f>75000000/$D$6</f>
        <v>75000000</v>
      </c>
      <c r="AH37" s="618">
        <f>$E37*AG37*0</f>
        <v>0</v>
      </c>
      <c r="AI37" s="457">
        <f t="shared" si="266"/>
        <v>0</v>
      </c>
      <c r="AJ37" s="221"/>
      <c r="AM37" t="s">
        <v>337</v>
      </c>
      <c r="AO37" s="15">
        <f t="shared" si="267"/>
        <v>0</v>
      </c>
      <c r="AP37" s="15">
        <f t="shared" si="267"/>
        <v>0</v>
      </c>
      <c r="AQ37" s="15">
        <f t="shared" si="267"/>
        <v>0</v>
      </c>
      <c r="AR37" s="15">
        <f t="shared" si="267"/>
        <v>0</v>
      </c>
      <c r="AS37" s="15">
        <f t="shared" si="267"/>
        <v>0</v>
      </c>
      <c r="AT37" s="15">
        <f t="shared" si="267"/>
        <v>0</v>
      </c>
      <c r="AU37" s="15">
        <f t="shared" si="267"/>
        <v>0</v>
      </c>
      <c r="AV37" s="15">
        <f t="shared" si="267"/>
        <v>0</v>
      </c>
      <c r="AW37" s="15">
        <f t="shared" si="267"/>
        <v>0</v>
      </c>
      <c r="AX37" s="15">
        <f t="shared" si="267"/>
        <v>0</v>
      </c>
      <c r="AY37" s="15">
        <f t="shared" si="267"/>
        <v>0</v>
      </c>
      <c r="AZ37" s="15">
        <f t="shared" si="267"/>
        <v>0</v>
      </c>
      <c r="BA37" s="15">
        <f t="shared" si="267"/>
        <v>0</v>
      </c>
      <c r="BB37" s="15">
        <f t="shared" si="267"/>
        <v>0</v>
      </c>
      <c r="BC37" s="15">
        <f t="shared" si="267"/>
        <v>0</v>
      </c>
      <c r="BD37" s="15">
        <f t="shared" si="267"/>
        <v>0</v>
      </c>
      <c r="BE37" s="15">
        <f t="shared" si="268"/>
        <v>0</v>
      </c>
      <c r="BF37" s="15">
        <f t="shared" si="268"/>
        <v>0</v>
      </c>
      <c r="BG37" s="15">
        <f t="shared" si="268"/>
        <v>0</v>
      </c>
      <c r="BH37" s="15">
        <f t="shared" si="268"/>
        <v>0</v>
      </c>
      <c r="BI37" s="15">
        <f t="shared" si="268"/>
        <v>0</v>
      </c>
      <c r="BJ37" s="15">
        <f t="shared" si="268"/>
        <v>0</v>
      </c>
      <c r="BK37" s="15">
        <f t="shared" si="268"/>
        <v>0</v>
      </c>
      <c r="BL37" s="15">
        <f t="shared" si="268"/>
        <v>0</v>
      </c>
      <c r="BM37" s="15">
        <f t="shared" si="268"/>
        <v>0</v>
      </c>
      <c r="BN37" s="15">
        <f t="shared" si="268"/>
        <v>0</v>
      </c>
      <c r="BO37" s="15">
        <f t="shared" si="268"/>
        <v>0</v>
      </c>
      <c r="BP37" s="15">
        <f t="shared" si="268"/>
        <v>0</v>
      </c>
      <c r="BQ37" s="15">
        <f t="shared" si="268"/>
        <v>0</v>
      </c>
      <c r="BR37" s="15">
        <f t="shared" si="268"/>
        <v>0</v>
      </c>
      <c r="BT37" s="15">
        <f t="shared" si="269"/>
        <v>300000000</v>
      </c>
      <c r="BU37" s="15">
        <f t="shared" si="269"/>
        <v>300000000</v>
      </c>
      <c r="BV37" s="15">
        <f t="shared" si="269"/>
        <v>300000000</v>
      </c>
      <c r="BW37" s="15">
        <f t="shared" si="269"/>
        <v>300000000</v>
      </c>
      <c r="BX37" s="15">
        <f t="shared" si="269"/>
        <v>300000000</v>
      </c>
      <c r="BY37" s="15">
        <f t="shared" si="269"/>
        <v>300000000</v>
      </c>
      <c r="BZ37" s="15">
        <f t="shared" si="269"/>
        <v>300000000</v>
      </c>
      <c r="CA37" s="15">
        <f t="shared" si="269"/>
        <v>300000000</v>
      </c>
      <c r="CB37" s="15">
        <f t="shared" si="269"/>
        <v>300000000</v>
      </c>
      <c r="CC37" s="15">
        <f t="shared" si="269"/>
        <v>300000000</v>
      </c>
      <c r="CD37" s="15">
        <f t="shared" si="269"/>
        <v>300000000</v>
      </c>
      <c r="CE37" s="15">
        <f t="shared" si="269"/>
        <v>300000000</v>
      </c>
      <c r="CF37" s="15">
        <f t="shared" si="269"/>
        <v>300000000</v>
      </c>
      <c r="CG37" s="15">
        <f t="shared" si="269"/>
        <v>300000000</v>
      </c>
      <c r="CH37" s="15">
        <f t="shared" si="269"/>
        <v>300000000</v>
      </c>
      <c r="CI37" s="15">
        <f t="shared" si="269"/>
        <v>300000000</v>
      </c>
      <c r="CJ37" s="15">
        <f t="shared" si="270"/>
        <v>300000000</v>
      </c>
      <c r="CK37" s="15">
        <f t="shared" si="270"/>
        <v>300000000</v>
      </c>
      <c r="CL37" s="15">
        <f t="shared" si="270"/>
        <v>300000000</v>
      </c>
      <c r="CM37" s="15">
        <f t="shared" si="270"/>
        <v>300000000</v>
      </c>
      <c r="CN37" s="15">
        <f t="shared" si="270"/>
        <v>300000000</v>
      </c>
      <c r="CO37" s="15">
        <f t="shared" si="270"/>
        <v>300000000</v>
      </c>
      <c r="CP37" s="15">
        <f t="shared" si="270"/>
        <v>300000000</v>
      </c>
      <c r="CQ37" s="15">
        <f t="shared" si="270"/>
        <v>300000000</v>
      </c>
      <c r="CR37" s="15">
        <f t="shared" si="270"/>
        <v>300000000</v>
      </c>
      <c r="CS37" s="15">
        <f t="shared" si="270"/>
        <v>0</v>
      </c>
      <c r="CT37" s="15">
        <f t="shared" si="270"/>
        <v>0</v>
      </c>
      <c r="CU37" s="15">
        <f t="shared" si="270"/>
        <v>0</v>
      </c>
      <c r="CV37" s="15">
        <f t="shared" si="270"/>
        <v>0</v>
      </c>
      <c r="CW37" s="15">
        <f t="shared" si="270"/>
        <v>0</v>
      </c>
      <c r="CY37" s="15">
        <f t="shared" si="271"/>
        <v>300000000</v>
      </c>
      <c r="CZ37" s="15">
        <f t="shared" si="271"/>
        <v>300000000</v>
      </c>
      <c r="DA37" s="15">
        <f t="shared" si="271"/>
        <v>300000000</v>
      </c>
      <c r="DB37" s="15">
        <f t="shared" si="271"/>
        <v>300000000</v>
      </c>
      <c r="DC37" s="15">
        <f t="shared" si="271"/>
        <v>300000000</v>
      </c>
      <c r="DD37" s="15">
        <f t="shared" si="271"/>
        <v>300000000</v>
      </c>
      <c r="DE37" s="15">
        <f t="shared" si="271"/>
        <v>300000000</v>
      </c>
      <c r="DF37" s="15">
        <f t="shared" si="271"/>
        <v>300000000</v>
      </c>
      <c r="DG37" s="15">
        <f t="shared" si="271"/>
        <v>300000000</v>
      </c>
      <c r="DH37" s="15">
        <f t="shared" si="271"/>
        <v>300000000</v>
      </c>
      <c r="DI37" s="15">
        <f t="shared" si="271"/>
        <v>300000000</v>
      </c>
      <c r="DJ37" s="15">
        <f t="shared" si="271"/>
        <v>300000000</v>
      </c>
      <c r="DK37" s="15">
        <f t="shared" si="271"/>
        <v>300000000</v>
      </c>
      <c r="DL37" s="15">
        <f t="shared" si="271"/>
        <v>300000000</v>
      </c>
      <c r="DM37" s="15">
        <f t="shared" si="271"/>
        <v>300000000</v>
      </c>
      <c r="DN37" s="15">
        <f t="shared" si="271"/>
        <v>300000000</v>
      </c>
      <c r="DO37" s="15">
        <f t="shared" si="272"/>
        <v>300000000</v>
      </c>
      <c r="DP37" s="15">
        <f t="shared" si="272"/>
        <v>300000000</v>
      </c>
      <c r="DQ37" s="15">
        <f t="shared" si="272"/>
        <v>300000000</v>
      </c>
      <c r="DR37" s="15">
        <f t="shared" si="272"/>
        <v>300000000</v>
      </c>
      <c r="DS37" s="15">
        <f t="shared" si="272"/>
        <v>300000000</v>
      </c>
      <c r="DT37" s="15">
        <f t="shared" si="272"/>
        <v>300000000</v>
      </c>
      <c r="DU37" s="15">
        <f t="shared" si="272"/>
        <v>300000000</v>
      </c>
      <c r="DV37" s="15">
        <f t="shared" si="272"/>
        <v>300000000</v>
      </c>
      <c r="DW37" s="15">
        <f t="shared" si="272"/>
        <v>300000000</v>
      </c>
      <c r="DX37" s="15">
        <f t="shared" si="272"/>
        <v>0</v>
      </c>
      <c r="DY37" s="15">
        <f t="shared" si="272"/>
        <v>0</v>
      </c>
      <c r="DZ37" s="15">
        <f t="shared" si="272"/>
        <v>0</v>
      </c>
      <c r="EA37" s="15">
        <f t="shared" si="272"/>
        <v>0</v>
      </c>
      <c r="EB37" s="15">
        <f t="shared" si="272"/>
        <v>0</v>
      </c>
      <c r="ED37" s="15">
        <f t="shared" si="273"/>
        <v>300000000</v>
      </c>
      <c r="EE37" s="15">
        <f t="shared" si="273"/>
        <v>300000000</v>
      </c>
      <c r="EF37" s="15">
        <f t="shared" si="273"/>
        <v>300000000</v>
      </c>
      <c r="EG37" s="15">
        <f t="shared" si="273"/>
        <v>300000000</v>
      </c>
      <c r="EH37" s="15">
        <f t="shared" si="273"/>
        <v>300000000</v>
      </c>
      <c r="EI37" s="15">
        <f t="shared" si="273"/>
        <v>300000000</v>
      </c>
      <c r="EJ37" s="15">
        <f t="shared" si="273"/>
        <v>300000000</v>
      </c>
      <c r="EK37" s="15">
        <f t="shared" si="273"/>
        <v>300000000</v>
      </c>
      <c r="EL37" s="15">
        <f t="shared" si="273"/>
        <v>300000000</v>
      </c>
      <c r="EM37" s="15">
        <f t="shared" si="273"/>
        <v>300000000</v>
      </c>
      <c r="EN37" s="15">
        <f t="shared" si="273"/>
        <v>300000000</v>
      </c>
      <c r="EO37" s="15">
        <f t="shared" si="273"/>
        <v>300000000</v>
      </c>
      <c r="EP37" s="15">
        <f t="shared" si="273"/>
        <v>300000000</v>
      </c>
      <c r="EQ37" s="15">
        <f t="shared" si="273"/>
        <v>300000000</v>
      </c>
      <c r="ER37" s="15">
        <f t="shared" si="273"/>
        <v>300000000</v>
      </c>
      <c r="ES37" s="15">
        <f t="shared" si="273"/>
        <v>300000000</v>
      </c>
      <c r="ET37" s="15">
        <f t="shared" si="274"/>
        <v>300000000</v>
      </c>
      <c r="EU37" s="15">
        <f t="shared" si="274"/>
        <v>300000000</v>
      </c>
      <c r="EV37" s="15">
        <f t="shared" si="274"/>
        <v>300000000</v>
      </c>
      <c r="EW37" s="15">
        <f t="shared" si="274"/>
        <v>300000000</v>
      </c>
      <c r="EX37" s="15">
        <f t="shared" si="274"/>
        <v>300000000</v>
      </c>
      <c r="EY37" s="15">
        <f t="shared" si="274"/>
        <v>300000000</v>
      </c>
      <c r="EZ37" s="15">
        <f t="shared" si="274"/>
        <v>300000000</v>
      </c>
      <c r="FA37" s="15">
        <f t="shared" si="274"/>
        <v>300000000</v>
      </c>
      <c r="FB37" s="15">
        <f t="shared" si="274"/>
        <v>300000000</v>
      </c>
      <c r="FC37" s="15">
        <f t="shared" si="274"/>
        <v>0</v>
      </c>
      <c r="FD37" s="15">
        <f t="shared" si="274"/>
        <v>0</v>
      </c>
      <c r="FE37" s="15">
        <f t="shared" si="274"/>
        <v>0</v>
      </c>
      <c r="FF37" s="15">
        <f t="shared" si="274"/>
        <v>0</v>
      </c>
      <c r="FG37" s="15">
        <f t="shared" si="274"/>
        <v>0</v>
      </c>
      <c r="FI37" s="15">
        <f t="shared" si="275"/>
        <v>300000000</v>
      </c>
      <c r="FJ37" s="15">
        <f t="shared" si="275"/>
        <v>300000000</v>
      </c>
      <c r="FK37" s="15">
        <f t="shared" si="275"/>
        <v>300000000</v>
      </c>
      <c r="FL37" s="15">
        <f t="shared" si="275"/>
        <v>300000000</v>
      </c>
      <c r="FM37" s="15">
        <f t="shared" si="275"/>
        <v>300000000</v>
      </c>
      <c r="FN37" s="15">
        <f t="shared" si="275"/>
        <v>300000000</v>
      </c>
      <c r="FO37" s="15">
        <f t="shared" si="275"/>
        <v>300000000</v>
      </c>
      <c r="FP37" s="15">
        <f t="shared" si="275"/>
        <v>300000000</v>
      </c>
      <c r="FQ37" s="15">
        <f t="shared" si="275"/>
        <v>300000000</v>
      </c>
      <c r="FR37" s="15">
        <f t="shared" si="275"/>
        <v>300000000</v>
      </c>
      <c r="FS37" s="15">
        <f t="shared" si="275"/>
        <v>300000000</v>
      </c>
      <c r="FT37" s="15">
        <f t="shared" si="275"/>
        <v>300000000</v>
      </c>
      <c r="FU37" s="15">
        <f t="shared" si="275"/>
        <v>300000000</v>
      </c>
      <c r="FV37" s="15">
        <f t="shared" si="275"/>
        <v>300000000</v>
      </c>
      <c r="FW37" s="15">
        <f t="shared" si="275"/>
        <v>300000000</v>
      </c>
      <c r="FX37" s="15">
        <f t="shared" si="275"/>
        <v>300000000</v>
      </c>
      <c r="FY37" s="15">
        <f t="shared" si="276"/>
        <v>300000000</v>
      </c>
      <c r="FZ37" s="15">
        <f t="shared" si="276"/>
        <v>300000000</v>
      </c>
      <c r="GA37" s="15">
        <f t="shared" si="276"/>
        <v>300000000</v>
      </c>
      <c r="GB37" s="15">
        <f t="shared" si="276"/>
        <v>300000000</v>
      </c>
      <c r="GC37" s="15">
        <f t="shared" si="276"/>
        <v>300000000</v>
      </c>
      <c r="GD37" s="15">
        <f t="shared" si="276"/>
        <v>300000000</v>
      </c>
      <c r="GE37" s="15">
        <f t="shared" si="276"/>
        <v>300000000</v>
      </c>
      <c r="GF37" s="15">
        <f t="shared" si="276"/>
        <v>300000000</v>
      </c>
      <c r="GG37" s="15">
        <f t="shared" si="276"/>
        <v>300000000</v>
      </c>
      <c r="GH37" s="15">
        <f t="shared" si="276"/>
        <v>0</v>
      </c>
      <c r="GI37" s="15">
        <f t="shared" si="276"/>
        <v>0</v>
      </c>
      <c r="GJ37" s="15">
        <f t="shared" si="276"/>
        <v>0</v>
      </c>
      <c r="GK37" s="15">
        <f t="shared" si="276"/>
        <v>0</v>
      </c>
      <c r="GL37" s="15">
        <f t="shared" si="276"/>
        <v>0</v>
      </c>
      <c r="GN37" s="15">
        <f t="shared" si="277"/>
        <v>0</v>
      </c>
      <c r="GO37" s="15">
        <f t="shared" si="277"/>
        <v>0</v>
      </c>
      <c r="GP37" s="15">
        <f t="shared" si="277"/>
        <v>0</v>
      </c>
      <c r="GQ37" s="15">
        <f t="shared" si="277"/>
        <v>0</v>
      </c>
      <c r="GR37" s="15">
        <f t="shared" si="277"/>
        <v>0</v>
      </c>
      <c r="GS37" s="15">
        <f t="shared" si="277"/>
        <v>0</v>
      </c>
      <c r="GT37" s="15">
        <f t="shared" si="277"/>
        <v>0</v>
      </c>
      <c r="GU37" s="15">
        <f t="shared" si="277"/>
        <v>0</v>
      </c>
      <c r="GV37" s="15">
        <f t="shared" si="277"/>
        <v>0</v>
      </c>
      <c r="GW37" s="15">
        <f t="shared" si="277"/>
        <v>0</v>
      </c>
      <c r="GX37" s="15">
        <f t="shared" si="277"/>
        <v>0</v>
      </c>
      <c r="GY37" s="15">
        <f t="shared" si="277"/>
        <v>0</v>
      </c>
      <c r="GZ37" s="15">
        <f t="shared" si="277"/>
        <v>0</v>
      </c>
      <c r="HA37" s="15">
        <f t="shared" si="277"/>
        <v>0</v>
      </c>
      <c r="HB37" s="15">
        <f t="shared" si="277"/>
        <v>0</v>
      </c>
      <c r="HC37" s="15">
        <f t="shared" si="277"/>
        <v>0</v>
      </c>
      <c r="HD37" s="15">
        <f t="shared" si="278"/>
        <v>0</v>
      </c>
      <c r="HE37" s="15">
        <f t="shared" si="278"/>
        <v>0</v>
      </c>
      <c r="HF37" s="15">
        <f t="shared" si="278"/>
        <v>0</v>
      </c>
      <c r="HG37" s="15">
        <f t="shared" si="278"/>
        <v>0</v>
      </c>
      <c r="HH37" s="15">
        <f t="shared" si="278"/>
        <v>0</v>
      </c>
      <c r="HI37" s="15">
        <f t="shared" si="278"/>
        <v>0</v>
      </c>
      <c r="HJ37" s="15">
        <f t="shared" si="278"/>
        <v>0</v>
      </c>
      <c r="HK37" s="15">
        <f t="shared" si="278"/>
        <v>0</v>
      </c>
      <c r="HL37" s="15">
        <f t="shared" si="278"/>
        <v>0</v>
      </c>
      <c r="HM37" s="15">
        <f t="shared" si="278"/>
        <v>0</v>
      </c>
      <c r="HN37" s="15">
        <f t="shared" si="278"/>
        <v>0</v>
      </c>
      <c r="HO37" s="15">
        <f t="shared" si="278"/>
        <v>0</v>
      </c>
      <c r="HP37" s="15">
        <f t="shared" si="278"/>
        <v>0</v>
      </c>
      <c r="HQ37" s="15">
        <f t="shared" si="278"/>
        <v>0</v>
      </c>
    </row>
    <row r="38" spans="1:225" x14ac:dyDescent="0.25">
      <c r="F38" s="221"/>
      <c r="J38" s="15"/>
      <c r="K38" s="221"/>
      <c r="O38" s="15"/>
      <c r="P38" s="221"/>
      <c r="T38" s="15"/>
      <c r="U38" s="221"/>
      <c r="Y38" s="15"/>
      <c r="Z38" s="221"/>
      <c r="AD38" s="15"/>
      <c r="AE38" s="221"/>
      <c r="AI38" s="15"/>
      <c r="AJ38" s="221"/>
    </row>
    <row r="39" spans="1:225" s="22" customFormat="1" ht="17.25" x14ac:dyDescent="0.3">
      <c r="A39" t="s">
        <v>483</v>
      </c>
      <c r="B39"/>
      <c r="C39" s="38" t="s">
        <v>47</v>
      </c>
      <c r="D39" s="22" t="s">
        <v>781</v>
      </c>
      <c r="E39" s="28"/>
      <c r="F39" s="219"/>
      <c r="G39" s="139"/>
      <c r="H39" s="28"/>
      <c r="I39" s="28">
        <f>SUM(I40:I58)</f>
        <v>16250000000</v>
      </c>
      <c r="J39" s="28">
        <f>SUM(J40:J58)</f>
        <v>1354166666.666666</v>
      </c>
      <c r="K39" s="219"/>
      <c r="L39" s="139"/>
      <c r="M39" s="139"/>
      <c r="N39" s="28">
        <f>SUM(N40:N58)</f>
        <v>17654000000</v>
      </c>
      <c r="O39" s="28">
        <f>SUM(O40:O58)</f>
        <v>1471166666.6666667</v>
      </c>
      <c r="P39" s="219"/>
      <c r="Q39" s="139"/>
      <c r="R39" s="139"/>
      <c r="S39" s="28">
        <f>SUM(S40:S58)</f>
        <v>17654000000</v>
      </c>
      <c r="T39" s="28">
        <f>SUM(T40:T58)</f>
        <v>1471166666.6666667</v>
      </c>
      <c r="U39" s="219"/>
      <c r="V39" s="139"/>
      <c r="W39" s="139"/>
      <c r="X39" s="28">
        <f>SUM(X40:X58)</f>
        <v>16250000000</v>
      </c>
      <c r="Y39" s="28">
        <f>SUM(Y40:Y58)</f>
        <v>1354166666.666666</v>
      </c>
      <c r="Z39" s="219"/>
      <c r="AA39" s="139"/>
      <c r="AB39" s="139"/>
      <c r="AC39" s="28">
        <f>SUM(AC40:AC58)</f>
        <v>16276000000</v>
      </c>
      <c r="AD39" s="28">
        <f>SUM(AD40:AD58)</f>
        <v>1356333333.3333325</v>
      </c>
      <c r="AE39" s="219"/>
      <c r="AF39" s="139"/>
      <c r="AG39" s="139"/>
      <c r="AH39" s="28">
        <f>SUM(AH40:AH58)</f>
        <v>16276000000</v>
      </c>
      <c r="AI39" s="28">
        <f>SUM(AI40:AI58)</f>
        <v>1356333333.3333325</v>
      </c>
      <c r="AJ39" s="219"/>
      <c r="AO39" s="28">
        <f t="shared" ref="AO39:BR39" si="279">SUM(AO40:AO58)</f>
        <v>1354166666.666666</v>
      </c>
      <c r="AP39" s="28">
        <f t="shared" si="279"/>
        <v>1354166666.666666</v>
      </c>
      <c r="AQ39" s="28">
        <f t="shared" si="279"/>
        <v>1354166666.666666</v>
      </c>
      <c r="AR39" s="28">
        <f t="shared" si="279"/>
        <v>1354166666.666666</v>
      </c>
      <c r="AS39" s="28">
        <f t="shared" si="279"/>
        <v>1354166666.666666</v>
      </c>
      <c r="AT39" s="28">
        <f t="shared" si="279"/>
        <v>1354166666.666666</v>
      </c>
      <c r="AU39" s="28">
        <f t="shared" si="279"/>
        <v>1354166666.666666</v>
      </c>
      <c r="AV39" s="28">
        <f t="shared" si="279"/>
        <v>1354166666.666666</v>
      </c>
      <c r="AW39" s="28">
        <f t="shared" si="279"/>
        <v>1354166666.666666</v>
      </c>
      <c r="AX39" s="28">
        <f t="shared" si="279"/>
        <v>1354166666.666666</v>
      </c>
      <c r="AY39" s="28">
        <f t="shared" si="279"/>
        <v>1354166666.666666</v>
      </c>
      <c r="AZ39" s="28">
        <f t="shared" si="279"/>
        <v>1354166666.666666</v>
      </c>
      <c r="BA39" s="28">
        <f t="shared" si="279"/>
        <v>0</v>
      </c>
      <c r="BB39" s="28">
        <f t="shared" si="279"/>
        <v>0</v>
      </c>
      <c r="BC39" s="28">
        <f t="shared" si="279"/>
        <v>0</v>
      </c>
      <c r="BD39" s="28">
        <f t="shared" si="279"/>
        <v>0</v>
      </c>
      <c r="BE39" s="28">
        <f t="shared" si="279"/>
        <v>0</v>
      </c>
      <c r="BF39" s="28">
        <f t="shared" si="279"/>
        <v>0</v>
      </c>
      <c r="BG39" s="28">
        <f t="shared" si="279"/>
        <v>0</v>
      </c>
      <c r="BH39" s="28">
        <f t="shared" si="279"/>
        <v>0</v>
      </c>
      <c r="BI39" s="28">
        <f t="shared" si="279"/>
        <v>0</v>
      </c>
      <c r="BJ39" s="28">
        <f t="shared" si="279"/>
        <v>0</v>
      </c>
      <c r="BK39" s="28">
        <f t="shared" si="279"/>
        <v>0</v>
      </c>
      <c r="BL39" s="28">
        <f t="shared" si="279"/>
        <v>0</v>
      </c>
      <c r="BM39" s="28">
        <f t="shared" si="279"/>
        <v>0</v>
      </c>
      <c r="BN39" s="28">
        <f t="shared" si="279"/>
        <v>0</v>
      </c>
      <c r="BO39" s="28">
        <f t="shared" si="279"/>
        <v>0</v>
      </c>
      <c r="BP39" s="28">
        <f t="shared" si="279"/>
        <v>0</v>
      </c>
      <c r="BQ39" s="28">
        <f t="shared" si="279"/>
        <v>0</v>
      </c>
      <c r="BR39" s="28">
        <f t="shared" si="279"/>
        <v>0</v>
      </c>
      <c r="BT39" s="28">
        <f t="shared" ref="BT39" si="280">SUM(BT40:BT58)</f>
        <v>1471166666.6666667</v>
      </c>
      <c r="BU39" s="28">
        <f t="shared" ref="BU39" si="281">SUM(BU40:BU58)</f>
        <v>1471166666.6666667</v>
      </c>
      <c r="BV39" s="28">
        <f t="shared" ref="BV39" si="282">SUM(BV40:BV58)</f>
        <v>1471166666.6666667</v>
      </c>
      <c r="BW39" s="28">
        <f t="shared" ref="BW39" si="283">SUM(BW40:BW58)</f>
        <v>1471166666.6666667</v>
      </c>
      <c r="BX39" s="28">
        <f t="shared" ref="BX39" si="284">SUM(BX40:BX58)</f>
        <v>1471166666.6666667</v>
      </c>
      <c r="BY39" s="28">
        <f t="shared" ref="BY39" si="285">SUM(BY40:BY58)</f>
        <v>1471166666.6666667</v>
      </c>
      <c r="BZ39" s="28">
        <f t="shared" ref="BZ39" si="286">SUM(BZ40:BZ58)</f>
        <v>1471166666.6666667</v>
      </c>
      <c r="CA39" s="28">
        <f t="shared" ref="CA39" si="287">SUM(CA40:CA58)</f>
        <v>1471166666.6666667</v>
      </c>
      <c r="CB39" s="28">
        <f t="shared" ref="CB39" si="288">SUM(CB40:CB58)</f>
        <v>1471166666.6666667</v>
      </c>
      <c r="CC39" s="28">
        <f t="shared" ref="CC39" si="289">SUM(CC40:CC58)</f>
        <v>1471166666.6666667</v>
      </c>
      <c r="CD39" s="28">
        <f t="shared" ref="CD39" si="290">SUM(CD40:CD58)</f>
        <v>1471166666.6666667</v>
      </c>
      <c r="CE39" s="28">
        <f t="shared" ref="CE39" si="291">SUM(CE40:CE58)</f>
        <v>1471166666.6666667</v>
      </c>
      <c r="CF39" s="28">
        <f t="shared" ref="CF39" si="292">SUM(CF40:CF58)</f>
        <v>0</v>
      </c>
      <c r="CG39" s="28">
        <f t="shared" ref="CG39" si="293">SUM(CG40:CG58)</f>
        <v>0</v>
      </c>
      <c r="CH39" s="28">
        <f t="shared" ref="CH39" si="294">SUM(CH40:CH58)</f>
        <v>0</v>
      </c>
      <c r="CI39" s="28">
        <f t="shared" ref="CI39" si="295">SUM(CI40:CI58)</f>
        <v>0</v>
      </c>
      <c r="CJ39" s="28">
        <f t="shared" ref="CJ39" si="296">SUM(CJ40:CJ58)</f>
        <v>0</v>
      </c>
      <c r="CK39" s="28">
        <f t="shared" ref="CK39" si="297">SUM(CK40:CK58)</f>
        <v>0</v>
      </c>
      <c r="CL39" s="28">
        <f t="shared" ref="CL39" si="298">SUM(CL40:CL58)</f>
        <v>0</v>
      </c>
      <c r="CM39" s="28">
        <f t="shared" ref="CM39" si="299">SUM(CM40:CM58)</f>
        <v>0</v>
      </c>
      <c r="CN39" s="28">
        <f t="shared" ref="CN39" si="300">SUM(CN40:CN58)</f>
        <v>0</v>
      </c>
      <c r="CO39" s="28">
        <f t="shared" ref="CO39" si="301">SUM(CO40:CO58)</f>
        <v>0</v>
      </c>
      <c r="CP39" s="28">
        <f t="shared" ref="CP39" si="302">SUM(CP40:CP58)</f>
        <v>0</v>
      </c>
      <c r="CQ39" s="28">
        <f t="shared" ref="CQ39" si="303">SUM(CQ40:CQ58)</f>
        <v>0</v>
      </c>
      <c r="CR39" s="28">
        <f t="shared" ref="CR39" si="304">SUM(CR40:CR58)</f>
        <v>0</v>
      </c>
      <c r="CS39" s="28">
        <f t="shared" ref="CS39" si="305">SUM(CS40:CS58)</f>
        <v>0</v>
      </c>
      <c r="CT39" s="28">
        <f t="shared" ref="CT39" si="306">SUM(CT40:CT58)</f>
        <v>0</v>
      </c>
      <c r="CU39" s="28">
        <f t="shared" ref="CU39" si="307">SUM(CU40:CU58)</f>
        <v>0</v>
      </c>
      <c r="CV39" s="28">
        <f t="shared" ref="CV39" si="308">SUM(CV40:CV58)</f>
        <v>0</v>
      </c>
      <c r="CW39" s="28">
        <f t="shared" ref="CW39" si="309">SUM(CW40:CW58)</f>
        <v>0</v>
      </c>
      <c r="CY39" s="28">
        <f t="shared" ref="CY39:EB39" si="310">SUM(CY40:CY58)</f>
        <v>1471166666.6666667</v>
      </c>
      <c r="CZ39" s="28">
        <f t="shared" si="310"/>
        <v>1471166666.6666667</v>
      </c>
      <c r="DA39" s="28">
        <f t="shared" si="310"/>
        <v>1471166666.6666667</v>
      </c>
      <c r="DB39" s="28">
        <f t="shared" si="310"/>
        <v>1471166666.6666667</v>
      </c>
      <c r="DC39" s="28">
        <f t="shared" si="310"/>
        <v>1471166666.6666667</v>
      </c>
      <c r="DD39" s="28">
        <f t="shared" si="310"/>
        <v>1471166666.6666667</v>
      </c>
      <c r="DE39" s="28">
        <f t="shared" si="310"/>
        <v>1471166666.6666667</v>
      </c>
      <c r="DF39" s="28">
        <f t="shared" si="310"/>
        <v>1471166666.6666667</v>
      </c>
      <c r="DG39" s="28">
        <f t="shared" si="310"/>
        <v>1471166666.6666667</v>
      </c>
      <c r="DH39" s="28">
        <f t="shared" si="310"/>
        <v>1471166666.6666667</v>
      </c>
      <c r="DI39" s="28">
        <f t="shared" si="310"/>
        <v>1471166666.6666667</v>
      </c>
      <c r="DJ39" s="28">
        <f t="shared" si="310"/>
        <v>1471166666.6666667</v>
      </c>
      <c r="DK39" s="28">
        <f t="shared" si="310"/>
        <v>0</v>
      </c>
      <c r="DL39" s="28">
        <f t="shared" si="310"/>
        <v>0</v>
      </c>
      <c r="DM39" s="28">
        <f t="shared" si="310"/>
        <v>0</v>
      </c>
      <c r="DN39" s="28">
        <f t="shared" si="310"/>
        <v>0</v>
      </c>
      <c r="DO39" s="28">
        <f t="shared" si="310"/>
        <v>0</v>
      </c>
      <c r="DP39" s="28">
        <f t="shared" si="310"/>
        <v>0</v>
      </c>
      <c r="DQ39" s="28">
        <f t="shared" si="310"/>
        <v>0</v>
      </c>
      <c r="DR39" s="28">
        <f t="shared" si="310"/>
        <v>0</v>
      </c>
      <c r="DS39" s="28">
        <f t="shared" si="310"/>
        <v>0</v>
      </c>
      <c r="DT39" s="28">
        <f t="shared" si="310"/>
        <v>0</v>
      </c>
      <c r="DU39" s="28">
        <f t="shared" si="310"/>
        <v>0</v>
      </c>
      <c r="DV39" s="28">
        <f t="shared" si="310"/>
        <v>0</v>
      </c>
      <c r="DW39" s="28">
        <f t="shared" si="310"/>
        <v>0</v>
      </c>
      <c r="DX39" s="28">
        <f t="shared" si="310"/>
        <v>0</v>
      </c>
      <c r="DY39" s="28">
        <f t="shared" si="310"/>
        <v>0</v>
      </c>
      <c r="DZ39" s="28">
        <f t="shared" si="310"/>
        <v>0</v>
      </c>
      <c r="EA39" s="28">
        <f t="shared" si="310"/>
        <v>0</v>
      </c>
      <c r="EB39" s="28">
        <f t="shared" si="310"/>
        <v>0</v>
      </c>
      <c r="ED39" s="28">
        <f t="shared" ref="ED39:FG39" si="311">SUM(ED40:ED58)</f>
        <v>1354166666.666666</v>
      </c>
      <c r="EE39" s="28">
        <f t="shared" si="311"/>
        <v>1354166666.666666</v>
      </c>
      <c r="EF39" s="28">
        <f t="shared" si="311"/>
        <v>1354166666.666666</v>
      </c>
      <c r="EG39" s="28">
        <f t="shared" si="311"/>
        <v>1354166666.666666</v>
      </c>
      <c r="EH39" s="28">
        <f t="shared" si="311"/>
        <v>1354166666.666666</v>
      </c>
      <c r="EI39" s="28">
        <f t="shared" si="311"/>
        <v>1354166666.666666</v>
      </c>
      <c r="EJ39" s="28">
        <f t="shared" si="311"/>
        <v>1354166666.666666</v>
      </c>
      <c r="EK39" s="28">
        <f t="shared" si="311"/>
        <v>1354166666.666666</v>
      </c>
      <c r="EL39" s="28">
        <f t="shared" si="311"/>
        <v>1354166666.666666</v>
      </c>
      <c r="EM39" s="28">
        <f t="shared" si="311"/>
        <v>1354166666.666666</v>
      </c>
      <c r="EN39" s="28">
        <f t="shared" si="311"/>
        <v>1354166666.666666</v>
      </c>
      <c r="EO39" s="28">
        <f t="shared" si="311"/>
        <v>1354166666.666666</v>
      </c>
      <c r="EP39" s="28">
        <f t="shared" si="311"/>
        <v>0</v>
      </c>
      <c r="EQ39" s="28">
        <f t="shared" si="311"/>
        <v>0</v>
      </c>
      <c r="ER39" s="28">
        <f t="shared" si="311"/>
        <v>0</v>
      </c>
      <c r="ES39" s="28">
        <f t="shared" si="311"/>
        <v>0</v>
      </c>
      <c r="ET39" s="28">
        <f t="shared" si="311"/>
        <v>0</v>
      </c>
      <c r="EU39" s="28">
        <f t="shared" si="311"/>
        <v>0</v>
      </c>
      <c r="EV39" s="28">
        <f t="shared" si="311"/>
        <v>0</v>
      </c>
      <c r="EW39" s="28">
        <f t="shared" si="311"/>
        <v>0</v>
      </c>
      <c r="EX39" s="28">
        <f t="shared" si="311"/>
        <v>0</v>
      </c>
      <c r="EY39" s="28">
        <f t="shared" si="311"/>
        <v>0</v>
      </c>
      <c r="EZ39" s="28">
        <f t="shared" si="311"/>
        <v>0</v>
      </c>
      <c r="FA39" s="28">
        <f t="shared" si="311"/>
        <v>0</v>
      </c>
      <c r="FB39" s="28">
        <f t="shared" si="311"/>
        <v>0</v>
      </c>
      <c r="FC39" s="28">
        <f t="shared" si="311"/>
        <v>0</v>
      </c>
      <c r="FD39" s="28">
        <f t="shared" si="311"/>
        <v>0</v>
      </c>
      <c r="FE39" s="28">
        <f t="shared" si="311"/>
        <v>0</v>
      </c>
      <c r="FF39" s="28">
        <f t="shared" si="311"/>
        <v>0</v>
      </c>
      <c r="FG39" s="28">
        <f t="shared" si="311"/>
        <v>0</v>
      </c>
      <c r="FI39" s="28">
        <f t="shared" ref="FI39:GL39" si="312">SUM(FI40:FI58)</f>
        <v>1356333333.3333325</v>
      </c>
      <c r="FJ39" s="28">
        <f t="shared" si="312"/>
        <v>1356333333.3333325</v>
      </c>
      <c r="FK39" s="28">
        <f t="shared" si="312"/>
        <v>1356333333.3333325</v>
      </c>
      <c r="FL39" s="28">
        <f t="shared" si="312"/>
        <v>1356333333.3333325</v>
      </c>
      <c r="FM39" s="28">
        <f t="shared" si="312"/>
        <v>1356333333.3333325</v>
      </c>
      <c r="FN39" s="28">
        <f t="shared" si="312"/>
        <v>1356333333.3333325</v>
      </c>
      <c r="FO39" s="28">
        <f t="shared" si="312"/>
        <v>1356333333.3333325</v>
      </c>
      <c r="FP39" s="28">
        <f t="shared" si="312"/>
        <v>1356333333.3333325</v>
      </c>
      <c r="FQ39" s="28">
        <f t="shared" si="312"/>
        <v>1356333333.3333325</v>
      </c>
      <c r="FR39" s="28">
        <f t="shared" si="312"/>
        <v>1356333333.3333325</v>
      </c>
      <c r="FS39" s="28">
        <f t="shared" si="312"/>
        <v>1356333333.3333325</v>
      </c>
      <c r="FT39" s="28">
        <f t="shared" si="312"/>
        <v>1356333333.3333325</v>
      </c>
      <c r="FU39" s="28">
        <f t="shared" si="312"/>
        <v>0</v>
      </c>
      <c r="FV39" s="28">
        <f t="shared" si="312"/>
        <v>0</v>
      </c>
      <c r="FW39" s="28">
        <f t="shared" si="312"/>
        <v>0</v>
      </c>
      <c r="FX39" s="28">
        <f t="shared" si="312"/>
        <v>0</v>
      </c>
      <c r="FY39" s="28">
        <f t="shared" si="312"/>
        <v>0</v>
      </c>
      <c r="FZ39" s="28">
        <f t="shared" si="312"/>
        <v>0</v>
      </c>
      <c r="GA39" s="28">
        <f t="shared" si="312"/>
        <v>0</v>
      </c>
      <c r="GB39" s="28">
        <f t="shared" si="312"/>
        <v>0</v>
      </c>
      <c r="GC39" s="28">
        <f t="shared" si="312"/>
        <v>0</v>
      </c>
      <c r="GD39" s="28">
        <f t="shared" si="312"/>
        <v>0</v>
      </c>
      <c r="GE39" s="28">
        <f t="shared" si="312"/>
        <v>0</v>
      </c>
      <c r="GF39" s="28">
        <f t="shared" si="312"/>
        <v>0</v>
      </c>
      <c r="GG39" s="28">
        <f t="shared" si="312"/>
        <v>0</v>
      </c>
      <c r="GH39" s="28">
        <f t="shared" si="312"/>
        <v>0</v>
      </c>
      <c r="GI39" s="28">
        <f t="shared" si="312"/>
        <v>0</v>
      </c>
      <c r="GJ39" s="28">
        <f t="shared" si="312"/>
        <v>0</v>
      </c>
      <c r="GK39" s="28">
        <f t="shared" si="312"/>
        <v>0</v>
      </c>
      <c r="GL39" s="28">
        <f t="shared" si="312"/>
        <v>0</v>
      </c>
      <c r="GN39" s="28">
        <f t="shared" ref="GN39" si="313">SUM(GN40:GN58)</f>
        <v>1356333333.3333325</v>
      </c>
      <c r="GO39" s="28">
        <f t="shared" ref="GO39" si="314">SUM(GO40:GO58)</f>
        <v>1356333333.3333325</v>
      </c>
      <c r="GP39" s="28">
        <f t="shared" ref="GP39" si="315">SUM(GP40:GP58)</f>
        <v>1356333333.3333325</v>
      </c>
      <c r="GQ39" s="28">
        <f t="shared" ref="GQ39" si="316">SUM(GQ40:GQ58)</f>
        <v>1356333333.3333325</v>
      </c>
      <c r="GR39" s="28">
        <f t="shared" ref="GR39" si="317">SUM(GR40:GR58)</f>
        <v>1356333333.3333325</v>
      </c>
      <c r="GS39" s="28">
        <f t="shared" ref="GS39" si="318">SUM(GS40:GS58)</f>
        <v>1356333333.3333325</v>
      </c>
      <c r="GT39" s="28">
        <f t="shared" ref="GT39" si="319">SUM(GT40:GT58)</f>
        <v>1356333333.3333325</v>
      </c>
      <c r="GU39" s="28">
        <f t="shared" ref="GU39" si="320">SUM(GU40:GU58)</f>
        <v>1356333333.3333325</v>
      </c>
      <c r="GV39" s="28">
        <f t="shared" ref="GV39" si="321">SUM(GV40:GV58)</f>
        <v>1356333333.3333325</v>
      </c>
      <c r="GW39" s="28">
        <f t="shared" ref="GW39" si="322">SUM(GW40:GW58)</f>
        <v>1356333333.3333325</v>
      </c>
      <c r="GX39" s="28">
        <f t="shared" ref="GX39" si="323">SUM(GX40:GX58)</f>
        <v>1356333333.3333325</v>
      </c>
      <c r="GY39" s="28">
        <f t="shared" ref="GY39" si="324">SUM(GY40:GY58)</f>
        <v>1356333333.3333325</v>
      </c>
      <c r="GZ39" s="28">
        <f t="shared" ref="GZ39" si="325">SUM(GZ40:GZ58)</f>
        <v>0</v>
      </c>
      <c r="HA39" s="28">
        <f t="shared" ref="HA39" si="326">SUM(HA40:HA58)</f>
        <v>0</v>
      </c>
      <c r="HB39" s="28">
        <f t="shared" ref="HB39" si="327">SUM(HB40:HB58)</f>
        <v>0</v>
      </c>
      <c r="HC39" s="28">
        <f t="shared" ref="HC39" si="328">SUM(HC40:HC58)</f>
        <v>0</v>
      </c>
      <c r="HD39" s="28">
        <f t="shared" ref="HD39" si="329">SUM(HD40:HD58)</f>
        <v>0</v>
      </c>
      <c r="HE39" s="28">
        <f t="shared" ref="HE39" si="330">SUM(HE40:HE58)</f>
        <v>0</v>
      </c>
      <c r="HF39" s="28">
        <f t="shared" ref="HF39" si="331">SUM(HF40:HF58)</f>
        <v>0</v>
      </c>
      <c r="HG39" s="28">
        <f t="shared" ref="HG39" si="332">SUM(HG40:HG58)</f>
        <v>0</v>
      </c>
      <c r="HH39" s="28">
        <f t="shared" ref="HH39" si="333">SUM(HH40:HH58)</f>
        <v>0</v>
      </c>
      <c r="HI39" s="28">
        <f t="shared" ref="HI39" si="334">SUM(HI40:HI58)</f>
        <v>0</v>
      </c>
      <c r="HJ39" s="28">
        <f t="shared" ref="HJ39" si="335">SUM(HJ40:HJ58)</f>
        <v>0</v>
      </c>
      <c r="HK39" s="28">
        <f t="shared" ref="HK39" si="336">SUM(HK40:HK58)</f>
        <v>0</v>
      </c>
      <c r="HL39" s="28">
        <f t="shared" ref="HL39" si="337">SUM(HL40:HL58)</f>
        <v>0</v>
      </c>
      <c r="HM39" s="28">
        <f t="shared" ref="HM39" si="338">SUM(HM40:HM58)</f>
        <v>0</v>
      </c>
      <c r="HN39" s="28">
        <f t="shared" ref="HN39" si="339">SUM(HN40:HN58)</f>
        <v>0</v>
      </c>
      <c r="HO39" s="28">
        <f t="shared" ref="HO39" si="340">SUM(HO40:HO58)</f>
        <v>0</v>
      </c>
      <c r="HP39" s="28">
        <f t="shared" ref="HP39" si="341">SUM(HP40:HP58)</f>
        <v>0</v>
      </c>
      <c r="HQ39" s="28">
        <f t="shared" ref="HQ39" si="342">SUM(HQ40:HQ58)</f>
        <v>0</v>
      </c>
    </row>
    <row r="40" spans="1:225" outlineLevel="1" x14ac:dyDescent="0.25">
      <c r="B40" t="s">
        <v>345</v>
      </c>
      <c r="C40" s="623" t="s">
        <v>243</v>
      </c>
      <c r="D40" s="611" t="s">
        <v>295</v>
      </c>
      <c r="E40" s="615">
        <v>1</v>
      </c>
      <c r="F40" s="221"/>
      <c r="G40" s="613">
        <v>12</v>
      </c>
      <c r="H40" s="615">
        <f>(5000000000/$D$6)*1.04</f>
        <v>5200000000</v>
      </c>
      <c r="I40" s="613">
        <f t="shared" ref="I40:I58" si="343">$E40*$H40</f>
        <v>5200000000</v>
      </c>
      <c r="J40" s="613">
        <f t="shared" ref="J40:J58" si="344">I40/G40</f>
        <v>433333333.33333331</v>
      </c>
      <c r="K40" s="221"/>
      <c r="L40" s="613">
        <v>12</v>
      </c>
      <c r="M40" s="613">
        <f t="shared" ref="M40:M58" si="345">IF(Currency="USD",ROUNDUP($E40*$H40*(1+O$6),-3),ROUNDUP($E40*$H40*(1+O$6)/EXR,-3)*EXR)</f>
        <v>5564000000</v>
      </c>
      <c r="N40" s="613">
        <f t="shared" ref="N40:N58" si="346">$E40*M40</f>
        <v>5564000000</v>
      </c>
      <c r="O40" s="613">
        <f t="shared" ref="O40:O58" si="347">N40/L40</f>
        <v>463666666.66666669</v>
      </c>
      <c r="P40" s="221"/>
      <c r="Q40" s="613">
        <v>12</v>
      </c>
      <c r="R40" s="613">
        <f t="shared" ref="R40:R58" si="348">IF(Currency="USD",ROUNDUP($E40*$H40*(1+T$6),-3),ROUNDUP($E40*$H40*(1+T$6)/EXR,-3)*EXR)</f>
        <v>5564000000</v>
      </c>
      <c r="S40" s="613">
        <f t="shared" ref="S40:S58" si="349">$E40*R40</f>
        <v>5564000000</v>
      </c>
      <c r="T40" s="613">
        <f t="shared" ref="T40:T58" si="350">S40/Q40</f>
        <v>463666666.66666669</v>
      </c>
      <c r="U40" s="221"/>
      <c r="V40" s="613">
        <v>12</v>
      </c>
      <c r="W40" s="613">
        <f t="shared" ref="W40:W58" si="351">H40</f>
        <v>5200000000</v>
      </c>
      <c r="X40" s="613">
        <f t="shared" ref="X40:X58" si="352">$E40*W40</f>
        <v>5200000000</v>
      </c>
      <c r="Y40" s="613">
        <f t="shared" ref="Y40:Y58" si="353">X40/V40</f>
        <v>433333333.33333331</v>
      </c>
      <c r="Z40" s="221"/>
      <c r="AA40" s="613">
        <v>12</v>
      </c>
      <c r="AB40" s="613">
        <f t="shared" ref="AB40:AB58" si="354">IF(Currency="USD",ROUNDUP($E40*$H40*(1+AD$6),-3),ROUNDUP($E40*$H40*(1+AD$6)/EXR,-3)*EXR)</f>
        <v>5200000000</v>
      </c>
      <c r="AC40" s="613">
        <f t="shared" ref="AC40:AC58" si="355">$E40*AB40</f>
        <v>5200000000</v>
      </c>
      <c r="AD40" s="613">
        <f t="shared" ref="AD40:AD58" si="356">AC40/AA40</f>
        <v>433333333.33333331</v>
      </c>
      <c r="AE40" s="221"/>
      <c r="AF40" s="613">
        <v>12</v>
      </c>
      <c r="AG40" s="613">
        <f t="shared" ref="AG40:AG58" si="357">IF(Currency="USD",ROUNDUP($E40*$H40*(1+AI$6),-3),ROUNDUP($E40*$H40*(1+AI$6)/EXR,-3)*EXR)</f>
        <v>5200000000</v>
      </c>
      <c r="AH40" s="613">
        <f t="shared" ref="AH40:AH58" si="358">$E40*AG40</f>
        <v>5200000000</v>
      </c>
      <c r="AI40" s="613">
        <f t="shared" ref="AI40:AI58" si="359">AH40/AF40</f>
        <v>433333333.33333331</v>
      </c>
      <c r="AJ40" s="221"/>
      <c r="AM40" t="s">
        <v>337</v>
      </c>
      <c r="AO40" s="15">
        <f t="shared" ref="AO40:BD55" si="360">IF($G40&gt;=AO$8,$J40,0)</f>
        <v>433333333.33333331</v>
      </c>
      <c r="AP40" s="15">
        <f t="shared" si="360"/>
        <v>433333333.33333331</v>
      </c>
      <c r="AQ40" s="15">
        <f t="shared" si="360"/>
        <v>433333333.33333331</v>
      </c>
      <c r="AR40" s="15">
        <f t="shared" si="360"/>
        <v>433333333.33333331</v>
      </c>
      <c r="AS40" s="15">
        <f t="shared" si="360"/>
        <v>433333333.33333331</v>
      </c>
      <c r="AT40" s="15">
        <f t="shared" si="360"/>
        <v>433333333.33333331</v>
      </c>
      <c r="AU40" s="15">
        <f t="shared" si="360"/>
        <v>433333333.33333331</v>
      </c>
      <c r="AV40" s="15">
        <f t="shared" si="360"/>
        <v>433333333.33333331</v>
      </c>
      <c r="AW40" s="15">
        <f t="shared" si="360"/>
        <v>433333333.33333331</v>
      </c>
      <c r="AX40" s="15">
        <f t="shared" si="360"/>
        <v>433333333.33333331</v>
      </c>
      <c r="AY40" s="15">
        <f t="shared" si="360"/>
        <v>433333333.33333331</v>
      </c>
      <c r="AZ40" s="15">
        <f t="shared" si="360"/>
        <v>433333333.33333331</v>
      </c>
      <c r="BA40" s="15">
        <f t="shared" si="360"/>
        <v>0</v>
      </c>
      <c r="BB40" s="15">
        <f t="shared" si="360"/>
        <v>0</v>
      </c>
      <c r="BC40" s="15">
        <f t="shared" si="360"/>
        <v>0</v>
      </c>
      <c r="BD40" s="15">
        <f t="shared" si="360"/>
        <v>0</v>
      </c>
      <c r="BE40" s="15">
        <f t="shared" ref="BE40:BR54" si="361">IF($G40&gt;=BE$8,$J40,0)</f>
        <v>0</v>
      </c>
      <c r="BF40" s="15">
        <f t="shared" si="361"/>
        <v>0</v>
      </c>
      <c r="BG40" s="15">
        <f t="shared" si="361"/>
        <v>0</v>
      </c>
      <c r="BH40" s="15">
        <f t="shared" si="361"/>
        <v>0</v>
      </c>
      <c r="BI40" s="15">
        <f t="shared" si="361"/>
        <v>0</v>
      </c>
      <c r="BJ40" s="15">
        <f t="shared" si="361"/>
        <v>0</v>
      </c>
      <c r="BK40" s="15">
        <f t="shared" si="361"/>
        <v>0</v>
      </c>
      <c r="BL40" s="15">
        <f t="shared" si="361"/>
        <v>0</v>
      </c>
      <c r="BM40" s="15">
        <f t="shared" si="361"/>
        <v>0</v>
      </c>
      <c r="BN40" s="15">
        <f t="shared" si="361"/>
        <v>0</v>
      </c>
      <c r="BO40" s="15">
        <f t="shared" si="361"/>
        <v>0</v>
      </c>
      <c r="BP40" s="15">
        <f t="shared" si="361"/>
        <v>0</v>
      </c>
      <c r="BQ40" s="15">
        <f t="shared" si="361"/>
        <v>0</v>
      </c>
      <c r="BR40" s="15">
        <f t="shared" si="361"/>
        <v>0</v>
      </c>
      <c r="BT40" s="15">
        <f t="shared" ref="BT40:CI55" si="362">IF($L40&gt;=BT$8,$O40,0)</f>
        <v>463666666.66666669</v>
      </c>
      <c r="BU40" s="15">
        <f t="shared" si="362"/>
        <v>463666666.66666669</v>
      </c>
      <c r="BV40" s="15">
        <f t="shared" si="362"/>
        <v>463666666.66666669</v>
      </c>
      <c r="BW40" s="15">
        <f t="shared" si="362"/>
        <v>463666666.66666669</v>
      </c>
      <c r="BX40" s="15">
        <f t="shared" si="362"/>
        <v>463666666.66666669</v>
      </c>
      <c r="BY40" s="15">
        <f t="shared" si="362"/>
        <v>463666666.66666669</v>
      </c>
      <c r="BZ40" s="15">
        <f t="shared" si="362"/>
        <v>463666666.66666669</v>
      </c>
      <c r="CA40" s="15">
        <f t="shared" si="362"/>
        <v>463666666.66666669</v>
      </c>
      <c r="CB40" s="15">
        <f t="shared" si="362"/>
        <v>463666666.66666669</v>
      </c>
      <c r="CC40" s="15">
        <f t="shared" si="362"/>
        <v>463666666.66666669</v>
      </c>
      <c r="CD40" s="15">
        <f t="shared" si="362"/>
        <v>463666666.66666669</v>
      </c>
      <c r="CE40" s="15">
        <f t="shared" si="362"/>
        <v>463666666.66666669</v>
      </c>
      <c r="CF40" s="15">
        <f t="shared" si="362"/>
        <v>0</v>
      </c>
      <c r="CG40" s="15">
        <f t="shared" si="362"/>
        <v>0</v>
      </c>
      <c r="CH40" s="15">
        <f t="shared" si="362"/>
        <v>0</v>
      </c>
      <c r="CI40" s="15">
        <f t="shared" si="362"/>
        <v>0</v>
      </c>
      <c r="CJ40" s="15">
        <f t="shared" ref="CJ40:CW54" si="363">IF($L40&gt;=CJ$8,$O40,0)</f>
        <v>0</v>
      </c>
      <c r="CK40" s="15">
        <f t="shared" si="363"/>
        <v>0</v>
      </c>
      <c r="CL40" s="15">
        <f t="shared" si="363"/>
        <v>0</v>
      </c>
      <c r="CM40" s="15">
        <f t="shared" si="363"/>
        <v>0</v>
      </c>
      <c r="CN40" s="15">
        <f t="shared" si="363"/>
        <v>0</v>
      </c>
      <c r="CO40" s="15">
        <f t="shared" si="363"/>
        <v>0</v>
      </c>
      <c r="CP40" s="15">
        <f t="shared" si="363"/>
        <v>0</v>
      </c>
      <c r="CQ40" s="15">
        <f t="shared" si="363"/>
        <v>0</v>
      </c>
      <c r="CR40" s="15">
        <f t="shared" si="363"/>
        <v>0</v>
      </c>
      <c r="CS40" s="15">
        <f t="shared" si="363"/>
        <v>0</v>
      </c>
      <c r="CT40" s="15">
        <f t="shared" si="363"/>
        <v>0</v>
      </c>
      <c r="CU40" s="15">
        <f t="shared" si="363"/>
        <v>0</v>
      </c>
      <c r="CV40" s="15">
        <f t="shared" si="363"/>
        <v>0</v>
      </c>
      <c r="CW40" s="15">
        <f t="shared" si="363"/>
        <v>0</v>
      </c>
      <c r="CY40" s="15">
        <f t="shared" ref="CY40:DN55" si="364">IF($Q40&gt;=CY$8,$T40,0)</f>
        <v>463666666.66666669</v>
      </c>
      <c r="CZ40" s="15">
        <f t="shared" si="364"/>
        <v>463666666.66666669</v>
      </c>
      <c r="DA40" s="15">
        <f t="shared" si="364"/>
        <v>463666666.66666669</v>
      </c>
      <c r="DB40" s="15">
        <f t="shared" si="364"/>
        <v>463666666.66666669</v>
      </c>
      <c r="DC40" s="15">
        <f t="shared" si="364"/>
        <v>463666666.66666669</v>
      </c>
      <c r="DD40" s="15">
        <f t="shared" si="364"/>
        <v>463666666.66666669</v>
      </c>
      <c r="DE40" s="15">
        <f t="shared" si="364"/>
        <v>463666666.66666669</v>
      </c>
      <c r="DF40" s="15">
        <f t="shared" si="364"/>
        <v>463666666.66666669</v>
      </c>
      <c r="DG40" s="15">
        <f t="shared" si="364"/>
        <v>463666666.66666669</v>
      </c>
      <c r="DH40" s="15">
        <f t="shared" si="364"/>
        <v>463666666.66666669</v>
      </c>
      <c r="DI40" s="15">
        <f t="shared" si="364"/>
        <v>463666666.66666669</v>
      </c>
      <c r="DJ40" s="15">
        <f t="shared" si="364"/>
        <v>463666666.66666669</v>
      </c>
      <c r="DK40" s="15">
        <f t="shared" si="364"/>
        <v>0</v>
      </c>
      <c r="DL40" s="15">
        <f t="shared" si="364"/>
        <v>0</v>
      </c>
      <c r="DM40" s="15">
        <f t="shared" si="364"/>
        <v>0</v>
      </c>
      <c r="DN40" s="15">
        <f t="shared" si="364"/>
        <v>0</v>
      </c>
      <c r="DO40" s="15">
        <f t="shared" ref="DO40:EB58" si="365">IF($Q40&gt;=DO$8,$T40,0)</f>
        <v>0</v>
      </c>
      <c r="DP40" s="15">
        <f t="shared" si="365"/>
        <v>0</v>
      </c>
      <c r="DQ40" s="15">
        <f t="shared" si="365"/>
        <v>0</v>
      </c>
      <c r="DR40" s="15">
        <f t="shared" si="365"/>
        <v>0</v>
      </c>
      <c r="DS40" s="15">
        <f t="shared" si="365"/>
        <v>0</v>
      </c>
      <c r="DT40" s="15">
        <f t="shared" si="365"/>
        <v>0</v>
      </c>
      <c r="DU40" s="15">
        <f t="shared" si="365"/>
        <v>0</v>
      </c>
      <c r="DV40" s="15">
        <f t="shared" si="365"/>
        <v>0</v>
      </c>
      <c r="DW40" s="15">
        <f t="shared" si="365"/>
        <v>0</v>
      </c>
      <c r="DX40" s="15">
        <f t="shared" si="365"/>
        <v>0</v>
      </c>
      <c r="DY40" s="15">
        <f t="shared" si="365"/>
        <v>0</v>
      </c>
      <c r="DZ40" s="15">
        <f t="shared" si="365"/>
        <v>0</v>
      </c>
      <c r="EA40" s="15">
        <f t="shared" si="365"/>
        <v>0</v>
      </c>
      <c r="EB40" s="15">
        <f t="shared" si="365"/>
        <v>0</v>
      </c>
      <c r="ED40" s="15">
        <f t="shared" ref="ED40:ES55" si="366">IF($V40&gt;=ED$8,$Y40,0)</f>
        <v>433333333.33333331</v>
      </c>
      <c r="EE40" s="15">
        <f t="shared" si="366"/>
        <v>433333333.33333331</v>
      </c>
      <c r="EF40" s="15">
        <f t="shared" si="366"/>
        <v>433333333.33333331</v>
      </c>
      <c r="EG40" s="15">
        <f t="shared" si="366"/>
        <v>433333333.33333331</v>
      </c>
      <c r="EH40" s="15">
        <f t="shared" si="366"/>
        <v>433333333.33333331</v>
      </c>
      <c r="EI40" s="15">
        <f t="shared" si="366"/>
        <v>433333333.33333331</v>
      </c>
      <c r="EJ40" s="15">
        <f t="shared" si="366"/>
        <v>433333333.33333331</v>
      </c>
      <c r="EK40" s="15">
        <f t="shared" si="366"/>
        <v>433333333.33333331</v>
      </c>
      <c r="EL40" s="15">
        <f t="shared" si="366"/>
        <v>433333333.33333331</v>
      </c>
      <c r="EM40" s="15">
        <f t="shared" si="366"/>
        <v>433333333.33333331</v>
      </c>
      <c r="EN40" s="15">
        <f t="shared" si="366"/>
        <v>433333333.33333331</v>
      </c>
      <c r="EO40" s="15">
        <f t="shared" si="366"/>
        <v>433333333.33333331</v>
      </c>
      <c r="EP40" s="15">
        <f t="shared" si="366"/>
        <v>0</v>
      </c>
      <c r="EQ40" s="15">
        <f t="shared" si="366"/>
        <v>0</v>
      </c>
      <c r="ER40" s="15">
        <f t="shared" si="366"/>
        <v>0</v>
      </c>
      <c r="ES40" s="15">
        <f t="shared" si="366"/>
        <v>0</v>
      </c>
      <c r="ET40" s="15">
        <f t="shared" ref="ET40:FG54" si="367">IF($V40&gt;=ET$8,$Y40,0)</f>
        <v>0</v>
      </c>
      <c r="EU40" s="15">
        <f t="shared" si="367"/>
        <v>0</v>
      </c>
      <c r="EV40" s="15">
        <f t="shared" si="367"/>
        <v>0</v>
      </c>
      <c r="EW40" s="15">
        <f t="shared" si="367"/>
        <v>0</v>
      </c>
      <c r="EX40" s="15">
        <f t="shared" si="367"/>
        <v>0</v>
      </c>
      <c r="EY40" s="15">
        <f t="shared" si="367"/>
        <v>0</v>
      </c>
      <c r="EZ40" s="15">
        <f t="shared" si="367"/>
        <v>0</v>
      </c>
      <c r="FA40" s="15">
        <f t="shared" si="367"/>
        <v>0</v>
      </c>
      <c r="FB40" s="15">
        <f t="shared" si="367"/>
        <v>0</v>
      </c>
      <c r="FC40" s="15">
        <f t="shared" si="367"/>
        <v>0</v>
      </c>
      <c r="FD40" s="15">
        <f t="shared" si="367"/>
        <v>0</v>
      </c>
      <c r="FE40" s="15">
        <f t="shared" si="367"/>
        <v>0</v>
      </c>
      <c r="FF40" s="15">
        <f t="shared" si="367"/>
        <v>0</v>
      </c>
      <c r="FG40" s="15">
        <f t="shared" si="367"/>
        <v>0</v>
      </c>
      <c r="FI40" s="15">
        <f t="shared" ref="FI40:FX55" si="368">IF($AA40&gt;=FI$8,$AD40,0)</f>
        <v>433333333.33333331</v>
      </c>
      <c r="FJ40" s="15">
        <f t="shared" si="368"/>
        <v>433333333.33333331</v>
      </c>
      <c r="FK40" s="15">
        <f t="shared" si="368"/>
        <v>433333333.33333331</v>
      </c>
      <c r="FL40" s="15">
        <f t="shared" si="368"/>
        <v>433333333.33333331</v>
      </c>
      <c r="FM40" s="15">
        <f t="shared" si="368"/>
        <v>433333333.33333331</v>
      </c>
      <c r="FN40" s="15">
        <f t="shared" si="368"/>
        <v>433333333.33333331</v>
      </c>
      <c r="FO40" s="15">
        <f t="shared" si="368"/>
        <v>433333333.33333331</v>
      </c>
      <c r="FP40" s="15">
        <f t="shared" si="368"/>
        <v>433333333.33333331</v>
      </c>
      <c r="FQ40" s="15">
        <f t="shared" si="368"/>
        <v>433333333.33333331</v>
      </c>
      <c r="FR40" s="15">
        <f t="shared" si="368"/>
        <v>433333333.33333331</v>
      </c>
      <c r="FS40" s="15">
        <f t="shared" si="368"/>
        <v>433333333.33333331</v>
      </c>
      <c r="FT40" s="15">
        <f t="shared" si="368"/>
        <v>433333333.33333331</v>
      </c>
      <c r="FU40" s="15">
        <f t="shared" si="368"/>
        <v>0</v>
      </c>
      <c r="FV40" s="15">
        <f t="shared" si="368"/>
        <v>0</v>
      </c>
      <c r="FW40" s="15">
        <f t="shared" si="368"/>
        <v>0</v>
      </c>
      <c r="FX40" s="15">
        <f t="shared" si="368"/>
        <v>0</v>
      </c>
      <c r="FY40" s="15">
        <f t="shared" ref="FY40:GL54" si="369">IF($AA40&gt;=FY$8,$AD40,0)</f>
        <v>0</v>
      </c>
      <c r="FZ40" s="15">
        <f t="shared" si="369"/>
        <v>0</v>
      </c>
      <c r="GA40" s="15">
        <f t="shared" si="369"/>
        <v>0</v>
      </c>
      <c r="GB40" s="15">
        <f t="shared" si="369"/>
        <v>0</v>
      </c>
      <c r="GC40" s="15">
        <f t="shared" si="369"/>
        <v>0</v>
      </c>
      <c r="GD40" s="15">
        <f t="shared" si="369"/>
        <v>0</v>
      </c>
      <c r="GE40" s="15">
        <f t="shared" si="369"/>
        <v>0</v>
      </c>
      <c r="GF40" s="15">
        <f t="shared" si="369"/>
        <v>0</v>
      </c>
      <c r="GG40" s="15">
        <f t="shared" si="369"/>
        <v>0</v>
      </c>
      <c r="GH40" s="15">
        <f t="shared" si="369"/>
        <v>0</v>
      </c>
      <c r="GI40" s="15">
        <f t="shared" si="369"/>
        <v>0</v>
      </c>
      <c r="GJ40" s="15">
        <f t="shared" si="369"/>
        <v>0</v>
      </c>
      <c r="GK40" s="15">
        <f t="shared" si="369"/>
        <v>0</v>
      </c>
      <c r="GL40" s="15">
        <f t="shared" si="369"/>
        <v>0</v>
      </c>
      <c r="GN40" s="15">
        <f t="shared" ref="GN40:HC55" si="370">IF($AF40&gt;=GN$8,$AI40,0)</f>
        <v>433333333.33333331</v>
      </c>
      <c r="GO40" s="15">
        <f t="shared" si="370"/>
        <v>433333333.33333331</v>
      </c>
      <c r="GP40" s="15">
        <f t="shared" si="370"/>
        <v>433333333.33333331</v>
      </c>
      <c r="GQ40" s="15">
        <f t="shared" si="370"/>
        <v>433333333.33333331</v>
      </c>
      <c r="GR40" s="15">
        <f t="shared" si="370"/>
        <v>433333333.33333331</v>
      </c>
      <c r="GS40" s="15">
        <f t="shared" si="370"/>
        <v>433333333.33333331</v>
      </c>
      <c r="GT40" s="15">
        <f t="shared" si="370"/>
        <v>433333333.33333331</v>
      </c>
      <c r="GU40" s="15">
        <f t="shared" si="370"/>
        <v>433333333.33333331</v>
      </c>
      <c r="GV40" s="15">
        <f t="shared" si="370"/>
        <v>433333333.33333331</v>
      </c>
      <c r="GW40" s="15">
        <f t="shared" si="370"/>
        <v>433333333.33333331</v>
      </c>
      <c r="GX40" s="15">
        <f t="shared" si="370"/>
        <v>433333333.33333331</v>
      </c>
      <c r="GY40" s="15">
        <f t="shared" si="370"/>
        <v>433333333.33333331</v>
      </c>
      <c r="GZ40" s="15">
        <f t="shared" si="370"/>
        <v>0</v>
      </c>
      <c r="HA40" s="15">
        <f t="shared" si="370"/>
        <v>0</v>
      </c>
      <c r="HB40" s="15">
        <f t="shared" si="370"/>
        <v>0</v>
      </c>
      <c r="HC40" s="15">
        <f t="shared" si="370"/>
        <v>0</v>
      </c>
      <c r="HD40" s="15">
        <f t="shared" ref="HD40:HQ54" si="371">IF($AF40&gt;=HD$8,$AI40,0)</f>
        <v>0</v>
      </c>
      <c r="HE40" s="15">
        <f t="shared" si="371"/>
        <v>0</v>
      </c>
      <c r="HF40" s="15">
        <f t="shared" si="371"/>
        <v>0</v>
      </c>
      <c r="HG40" s="15">
        <f t="shared" si="371"/>
        <v>0</v>
      </c>
      <c r="HH40" s="15">
        <f t="shared" si="371"/>
        <v>0</v>
      </c>
      <c r="HI40" s="15">
        <f t="shared" si="371"/>
        <v>0</v>
      </c>
      <c r="HJ40" s="15">
        <f t="shared" si="371"/>
        <v>0</v>
      </c>
      <c r="HK40" s="15">
        <f t="shared" si="371"/>
        <v>0</v>
      </c>
      <c r="HL40" s="15">
        <f t="shared" si="371"/>
        <v>0</v>
      </c>
      <c r="HM40" s="15">
        <f t="shared" si="371"/>
        <v>0</v>
      </c>
      <c r="HN40" s="15">
        <f t="shared" si="371"/>
        <v>0</v>
      </c>
      <c r="HO40" s="15">
        <f t="shared" si="371"/>
        <v>0</v>
      </c>
      <c r="HP40" s="15">
        <f t="shared" si="371"/>
        <v>0</v>
      </c>
      <c r="HQ40" s="15">
        <f t="shared" si="371"/>
        <v>0</v>
      </c>
    </row>
    <row r="41" spans="1:225" outlineLevel="1" x14ac:dyDescent="0.25">
      <c r="B41" t="s">
        <v>345</v>
      </c>
      <c r="C41" s="624" t="s">
        <v>244</v>
      </c>
      <c r="D41" s="614" t="s">
        <v>224</v>
      </c>
      <c r="E41" s="468">
        <v>1</v>
      </c>
      <c r="F41" s="221"/>
      <c r="G41" s="457">
        <v>12</v>
      </c>
      <c r="H41" s="468">
        <f>(5000000000/$D$6)*1.04</f>
        <v>5200000000</v>
      </c>
      <c r="I41" s="457">
        <f t="shared" si="343"/>
        <v>5200000000</v>
      </c>
      <c r="J41" s="457">
        <f t="shared" si="344"/>
        <v>433333333.33333331</v>
      </c>
      <c r="K41" s="221"/>
      <c r="L41" s="457">
        <v>12</v>
      </c>
      <c r="M41" s="457">
        <f t="shared" si="345"/>
        <v>5564000000</v>
      </c>
      <c r="N41" s="457">
        <f t="shared" si="346"/>
        <v>5564000000</v>
      </c>
      <c r="O41" s="457">
        <f t="shared" si="347"/>
        <v>463666666.66666669</v>
      </c>
      <c r="P41" s="221"/>
      <c r="Q41" s="457">
        <v>12</v>
      </c>
      <c r="R41" s="457">
        <f t="shared" si="348"/>
        <v>5564000000</v>
      </c>
      <c r="S41" s="457">
        <f t="shared" si="349"/>
        <v>5564000000</v>
      </c>
      <c r="T41" s="457">
        <f t="shared" si="350"/>
        <v>463666666.66666669</v>
      </c>
      <c r="U41" s="221"/>
      <c r="V41" s="457">
        <v>12</v>
      </c>
      <c r="W41" s="457">
        <f t="shared" si="351"/>
        <v>5200000000</v>
      </c>
      <c r="X41" s="457">
        <f t="shared" si="352"/>
        <v>5200000000</v>
      </c>
      <c r="Y41" s="457">
        <f t="shared" si="353"/>
        <v>433333333.33333331</v>
      </c>
      <c r="Z41" s="221"/>
      <c r="AA41" s="457">
        <v>12</v>
      </c>
      <c r="AB41" s="457">
        <f t="shared" si="354"/>
        <v>5200000000</v>
      </c>
      <c r="AC41" s="457">
        <f t="shared" si="355"/>
        <v>5200000000</v>
      </c>
      <c r="AD41" s="457">
        <f t="shared" si="356"/>
        <v>433333333.33333331</v>
      </c>
      <c r="AE41" s="221"/>
      <c r="AF41" s="457">
        <v>12</v>
      </c>
      <c r="AG41" s="457">
        <f t="shared" si="357"/>
        <v>5200000000</v>
      </c>
      <c r="AH41" s="457">
        <f t="shared" si="358"/>
        <v>5200000000</v>
      </c>
      <c r="AI41" s="457">
        <f t="shared" si="359"/>
        <v>433333333.33333331</v>
      </c>
      <c r="AJ41" s="221"/>
      <c r="AM41" t="s">
        <v>337</v>
      </c>
      <c r="AO41" s="15">
        <f t="shared" si="360"/>
        <v>433333333.33333331</v>
      </c>
      <c r="AP41" s="15">
        <f t="shared" si="360"/>
        <v>433333333.33333331</v>
      </c>
      <c r="AQ41" s="15">
        <f t="shared" si="360"/>
        <v>433333333.33333331</v>
      </c>
      <c r="AR41" s="15">
        <f t="shared" si="360"/>
        <v>433333333.33333331</v>
      </c>
      <c r="AS41" s="15">
        <f t="shared" si="360"/>
        <v>433333333.33333331</v>
      </c>
      <c r="AT41" s="15">
        <f t="shared" si="360"/>
        <v>433333333.33333331</v>
      </c>
      <c r="AU41" s="15">
        <f t="shared" si="360"/>
        <v>433333333.33333331</v>
      </c>
      <c r="AV41" s="15">
        <f t="shared" si="360"/>
        <v>433333333.33333331</v>
      </c>
      <c r="AW41" s="15">
        <f t="shared" si="360"/>
        <v>433333333.33333331</v>
      </c>
      <c r="AX41" s="15">
        <f t="shared" si="360"/>
        <v>433333333.33333331</v>
      </c>
      <c r="AY41" s="15">
        <f t="shared" si="360"/>
        <v>433333333.33333331</v>
      </c>
      <c r="AZ41" s="15">
        <f t="shared" si="360"/>
        <v>433333333.33333331</v>
      </c>
      <c r="BA41" s="15">
        <f t="shared" si="360"/>
        <v>0</v>
      </c>
      <c r="BB41" s="15">
        <f t="shared" si="360"/>
        <v>0</v>
      </c>
      <c r="BC41" s="15">
        <f t="shared" si="360"/>
        <v>0</v>
      </c>
      <c r="BD41" s="15">
        <f t="shared" si="360"/>
        <v>0</v>
      </c>
      <c r="BE41" s="15">
        <f t="shared" si="361"/>
        <v>0</v>
      </c>
      <c r="BF41" s="15">
        <f t="shared" si="361"/>
        <v>0</v>
      </c>
      <c r="BG41" s="15">
        <f t="shared" si="361"/>
        <v>0</v>
      </c>
      <c r="BH41" s="15">
        <f t="shared" si="361"/>
        <v>0</v>
      </c>
      <c r="BI41" s="15">
        <f t="shared" si="361"/>
        <v>0</v>
      </c>
      <c r="BJ41" s="15">
        <f t="shared" si="361"/>
        <v>0</v>
      </c>
      <c r="BK41" s="15">
        <f t="shared" si="361"/>
        <v>0</v>
      </c>
      <c r="BL41" s="15">
        <f t="shared" si="361"/>
        <v>0</v>
      </c>
      <c r="BM41" s="15">
        <f t="shared" si="361"/>
        <v>0</v>
      </c>
      <c r="BN41" s="15">
        <f t="shared" si="361"/>
        <v>0</v>
      </c>
      <c r="BO41" s="15">
        <f t="shared" si="361"/>
        <v>0</v>
      </c>
      <c r="BP41" s="15">
        <f t="shared" si="361"/>
        <v>0</v>
      </c>
      <c r="BQ41" s="15">
        <f t="shared" si="361"/>
        <v>0</v>
      </c>
      <c r="BR41" s="15">
        <f t="shared" si="361"/>
        <v>0</v>
      </c>
      <c r="BT41" s="15">
        <f t="shared" si="362"/>
        <v>463666666.66666669</v>
      </c>
      <c r="BU41" s="15">
        <f t="shared" si="362"/>
        <v>463666666.66666669</v>
      </c>
      <c r="BV41" s="15">
        <f t="shared" si="362"/>
        <v>463666666.66666669</v>
      </c>
      <c r="BW41" s="15">
        <f t="shared" si="362"/>
        <v>463666666.66666669</v>
      </c>
      <c r="BX41" s="15">
        <f t="shared" si="362"/>
        <v>463666666.66666669</v>
      </c>
      <c r="BY41" s="15">
        <f t="shared" si="362"/>
        <v>463666666.66666669</v>
      </c>
      <c r="BZ41" s="15">
        <f t="shared" si="362"/>
        <v>463666666.66666669</v>
      </c>
      <c r="CA41" s="15">
        <f t="shared" si="362"/>
        <v>463666666.66666669</v>
      </c>
      <c r="CB41" s="15">
        <f t="shared" si="362"/>
        <v>463666666.66666669</v>
      </c>
      <c r="CC41" s="15">
        <f t="shared" si="362"/>
        <v>463666666.66666669</v>
      </c>
      <c r="CD41" s="15">
        <f t="shared" si="362"/>
        <v>463666666.66666669</v>
      </c>
      <c r="CE41" s="15">
        <f t="shared" si="362"/>
        <v>463666666.66666669</v>
      </c>
      <c r="CF41" s="15">
        <f t="shared" si="362"/>
        <v>0</v>
      </c>
      <c r="CG41" s="15">
        <f t="shared" si="362"/>
        <v>0</v>
      </c>
      <c r="CH41" s="15">
        <f t="shared" si="362"/>
        <v>0</v>
      </c>
      <c r="CI41" s="15">
        <f t="shared" si="362"/>
        <v>0</v>
      </c>
      <c r="CJ41" s="15">
        <f t="shared" si="363"/>
        <v>0</v>
      </c>
      <c r="CK41" s="15">
        <f t="shared" si="363"/>
        <v>0</v>
      </c>
      <c r="CL41" s="15">
        <f t="shared" si="363"/>
        <v>0</v>
      </c>
      <c r="CM41" s="15">
        <f t="shared" si="363"/>
        <v>0</v>
      </c>
      <c r="CN41" s="15">
        <f t="shared" si="363"/>
        <v>0</v>
      </c>
      <c r="CO41" s="15">
        <f t="shared" si="363"/>
        <v>0</v>
      </c>
      <c r="CP41" s="15">
        <f t="shared" si="363"/>
        <v>0</v>
      </c>
      <c r="CQ41" s="15">
        <f t="shared" si="363"/>
        <v>0</v>
      </c>
      <c r="CR41" s="15">
        <f t="shared" si="363"/>
        <v>0</v>
      </c>
      <c r="CS41" s="15">
        <f t="shared" si="363"/>
        <v>0</v>
      </c>
      <c r="CT41" s="15">
        <f t="shared" si="363"/>
        <v>0</v>
      </c>
      <c r="CU41" s="15">
        <f t="shared" si="363"/>
        <v>0</v>
      </c>
      <c r="CV41" s="15">
        <f t="shared" si="363"/>
        <v>0</v>
      </c>
      <c r="CW41" s="15">
        <f t="shared" si="363"/>
        <v>0</v>
      </c>
      <c r="CY41" s="15">
        <f t="shared" si="364"/>
        <v>463666666.66666669</v>
      </c>
      <c r="CZ41" s="15">
        <f t="shared" si="364"/>
        <v>463666666.66666669</v>
      </c>
      <c r="DA41" s="15">
        <f t="shared" si="364"/>
        <v>463666666.66666669</v>
      </c>
      <c r="DB41" s="15">
        <f t="shared" si="364"/>
        <v>463666666.66666669</v>
      </c>
      <c r="DC41" s="15">
        <f t="shared" si="364"/>
        <v>463666666.66666669</v>
      </c>
      <c r="DD41" s="15">
        <f t="shared" si="364"/>
        <v>463666666.66666669</v>
      </c>
      <c r="DE41" s="15">
        <f t="shared" si="364"/>
        <v>463666666.66666669</v>
      </c>
      <c r="DF41" s="15">
        <f t="shared" si="364"/>
        <v>463666666.66666669</v>
      </c>
      <c r="DG41" s="15">
        <f t="shared" si="364"/>
        <v>463666666.66666669</v>
      </c>
      <c r="DH41" s="15">
        <f t="shared" si="364"/>
        <v>463666666.66666669</v>
      </c>
      <c r="DI41" s="15">
        <f t="shared" si="364"/>
        <v>463666666.66666669</v>
      </c>
      <c r="DJ41" s="15">
        <f t="shared" si="364"/>
        <v>463666666.66666669</v>
      </c>
      <c r="DK41" s="15">
        <f t="shared" si="364"/>
        <v>0</v>
      </c>
      <c r="DL41" s="15">
        <f t="shared" si="364"/>
        <v>0</v>
      </c>
      <c r="DM41" s="15">
        <f t="shared" si="364"/>
        <v>0</v>
      </c>
      <c r="DN41" s="15">
        <f t="shared" si="364"/>
        <v>0</v>
      </c>
      <c r="DO41" s="15">
        <f t="shared" si="365"/>
        <v>0</v>
      </c>
      <c r="DP41" s="15">
        <f t="shared" si="365"/>
        <v>0</v>
      </c>
      <c r="DQ41" s="15">
        <f t="shared" si="365"/>
        <v>0</v>
      </c>
      <c r="DR41" s="15">
        <f t="shared" si="365"/>
        <v>0</v>
      </c>
      <c r="DS41" s="15">
        <f t="shared" si="365"/>
        <v>0</v>
      </c>
      <c r="DT41" s="15">
        <f t="shared" si="365"/>
        <v>0</v>
      </c>
      <c r="DU41" s="15">
        <f t="shared" si="365"/>
        <v>0</v>
      </c>
      <c r="DV41" s="15">
        <f t="shared" si="365"/>
        <v>0</v>
      </c>
      <c r="DW41" s="15">
        <f t="shared" si="365"/>
        <v>0</v>
      </c>
      <c r="DX41" s="15">
        <f t="shared" si="365"/>
        <v>0</v>
      </c>
      <c r="DY41" s="15">
        <f t="shared" si="365"/>
        <v>0</v>
      </c>
      <c r="DZ41" s="15">
        <f t="shared" si="365"/>
        <v>0</v>
      </c>
      <c r="EA41" s="15">
        <f t="shared" si="365"/>
        <v>0</v>
      </c>
      <c r="EB41" s="15">
        <f t="shared" si="365"/>
        <v>0</v>
      </c>
      <c r="ED41" s="15">
        <f t="shared" si="366"/>
        <v>433333333.33333331</v>
      </c>
      <c r="EE41" s="15">
        <f t="shared" si="366"/>
        <v>433333333.33333331</v>
      </c>
      <c r="EF41" s="15">
        <f t="shared" si="366"/>
        <v>433333333.33333331</v>
      </c>
      <c r="EG41" s="15">
        <f t="shared" si="366"/>
        <v>433333333.33333331</v>
      </c>
      <c r="EH41" s="15">
        <f t="shared" si="366"/>
        <v>433333333.33333331</v>
      </c>
      <c r="EI41" s="15">
        <f t="shared" si="366"/>
        <v>433333333.33333331</v>
      </c>
      <c r="EJ41" s="15">
        <f t="shared" si="366"/>
        <v>433333333.33333331</v>
      </c>
      <c r="EK41" s="15">
        <f t="shared" si="366"/>
        <v>433333333.33333331</v>
      </c>
      <c r="EL41" s="15">
        <f t="shared" si="366"/>
        <v>433333333.33333331</v>
      </c>
      <c r="EM41" s="15">
        <f t="shared" si="366"/>
        <v>433333333.33333331</v>
      </c>
      <c r="EN41" s="15">
        <f t="shared" si="366"/>
        <v>433333333.33333331</v>
      </c>
      <c r="EO41" s="15">
        <f t="shared" si="366"/>
        <v>433333333.33333331</v>
      </c>
      <c r="EP41" s="15">
        <f t="shared" si="366"/>
        <v>0</v>
      </c>
      <c r="EQ41" s="15">
        <f t="shared" si="366"/>
        <v>0</v>
      </c>
      <c r="ER41" s="15">
        <f t="shared" si="366"/>
        <v>0</v>
      </c>
      <c r="ES41" s="15">
        <f t="shared" si="366"/>
        <v>0</v>
      </c>
      <c r="ET41" s="15">
        <f t="shared" si="367"/>
        <v>0</v>
      </c>
      <c r="EU41" s="15">
        <f t="shared" si="367"/>
        <v>0</v>
      </c>
      <c r="EV41" s="15">
        <f t="shared" si="367"/>
        <v>0</v>
      </c>
      <c r="EW41" s="15">
        <f t="shared" si="367"/>
        <v>0</v>
      </c>
      <c r="EX41" s="15">
        <f t="shared" si="367"/>
        <v>0</v>
      </c>
      <c r="EY41" s="15">
        <f t="shared" si="367"/>
        <v>0</v>
      </c>
      <c r="EZ41" s="15">
        <f t="shared" si="367"/>
        <v>0</v>
      </c>
      <c r="FA41" s="15">
        <f t="shared" si="367"/>
        <v>0</v>
      </c>
      <c r="FB41" s="15">
        <f t="shared" si="367"/>
        <v>0</v>
      </c>
      <c r="FC41" s="15">
        <f t="shared" si="367"/>
        <v>0</v>
      </c>
      <c r="FD41" s="15">
        <f t="shared" si="367"/>
        <v>0</v>
      </c>
      <c r="FE41" s="15">
        <f t="shared" si="367"/>
        <v>0</v>
      </c>
      <c r="FF41" s="15">
        <f t="shared" si="367"/>
        <v>0</v>
      </c>
      <c r="FG41" s="15">
        <f t="shared" si="367"/>
        <v>0</v>
      </c>
      <c r="FI41" s="15">
        <f t="shared" si="368"/>
        <v>433333333.33333331</v>
      </c>
      <c r="FJ41" s="15">
        <f t="shared" si="368"/>
        <v>433333333.33333331</v>
      </c>
      <c r="FK41" s="15">
        <f t="shared" si="368"/>
        <v>433333333.33333331</v>
      </c>
      <c r="FL41" s="15">
        <f t="shared" si="368"/>
        <v>433333333.33333331</v>
      </c>
      <c r="FM41" s="15">
        <f t="shared" si="368"/>
        <v>433333333.33333331</v>
      </c>
      <c r="FN41" s="15">
        <f t="shared" si="368"/>
        <v>433333333.33333331</v>
      </c>
      <c r="FO41" s="15">
        <f t="shared" si="368"/>
        <v>433333333.33333331</v>
      </c>
      <c r="FP41" s="15">
        <f t="shared" si="368"/>
        <v>433333333.33333331</v>
      </c>
      <c r="FQ41" s="15">
        <f t="shared" si="368"/>
        <v>433333333.33333331</v>
      </c>
      <c r="FR41" s="15">
        <f t="shared" si="368"/>
        <v>433333333.33333331</v>
      </c>
      <c r="FS41" s="15">
        <f t="shared" si="368"/>
        <v>433333333.33333331</v>
      </c>
      <c r="FT41" s="15">
        <f t="shared" si="368"/>
        <v>433333333.33333331</v>
      </c>
      <c r="FU41" s="15">
        <f t="shared" si="368"/>
        <v>0</v>
      </c>
      <c r="FV41" s="15">
        <f t="shared" si="368"/>
        <v>0</v>
      </c>
      <c r="FW41" s="15">
        <f t="shared" si="368"/>
        <v>0</v>
      </c>
      <c r="FX41" s="15">
        <f t="shared" si="368"/>
        <v>0</v>
      </c>
      <c r="FY41" s="15">
        <f t="shared" si="369"/>
        <v>0</v>
      </c>
      <c r="FZ41" s="15">
        <f t="shared" si="369"/>
        <v>0</v>
      </c>
      <c r="GA41" s="15">
        <f t="shared" si="369"/>
        <v>0</v>
      </c>
      <c r="GB41" s="15">
        <f t="shared" si="369"/>
        <v>0</v>
      </c>
      <c r="GC41" s="15">
        <f t="shared" si="369"/>
        <v>0</v>
      </c>
      <c r="GD41" s="15">
        <f t="shared" si="369"/>
        <v>0</v>
      </c>
      <c r="GE41" s="15">
        <f t="shared" si="369"/>
        <v>0</v>
      </c>
      <c r="GF41" s="15">
        <f t="shared" si="369"/>
        <v>0</v>
      </c>
      <c r="GG41" s="15">
        <f t="shared" si="369"/>
        <v>0</v>
      </c>
      <c r="GH41" s="15">
        <f t="shared" si="369"/>
        <v>0</v>
      </c>
      <c r="GI41" s="15">
        <f t="shared" si="369"/>
        <v>0</v>
      </c>
      <c r="GJ41" s="15">
        <f t="shared" si="369"/>
        <v>0</v>
      </c>
      <c r="GK41" s="15">
        <f t="shared" si="369"/>
        <v>0</v>
      </c>
      <c r="GL41" s="15">
        <f t="shared" si="369"/>
        <v>0</v>
      </c>
      <c r="GN41" s="15">
        <f t="shared" si="370"/>
        <v>433333333.33333331</v>
      </c>
      <c r="GO41" s="15">
        <f t="shared" si="370"/>
        <v>433333333.33333331</v>
      </c>
      <c r="GP41" s="15">
        <f t="shared" si="370"/>
        <v>433333333.33333331</v>
      </c>
      <c r="GQ41" s="15">
        <f t="shared" si="370"/>
        <v>433333333.33333331</v>
      </c>
      <c r="GR41" s="15">
        <f t="shared" si="370"/>
        <v>433333333.33333331</v>
      </c>
      <c r="GS41" s="15">
        <f t="shared" si="370"/>
        <v>433333333.33333331</v>
      </c>
      <c r="GT41" s="15">
        <f t="shared" si="370"/>
        <v>433333333.33333331</v>
      </c>
      <c r="GU41" s="15">
        <f t="shared" si="370"/>
        <v>433333333.33333331</v>
      </c>
      <c r="GV41" s="15">
        <f t="shared" si="370"/>
        <v>433333333.33333331</v>
      </c>
      <c r="GW41" s="15">
        <f t="shared" si="370"/>
        <v>433333333.33333331</v>
      </c>
      <c r="GX41" s="15">
        <f t="shared" si="370"/>
        <v>433333333.33333331</v>
      </c>
      <c r="GY41" s="15">
        <f t="shared" si="370"/>
        <v>433333333.33333331</v>
      </c>
      <c r="GZ41" s="15">
        <f t="shared" si="370"/>
        <v>0</v>
      </c>
      <c r="HA41" s="15">
        <f t="shared" si="370"/>
        <v>0</v>
      </c>
      <c r="HB41" s="15">
        <f t="shared" si="370"/>
        <v>0</v>
      </c>
      <c r="HC41" s="15">
        <f t="shared" si="370"/>
        <v>0</v>
      </c>
      <c r="HD41" s="15">
        <f t="shared" si="371"/>
        <v>0</v>
      </c>
      <c r="HE41" s="15">
        <f t="shared" si="371"/>
        <v>0</v>
      </c>
      <c r="HF41" s="15">
        <f t="shared" si="371"/>
        <v>0</v>
      </c>
      <c r="HG41" s="15">
        <f t="shared" si="371"/>
        <v>0</v>
      </c>
      <c r="HH41" s="15">
        <f t="shared" si="371"/>
        <v>0</v>
      </c>
      <c r="HI41" s="15">
        <f t="shared" si="371"/>
        <v>0</v>
      </c>
      <c r="HJ41" s="15">
        <f t="shared" si="371"/>
        <v>0</v>
      </c>
      <c r="HK41" s="15">
        <f t="shared" si="371"/>
        <v>0</v>
      </c>
      <c r="HL41" s="15">
        <f t="shared" si="371"/>
        <v>0</v>
      </c>
      <c r="HM41" s="15">
        <f t="shared" si="371"/>
        <v>0</v>
      </c>
      <c r="HN41" s="15">
        <f t="shared" si="371"/>
        <v>0</v>
      </c>
      <c r="HO41" s="15">
        <f t="shared" si="371"/>
        <v>0</v>
      </c>
      <c r="HP41" s="15">
        <f t="shared" si="371"/>
        <v>0</v>
      </c>
      <c r="HQ41" s="15">
        <f t="shared" si="371"/>
        <v>0</v>
      </c>
    </row>
    <row r="42" spans="1:225" outlineLevel="1" x14ac:dyDescent="0.25">
      <c r="B42" t="s">
        <v>345</v>
      </c>
      <c r="C42" s="624" t="s">
        <v>245</v>
      </c>
      <c r="D42" s="614" t="s">
        <v>225</v>
      </c>
      <c r="E42" s="468">
        <v>1</v>
      </c>
      <c r="F42" s="221"/>
      <c r="G42" s="457">
        <v>12</v>
      </c>
      <c r="H42" s="468">
        <f>(2925000000/$D$6)*1.04</f>
        <v>3042000000</v>
      </c>
      <c r="I42" s="457">
        <f t="shared" si="343"/>
        <v>3042000000</v>
      </c>
      <c r="J42" s="457">
        <f t="shared" si="344"/>
        <v>253500000</v>
      </c>
      <c r="K42" s="221"/>
      <c r="L42" s="457">
        <v>12</v>
      </c>
      <c r="M42" s="457">
        <f t="shared" si="345"/>
        <v>3276000000</v>
      </c>
      <c r="N42" s="457">
        <f t="shared" si="346"/>
        <v>3276000000</v>
      </c>
      <c r="O42" s="457">
        <f t="shared" si="347"/>
        <v>273000000</v>
      </c>
      <c r="P42" s="221"/>
      <c r="Q42" s="457">
        <v>12</v>
      </c>
      <c r="R42" s="457">
        <f t="shared" si="348"/>
        <v>3276000000</v>
      </c>
      <c r="S42" s="457">
        <f t="shared" si="349"/>
        <v>3276000000</v>
      </c>
      <c r="T42" s="457">
        <f t="shared" si="350"/>
        <v>273000000</v>
      </c>
      <c r="U42" s="221"/>
      <c r="V42" s="457">
        <v>12</v>
      </c>
      <c r="W42" s="457">
        <f t="shared" si="351"/>
        <v>3042000000</v>
      </c>
      <c r="X42" s="457">
        <f t="shared" si="352"/>
        <v>3042000000</v>
      </c>
      <c r="Y42" s="457">
        <f t="shared" si="353"/>
        <v>253500000</v>
      </c>
      <c r="Z42" s="221"/>
      <c r="AA42" s="457">
        <v>12</v>
      </c>
      <c r="AB42" s="457">
        <f t="shared" si="354"/>
        <v>3042000000</v>
      </c>
      <c r="AC42" s="457">
        <f t="shared" si="355"/>
        <v>3042000000</v>
      </c>
      <c r="AD42" s="457">
        <f t="shared" si="356"/>
        <v>253500000</v>
      </c>
      <c r="AE42" s="221"/>
      <c r="AF42" s="457">
        <v>12</v>
      </c>
      <c r="AG42" s="457">
        <f t="shared" si="357"/>
        <v>3042000000</v>
      </c>
      <c r="AH42" s="457">
        <f t="shared" si="358"/>
        <v>3042000000</v>
      </c>
      <c r="AI42" s="457">
        <f t="shared" si="359"/>
        <v>253500000</v>
      </c>
      <c r="AJ42" s="221"/>
      <c r="AM42" t="s">
        <v>337</v>
      </c>
      <c r="AO42" s="15">
        <f t="shared" si="360"/>
        <v>253500000</v>
      </c>
      <c r="AP42" s="15">
        <f t="shared" si="360"/>
        <v>253500000</v>
      </c>
      <c r="AQ42" s="15">
        <f t="shared" si="360"/>
        <v>253500000</v>
      </c>
      <c r="AR42" s="15">
        <f t="shared" si="360"/>
        <v>253500000</v>
      </c>
      <c r="AS42" s="15">
        <f t="shared" si="360"/>
        <v>253500000</v>
      </c>
      <c r="AT42" s="15">
        <f t="shared" si="360"/>
        <v>253500000</v>
      </c>
      <c r="AU42" s="15">
        <f t="shared" si="360"/>
        <v>253500000</v>
      </c>
      <c r="AV42" s="15">
        <f t="shared" si="360"/>
        <v>253500000</v>
      </c>
      <c r="AW42" s="15">
        <f t="shared" si="360"/>
        <v>253500000</v>
      </c>
      <c r="AX42" s="15">
        <f t="shared" si="360"/>
        <v>253500000</v>
      </c>
      <c r="AY42" s="15">
        <f t="shared" si="360"/>
        <v>253500000</v>
      </c>
      <c r="AZ42" s="15">
        <f t="shared" si="360"/>
        <v>253500000</v>
      </c>
      <c r="BA42" s="15">
        <f t="shared" si="360"/>
        <v>0</v>
      </c>
      <c r="BB42" s="15">
        <f t="shared" si="360"/>
        <v>0</v>
      </c>
      <c r="BC42" s="15">
        <f t="shared" si="360"/>
        <v>0</v>
      </c>
      <c r="BD42" s="15">
        <f t="shared" si="360"/>
        <v>0</v>
      </c>
      <c r="BE42" s="15">
        <f t="shared" si="361"/>
        <v>0</v>
      </c>
      <c r="BF42" s="15">
        <f t="shared" si="361"/>
        <v>0</v>
      </c>
      <c r="BG42" s="15">
        <f t="shared" si="361"/>
        <v>0</v>
      </c>
      <c r="BH42" s="15">
        <f t="shared" si="361"/>
        <v>0</v>
      </c>
      <c r="BI42" s="15">
        <f t="shared" si="361"/>
        <v>0</v>
      </c>
      <c r="BJ42" s="15">
        <f t="shared" si="361"/>
        <v>0</v>
      </c>
      <c r="BK42" s="15">
        <f t="shared" si="361"/>
        <v>0</v>
      </c>
      <c r="BL42" s="15">
        <f t="shared" si="361"/>
        <v>0</v>
      </c>
      <c r="BM42" s="15">
        <f t="shared" si="361"/>
        <v>0</v>
      </c>
      <c r="BN42" s="15">
        <f t="shared" si="361"/>
        <v>0</v>
      </c>
      <c r="BO42" s="15">
        <f t="shared" si="361"/>
        <v>0</v>
      </c>
      <c r="BP42" s="15">
        <f t="shared" si="361"/>
        <v>0</v>
      </c>
      <c r="BQ42" s="15">
        <f t="shared" si="361"/>
        <v>0</v>
      </c>
      <c r="BR42" s="15">
        <f t="shared" si="361"/>
        <v>0</v>
      </c>
      <c r="BT42" s="15">
        <f t="shared" si="362"/>
        <v>273000000</v>
      </c>
      <c r="BU42" s="15">
        <f t="shared" si="362"/>
        <v>273000000</v>
      </c>
      <c r="BV42" s="15">
        <f t="shared" si="362"/>
        <v>273000000</v>
      </c>
      <c r="BW42" s="15">
        <f t="shared" si="362"/>
        <v>273000000</v>
      </c>
      <c r="BX42" s="15">
        <f t="shared" si="362"/>
        <v>273000000</v>
      </c>
      <c r="BY42" s="15">
        <f t="shared" si="362"/>
        <v>273000000</v>
      </c>
      <c r="BZ42" s="15">
        <f t="shared" si="362"/>
        <v>273000000</v>
      </c>
      <c r="CA42" s="15">
        <f t="shared" si="362"/>
        <v>273000000</v>
      </c>
      <c r="CB42" s="15">
        <f t="shared" si="362"/>
        <v>273000000</v>
      </c>
      <c r="CC42" s="15">
        <f t="shared" si="362"/>
        <v>273000000</v>
      </c>
      <c r="CD42" s="15">
        <f t="shared" si="362"/>
        <v>273000000</v>
      </c>
      <c r="CE42" s="15">
        <f t="shared" si="362"/>
        <v>273000000</v>
      </c>
      <c r="CF42" s="15">
        <f t="shared" si="362"/>
        <v>0</v>
      </c>
      <c r="CG42" s="15">
        <f t="shared" si="362"/>
        <v>0</v>
      </c>
      <c r="CH42" s="15">
        <f t="shared" si="362"/>
        <v>0</v>
      </c>
      <c r="CI42" s="15">
        <f t="shared" si="362"/>
        <v>0</v>
      </c>
      <c r="CJ42" s="15">
        <f t="shared" si="363"/>
        <v>0</v>
      </c>
      <c r="CK42" s="15">
        <f t="shared" si="363"/>
        <v>0</v>
      </c>
      <c r="CL42" s="15">
        <f t="shared" si="363"/>
        <v>0</v>
      </c>
      <c r="CM42" s="15">
        <f t="shared" si="363"/>
        <v>0</v>
      </c>
      <c r="CN42" s="15">
        <f t="shared" si="363"/>
        <v>0</v>
      </c>
      <c r="CO42" s="15">
        <f t="shared" si="363"/>
        <v>0</v>
      </c>
      <c r="CP42" s="15">
        <f t="shared" si="363"/>
        <v>0</v>
      </c>
      <c r="CQ42" s="15">
        <f t="shared" si="363"/>
        <v>0</v>
      </c>
      <c r="CR42" s="15">
        <f t="shared" si="363"/>
        <v>0</v>
      </c>
      <c r="CS42" s="15">
        <f t="shared" si="363"/>
        <v>0</v>
      </c>
      <c r="CT42" s="15">
        <f t="shared" si="363"/>
        <v>0</v>
      </c>
      <c r="CU42" s="15">
        <f t="shared" si="363"/>
        <v>0</v>
      </c>
      <c r="CV42" s="15">
        <f t="shared" si="363"/>
        <v>0</v>
      </c>
      <c r="CW42" s="15">
        <f t="shared" si="363"/>
        <v>0</v>
      </c>
      <c r="CY42" s="15">
        <f t="shared" si="364"/>
        <v>273000000</v>
      </c>
      <c r="CZ42" s="15">
        <f t="shared" si="364"/>
        <v>273000000</v>
      </c>
      <c r="DA42" s="15">
        <f t="shared" si="364"/>
        <v>273000000</v>
      </c>
      <c r="DB42" s="15">
        <f t="shared" si="364"/>
        <v>273000000</v>
      </c>
      <c r="DC42" s="15">
        <f t="shared" si="364"/>
        <v>273000000</v>
      </c>
      <c r="DD42" s="15">
        <f t="shared" si="364"/>
        <v>273000000</v>
      </c>
      <c r="DE42" s="15">
        <f t="shared" si="364"/>
        <v>273000000</v>
      </c>
      <c r="DF42" s="15">
        <f t="shared" si="364"/>
        <v>273000000</v>
      </c>
      <c r="DG42" s="15">
        <f t="shared" si="364"/>
        <v>273000000</v>
      </c>
      <c r="DH42" s="15">
        <f t="shared" si="364"/>
        <v>273000000</v>
      </c>
      <c r="DI42" s="15">
        <f t="shared" si="364"/>
        <v>273000000</v>
      </c>
      <c r="DJ42" s="15">
        <f t="shared" si="364"/>
        <v>273000000</v>
      </c>
      <c r="DK42" s="15">
        <f t="shared" si="364"/>
        <v>0</v>
      </c>
      <c r="DL42" s="15">
        <f t="shared" si="364"/>
        <v>0</v>
      </c>
      <c r="DM42" s="15">
        <f t="shared" si="364"/>
        <v>0</v>
      </c>
      <c r="DN42" s="15">
        <f t="shared" si="364"/>
        <v>0</v>
      </c>
      <c r="DO42" s="15">
        <f t="shared" si="365"/>
        <v>0</v>
      </c>
      <c r="DP42" s="15">
        <f t="shared" si="365"/>
        <v>0</v>
      </c>
      <c r="DQ42" s="15">
        <f t="shared" si="365"/>
        <v>0</v>
      </c>
      <c r="DR42" s="15">
        <f t="shared" si="365"/>
        <v>0</v>
      </c>
      <c r="DS42" s="15">
        <f t="shared" si="365"/>
        <v>0</v>
      </c>
      <c r="DT42" s="15">
        <f t="shared" si="365"/>
        <v>0</v>
      </c>
      <c r="DU42" s="15">
        <f t="shared" si="365"/>
        <v>0</v>
      </c>
      <c r="DV42" s="15">
        <f t="shared" si="365"/>
        <v>0</v>
      </c>
      <c r="DW42" s="15">
        <f t="shared" si="365"/>
        <v>0</v>
      </c>
      <c r="DX42" s="15">
        <f t="shared" si="365"/>
        <v>0</v>
      </c>
      <c r="DY42" s="15">
        <f t="shared" si="365"/>
        <v>0</v>
      </c>
      <c r="DZ42" s="15">
        <f t="shared" si="365"/>
        <v>0</v>
      </c>
      <c r="EA42" s="15">
        <f t="shared" si="365"/>
        <v>0</v>
      </c>
      <c r="EB42" s="15">
        <f t="shared" si="365"/>
        <v>0</v>
      </c>
      <c r="ED42" s="15">
        <f t="shared" si="366"/>
        <v>253500000</v>
      </c>
      <c r="EE42" s="15">
        <f t="shared" si="366"/>
        <v>253500000</v>
      </c>
      <c r="EF42" s="15">
        <f t="shared" si="366"/>
        <v>253500000</v>
      </c>
      <c r="EG42" s="15">
        <f t="shared" si="366"/>
        <v>253500000</v>
      </c>
      <c r="EH42" s="15">
        <f t="shared" si="366"/>
        <v>253500000</v>
      </c>
      <c r="EI42" s="15">
        <f t="shared" si="366"/>
        <v>253500000</v>
      </c>
      <c r="EJ42" s="15">
        <f t="shared" si="366"/>
        <v>253500000</v>
      </c>
      <c r="EK42" s="15">
        <f t="shared" si="366"/>
        <v>253500000</v>
      </c>
      <c r="EL42" s="15">
        <f t="shared" si="366"/>
        <v>253500000</v>
      </c>
      <c r="EM42" s="15">
        <f t="shared" si="366"/>
        <v>253500000</v>
      </c>
      <c r="EN42" s="15">
        <f t="shared" si="366"/>
        <v>253500000</v>
      </c>
      <c r="EO42" s="15">
        <f t="shared" si="366"/>
        <v>253500000</v>
      </c>
      <c r="EP42" s="15">
        <f t="shared" si="366"/>
        <v>0</v>
      </c>
      <c r="EQ42" s="15">
        <f t="shared" si="366"/>
        <v>0</v>
      </c>
      <c r="ER42" s="15">
        <f t="shared" si="366"/>
        <v>0</v>
      </c>
      <c r="ES42" s="15">
        <f t="shared" si="366"/>
        <v>0</v>
      </c>
      <c r="ET42" s="15">
        <f t="shared" si="367"/>
        <v>0</v>
      </c>
      <c r="EU42" s="15">
        <f t="shared" si="367"/>
        <v>0</v>
      </c>
      <c r="EV42" s="15">
        <f t="shared" si="367"/>
        <v>0</v>
      </c>
      <c r="EW42" s="15">
        <f t="shared" si="367"/>
        <v>0</v>
      </c>
      <c r="EX42" s="15">
        <f t="shared" si="367"/>
        <v>0</v>
      </c>
      <c r="EY42" s="15">
        <f t="shared" si="367"/>
        <v>0</v>
      </c>
      <c r="EZ42" s="15">
        <f t="shared" si="367"/>
        <v>0</v>
      </c>
      <c r="FA42" s="15">
        <f t="shared" si="367"/>
        <v>0</v>
      </c>
      <c r="FB42" s="15">
        <f t="shared" si="367"/>
        <v>0</v>
      </c>
      <c r="FC42" s="15">
        <f t="shared" si="367"/>
        <v>0</v>
      </c>
      <c r="FD42" s="15">
        <f t="shared" si="367"/>
        <v>0</v>
      </c>
      <c r="FE42" s="15">
        <f t="shared" si="367"/>
        <v>0</v>
      </c>
      <c r="FF42" s="15">
        <f t="shared" si="367"/>
        <v>0</v>
      </c>
      <c r="FG42" s="15">
        <f t="shared" si="367"/>
        <v>0</v>
      </c>
      <c r="FI42" s="15">
        <f t="shared" si="368"/>
        <v>253500000</v>
      </c>
      <c r="FJ42" s="15">
        <f t="shared" si="368"/>
        <v>253500000</v>
      </c>
      <c r="FK42" s="15">
        <f t="shared" si="368"/>
        <v>253500000</v>
      </c>
      <c r="FL42" s="15">
        <f t="shared" si="368"/>
        <v>253500000</v>
      </c>
      <c r="FM42" s="15">
        <f t="shared" si="368"/>
        <v>253500000</v>
      </c>
      <c r="FN42" s="15">
        <f t="shared" si="368"/>
        <v>253500000</v>
      </c>
      <c r="FO42" s="15">
        <f t="shared" si="368"/>
        <v>253500000</v>
      </c>
      <c r="FP42" s="15">
        <f t="shared" si="368"/>
        <v>253500000</v>
      </c>
      <c r="FQ42" s="15">
        <f t="shared" si="368"/>
        <v>253500000</v>
      </c>
      <c r="FR42" s="15">
        <f t="shared" si="368"/>
        <v>253500000</v>
      </c>
      <c r="FS42" s="15">
        <f t="shared" si="368"/>
        <v>253500000</v>
      </c>
      <c r="FT42" s="15">
        <f t="shared" si="368"/>
        <v>253500000</v>
      </c>
      <c r="FU42" s="15">
        <f t="shared" si="368"/>
        <v>0</v>
      </c>
      <c r="FV42" s="15">
        <f t="shared" si="368"/>
        <v>0</v>
      </c>
      <c r="FW42" s="15">
        <f t="shared" si="368"/>
        <v>0</v>
      </c>
      <c r="FX42" s="15">
        <f t="shared" si="368"/>
        <v>0</v>
      </c>
      <c r="FY42" s="15">
        <f t="shared" si="369"/>
        <v>0</v>
      </c>
      <c r="FZ42" s="15">
        <f t="shared" si="369"/>
        <v>0</v>
      </c>
      <c r="GA42" s="15">
        <f t="shared" si="369"/>
        <v>0</v>
      </c>
      <c r="GB42" s="15">
        <f t="shared" si="369"/>
        <v>0</v>
      </c>
      <c r="GC42" s="15">
        <f t="shared" si="369"/>
        <v>0</v>
      </c>
      <c r="GD42" s="15">
        <f t="shared" si="369"/>
        <v>0</v>
      </c>
      <c r="GE42" s="15">
        <f t="shared" si="369"/>
        <v>0</v>
      </c>
      <c r="GF42" s="15">
        <f t="shared" si="369"/>
        <v>0</v>
      </c>
      <c r="GG42" s="15">
        <f t="shared" si="369"/>
        <v>0</v>
      </c>
      <c r="GH42" s="15">
        <f t="shared" si="369"/>
        <v>0</v>
      </c>
      <c r="GI42" s="15">
        <f t="shared" si="369"/>
        <v>0</v>
      </c>
      <c r="GJ42" s="15">
        <f t="shared" si="369"/>
        <v>0</v>
      </c>
      <c r="GK42" s="15">
        <f t="shared" si="369"/>
        <v>0</v>
      </c>
      <c r="GL42" s="15">
        <f t="shared" si="369"/>
        <v>0</v>
      </c>
      <c r="GN42" s="15">
        <f t="shared" si="370"/>
        <v>253500000</v>
      </c>
      <c r="GO42" s="15">
        <f t="shared" si="370"/>
        <v>253500000</v>
      </c>
      <c r="GP42" s="15">
        <f t="shared" si="370"/>
        <v>253500000</v>
      </c>
      <c r="GQ42" s="15">
        <f t="shared" si="370"/>
        <v>253500000</v>
      </c>
      <c r="GR42" s="15">
        <f t="shared" si="370"/>
        <v>253500000</v>
      </c>
      <c r="GS42" s="15">
        <f t="shared" si="370"/>
        <v>253500000</v>
      </c>
      <c r="GT42" s="15">
        <f t="shared" si="370"/>
        <v>253500000</v>
      </c>
      <c r="GU42" s="15">
        <f t="shared" si="370"/>
        <v>253500000</v>
      </c>
      <c r="GV42" s="15">
        <f t="shared" si="370"/>
        <v>253500000</v>
      </c>
      <c r="GW42" s="15">
        <f t="shared" si="370"/>
        <v>253500000</v>
      </c>
      <c r="GX42" s="15">
        <f t="shared" si="370"/>
        <v>253500000</v>
      </c>
      <c r="GY42" s="15">
        <f t="shared" si="370"/>
        <v>253500000</v>
      </c>
      <c r="GZ42" s="15">
        <f t="shared" si="370"/>
        <v>0</v>
      </c>
      <c r="HA42" s="15">
        <f t="shared" si="370"/>
        <v>0</v>
      </c>
      <c r="HB42" s="15">
        <f t="shared" si="370"/>
        <v>0</v>
      </c>
      <c r="HC42" s="15">
        <f t="shared" si="370"/>
        <v>0</v>
      </c>
      <c r="HD42" s="15">
        <f t="shared" si="371"/>
        <v>0</v>
      </c>
      <c r="HE42" s="15">
        <f t="shared" si="371"/>
        <v>0</v>
      </c>
      <c r="HF42" s="15">
        <f t="shared" si="371"/>
        <v>0</v>
      </c>
      <c r="HG42" s="15">
        <f t="shared" si="371"/>
        <v>0</v>
      </c>
      <c r="HH42" s="15">
        <f t="shared" si="371"/>
        <v>0</v>
      </c>
      <c r="HI42" s="15">
        <f t="shared" si="371"/>
        <v>0</v>
      </c>
      <c r="HJ42" s="15">
        <f t="shared" si="371"/>
        <v>0</v>
      </c>
      <c r="HK42" s="15">
        <f t="shared" si="371"/>
        <v>0</v>
      </c>
      <c r="HL42" s="15">
        <f t="shared" si="371"/>
        <v>0</v>
      </c>
      <c r="HM42" s="15">
        <f t="shared" si="371"/>
        <v>0</v>
      </c>
      <c r="HN42" s="15">
        <f t="shared" si="371"/>
        <v>0</v>
      </c>
      <c r="HO42" s="15">
        <f t="shared" si="371"/>
        <v>0</v>
      </c>
      <c r="HP42" s="15">
        <f t="shared" si="371"/>
        <v>0</v>
      </c>
      <c r="HQ42" s="15">
        <f t="shared" si="371"/>
        <v>0</v>
      </c>
    </row>
    <row r="43" spans="1:225" outlineLevel="1" x14ac:dyDescent="0.25">
      <c r="B43" t="s">
        <v>345</v>
      </c>
      <c r="C43" s="624" t="s">
        <v>246</v>
      </c>
      <c r="D43" s="614" t="s">
        <v>230</v>
      </c>
      <c r="E43" s="468">
        <v>1</v>
      </c>
      <c r="F43" s="221"/>
      <c r="G43" s="457">
        <v>12</v>
      </c>
      <c r="H43" s="468">
        <f>(625000000/$D$6)*1.04</f>
        <v>650000000</v>
      </c>
      <c r="I43" s="457">
        <f t="shared" si="343"/>
        <v>650000000</v>
      </c>
      <c r="J43" s="457">
        <f t="shared" si="344"/>
        <v>54166666.666666664</v>
      </c>
      <c r="K43" s="221"/>
      <c r="L43" s="457">
        <v>12</v>
      </c>
      <c r="M43" s="457">
        <f t="shared" si="345"/>
        <v>702000000</v>
      </c>
      <c r="N43" s="457">
        <f t="shared" si="346"/>
        <v>702000000</v>
      </c>
      <c r="O43" s="457">
        <f t="shared" si="347"/>
        <v>58500000</v>
      </c>
      <c r="P43" s="221"/>
      <c r="Q43" s="457">
        <v>12</v>
      </c>
      <c r="R43" s="457">
        <f t="shared" si="348"/>
        <v>702000000</v>
      </c>
      <c r="S43" s="457">
        <f t="shared" si="349"/>
        <v>702000000</v>
      </c>
      <c r="T43" s="457">
        <f t="shared" si="350"/>
        <v>58500000</v>
      </c>
      <c r="U43" s="221"/>
      <c r="V43" s="457">
        <v>12</v>
      </c>
      <c r="W43" s="457">
        <f t="shared" si="351"/>
        <v>650000000</v>
      </c>
      <c r="X43" s="457">
        <f t="shared" si="352"/>
        <v>650000000</v>
      </c>
      <c r="Y43" s="457">
        <f t="shared" si="353"/>
        <v>54166666.666666664</v>
      </c>
      <c r="Z43" s="221"/>
      <c r="AA43" s="457">
        <v>12</v>
      </c>
      <c r="AB43" s="457">
        <f t="shared" si="354"/>
        <v>650000000</v>
      </c>
      <c r="AC43" s="457">
        <f t="shared" si="355"/>
        <v>650000000</v>
      </c>
      <c r="AD43" s="457">
        <f t="shared" si="356"/>
        <v>54166666.666666664</v>
      </c>
      <c r="AE43" s="221"/>
      <c r="AF43" s="457">
        <v>12</v>
      </c>
      <c r="AG43" s="457">
        <f t="shared" si="357"/>
        <v>650000000</v>
      </c>
      <c r="AH43" s="457">
        <f t="shared" si="358"/>
        <v>650000000</v>
      </c>
      <c r="AI43" s="457">
        <f t="shared" si="359"/>
        <v>54166666.666666664</v>
      </c>
      <c r="AJ43" s="221"/>
      <c r="AM43" t="s">
        <v>337</v>
      </c>
      <c r="AO43" s="15">
        <f t="shared" si="360"/>
        <v>54166666.666666664</v>
      </c>
      <c r="AP43" s="15">
        <f t="shared" si="360"/>
        <v>54166666.666666664</v>
      </c>
      <c r="AQ43" s="15">
        <f t="shared" si="360"/>
        <v>54166666.666666664</v>
      </c>
      <c r="AR43" s="15">
        <f t="shared" si="360"/>
        <v>54166666.666666664</v>
      </c>
      <c r="AS43" s="15">
        <f t="shared" si="360"/>
        <v>54166666.666666664</v>
      </c>
      <c r="AT43" s="15">
        <f t="shared" si="360"/>
        <v>54166666.666666664</v>
      </c>
      <c r="AU43" s="15">
        <f t="shared" si="360"/>
        <v>54166666.666666664</v>
      </c>
      <c r="AV43" s="15">
        <f t="shared" si="360"/>
        <v>54166666.666666664</v>
      </c>
      <c r="AW43" s="15">
        <f t="shared" si="360"/>
        <v>54166666.666666664</v>
      </c>
      <c r="AX43" s="15">
        <f t="shared" si="360"/>
        <v>54166666.666666664</v>
      </c>
      <c r="AY43" s="15">
        <f t="shared" si="360"/>
        <v>54166666.666666664</v>
      </c>
      <c r="AZ43" s="15">
        <f t="shared" si="360"/>
        <v>54166666.666666664</v>
      </c>
      <c r="BA43" s="15">
        <f t="shared" si="360"/>
        <v>0</v>
      </c>
      <c r="BB43" s="15">
        <f t="shared" si="360"/>
        <v>0</v>
      </c>
      <c r="BC43" s="15">
        <f t="shared" si="360"/>
        <v>0</v>
      </c>
      <c r="BD43" s="15">
        <f t="shared" si="360"/>
        <v>0</v>
      </c>
      <c r="BE43" s="15">
        <f t="shared" si="361"/>
        <v>0</v>
      </c>
      <c r="BF43" s="15">
        <f t="shared" si="361"/>
        <v>0</v>
      </c>
      <c r="BG43" s="15">
        <f t="shared" si="361"/>
        <v>0</v>
      </c>
      <c r="BH43" s="15">
        <f t="shared" si="361"/>
        <v>0</v>
      </c>
      <c r="BI43" s="15">
        <f t="shared" si="361"/>
        <v>0</v>
      </c>
      <c r="BJ43" s="15">
        <f t="shared" si="361"/>
        <v>0</v>
      </c>
      <c r="BK43" s="15">
        <f t="shared" si="361"/>
        <v>0</v>
      </c>
      <c r="BL43" s="15">
        <f t="shared" si="361"/>
        <v>0</v>
      </c>
      <c r="BM43" s="15">
        <f t="shared" si="361"/>
        <v>0</v>
      </c>
      <c r="BN43" s="15">
        <f t="shared" si="361"/>
        <v>0</v>
      </c>
      <c r="BO43" s="15">
        <f t="shared" si="361"/>
        <v>0</v>
      </c>
      <c r="BP43" s="15">
        <f t="shared" si="361"/>
        <v>0</v>
      </c>
      <c r="BQ43" s="15">
        <f t="shared" si="361"/>
        <v>0</v>
      </c>
      <c r="BR43" s="15">
        <f t="shared" si="361"/>
        <v>0</v>
      </c>
      <c r="BT43" s="15">
        <f t="shared" si="362"/>
        <v>58500000</v>
      </c>
      <c r="BU43" s="15">
        <f t="shared" si="362"/>
        <v>58500000</v>
      </c>
      <c r="BV43" s="15">
        <f t="shared" si="362"/>
        <v>58500000</v>
      </c>
      <c r="BW43" s="15">
        <f t="shared" si="362"/>
        <v>58500000</v>
      </c>
      <c r="BX43" s="15">
        <f t="shared" si="362"/>
        <v>58500000</v>
      </c>
      <c r="BY43" s="15">
        <f t="shared" si="362"/>
        <v>58500000</v>
      </c>
      <c r="BZ43" s="15">
        <f t="shared" si="362"/>
        <v>58500000</v>
      </c>
      <c r="CA43" s="15">
        <f t="shared" si="362"/>
        <v>58500000</v>
      </c>
      <c r="CB43" s="15">
        <f t="shared" si="362"/>
        <v>58500000</v>
      </c>
      <c r="CC43" s="15">
        <f t="shared" si="362"/>
        <v>58500000</v>
      </c>
      <c r="CD43" s="15">
        <f t="shared" si="362"/>
        <v>58500000</v>
      </c>
      <c r="CE43" s="15">
        <f t="shared" si="362"/>
        <v>58500000</v>
      </c>
      <c r="CF43" s="15">
        <f t="shared" si="362"/>
        <v>0</v>
      </c>
      <c r="CG43" s="15">
        <f t="shared" si="362"/>
        <v>0</v>
      </c>
      <c r="CH43" s="15">
        <f t="shared" si="362"/>
        <v>0</v>
      </c>
      <c r="CI43" s="15">
        <f t="shared" si="362"/>
        <v>0</v>
      </c>
      <c r="CJ43" s="15">
        <f t="shared" si="363"/>
        <v>0</v>
      </c>
      <c r="CK43" s="15">
        <f t="shared" si="363"/>
        <v>0</v>
      </c>
      <c r="CL43" s="15">
        <f t="shared" si="363"/>
        <v>0</v>
      </c>
      <c r="CM43" s="15">
        <f t="shared" si="363"/>
        <v>0</v>
      </c>
      <c r="CN43" s="15">
        <f t="shared" si="363"/>
        <v>0</v>
      </c>
      <c r="CO43" s="15">
        <f t="shared" si="363"/>
        <v>0</v>
      </c>
      <c r="CP43" s="15">
        <f t="shared" si="363"/>
        <v>0</v>
      </c>
      <c r="CQ43" s="15">
        <f t="shared" si="363"/>
        <v>0</v>
      </c>
      <c r="CR43" s="15">
        <f t="shared" si="363"/>
        <v>0</v>
      </c>
      <c r="CS43" s="15">
        <f t="shared" si="363"/>
        <v>0</v>
      </c>
      <c r="CT43" s="15">
        <f t="shared" si="363"/>
        <v>0</v>
      </c>
      <c r="CU43" s="15">
        <f t="shared" si="363"/>
        <v>0</v>
      </c>
      <c r="CV43" s="15">
        <f t="shared" si="363"/>
        <v>0</v>
      </c>
      <c r="CW43" s="15">
        <f t="shared" si="363"/>
        <v>0</v>
      </c>
      <c r="CY43" s="15">
        <f t="shared" si="364"/>
        <v>58500000</v>
      </c>
      <c r="CZ43" s="15">
        <f t="shared" si="364"/>
        <v>58500000</v>
      </c>
      <c r="DA43" s="15">
        <f t="shared" si="364"/>
        <v>58500000</v>
      </c>
      <c r="DB43" s="15">
        <f t="shared" si="364"/>
        <v>58500000</v>
      </c>
      <c r="DC43" s="15">
        <f t="shared" si="364"/>
        <v>58500000</v>
      </c>
      <c r="DD43" s="15">
        <f t="shared" si="364"/>
        <v>58500000</v>
      </c>
      <c r="DE43" s="15">
        <f t="shared" si="364"/>
        <v>58500000</v>
      </c>
      <c r="DF43" s="15">
        <f t="shared" si="364"/>
        <v>58500000</v>
      </c>
      <c r="DG43" s="15">
        <f t="shared" si="364"/>
        <v>58500000</v>
      </c>
      <c r="DH43" s="15">
        <f t="shared" si="364"/>
        <v>58500000</v>
      </c>
      <c r="DI43" s="15">
        <f t="shared" si="364"/>
        <v>58500000</v>
      </c>
      <c r="DJ43" s="15">
        <f t="shared" si="364"/>
        <v>58500000</v>
      </c>
      <c r="DK43" s="15">
        <f t="shared" si="364"/>
        <v>0</v>
      </c>
      <c r="DL43" s="15">
        <f t="shared" si="364"/>
        <v>0</v>
      </c>
      <c r="DM43" s="15">
        <f t="shared" si="364"/>
        <v>0</v>
      </c>
      <c r="DN43" s="15">
        <f t="shared" si="364"/>
        <v>0</v>
      </c>
      <c r="DO43" s="15">
        <f t="shared" si="365"/>
        <v>0</v>
      </c>
      <c r="DP43" s="15">
        <f t="shared" si="365"/>
        <v>0</v>
      </c>
      <c r="DQ43" s="15">
        <f t="shared" si="365"/>
        <v>0</v>
      </c>
      <c r="DR43" s="15">
        <f t="shared" si="365"/>
        <v>0</v>
      </c>
      <c r="DS43" s="15">
        <f t="shared" si="365"/>
        <v>0</v>
      </c>
      <c r="DT43" s="15">
        <f t="shared" si="365"/>
        <v>0</v>
      </c>
      <c r="DU43" s="15">
        <f t="shared" si="365"/>
        <v>0</v>
      </c>
      <c r="DV43" s="15">
        <f t="shared" si="365"/>
        <v>0</v>
      </c>
      <c r="DW43" s="15">
        <f t="shared" si="365"/>
        <v>0</v>
      </c>
      <c r="DX43" s="15">
        <f t="shared" si="365"/>
        <v>0</v>
      </c>
      <c r="DY43" s="15">
        <f t="shared" si="365"/>
        <v>0</v>
      </c>
      <c r="DZ43" s="15">
        <f t="shared" si="365"/>
        <v>0</v>
      </c>
      <c r="EA43" s="15">
        <f t="shared" si="365"/>
        <v>0</v>
      </c>
      <c r="EB43" s="15">
        <f t="shared" si="365"/>
        <v>0</v>
      </c>
      <c r="ED43" s="15">
        <f t="shared" si="366"/>
        <v>54166666.666666664</v>
      </c>
      <c r="EE43" s="15">
        <f t="shared" si="366"/>
        <v>54166666.666666664</v>
      </c>
      <c r="EF43" s="15">
        <f t="shared" si="366"/>
        <v>54166666.666666664</v>
      </c>
      <c r="EG43" s="15">
        <f t="shared" si="366"/>
        <v>54166666.666666664</v>
      </c>
      <c r="EH43" s="15">
        <f t="shared" si="366"/>
        <v>54166666.666666664</v>
      </c>
      <c r="EI43" s="15">
        <f t="shared" si="366"/>
        <v>54166666.666666664</v>
      </c>
      <c r="EJ43" s="15">
        <f t="shared" si="366"/>
        <v>54166666.666666664</v>
      </c>
      <c r="EK43" s="15">
        <f t="shared" si="366"/>
        <v>54166666.666666664</v>
      </c>
      <c r="EL43" s="15">
        <f t="shared" si="366"/>
        <v>54166666.666666664</v>
      </c>
      <c r="EM43" s="15">
        <f t="shared" si="366"/>
        <v>54166666.666666664</v>
      </c>
      <c r="EN43" s="15">
        <f t="shared" si="366"/>
        <v>54166666.666666664</v>
      </c>
      <c r="EO43" s="15">
        <f t="shared" si="366"/>
        <v>54166666.666666664</v>
      </c>
      <c r="EP43" s="15">
        <f t="shared" si="366"/>
        <v>0</v>
      </c>
      <c r="EQ43" s="15">
        <f t="shared" si="366"/>
        <v>0</v>
      </c>
      <c r="ER43" s="15">
        <f t="shared" si="366"/>
        <v>0</v>
      </c>
      <c r="ES43" s="15">
        <f t="shared" si="366"/>
        <v>0</v>
      </c>
      <c r="ET43" s="15">
        <f t="shared" si="367"/>
        <v>0</v>
      </c>
      <c r="EU43" s="15">
        <f t="shared" si="367"/>
        <v>0</v>
      </c>
      <c r="EV43" s="15">
        <f t="shared" si="367"/>
        <v>0</v>
      </c>
      <c r="EW43" s="15">
        <f t="shared" si="367"/>
        <v>0</v>
      </c>
      <c r="EX43" s="15">
        <f t="shared" si="367"/>
        <v>0</v>
      </c>
      <c r="EY43" s="15">
        <f t="shared" si="367"/>
        <v>0</v>
      </c>
      <c r="EZ43" s="15">
        <f t="shared" si="367"/>
        <v>0</v>
      </c>
      <c r="FA43" s="15">
        <f t="shared" si="367"/>
        <v>0</v>
      </c>
      <c r="FB43" s="15">
        <f t="shared" si="367"/>
        <v>0</v>
      </c>
      <c r="FC43" s="15">
        <f t="shared" si="367"/>
        <v>0</v>
      </c>
      <c r="FD43" s="15">
        <f t="shared" si="367"/>
        <v>0</v>
      </c>
      <c r="FE43" s="15">
        <f t="shared" si="367"/>
        <v>0</v>
      </c>
      <c r="FF43" s="15">
        <f t="shared" si="367"/>
        <v>0</v>
      </c>
      <c r="FG43" s="15">
        <f t="shared" si="367"/>
        <v>0</v>
      </c>
      <c r="FI43" s="15">
        <f t="shared" si="368"/>
        <v>54166666.666666664</v>
      </c>
      <c r="FJ43" s="15">
        <f t="shared" si="368"/>
        <v>54166666.666666664</v>
      </c>
      <c r="FK43" s="15">
        <f t="shared" si="368"/>
        <v>54166666.666666664</v>
      </c>
      <c r="FL43" s="15">
        <f t="shared" si="368"/>
        <v>54166666.666666664</v>
      </c>
      <c r="FM43" s="15">
        <f t="shared" si="368"/>
        <v>54166666.666666664</v>
      </c>
      <c r="FN43" s="15">
        <f t="shared" si="368"/>
        <v>54166666.666666664</v>
      </c>
      <c r="FO43" s="15">
        <f t="shared" si="368"/>
        <v>54166666.666666664</v>
      </c>
      <c r="FP43" s="15">
        <f t="shared" si="368"/>
        <v>54166666.666666664</v>
      </c>
      <c r="FQ43" s="15">
        <f t="shared" si="368"/>
        <v>54166666.666666664</v>
      </c>
      <c r="FR43" s="15">
        <f t="shared" si="368"/>
        <v>54166666.666666664</v>
      </c>
      <c r="FS43" s="15">
        <f t="shared" si="368"/>
        <v>54166666.666666664</v>
      </c>
      <c r="FT43" s="15">
        <f t="shared" si="368"/>
        <v>54166666.666666664</v>
      </c>
      <c r="FU43" s="15">
        <f t="shared" si="368"/>
        <v>0</v>
      </c>
      <c r="FV43" s="15">
        <f t="shared" si="368"/>
        <v>0</v>
      </c>
      <c r="FW43" s="15">
        <f t="shared" si="368"/>
        <v>0</v>
      </c>
      <c r="FX43" s="15">
        <f t="shared" si="368"/>
        <v>0</v>
      </c>
      <c r="FY43" s="15">
        <f t="shared" si="369"/>
        <v>0</v>
      </c>
      <c r="FZ43" s="15">
        <f t="shared" si="369"/>
        <v>0</v>
      </c>
      <c r="GA43" s="15">
        <f t="shared" si="369"/>
        <v>0</v>
      </c>
      <c r="GB43" s="15">
        <f t="shared" si="369"/>
        <v>0</v>
      </c>
      <c r="GC43" s="15">
        <f t="shared" si="369"/>
        <v>0</v>
      </c>
      <c r="GD43" s="15">
        <f t="shared" si="369"/>
        <v>0</v>
      </c>
      <c r="GE43" s="15">
        <f t="shared" si="369"/>
        <v>0</v>
      </c>
      <c r="GF43" s="15">
        <f t="shared" si="369"/>
        <v>0</v>
      </c>
      <c r="GG43" s="15">
        <f t="shared" si="369"/>
        <v>0</v>
      </c>
      <c r="GH43" s="15">
        <f t="shared" si="369"/>
        <v>0</v>
      </c>
      <c r="GI43" s="15">
        <f t="shared" si="369"/>
        <v>0</v>
      </c>
      <c r="GJ43" s="15">
        <f t="shared" si="369"/>
        <v>0</v>
      </c>
      <c r="GK43" s="15">
        <f t="shared" si="369"/>
        <v>0</v>
      </c>
      <c r="GL43" s="15">
        <f t="shared" si="369"/>
        <v>0</v>
      </c>
      <c r="GN43" s="15">
        <f t="shared" si="370"/>
        <v>54166666.666666664</v>
      </c>
      <c r="GO43" s="15">
        <f t="shared" si="370"/>
        <v>54166666.666666664</v>
      </c>
      <c r="GP43" s="15">
        <f t="shared" si="370"/>
        <v>54166666.666666664</v>
      </c>
      <c r="GQ43" s="15">
        <f t="shared" si="370"/>
        <v>54166666.666666664</v>
      </c>
      <c r="GR43" s="15">
        <f t="shared" si="370"/>
        <v>54166666.666666664</v>
      </c>
      <c r="GS43" s="15">
        <f t="shared" si="370"/>
        <v>54166666.666666664</v>
      </c>
      <c r="GT43" s="15">
        <f t="shared" si="370"/>
        <v>54166666.666666664</v>
      </c>
      <c r="GU43" s="15">
        <f t="shared" si="370"/>
        <v>54166666.666666664</v>
      </c>
      <c r="GV43" s="15">
        <f t="shared" si="370"/>
        <v>54166666.666666664</v>
      </c>
      <c r="GW43" s="15">
        <f t="shared" si="370"/>
        <v>54166666.666666664</v>
      </c>
      <c r="GX43" s="15">
        <f t="shared" si="370"/>
        <v>54166666.666666664</v>
      </c>
      <c r="GY43" s="15">
        <f t="shared" si="370"/>
        <v>54166666.666666664</v>
      </c>
      <c r="GZ43" s="15">
        <f t="shared" si="370"/>
        <v>0</v>
      </c>
      <c r="HA43" s="15">
        <f t="shared" si="370"/>
        <v>0</v>
      </c>
      <c r="HB43" s="15">
        <f t="shared" si="370"/>
        <v>0</v>
      </c>
      <c r="HC43" s="15">
        <f t="shared" si="370"/>
        <v>0</v>
      </c>
      <c r="HD43" s="15">
        <f t="shared" si="371"/>
        <v>0</v>
      </c>
      <c r="HE43" s="15">
        <f t="shared" si="371"/>
        <v>0</v>
      </c>
      <c r="HF43" s="15">
        <f t="shared" si="371"/>
        <v>0</v>
      </c>
      <c r="HG43" s="15">
        <f t="shared" si="371"/>
        <v>0</v>
      </c>
      <c r="HH43" s="15">
        <f t="shared" si="371"/>
        <v>0</v>
      </c>
      <c r="HI43" s="15">
        <f t="shared" si="371"/>
        <v>0</v>
      </c>
      <c r="HJ43" s="15">
        <f t="shared" si="371"/>
        <v>0</v>
      </c>
      <c r="HK43" s="15">
        <f t="shared" si="371"/>
        <v>0</v>
      </c>
      <c r="HL43" s="15">
        <f t="shared" si="371"/>
        <v>0</v>
      </c>
      <c r="HM43" s="15">
        <f t="shared" si="371"/>
        <v>0</v>
      </c>
      <c r="HN43" s="15">
        <f t="shared" si="371"/>
        <v>0</v>
      </c>
      <c r="HO43" s="15">
        <f t="shared" si="371"/>
        <v>0</v>
      </c>
      <c r="HP43" s="15">
        <f t="shared" si="371"/>
        <v>0</v>
      </c>
      <c r="HQ43" s="15">
        <f t="shared" si="371"/>
        <v>0</v>
      </c>
    </row>
    <row r="44" spans="1:225" outlineLevel="1" x14ac:dyDescent="0.25">
      <c r="B44" t="s">
        <v>345</v>
      </c>
      <c r="C44" s="624" t="s">
        <v>247</v>
      </c>
      <c r="D44" s="614" t="s">
        <v>236</v>
      </c>
      <c r="E44" s="468">
        <v>1</v>
      </c>
      <c r="F44" s="221"/>
      <c r="G44" s="457">
        <v>12</v>
      </c>
      <c r="H44" s="468">
        <f>(425000000/$D$6)*1.04</f>
        <v>442000000</v>
      </c>
      <c r="I44" s="457">
        <f t="shared" si="343"/>
        <v>442000000</v>
      </c>
      <c r="J44" s="457">
        <f t="shared" si="344"/>
        <v>36833333.333333336</v>
      </c>
      <c r="K44" s="221"/>
      <c r="L44" s="457">
        <v>12</v>
      </c>
      <c r="M44" s="457">
        <f t="shared" si="345"/>
        <v>494000000</v>
      </c>
      <c r="N44" s="457">
        <f t="shared" si="346"/>
        <v>494000000</v>
      </c>
      <c r="O44" s="457">
        <f t="shared" si="347"/>
        <v>41166666.666666664</v>
      </c>
      <c r="P44" s="221"/>
      <c r="Q44" s="457">
        <v>12</v>
      </c>
      <c r="R44" s="457">
        <f t="shared" si="348"/>
        <v>494000000</v>
      </c>
      <c r="S44" s="457">
        <f t="shared" si="349"/>
        <v>494000000</v>
      </c>
      <c r="T44" s="457">
        <f t="shared" si="350"/>
        <v>41166666.666666664</v>
      </c>
      <c r="U44" s="221"/>
      <c r="V44" s="457">
        <v>12</v>
      </c>
      <c r="W44" s="457">
        <f t="shared" si="351"/>
        <v>442000000</v>
      </c>
      <c r="X44" s="457">
        <f t="shared" si="352"/>
        <v>442000000</v>
      </c>
      <c r="Y44" s="457">
        <f t="shared" si="353"/>
        <v>36833333.333333336</v>
      </c>
      <c r="Z44" s="221"/>
      <c r="AA44" s="457">
        <v>12</v>
      </c>
      <c r="AB44" s="457">
        <f t="shared" si="354"/>
        <v>442000000</v>
      </c>
      <c r="AC44" s="457">
        <f t="shared" si="355"/>
        <v>442000000</v>
      </c>
      <c r="AD44" s="457">
        <f t="shared" si="356"/>
        <v>36833333.333333336</v>
      </c>
      <c r="AE44" s="221"/>
      <c r="AF44" s="457">
        <v>12</v>
      </c>
      <c r="AG44" s="457">
        <f t="shared" si="357"/>
        <v>442000000</v>
      </c>
      <c r="AH44" s="457">
        <f t="shared" si="358"/>
        <v>442000000</v>
      </c>
      <c r="AI44" s="457">
        <f t="shared" si="359"/>
        <v>36833333.333333336</v>
      </c>
      <c r="AJ44" s="221"/>
      <c r="AM44" t="s">
        <v>337</v>
      </c>
      <c r="AO44" s="15">
        <f t="shared" si="360"/>
        <v>36833333.333333336</v>
      </c>
      <c r="AP44" s="15">
        <f t="shared" si="360"/>
        <v>36833333.333333336</v>
      </c>
      <c r="AQ44" s="15">
        <f t="shared" si="360"/>
        <v>36833333.333333336</v>
      </c>
      <c r="AR44" s="15">
        <f t="shared" si="360"/>
        <v>36833333.333333336</v>
      </c>
      <c r="AS44" s="15">
        <f t="shared" si="360"/>
        <v>36833333.333333336</v>
      </c>
      <c r="AT44" s="15">
        <f t="shared" si="360"/>
        <v>36833333.333333336</v>
      </c>
      <c r="AU44" s="15">
        <f t="shared" si="360"/>
        <v>36833333.333333336</v>
      </c>
      <c r="AV44" s="15">
        <f t="shared" si="360"/>
        <v>36833333.333333336</v>
      </c>
      <c r="AW44" s="15">
        <f t="shared" si="360"/>
        <v>36833333.333333336</v>
      </c>
      <c r="AX44" s="15">
        <f t="shared" si="360"/>
        <v>36833333.333333336</v>
      </c>
      <c r="AY44" s="15">
        <f t="shared" si="360"/>
        <v>36833333.333333336</v>
      </c>
      <c r="AZ44" s="15">
        <f t="shared" si="360"/>
        <v>36833333.333333336</v>
      </c>
      <c r="BA44" s="15">
        <f t="shared" si="360"/>
        <v>0</v>
      </c>
      <c r="BB44" s="15">
        <f t="shared" si="360"/>
        <v>0</v>
      </c>
      <c r="BC44" s="15">
        <f t="shared" si="360"/>
        <v>0</v>
      </c>
      <c r="BD44" s="15">
        <f t="shared" si="360"/>
        <v>0</v>
      </c>
      <c r="BE44" s="15">
        <f t="shared" si="361"/>
        <v>0</v>
      </c>
      <c r="BF44" s="15">
        <f t="shared" si="361"/>
        <v>0</v>
      </c>
      <c r="BG44" s="15">
        <f t="shared" si="361"/>
        <v>0</v>
      </c>
      <c r="BH44" s="15">
        <f t="shared" si="361"/>
        <v>0</v>
      </c>
      <c r="BI44" s="15">
        <f t="shared" si="361"/>
        <v>0</v>
      </c>
      <c r="BJ44" s="15">
        <f t="shared" si="361"/>
        <v>0</v>
      </c>
      <c r="BK44" s="15">
        <f t="shared" si="361"/>
        <v>0</v>
      </c>
      <c r="BL44" s="15">
        <f t="shared" si="361"/>
        <v>0</v>
      </c>
      <c r="BM44" s="15">
        <f t="shared" si="361"/>
        <v>0</v>
      </c>
      <c r="BN44" s="15">
        <f t="shared" si="361"/>
        <v>0</v>
      </c>
      <c r="BO44" s="15">
        <f t="shared" si="361"/>
        <v>0</v>
      </c>
      <c r="BP44" s="15">
        <f t="shared" si="361"/>
        <v>0</v>
      </c>
      <c r="BQ44" s="15">
        <f t="shared" si="361"/>
        <v>0</v>
      </c>
      <c r="BR44" s="15">
        <f t="shared" si="361"/>
        <v>0</v>
      </c>
      <c r="BT44" s="15">
        <f t="shared" si="362"/>
        <v>41166666.666666664</v>
      </c>
      <c r="BU44" s="15">
        <f t="shared" si="362"/>
        <v>41166666.666666664</v>
      </c>
      <c r="BV44" s="15">
        <f t="shared" si="362"/>
        <v>41166666.666666664</v>
      </c>
      <c r="BW44" s="15">
        <f t="shared" si="362"/>
        <v>41166666.666666664</v>
      </c>
      <c r="BX44" s="15">
        <f t="shared" si="362"/>
        <v>41166666.666666664</v>
      </c>
      <c r="BY44" s="15">
        <f t="shared" si="362"/>
        <v>41166666.666666664</v>
      </c>
      <c r="BZ44" s="15">
        <f t="shared" si="362"/>
        <v>41166666.666666664</v>
      </c>
      <c r="CA44" s="15">
        <f t="shared" si="362"/>
        <v>41166666.666666664</v>
      </c>
      <c r="CB44" s="15">
        <f t="shared" si="362"/>
        <v>41166666.666666664</v>
      </c>
      <c r="CC44" s="15">
        <f t="shared" si="362"/>
        <v>41166666.666666664</v>
      </c>
      <c r="CD44" s="15">
        <f t="shared" si="362"/>
        <v>41166666.666666664</v>
      </c>
      <c r="CE44" s="15">
        <f t="shared" si="362"/>
        <v>41166666.666666664</v>
      </c>
      <c r="CF44" s="15">
        <f t="shared" si="362"/>
        <v>0</v>
      </c>
      <c r="CG44" s="15">
        <f t="shared" si="362"/>
        <v>0</v>
      </c>
      <c r="CH44" s="15">
        <f t="shared" si="362"/>
        <v>0</v>
      </c>
      <c r="CI44" s="15">
        <f t="shared" si="362"/>
        <v>0</v>
      </c>
      <c r="CJ44" s="15">
        <f t="shared" si="363"/>
        <v>0</v>
      </c>
      <c r="CK44" s="15">
        <f t="shared" si="363"/>
        <v>0</v>
      </c>
      <c r="CL44" s="15">
        <f t="shared" si="363"/>
        <v>0</v>
      </c>
      <c r="CM44" s="15">
        <f t="shared" si="363"/>
        <v>0</v>
      </c>
      <c r="CN44" s="15">
        <f t="shared" si="363"/>
        <v>0</v>
      </c>
      <c r="CO44" s="15">
        <f t="shared" si="363"/>
        <v>0</v>
      </c>
      <c r="CP44" s="15">
        <f t="shared" si="363"/>
        <v>0</v>
      </c>
      <c r="CQ44" s="15">
        <f t="shared" si="363"/>
        <v>0</v>
      </c>
      <c r="CR44" s="15">
        <f t="shared" si="363"/>
        <v>0</v>
      </c>
      <c r="CS44" s="15">
        <f t="shared" si="363"/>
        <v>0</v>
      </c>
      <c r="CT44" s="15">
        <f t="shared" si="363"/>
        <v>0</v>
      </c>
      <c r="CU44" s="15">
        <f t="shared" si="363"/>
        <v>0</v>
      </c>
      <c r="CV44" s="15">
        <f t="shared" si="363"/>
        <v>0</v>
      </c>
      <c r="CW44" s="15">
        <f t="shared" si="363"/>
        <v>0</v>
      </c>
      <c r="CY44" s="15">
        <f t="shared" si="364"/>
        <v>41166666.666666664</v>
      </c>
      <c r="CZ44" s="15">
        <f t="shared" si="364"/>
        <v>41166666.666666664</v>
      </c>
      <c r="DA44" s="15">
        <f t="shared" si="364"/>
        <v>41166666.666666664</v>
      </c>
      <c r="DB44" s="15">
        <f t="shared" si="364"/>
        <v>41166666.666666664</v>
      </c>
      <c r="DC44" s="15">
        <f t="shared" si="364"/>
        <v>41166666.666666664</v>
      </c>
      <c r="DD44" s="15">
        <f t="shared" si="364"/>
        <v>41166666.666666664</v>
      </c>
      <c r="DE44" s="15">
        <f t="shared" si="364"/>
        <v>41166666.666666664</v>
      </c>
      <c r="DF44" s="15">
        <f t="shared" si="364"/>
        <v>41166666.666666664</v>
      </c>
      <c r="DG44" s="15">
        <f t="shared" si="364"/>
        <v>41166666.666666664</v>
      </c>
      <c r="DH44" s="15">
        <f t="shared" si="364"/>
        <v>41166666.666666664</v>
      </c>
      <c r="DI44" s="15">
        <f t="shared" si="364"/>
        <v>41166666.666666664</v>
      </c>
      <c r="DJ44" s="15">
        <f t="shared" si="364"/>
        <v>41166666.666666664</v>
      </c>
      <c r="DK44" s="15">
        <f t="shared" si="364"/>
        <v>0</v>
      </c>
      <c r="DL44" s="15">
        <f t="shared" si="364"/>
        <v>0</v>
      </c>
      <c r="DM44" s="15">
        <f t="shared" si="364"/>
        <v>0</v>
      </c>
      <c r="DN44" s="15">
        <f t="shared" si="364"/>
        <v>0</v>
      </c>
      <c r="DO44" s="15">
        <f t="shared" si="365"/>
        <v>0</v>
      </c>
      <c r="DP44" s="15">
        <f t="shared" si="365"/>
        <v>0</v>
      </c>
      <c r="DQ44" s="15">
        <f t="shared" si="365"/>
        <v>0</v>
      </c>
      <c r="DR44" s="15">
        <f t="shared" si="365"/>
        <v>0</v>
      </c>
      <c r="DS44" s="15">
        <f t="shared" si="365"/>
        <v>0</v>
      </c>
      <c r="DT44" s="15">
        <f t="shared" si="365"/>
        <v>0</v>
      </c>
      <c r="DU44" s="15">
        <f t="shared" si="365"/>
        <v>0</v>
      </c>
      <c r="DV44" s="15">
        <f t="shared" si="365"/>
        <v>0</v>
      </c>
      <c r="DW44" s="15">
        <f t="shared" si="365"/>
        <v>0</v>
      </c>
      <c r="DX44" s="15">
        <f t="shared" si="365"/>
        <v>0</v>
      </c>
      <c r="DY44" s="15">
        <f t="shared" si="365"/>
        <v>0</v>
      </c>
      <c r="DZ44" s="15">
        <f t="shared" si="365"/>
        <v>0</v>
      </c>
      <c r="EA44" s="15">
        <f t="shared" si="365"/>
        <v>0</v>
      </c>
      <c r="EB44" s="15">
        <f t="shared" si="365"/>
        <v>0</v>
      </c>
      <c r="ED44" s="15">
        <f t="shared" si="366"/>
        <v>36833333.333333336</v>
      </c>
      <c r="EE44" s="15">
        <f t="shared" si="366"/>
        <v>36833333.333333336</v>
      </c>
      <c r="EF44" s="15">
        <f t="shared" si="366"/>
        <v>36833333.333333336</v>
      </c>
      <c r="EG44" s="15">
        <f t="shared" si="366"/>
        <v>36833333.333333336</v>
      </c>
      <c r="EH44" s="15">
        <f t="shared" si="366"/>
        <v>36833333.333333336</v>
      </c>
      <c r="EI44" s="15">
        <f t="shared" si="366"/>
        <v>36833333.333333336</v>
      </c>
      <c r="EJ44" s="15">
        <f t="shared" si="366"/>
        <v>36833333.333333336</v>
      </c>
      <c r="EK44" s="15">
        <f t="shared" si="366"/>
        <v>36833333.333333336</v>
      </c>
      <c r="EL44" s="15">
        <f t="shared" si="366"/>
        <v>36833333.333333336</v>
      </c>
      <c r="EM44" s="15">
        <f t="shared" si="366"/>
        <v>36833333.333333336</v>
      </c>
      <c r="EN44" s="15">
        <f t="shared" si="366"/>
        <v>36833333.333333336</v>
      </c>
      <c r="EO44" s="15">
        <f t="shared" si="366"/>
        <v>36833333.333333336</v>
      </c>
      <c r="EP44" s="15">
        <f t="shared" si="366"/>
        <v>0</v>
      </c>
      <c r="EQ44" s="15">
        <f t="shared" si="366"/>
        <v>0</v>
      </c>
      <c r="ER44" s="15">
        <f t="shared" si="366"/>
        <v>0</v>
      </c>
      <c r="ES44" s="15">
        <f t="shared" si="366"/>
        <v>0</v>
      </c>
      <c r="ET44" s="15">
        <f t="shared" si="367"/>
        <v>0</v>
      </c>
      <c r="EU44" s="15">
        <f t="shared" si="367"/>
        <v>0</v>
      </c>
      <c r="EV44" s="15">
        <f t="shared" si="367"/>
        <v>0</v>
      </c>
      <c r="EW44" s="15">
        <f t="shared" si="367"/>
        <v>0</v>
      </c>
      <c r="EX44" s="15">
        <f t="shared" si="367"/>
        <v>0</v>
      </c>
      <c r="EY44" s="15">
        <f t="shared" si="367"/>
        <v>0</v>
      </c>
      <c r="EZ44" s="15">
        <f t="shared" si="367"/>
        <v>0</v>
      </c>
      <c r="FA44" s="15">
        <f t="shared" si="367"/>
        <v>0</v>
      </c>
      <c r="FB44" s="15">
        <f t="shared" si="367"/>
        <v>0</v>
      </c>
      <c r="FC44" s="15">
        <f t="shared" si="367"/>
        <v>0</v>
      </c>
      <c r="FD44" s="15">
        <f t="shared" si="367"/>
        <v>0</v>
      </c>
      <c r="FE44" s="15">
        <f t="shared" si="367"/>
        <v>0</v>
      </c>
      <c r="FF44" s="15">
        <f t="shared" si="367"/>
        <v>0</v>
      </c>
      <c r="FG44" s="15">
        <f t="shared" si="367"/>
        <v>0</v>
      </c>
      <c r="FI44" s="15">
        <f t="shared" si="368"/>
        <v>36833333.333333336</v>
      </c>
      <c r="FJ44" s="15">
        <f t="shared" si="368"/>
        <v>36833333.333333336</v>
      </c>
      <c r="FK44" s="15">
        <f t="shared" si="368"/>
        <v>36833333.333333336</v>
      </c>
      <c r="FL44" s="15">
        <f t="shared" si="368"/>
        <v>36833333.333333336</v>
      </c>
      <c r="FM44" s="15">
        <f t="shared" si="368"/>
        <v>36833333.333333336</v>
      </c>
      <c r="FN44" s="15">
        <f t="shared" si="368"/>
        <v>36833333.333333336</v>
      </c>
      <c r="FO44" s="15">
        <f t="shared" si="368"/>
        <v>36833333.333333336</v>
      </c>
      <c r="FP44" s="15">
        <f t="shared" si="368"/>
        <v>36833333.333333336</v>
      </c>
      <c r="FQ44" s="15">
        <f t="shared" si="368"/>
        <v>36833333.333333336</v>
      </c>
      <c r="FR44" s="15">
        <f t="shared" si="368"/>
        <v>36833333.333333336</v>
      </c>
      <c r="FS44" s="15">
        <f t="shared" si="368"/>
        <v>36833333.333333336</v>
      </c>
      <c r="FT44" s="15">
        <f t="shared" si="368"/>
        <v>36833333.333333336</v>
      </c>
      <c r="FU44" s="15">
        <f t="shared" si="368"/>
        <v>0</v>
      </c>
      <c r="FV44" s="15">
        <f t="shared" si="368"/>
        <v>0</v>
      </c>
      <c r="FW44" s="15">
        <f t="shared" si="368"/>
        <v>0</v>
      </c>
      <c r="FX44" s="15">
        <f t="shared" si="368"/>
        <v>0</v>
      </c>
      <c r="FY44" s="15">
        <f t="shared" si="369"/>
        <v>0</v>
      </c>
      <c r="FZ44" s="15">
        <f t="shared" si="369"/>
        <v>0</v>
      </c>
      <c r="GA44" s="15">
        <f t="shared" si="369"/>
        <v>0</v>
      </c>
      <c r="GB44" s="15">
        <f t="shared" si="369"/>
        <v>0</v>
      </c>
      <c r="GC44" s="15">
        <f t="shared" si="369"/>
        <v>0</v>
      </c>
      <c r="GD44" s="15">
        <f t="shared" si="369"/>
        <v>0</v>
      </c>
      <c r="GE44" s="15">
        <f t="shared" si="369"/>
        <v>0</v>
      </c>
      <c r="GF44" s="15">
        <f t="shared" si="369"/>
        <v>0</v>
      </c>
      <c r="GG44" s="15">
        <f t="shared" si="369"/>
        <v>0</v>
      </c>
      <c r="GH44" s="15">
        <f t="shared" si="369"/>
        <v>0</v>
      </c>
      <c r="GI44" s="15">
        <f t="shared" si="369"/>
        <v>0</v>
      </c>
      <c r="GJ44" s="15">
        <f t="shared" si="369"/>
        <v>0</v>
      </c>
      <c r="GK44" s="15">
        <f t="shared" si="369"/>
        <v>0</v>
      </c>
      <c r="GL44" s="15">
        <f t="shared" si="369"/>
        <v>0</v>
      </c>
      <c r="GN44" s="15">
        <f t="shared" si="370"/>
        <v>36833333.333333336</v>
      </c>
      <c r="GO44" s="15">
        <f t="shared" si="370"/>
        <v>36833333.333333336</v>
      </c>
      <c r="GP44" s="15">
        <f t="shared" si="370"/>
        <v>36833333.333333336</v>
      </c>
      <c r="GQ44" s="15">
        <f t="shared" si="370"/>
        <v>36833333.333333336</v>
      </c>
      <c r="GR44" s="15">
        <f t="shared" si="370"/>
        <v>36833333.333333336</v>
      </c>
      <c r="GS44" s="15">
        <f t="shared" si="370"/>
        <v>36833333.333333336</v>
      </c>
      <c r="GT44" s="15">
        <f t="shared" si="370"/>
        <v>36833333.333333336</v>
      </c>
      <c r="GU44" s="15">
        <f t="shared" si="370"/>
        <v>36833333.333333336</v>
      </c>
      <c r="GV44" s="15">
        <f t="shared" si="370"/>
        <v>36833333.333333336</v>
      </c>
      <c r="GW44" s="15">
        <f t="shared" si="370"/>
        <v>36833333.333333336</v>
      </c>
      <c r="GX44" s="15">
        <f t="shared" si="370"/>
        <v>36833333.333333336</v>
      </c>
      <c r="GY44" s="15">
        <f t="shared" si="370"/>
        <v>36833333.333333336</v>
      </c>
      <c r="GZ44" s="15">
        <f t="shared" si="370"/>
        <v>0</v>
      </c>
      <c r="HA44" s="15">
        <f t="shared" si="370"/>
        <v>0</v>
      </c>
      <c r="HB44" s="15">
        <f t="shared" si="370"/>
        <v>0</v>
      </c>
      <c r="HC44" s="15">
        <f t="shared" si="370"/>
        <v>0</v>
      </c>
      <c r="HD44" s="15">
        <f t="shared" si="371"/>
        <v>0</v>
      </c>
      <c r="HE44" s="15">
        <f t="shared" si="371"/>
        <v>0</v>
      </c>
      <c r="HF44" s="15">
        <f t="shared" si="371"/>
        <v>0</v>
      </c>
      <c r="HG44" s="15">
        <f t="shared" si="371"/>
        <v>0</v>
      </c>
      <c r="HH44" s="15">
        <f t="shared" si="371"/>
        <v>0</v>
      </c>
      <c r="HI44" s="15">
        <f t="shared" si="371"/>
        <v>0</v>
      </c>
      <c r="HJ44" s="15">
        <f t="shared" si="371"/>
        <v>0</v>
      </c>
      <c r="HK44" s="15">
        <f t="shared" si="371"/>
        <v>0</v>
      </c>
      <c r="HL44" s="15">
        <f t="shared" si="371"/>
        <v>0</v>
      </c>
      <c r="HM44" s="15">
        <f t="shared" si="371"/>
        <v>0</v>
      </c>
      <c r="HN44" s="15">
        <f t="shared" si="371"/>
        <v>0</v>
      </c>
      <c r="HO44" s="15">
        <f t="shared" si="371"/>
        <v>0</v>
      </c>
      <c r="HP44" s="15">
        <f t="shared" si="371"/>
        <v>0</v>
      </c>
      <c r="HQ44" s="15">
        <f t="shared" si="371"/>
        <v>0</v>
      </c>
    </row>
    <row r="45" spans="1:225" outlineLevel="1" x14ac:dyDescent="0.25">
      <c r="B45" t="s">
        <v>345</v>
      </c>
      <c r="C45" s="624" t="s">
        <v>248</v>
      </c>
      <c r="D45" s="614" t="s">
        <v>228</v>
      </c>
      <c r="E45" s="468">
        <v>1</v>
      </c>
      <c r="F45" s="221"/>
      <c r="G45" s="457">
        <v>12</v>
      </c>
      <c r="H45" s="468">
        <f>(250000000/$D$6)*1.04</f>
        <v>260000000</v>
      </c>
      <c r="I45" s="457">
        <f t="shared" si="343"/>
        <v>260000000</v>
      </c>
      <c r="J45" s="457">
        <f t="shared" si="344"/>
        <v>21666666.666666668</v>
      </c>
      <c r="K45" s="221"/>
      <c r="L45" s="457">
        <v>12</v>
      </c>
      <c r="M45" s="457">
        <f t="shared" si="345"/>
        <v>286000000</v>
      </c>
      <c r="N45" s="457">
        <f t="shared" si="346"/>
        <v>286000000</v>
      </c>
      <c r="O45" s="457">
        <f t="shared" si="347"/>
        <v>23833333.333333332</v>
      </c>
      <c r="P45" s="221"/>
      <c r="Q45" s="457">
        <v>12</v>
      </c>
      <c r="R45" s="457">
        <f t="shared" si="348"/>
        <v>286000000</v>
      </c>
      <c r="S45" s="457">
        <f t="shared" si="349"/>
        <v>286000000</v>
      </c>
      <c r="T45" s="457">
        <f t="shared" si="350"/>
        <v>23833333.333333332</v>
      </c>
      <c r="U45" s="221"/>
      <c r="V45" s="457">
        <v>12</v>
      </c>
      <c r="W45" s="457">
        <f t="shared" si="351"/>
        <v>260000000</v>
      </c>
      <c r="X45" s="457">
        <f t="shared" si="352"/>
        <v>260000000</v>
      </c>
      <c r="Y45" s="457">
        <f t="shared" si="353"/>
        <v>21666666.666666668</v>
      </c>
      <c r="Z45" s="221"/>
      <c r="AA45" s="457">
        <v>12</v>
      </c>
      <c r="AB45" s="457">
        <f t="shared" si="354"/>
        <v>260000000</v>
      </c>
      <c r="AC45" s="457">
        <f t="shared" si="355"/>
        <v>260000000</v>
      </c>
      <c r="AD45" s="457">
        <f t="shared" si="356"/>
        <v>21666666.666666668</v>
      </c>
      <c r="AE45" s="221"/>
      <c r="AF45" s="457">
        <v>12</v>
      </c>
      <c r="AG45" s="457">
        <f t="shared" si="357"/>
        <v>260000000</v>
      </c>
      <c r="AH45" s="457">
        <f t="shared" si="358"/>
        <v>260000000</v>
      </c>
      <c r="AI45" s="457">
        <f t="shared" si="359"/>
        <v>21666666.666666668</v>
      </c>
      <c r="AJ45" s="221"/>
      <c r="AM45" t="s">
        <v>337</v>
      </c>
      <c r="AO45" s="15">
        <f t="shared" si="360"/>
        <v>21666666.666666668</v>
      </c>
      <c r="AP45" s="15">
        <f t="shared" si="360"/>
        <v>21666666.666666668</v>
      </c>
      <c r="AQ45" s="15">
        <f t="shared" si="360"/>
        <v>21666666.666666668</v>
      </c>
      <c r="AR45" s="15">
        <f t="shared" si="360"/>
        <v>21666666.666666668</v>
      </c>
      <c r="AS45" s="15">
        <f t="shared" si="360"/>
        <v>21666666.666666668</v>
      </c>
      <c r="AT45" s="15">
        <f t="shared" si="360"/>
        <v>21666666.666666668</v>
      </c>
      <c r="AU45" s="15">
        <f t="shared" si="360"/>
        <v>21666666.666666668</v>
      </c>
      <c r="AV45" s="15">
        <f t="shared" si="360"/>
        <v>21666666.666666668</v>
      </c>
      <c r="AW45" s="15">
        <f t="shared" si="360"/>
        <v>21666666.666666668</v>
      </c>
      <c r="AX45" s="15">
        <f t="shared" si="360"/>
        <v>21666666.666666668</v>
      </c>
      <c r="AY45" s="15">
        <f t="shared" si="360"/>
        <v>21666666.666666668</v>
      </c>
      <c r="AZ45" s="15">
        <f t="shared" si="360"/>
        <v>21666666.666666668</v>
      </c>
      <c r="BA45" s="15">
        <f t="shared" si="360"/>
        <v>0</v>
      </c>
      <c r="BB45" s="15">
        <f t="shared" si="360"/>
        <v>0</v>
      </c>
      <c r="BC45" s="15">
        <f t="shared" si="360"/>
        <v>0</v>
      </c>
      <c r="BD45" s="15">
        <f t="shared" si="360"/>
        <v>0</v>
      </c>
      <c r="BE45" s="15">
        <f t="shared" si="361"/>
        <v>0</v>
      </c>
      <c r="BF45" s="15">
        <f t="shared" si="361"/>
        <v>0</v>
      </c>
      <c r="BG45" s="15">
        <f t="shared" si="361"/>
        <v>0</v>
      </c>
      <c r="BH45" s="15">
        <f t="shared" si="361"/>
        <v>0</v>
      </c>
      <c r="BI45" s="15">
        <f t="shared" si="361"/>
        <v>0</v>
      </c>
      <c r="BJ45" s="15">
        <f t="shared" si="361"/>
        <v>0</v>
      </c>
      <c r="BK45" s="15">
        <f t="shared" si="361"/>
        <v>0</v>
      </c>
      <c r="BL45" s="15">
        <f t="shared" si="361"/>
        <v>0</v>
      </c>
      <c r="BM45" s="15">
        <f t="shared" si="361"/>
        <v>0</v>
      </c>
      <c r="BN45" s="15">
        <f t="shared" si="361"/>
        <v>0</v>
      </c>
      <c r="BO45" s="15">
        <f t="shared" si="361"/>
        <v>0</v>
      </c>
      <c r="BP45" s="15">
        <f t="shared" si="361"/>
        <v>0</v>
      </c>
      <c r="BQ45" s="15">
        <f t="shared" si="361"/>
        <v>0</v>
      </c>
      <c r="BR45" s="15">
        <f t="shared" si="361"/>
        <v>0</v>
      </c>
      <c r="BT45" s="15">
        <f t="shared" si="362"/>
        <v>23833333.333333332</v>
      </c>
      <c r="BU45" s="15">
        <f t="shared" si="362"/>
        <v>23833333.333333332</v>
      </c>
      <c r="BV45" s="15">
        <f t="shared" si="362"/>
        <v>23833333.333333332</v>
      </c>
      <c r="BW45" s="15">
        <f t="shared" si="362"/>
        <v>23833333.333333332</v>
      </c>
      <c r="BX45" s="15">
        <f t="shared" si="362"/>
        <v>23833333.333333332</v>
      </c>
      <c r="BY45" s="15">
        <f t="shared" si="362"/>
        <v>23833333.333333332</v>
      </c>
      <c r="BZ45" s="15">
        <f t="shared" si="362"/>
        <v>23833333.333333332</v>
      </c>
      <c r="CA45" s="15">
        <f t="shared" si="362"/>
        <v>23833333.333333332</v>
      </c>
      <c r="CB45" s="15">
        <f t="shared" si="362"/>
        <v>23833333.333333332</v>
      </c>
      <c r="CC45" s="15">
        <f t="shared" si="362"/>
        <v>23833333.333333332</v>
      </c>
      <c r="CD45" s="15">
        <f t="shared" si="362"/>
        <v>23833333.333333332</v>
      </c>
      <c r="CE45" s="15">
        <f t="shared" si="362"/>
        <v>23833333.333333332</v>
      </c>
      <c r="CF45" s="15">
        <f t="shared" si="362"/>
        <v>0</v>
      </c>
      <c r="CG45" s="15">
        <f t="shared" si="362"/>
        <v>0</v>
      </c>
      <c r="CH45" s="15">
        <f t="shared" si="362"/>
        <v>0</v>
      </c>
      <c r="CI45" s="15">
        <f t="shared" si="362"/>
        <v>0</v>
      </c>
      <c r="CJ45" s="15">
        <f t="shared" si="363"/>
        <v>0</v>
      </c>
      <c r="CK45" s="15">
        <f t="shared" si="363"/>
        <v>0</v>
      </c>
      <c r="CL45" s="15">
        <f t="shared" si="363"/>
        <v>0</v>
      </c>
      <c r="CM45" s="15">
        <f t="shared" si="363"/>
        <v>0</v>
      </c>
      <c r="CN45" s="15">
        <f t="shared" si="363"/>
        <v>0</v>
      </c>
      <c r="CO45" s="15">
        <f t="shared" si="363"/>
        <v>0</v>
      </c>
      <c r="CP45" s="15">
        <f t="shared" si="363"/>
        <v>0</v>
      </c>
      <c r="CQ45" s="15">
        <f t="shared" si="363"/>
        <v>0</v>
      </c>
      <c r="CR45" s="15">
        <f t="shared" si="363"/>
        <v>0</v>
      </c>
      <c r="CS45" s="15">
        <f t="shared" si="363"/>
        <v>0</v>
      </c>
      <c r="CT45" s="15">
        <f t="shared" si="363"/>
        <v>0</v>
      </c>
      <c r="CU45" s="15">
        <f t="shared" si="363"/>
        <v>0</v>
      </c>
      <c r="CV45" s="15">
        <f t="shared" si="363"/>
        <v>0</v>
      </c>
      <c r="CW45" s="15">
        <f t="shared" si="363"/>
        <v>0</v>
      </c>
      <c r="CY45" s="15">
        <f t="shared" si="364"/>
        <v>23833333.333333332</v>
      </c>
      <c r="CZ45" s="15">
        <f t="shared" si="364"/>
        <v>23833333.333333332</v>
      </c>
      <c r="DA45" s="15">
        <f t="shared" si="364"/>
        <v>23833333.333333332</v>
      </c>
      <c r="DB45" s="15">
        <f t="shared" si="364"/>
        <v>23833333.333333332</v>
      </c>
      <c r="DC45" s="15">
        <f t="shared" si="364"/>
        <v>23833333.333333332</v>
      </c>
      <c r="DD45" s="15">
        <f t="shared" si="364"/>
        <v>23833333.333333332</v>
      </c>
      <c r="DE45" s="15">
        <f t="shared" si="364"/>
        <v>23833333.333333332</v>
      </c>
      <c r="DF45" s="15">
        <f t="shared" si="364"/>
        <v>23833333.333333332</v>
      </c>
      <c r="DG45" s="15">
        <f t="shared" si="364"/>
        <v>23833333.333333332</v>
      </c>
      <c r="DH45" s="15">
        <f t="shared" si="364"/>
        <v>23833333.333333332</v>
      </c>
      <c r="DI45" s="15">
        <f t="shared" si="364"/>
        <v>23833333.333333332</v>
      </c>
      <c r="DJ45" s="15">
        <f t="shared" si="364"/>
        <v>23833333.333333332</v>
      </c>
      <c r="DK45" s="15">
        <f t="shared" si="364"/>
        <v>0</v>
      </c>
      <c r="DL45" s="15">
        <f t="shared" si="364"/>
        <v>0</v>
      </c>
      <c r="DM45" s="15">
        <f t="shared" si="364"/>
        <v>0</v>
      </c>
      <c r="DN45" s="15">
        <f t="shared" si="364"/>
        <v>0</v>
      </c>
      <c r="DO45" s="15">
        <f t="shared" si="365"/>
        <v>0</v>
      </c>
      <c r="DP45" s="15">
        <f t="shared" si="365"/>
        <v>0</v>
      </c>
      <c r="DQ45" s="15">
        <f t="shared" si="365"/>
        <v>0</v>
      </c>
      <c r="DR45" s="15">
        <f t="shared" si="365"/>
        <v>0</v>
      </c>
      <c r="DS45" s="15">
        <f t="shared" si="365"/>
        <v>0</v>
      </c>
      <c r="DT45" s="15">
        <f t="shared" si="365"/>
        <v>0</v>
      </c>
      <c r="DU45" s="15">
        <f t="shared" si="365"/>
        <v>0</v>
      </c>
      <c r="DV45" s="15">
        <f t="shared" si="365"/>
        <v>0</v>
      </c>
      <c r="DW45" s="15">
        <f t="shared" si="365"/>
        <v>0</v>
      </c>
      <c r="DX45" s="15">
        <f t="shared" si="365"/>
        <v>0</v>
      </c>
      <c r="DY45" s="15">
        <f t="shared" si="365"/>
        <v>0</v>
      </c>
      <c r="DZ45" s="15">
        <f t="shared" si="365"/>
        <v>0</v>
      </c>
      <c r="EA45" s="15">
        <f t="shared" si="365"/>
        <v>0</v>
      </c>
      <c r="EB45" s="15">
        <f t="shared" si="365"/>
        <v>0</v>
      </c>
      <c r="ED45" s="15">
        <f t="shared" si="366"/>
        <v>21666666.666666668</v>
      </c>
      <c r="EE45" s="15">
        <f t="shared" si="366"/>
        <v>21666666.666666668</v>
      </c>
      <c r="EF45" s="15">
        <f t="shared" si="366"/>
        <v>21666666.666666668</v>
      </c>
      <c r="EG45" s="15">
        <f t="shared" si="366"/>
        <v>21666666.666666668</v>
      </c>
      <c r="EH45" s="15">
        <f t="shared" si="366"/>
        <v>21666666.666666668</v>
      </c>
      <c r="EI45" s="15">
        <f t="shared" si="366"/>
        <v>21666666.666666668</v>
      </c>
      <c r="EJ45" s="15">
        <f t="shared" si="366"/>
        <v>21666666.666666668</v>
      </c>
      <c r="EK45" s="15">
        <f t="shared" si="366"/>
        <v>21666666.666666668</v>
      </c>
      <c r="EL45" s="15">
        <f t="shared" si="366"/>
        <v>21666666.666666668</v>
      </c>
      <c r="EM45" s="15">
        <f t="shared" si="366"/>
        <v>21666666.666666668</v>
      </c>
      <c r="EN45" s="15">
        <f t="shared" si="366"/>
        <v>21666666.666666668</v>
      </c>
      <c r="EO45" s="15">
        <f t="shared" si="366"/>
        <v>21666666.666666668</v>
      </c>
      <c r="EP45" s="15">
        <f t="shared" si="366"/>
        <v>0</v>
      </c>
      <c r="EQ45" s="15">
        <f t="shared" si="366"/>
        <v>0</v>
      </c>
      <c r="ER45" s="15">
        <f t="shared" si="366"/>
        <v>0</v>
      </c>
      <c r="ES45" s="15">
        <f t="shared" si="366"/>
        <v>0</v>
      </c>
      <c r="ET45" s="15">
        <f t="shared" si="367"/>
        <v>0</v>
      </c>
      <c r="EU45" s="15">
        <f t="shared" si="367"/>
        <v>0</v>
      </c>
      <c r="EV45" s="15">
        <f t="shared" si="367"/>
        <v>0</v>
      </c>
      <c r="EW45" s="15">
        <f t="shared" si="367"/>
        <v>0</v>
      </c>
      <c r="EX45" s="15">
        <f t="shared" si="367"/>
        <v>0</v>
      </c>
      <c r="EY45" s="15">
        <f t="shared" si="367"/>
        <v>0</v>
      </c>
      <c r="EZ45" s="15">
        <f t="shared" si="367"/>
        <v>0</v>
      </c>
      <c r="FA45" s="15">
        <f t="shared" si="367"/>
        <v>0</v>
      </c>
      <c r="FB45" s="15">
        <f t="shared" si="367"/>
        <v>0</v>
      </c>
      <c r="FC45" s="15">
        <f t="shared" si="367"/>
        <v>0</v>
      </c>
      <c r="FD45" s="15">
        <f t="shared" si="367"/>
        <v>0</v>
      </c>
      <c r="FE45" s="15">
        <f t="shared" si="367"/>
        <v>0</v>
      </c>
      <c r="FF45" s="15">
        <f t="shared" si="367"/>
        <v>0</v>
      </c>
      <c r="FG45" s="15">
        <f t="shared" si="367"/>
        <v>0</v>
      </c>
      <c r="FI45" s="15">
        <f t="shared" si="368"/>
        <v>21666666.666666668</v>
      </c>
      <c r="FJ45" s="15">
        <f t="shared" si="368"/>
        <v>21666666.666666668</v>
      </c>
      <c r="FK45" s="15">
        <f t="shared" si="368"/>
        <v>21666666.666666668</v>
      </c>
      <c r="FL45" s="15">
        <f t="shared" si="368"/>
        <v>21666666.666666668</v>
      </c>
      <c r="FM45" s="15">
        <f t="shared" si="368"/>
        <v>21666666.666666668</v>
      </c>
      <c r="FN45" s="15">
        <f t="shared" si="368"/>
        <v>21666666.666666668</v>
      </c>
      <c r="FO45" s="15">
        <f t="shared" si="368"/>
        <v>21666666.666666668</v>
      </c>
      <c r="FP45" s="15">
        <f t="shared" si="368"/>
        <v>21666666.666666668</v>
      </c>
      <c r="FQ45" s="15">
        <f t="shared" si="368"/>
        <v>21666666.666666668</v>
      </c>
      <c r="FR45" s="15">
        <f t="shared" si="368"/>
        <v>21666666.666666668</v>
      </c>
      <c r="FS45" s="15">
        <f t="shared" si="368"/>
        <v>21666666.666666668</v>
      </c>
      <c r="FT45" s="15">
        <f t="shared" si="368"/>
        <v>21666666.666666668</v>
      </c>
      <c r="FU45" s="15">
        <f t="shared" si="368"/>
        <v>0</v>
      </c>
      <c r="FV45" s="15">
        <f t="shared" si="368"/>
        <v>0</v>
      </c>
      <c r="FW45" s="15">
        <f t="shared" si="368"/>
        <v>0</v>
      </c>
      <c r="FX45" s="15">
        <f t="shared" si="368"/>
        <v>0</v>
      </c>
      <c r="FY45" s="15">
        <f t="shared" si="369"/>
        <v>0</v>
      </c>
      <c r="FZ45" s="15">
        <f t="shared" si="369"/>
        <v>0</v>
      </c>
      <c r="GA45" s="15">
        <f t="shared" si="369"/>
        <v>0</v>
      </c>
      <c r="GB45" s="15">
        <f t="shared" si="369"/>
        <v>0</v>
      </c>
      <c r="GC45" s="15">
        <f t="shared" si="369"/>
        <v>0</v>
      </c>
      <c r="GD45" s="15">
        <f t="shared" si="369"/>
        <v>0</v>
      </c>
      <c r="GE45" s="15">
        <f t="shared" si="369"/>
        <v>0</v>
      </c>
      <c r="GF45" s="15">
        <f t="shared" si="369"/>
        <v>0</v>
      </c>
      <c r="GG45" s="15">
        <f t="shared" si="369"/>
        <v>0</v>
      </c>
      <c r="GH45" s="15">
        <f t="shared" si="369"/>
        <v>0</v>
      </c>
      <c r="GI45" s="15">
        <f t="shared" si="369"/>
        <v>0</v>
      </c>
      <c r="GJ45" s="15">
        <f t="shared" si="369"/>
        <v>0</v>
      </c>
      <c r="GK45" s="15">
        <f t="shared" si="369"/>
        <v>0</v>
      </c>
      <c r="GL45" s="15">
        <f t="shared" si="369"/>
        <v>0</v>
      </c>
      <c r="GN45" s="15">
        <f t="shared" si="370"/>
        <v>21666666.666666668</v>
      </c>
      <c r="GO45" s="15">
        <f t="shared" si="370"/>
        <v>21666666.666666668</v>
      </c>
      <c r="GP45" s="15">
        <f t="shared" si="370"/>
        <v>21666666.666666668</v>
      </c>
      <c r="GQ45" s="15">
        <f t="shared" si="370"/>
        <v>21666666.666666668</v>
      </c>
      <c r="GR45" s="15">
        <f t="shared" si="370"/>
        <v>21666666.666666668</v>
      </c>
      <c r="GS45" s="15">
        <f t="shared" si="370"/>
        <v>21666666.666666668</v>
      </c>
      <c r="GT45" s="15">
        <f t="shared" si="370"/>
        <v>21666666.666666668</v>
      </c>
      <c r="GU45" s="15">
        <f t="shared" si="370"/>
        <v>21666666.666666668</v>
      </c>
      <c r="GV45" s="15">
        <f t="shared" si="370"/>
        <v>21666666.666666668</v>
      </c>
      <c r="GW45" s="15">
        <f t="shared" si="370"/>
        <v>21666666.666666668</v>
      </c>
      <c r="GX45" s="15">
        <f t="shared" si="370"/>
        <v>21666666.666666668</v>
      </c>
      <c r="GY45" s="15">
        <f t="shared" si="370"/>
        <v>21666666.666666668</v>
      </c>
      <c r="GZ45" s="15">
        <f t="shared" si="370"/>
        <v>0</v>
      </c>
      <c r="HA45" s="15">
        <f t="shared" si="370"/>
        <v>0</v>
      </c>
      <c r="HB45" s="15">
        <f t="shared" si="370"/>
        <v>0</v>
      </c>
      <c r="HC45" s="15">
        <f t="shared" si="370"/>
        <v>0</v>
      </c>
      <c r="HD45" s="15">
        <f t="shared" si="371"/>
        <v>0</v>
      </c>
      <c r="HE45" s="15">
        <f t="shared" si="371"/>
        <v>0</v>
      </c>
      <c r="HF45" s="15">
        <f t="shared" si="371"/>
        <v>0</v>
      </c>
      <c r="HG45" s="15">
        <f t="shared" si="371"/>
        <v>0</v>
      </c>
      <c r="HH45" s="15">
        <f t="shared" si="371"/>
        <v>0</v>
      </c>
      <c r="HI45" s="15">
        <f t="shared" si="371"/>
        <v>0</v>
      </c>
      <c r="HJ45" s="15">
        <f t="shared" si="371"/>
        <v>0</v>
      </c>
      <c r="HK45" s="15">
        <f t="shared" si="371"/>
        <v>0</v>
      </c>
      <c r="HL45" s="15">
        <f t="shared" si="371"/>
        <v>0</v>
      </c>
      <c r="HM45" s="15">
        <f t="shared" si="371"/>
        <v>0</v>
      </c>
      <c r="HN45" s="15">
        <f t="shared" si="371"/>
        <v>0</v>
      </c>
      <c r="HO45" s="15">
        <f t="shared" si="371"/>
        <v>0</v>
      </c>
      <c r="HP45" s="15">
        <f t="shared" si="371"/>
        <v>0</v>
      </c>
      <c r="HQ45" s="15">
        <f t="shared" si="371"/>
        <v>0</v>
      </c>
    </row>
    <row r="46" spans="1:225" outlineLevel="1" x14ac:dyDescent="0.25">
      <c r="B46" t="s">
        <v>345</v>
      </c>
      <c r="C46" s="624" t="s">
        <v>249</v>
      </c>
      <c r="D46" s="614" t="s">
        <v>231</v>
      </c>
      <c r="E46" s="468">
        <v>1</v>
      </c>
      <c r="F46" s="221"/>
      <c r="G46" s="457">
        <v>12</v>
      </c>
      <c r="H46" s="468">
        <f>(137500000/$D$6)*1.04</f>
        <v>143000000</v>
      </c>
      <c r="I46" s="457">
        <f t="shared" si="343"/>
        <v>143000000</v>
      </c>
      <c r="J46" s="457">
        <f t="shared" si="344"/>
        <v>11916666.666666666</v>
      </c>
      <c r="K46" s="221"/>
      <c r="L46" s="457">
        <v>12</v>
      </c>
      <c r="M46" s="457">
        <f t="shared" si="345"/>
        <v>156000000</v>
      </c>
      <c r="N46" s="457">
        <f t="shared" si="346"/>
        <v>156000000</v>
      </c>
      <c r="O46" s="457">
        <f t="shared" si="347"/>
        <v>13000000</v>
      </c>
      <c r="P46" s="221"/>
      <c r="Q46" s="457">
        <v>12</v>
      </c>
      <c r="R46" s="457">
        <f t="shared" si="348"/>
        <v>156000000</v>
      </c>
      <c r="S46" s="457">
        <f t="shared" si="349"/>
        <v>156000000</v>
      </c>
      <c r="T46" s="457">
        <f t="shared" si="350"/>
        <v>13000000</v>
      </c>
      <c r="U46" s="221"/>
      <c r="V46" s="457">
        <v>12</v>
      </c>
      <c r="W46" s="457">
        <f t="shared" si="351"/>
        <v>143000000</v>
      </c>
      <c r="X46" s="457">
        <f t="shared" si="352"/>
        <v>143000000</v>
      </c>
      <c r="Y46" s="457">
        <f t="shared" si="353"/>
        <v>11916666.666666666</v>
      </c>
      <c r="Z46" s="221"/>
      <c r="AA46" s="457">
        <v>12</v>
      </c>
      <c r="AB46" s="457">
        <f t="shared" si="354"/>
        <v>156000000</v>
      </c>
      <c r="AC46" s="457">
        <f t="shared" si="355"/>
        <v>156000000</v>
      </c>
      <c r="AD46" s="457">
        <f t="shared" si="356"/>
        <v>13000000</v>
      </c>
      <c r="AE46" s="221"/>
      <c r="AF46" s="457">
        <v>12</v>
      </c>
      <c r="AG46" s="457">
        <f t="shared" si="357"/>
        <v>156000000</v>
      </c>
      <c r="AH46" s="457">
        <f t="shared" si="358"/>
        <v>156000000</v>
      </c>
      <c r="AI46" s="457">
        <f t="shared" si="359"/>
        <v>13000000</v>
      </c>
      <c r="AJ46" s="221"/>
      <c r="AM46" t="s">
        <v>337</v>
      </c>
      <c r="AO46" s="15">
        <f t="shared" si="360"/>
        <v>11916666.666666666</v>
      </c>
      <c r="AP46" s="15">
        <f t="shared" si="360"/>
        <v>11916666.666666666</v>
      </c>
      <c r="AQ46" s="15">
        <f t="shared" si="360"/>
        <v>11916666.666666666</v>
      </c>
      <c r="AR46" s="15">
        <f t="shared" si="360"/>
        <v>11916666.666666666</v>
      </c>
      <c r="AS46" s="15">
        <f t="shared" si="360"/>
        <v>11916666.666666666</v>
      </c>
      <c r="AT46" s="15">
        <f t="shared" si="360"/>
        <v>11916666.666666666</v>
      </c>
      <c r="AU46" s="15">
        <f t="shared" si="360"/>
        <v>11916666.666666666</v>
      </c>
      <c r="AV46" s="15">
        <f t="shared" si="360"/>
        <v>11916666.666666666</v>
      </c>
      <c r="AW46" s="15">
        <f t="shared" si="360"/>
        <v>11916666.666666666</v>
      </c>
      <c r="AX46" s="15">
        <f t="shared" si="360"/>
        <v>11916666.666666666</v>
      </c>
      <c r="AY46" s="15">
        <f t="shared" si="360"/>
        <v>11916666.666666666</v>
      </c>
      <c r="AZ46" s="15">
        <f t="shared" si="360"/>
        <v>11916666.666666666</v>
      </c>
      <c r="BA46" s="15">
        <f t="shared" si="360"/>
        <v>0</v>
      </c>
      <c r="BB46" s="15">
        <f t="shared" si="360"/>
        <v>0</v>
      </c>
      <c r="BC46" s="15">
        <f t="shared" si="360"/>
        <v>0</v>
      </c>
      <c r="BD46" s="15">
        <f t="shared" si="360"/>
        <v>0</v>
      </c>
      <c r="BE46" s="15">
        <f t="shared" si="361"/>
        <v>0</v>
      </c>
      <c r="BF46" s="15">
        <f t="shared" si="361"/>
        <v>0</v>
      </c>
      <c r="BG46" s="15">
        <f t="shared" si="361"/>
        <v>0</v>
      </c>
      <c r="BH46" s="15">
        <f t="shared" si="361"/>
        <v>0</v>
      </c>
      <c r="BI46" s="15">
        <f t="shared" si="361"/>
        <v>0</v>
      </c>
      <c r="BJ46" s="15">
        <f t="shared" si="361"/>
        <v>0</v>
      </c>
      <c r="BK46" s="15">
        <f t="shared" si="361"/>
        <v>0</v>
      </c>
      <c r="BL46" s="15">
        <f t="shared" si="361"/>
        <v>0</v>
      </c>
      <c r="BM46" s="15">
        <f t="shared" si="361"/>
        <v>0</v>
      </c>
      <c r="BN46" s="15">
        <f t="shared" si="361"/>
        <v>0</v>
      </c>
      <c r="BO46" s="15">
        <f t="shared" si="361"/>
        <v>0</v>
      </c>
      <c r="BP46" s="15">
        <f t="shared" si="361"/>
        <v>0</v>
      </c>
      <c r="BQ46" s="15">
        <f t="shared" si="361"/>
        <v>0</v>
      </c>
      <c r="BR46" s="15">
        <f t="shared" si="361"/>
        <v>0</v>
      </c>
      <c r="BT46" s="15">
        <f t="shared" si="362"/>
        <v>13000000</v>
      </c>
      <c r="BU46" s="15">
        <f t="shared" si="362"/>
        <v>13000000</v>
      </c>
      <c r="BV46" s="15">
        <f t="shared" si="362"/>
        <v>13000000</v>
      </c>
      <c r="BW46" s="15">
        <f t="shared" si="362"/>
        <v>13000000</v>
      </c>
      <c r="BX46" s="15">
        <f t="shared" si="362"/>
        <v>13000000</v>
      </c>
      <c r="BY46" s="15">
        <f t="shared" si="362"/>
        <v>13000000</v>
      </c>
      <c r="BZ46" s="15">
        <f t="shared" si="362"/>
        <v>13000000</v>
      </c>
      <c r="CA46" s="15">
        <f t="shared" si="362"/>
        <v>13000000</v>
      </c>
      <c r="CB46" s="15">
        <f t="shared" si="362"/>
        <v>13000000</v>
      </c>
      <c r="CC46" s="15">
        <f t="shared" si="362"/>
        <v>13000000</v>
      </c>
      <c r="CD46" s="15">
        <f t="shared" si="362"/>
        <v>13000000</v>
      </c>
      <c r="CE46" s="15">
        <f t="shared" si="362"/>
        <v>13000000</v>
      </c>
      <c r="CF46" s="15">
        <f t="shared" si="362"/>
        <v>0</v>
      </c>
      <c r="CG46" s="15">
        <f t="shared" si="362"/>
        <v>0</v>
      </c>
      <c r="CH46" s="15">
        <f t="shared" si="362"/>
        <v>0</v>
      </c>
      <c r="CI46" s="15">
        <f t="shared" si="362"/>
        <v>0</v>
      </c>
      <c r="CJ46" s="15">
        <f t="shared" si="363"/>
        <v>0</v>
      </c>
      <c r="CK46" s="15">
        <f t="shared" si="363"/>
        <v>0</v>
      </c>
      <c r="CL46" s="15">
        <f t="shared" si="363"/>
        <v>0</v>
      </c>
      <c r="CM46" s="15">
        <f t="shared" si="363"/>
        <v>0</v>
      </c>
      <c r="CN46" s="15">
        <f t="shared" si="363"/>
        <v>0</v>
      </c>
      <c r="CO46" s="15">
        <f t="shared" si="363"/>
        <v>0</v>
      </c>
      <c r="CP46" s="15">
        <f t="shared" si="363"/>
        <v>0</v>
      </c>
      <c r="CQ46" s="15">
        <f t="shared" si="363"/>
        <v>0</v>
      </c>
      <c r="CR46" s="15">
        <f t="shared" si="363"/>
        <v>0</v>
      </c>
      <c r="CS46" s="15">
        <f t="shared" si="363"/>
        <v>0</v>
      </c>
      <c r="CT46" s="15">
        <f t="shared" si="363"/>
        <v>0</v>
      </c>
      <c r="CU46" s="15">
        <f t="shared" si="363"/>
        <v>0</v>
      </c>
      <c r="CV46" s="15">
        <f t="shared" si="363"/>
        <v>0</v>
      </c>
      <c r="CW46" s="15">
        <f t="shared" si="363"/>
        <v>0</v>
      </c>
      <c r="CY46" s="15">
        <f t="shared" si="364"/>
        <v>13000000</v>
      </c>
      <c r="CZ46" s="15">
        <f t="shared" si="364"/>
        <v>13000000</v>
      </c>
      <c r="DA46" s="15">
        <f t="shared" si="364"/>
        <v>13000000</v>
      </c>
      <c r="DB46" s="15">
        <f t="shared" si="364"/>
        <v>13000000</v>
      </c>
      <c r="DC46" s="15">
        <f t="shared" si="364"/>
        <v>13000000</v>
      </c>
      <c r="DD46" s="15">
        <f t="shared" si="364"/>
        <v>13000000</v>
      </c>
      <c r="DE46" s="15">
        <f t="shared" si="364"/>
        <v>13000000</v>
      </c>
      <c r="DF46" s="15">
        <f t="shared" si="364"/>
        <v>13000000</v>
      </c>
      <c r="DG46" s="15">
        <f t="shared" si="364"/>
        <v>13000000</v>
      </c>
      <c r="DH46" s="15">
        <f t="shared" si="364"/>
        <v>13000000</v>
      </c>
      <c r="DI46" s="15">
        <f t="shared" si="364"/>
        <v>13000000</v>
      </c>
      <c r="DJ46" s="15">
        <f t="shared" si="364"/>
        <v>13000000</v>
      </c>
      <c r="DK46" s="15">
        <f t="shared" si="364"/>
        <v>0</v>
      </c>
      <c r="DL46" s="15">
        <f t="shared" si="364"/>
        <v>0</v>
      </c>
      <c r="DM46" s="15">
        <f t="shared" si="364"/>
        <v>0</v>
      </c>
      <c r="DN46" s="15">
        <f t="shared" si="364"/>
        <v>0</v>
      </c>
      <c r="DO46" s="15">
        <f t="shared" si="365"/>
        <v>0</v>
      </c>
      <c r="DP46" s="15">
        <f t="shared" si="365"/>
        <v>0</v>
      </c>
      <c r="DQ46" s="15">
        <f t="shared" si="365"/>
        <v>0</v>
      </c>
      <c r="DR46" s="15">
        <f t="shared" si="365"/>
        <v>0</v>
      </c>
      <c r="DS46" s="15">
        <f t="shared" si="365"/>
        <v>0</v>
      </c>
      <c r="DT46" s="15">
        <f t="shared" si="365"/>
        <v>0</v>
      </c>
      <c r="DU46" s="15">
        <f t="shared" si="365"/>
        <v>0</v>
      </c>
      <c r="DV46" s="15">
        <f t="shared" si="365"/>
        <v>0</v>
      </c>
      <c r="DW46" s="15">
        <f t="shared" si="365"/>
        <v>0</v>
      </c>
      <c r="DX46" s="15">
        <f t="shared" si="365"/>
        <v>0</v>
      </c>
      <c r="DY46" s="15">
        <f t="shared" si="365"/>
        <v>0</v>
      </c>
      <c r="DZ46" s="15">
        <f t="shared" si="365"/>
        <v>0</v>
      </c>
      <c r="EA46" s="15">
        <f t="shared" si="365"/>
        <v>0</v>
      </c>
      <c r="EB46" s="15">
        <f t="shared" si="365"/>
        <v>0</v>
      </c>
      <c r="ED46" s="15">
        <f t="shared" si="366"/>
        <v>11916666.666666666</v>
      </c>
      <c r="EE46" s="15">
        <f t="shared" si="366"/>
        <v>11916666.666666666</v>
      </c>
      <c r="EF46" s="15">
        <f t="shared" si="366"/>
        <v>11916666.666666666</v>
      </c>
      <c r="EG46" s="15">
        <f t="shared" si="366"/>
        <v>11916666.666666666</v>
      </c>
      <c r="EH46" s="15">
        <f t="shared" si="366"/>
        <v>11916666.666666666</v>
      </c>
      <c r="EI46" s="15">
        <f t="shared" si="366"/>
        <v>11916666.666666666</v>
      </c>
      <c r="EJ46" s="15">
        <f t="shared" si="366"/>
        <v>11916666.666666666</v>
      </c>
      <c r="EK46" s="15">
        <f t="shared" si="366"/>
        <v>11916666.666666666</v>
      </c>
      <c r="EL46" s="15">
        <f t="shared" si="366"/>
        <v>11916666.666666666</v>
      </c>
      <c r="EM46" s="15">
        <f t="shared" si="366"/>
        <v>11916666.666666666</v>
      </c>
      <c r="EN46" s="15">
        <f t="shared" si="366"/>
        <v>11916666.666666666</v>
      </c>
      <c r="EO46" s="15">
        <f t="shared" si="366"/>
        <v>11916666.666666666</v>
      </c>
      <c r="EP46" s="15">
        <f t="shared" si="366"/>
        <v>0</v>
      </c>
      <c r="EQ46" s="15">
        <f t="shared" si="366"/>
        <v>0</v>
      </c>
      <c r="ER46" s="15">
        <f t="shared" si="366"/>
        <v>0</v>
      </c>
      <c r="ES46" s="15">
        <f t="shared" si="366"/>
        <v>0</v>
      </c>
      <c r="ET46" s="15">
        <f t="shared" si="367"/>
        <v>0</v>
      </c>
      <c r="EU46" s="15">
        <f t="shared" si="367"/>
        <v>0</v>
      </c>
      <c r="EV46" s="15">
        <f t="shared" si="367"/>
        <v>0</v>
      </c>
      <c r="EW46" s="15">
        <f t="shared" si="367"/>
        <v>0</v>
      </c>
      <c r="EX46" s="15">
        <f t="shared" si="367"/>
        <v>0</v>
      </c>
      <c r="EY46" s="15">
        <f t="shared" si="367"/>
        <v>0</v>
      </c>
      <c r="EZ46" s="15">
        <f t="shared" si="367"/>
        <v>0</v>
      </c>
      <c r="FA46" s="15">
        <f t="shared" si="367"/>
        <v>0</v>
      </c>
      <c r="FB46" s="15">
        <f t="shared" si="367"/>
        <v>0</v>
      </c>
      <c r="FC46" s="15">
        <f t="shared" si="367"/>
        <v>0</v>
      </c>
      <c r="FD46" s="15">
        <f t="shared" si="367"/>
        <v>0</v>
      </c>
      <c r="FE46" s="15">
        <f t="shared" si="367"/>
        <v>0</v>
      </c>
      <c r="FF46" s="15">
        <f t="shared" si="367"/>
        <v>0</v>
      </c>
      <c r="FG46" s="15">
        <f t="shared" si="367"/>
        <v>0</v>
      </c>
      <c r="FI46" s="15">
        <f t="shared" si="368"/>
        <v>13000000</v>
      </c>
      <c r="FJ46" s="15">
        <f t="shared" si="368"/>
        <v>13000000</v>
      </c>
      <c r="FK46" s="15">
        <f t="shared" si="368"/>
        <v>13000000</v>
      </c>
      <c r="FL46" s="15">
        <f t="shared" si="368"/>
        <v>13000000</v>
      </c>
      <c r="FM46" s="15">
        <f t="shared" si="368"/>
        <v>13000000</v>
      </c>
      <c r="FN46" s="15">
        <f t="shared" si="368"/>
        <v>13000000</v>
      </c>
      <c r="FO46" s="15">
        <f t="shared" si="368"/>
        <v>13000000</v>
      </c>
      <c r="FP46" s="15">
        <f t="shared" si="368"/>
        <v>13000000</v>
      </c>
      <c r="FQ46" s="15">
        <f t="shared" si="368"/>
        <v>13000000</v>
      </c>
      <c r="FR46" s="15">
        <f t="shared" si="368"/>
        <v>13000000</v>
      </c>
      <c r="FS46" s="15">
        <f t="shared" si="368"/>
        <v>13000000</v>
      </c>
      <c r="FT46" s="15">
        <f t="shared" si="368"/>
        <v>13000000</v>
      </c>
      <c r="FU46" s="15">
        <f t="shared" si="368"/>
        <v>0</v>
      </c>
      <c r="FV46" s="15">
        <f t="shared" si="368"/>
        <v>0</v>
      </c>
      <c r="FW46" s="15">
        <f t="shared" si="368"/>
        <v>0</v>
      </c>
      <c r="FX46" s="15">
        <f t="shared" si="368"/>
        <v>0</v>
      </c>
      <c r="FY46" s="15">
        <f t="shared" si="369"/>
        <v>0</v>
      </c>
      <c r="FZ46" s="15">
        <f t="shared" si="369"/>
        <v>0</v>
      </c>
      <c r="GA46" s="15">
        <f t="shared" si="369"/>
        <v>0</v>
      </c>
      <c r="GB46" s="15">
        <f t="shared" si="369"/>
        <v>0</v>
      </c>
      <c r="GC46" s="15">
        <f t="shared" si="369"/>
        <v>0</v>
      </c>
      <c r="GD46" s="15">
        <f t="shared" si="369"/>
        <v>0</v>
      </c>
      <c r="GE46" s="15">
        <f t="shared" si="369"/>
        <v>0</v>
      </c>
      <c r="GF46" s="15">
        <f t="shared" si="369"/>
        <v>0</v>
      </c>
      <c r="GG46" s="15">
        <f t="shared" si="369"/>
        <v>0</v>
      </c>
      <c r="GH46" s="15">
        <f t="shared" si="369"/>
        <v>0</v>
      </c>
      <c r="GI46" s="15">
        <f t="shared" si="369"/>
        <v>0</v>
      </c>
      <c r="GJ46" s="15">
        <f t="shared" si="369"/>
        <v>0</v>
      </c>
      <c r="GK46" s="15">
        <f t="shared" si="369"/>
        <v>0</v>
      </c>
      <c r="GL46" s="15">
        <f t="shared" si="369"/>
        <v>0</v>
      </c>
      <c r="GN46" s="15">
        <f t="shared" si="370"/>
        <v>13000000</v>
      </c>
      <c r="GO46" s="15">
        <f t="shared" si="370"/>
        <v>13000000</v>
      </c>
      <c r="GP46" s="15">
        <f t="shared" si="370"/>
        <v>13000000</v>
      </c>
      <c r="GQ46" s="15">
        <f t="shared" si="370"/>
        <v>13000000</v>
      </c>
      <c r="GR46" s="15">
        <f t="shared" si="370"/>
        <v>13000000</v>
      </c>
      <c r="GS46" s="15">
        <f t="shared" si="370"/>
        <v>13000000</v>
      </c>
      <c r="GT46" s="15">
        <f t="shared" si="370"/>
        <v>13000000</v>
      </c>
      <c r="GU46" s="15">
        <f t="shared" si="370"/>
        <v>13000000</v>
      </c>
      <c r="GV46" s="15">
        <f t="shared" si="370"/>
        <v>13000000</v>
      </c>
      <c r="GW46" s="15">
        <f t="shared" si="370"/>
        <v>13000000</v>
      </c>
      <c r="GX46" s="15">
        <f t="shared" si="370"/>
        <v>13000000</v>
      </c>
      <c r="GY46" s="15">
        <f t="shared" si="370"/>
        <v>13000000</v>
      </c>
      <c r="GZ46" s="15">
        <f t="shared" si="370"/>
        <v>0</v>
      </c>
      <c r="HA46" s="15">
        <f t="shared" si="370"/>
        <v>0</v>
      </c>
      <c r="HB46" s="15">
        <f t="shared" si="370"/>
        <v>0</v>
      </c>
      <c r="HC46" s="15">
        <f t="shared" si="370"/>
        <v>0</v>
      </c>
      <c r="HD46" s="15">
        <f t="shared" si="371"/>
        <v>0</v>
      </c>
      <c r="HE46" s="15">
        <f t="shared" si="371"/>
        <v>0</v>
      </c>
      <c r="HF46" s="15">
        <f t="shared" si="371"/>
        <v>0</v>
      </c>
      <c r="HG46" s="15">
        <f t="shared" si="371"/>
        <v>0</v>
      </c>
      <c r="HH46" s="15">
        <f t="shared" si="371"/>
        <v>0</v>
      </c>
      <c r="HI46" s="15">
        <f t="shared" si="371"/>
        <v>0</v>
      </c>
      <c r="HJ46" s="15">
        <f t="shared" si="371"/>
        <v>0</v>
      </c>
      <c r="HK46" s="15">
        <f t="shared" si="371"/>
        <v>0</v>
      </c>
      <c r="HL46" s="15">
        <f t="shared" si="371"/>
        <v>0</v>
      </c>
      <c r="HM46" s="15">
        <f t="shared" si="371"/>
        <v>0</v>
      </c>
      <c r="HN46" s="15">
        <f t="shared" si="371"/>
        <v>0</v>
      </c>
      <c r="HO46" s="15">
        <f t="shared" si="371"/>
        <v>0</v>
      </c>
      <c r="HP46" s="15">
        <f t="shared" si="371"/>
        <v>0</v>
      </c>
      <c r="HQ46" s="15">
        <f t="shared" si="371"/>
        <v>0</v>
      </c>
    </row>
    <row r="47" spans="1:225" outlineLevel="1" x14ac:dyDescent="0.25">
      <c r="B47" t="s">
        <v>345</v>
      </c>
      <c r="C47" s="624" t="s">
        <v>250</v>
      </c>
      <c r="D47" s="614" t="s">
        <v>227</v>
      </c>
      <c r="E47" s="468">
        <v>1</v>
      </c>
      <c r="F47" s="221"/>
      <c r="G47" s="457">
        <v>12</v>
      </c>
      <c r="H47" s="468">
        <f t="shared" ref="H47:H55" si="372">(125000000/$D$6)*1.04</f>
        <v>130000000</v>
      </c>
      <c r="I47" s="457">
        <f t="shared" si="343"/>
        <v>130000000</v>
      </c>
      <c r="J47" s="457">
        <f t="shared" si="344"/>
        <v>10833333.333333334</v>
      </c>
      <c r="K47" s="221"/>
      <c r="L47" s="457">
        <v>12</v>
      </c>
      <c r="M47" s="457">
        <f t="shared" si="345"/>
        <v>156000000</v>
      </c>
      <c r="N47" s="457">
        <f t="shared" si="346"/>
        <v>156000000</v>
      </c>
      <c r="O47" s="457">
        <f t="shared" si="347"/>
        <v>13000000</v>
      </c>
      <c r="P47" s="221"/>
      <c r="Q47" s="457">
        <v>12</v>
      </c>
      <c r="R47" s="457">
        <f t="shared" si="348"/>
        <v>156000000</v>
      </c>
      <c r="S47" s="457">
        <f t="shared" si="349"/>
        <v>156000000</v>
      </c>
      <c r="T47" s="457">
        <f t="shared" si="350"/>
        <v>13000000</v>
      </c>
      <c r="U47" s="221"/>
      <c r="V47" s="457">
        <v>12</v>
      </c>
      <c r="W47" s="457">
        <f t="shared" si="351"/>
        <v>130000000</v>
      </c>
      <c r="X47" s="457">
        <f t="shared" si="352"/>
        <v>130000000</v>
      </c>
      <c r="Y47" s="457">
        <f t="shared" si="353"/>
        <v>10833333.333333334</v>
      </c>
      <c r="Z47" s="221"/>
      <c r="AA47" s="457">
        <v>12</v>
      </c>
      <c r="AB47" s="457">
        <f t="shared" si="354"/>
        <v>130000000</v>
      </c>
      <c r="AC47" s="457">
        <f t="shared" si="355"/>
        <v>130000000</v>
      </c>
      <c r="AD47" s="457">
        <f t="shared" si="356"/>
        <v>10833333.333333334</v>
      </c>
      <c r="AE47" s="221"/>
      <c r="AF47" s="457">
        <v>12</v>
      </c>
      <c r="AG47" s="457">
        <f t="shared" si="357"/>
        <v>130000000</v>
      </c>
      <c r="AH47" s="457">
        <f t="shared" si="358"/>
        <v>130000000</v>
      </c>
      <c r="AI47" s="457">
        <f t="shared" si="359"/>
        <v>10833333.333333334</v>
      </c>
      <c r="AJ47" s="221"/>
      <c r="AM47" t="s">
        <v>337</v>
      </c>
      <c r="AO47" s="15">
        <f t="shared" si="360"/>
        <v>10833333.333333334</v>
      </c>
      <c r="AP47" s="15">
        <f t="shared" si="360"/>
        <v>10833333.333333334</v>
      </c>
      <c r="AQ47" s="15">
        <f t="shared" si="360"/>
        <v>10833333.333333334</v>
      </c>
      <c r="AR47" s="15">
        <f t="shared" si="360"/>
        <v>10833333.333333334</v>
      </c>
      <c r="AS47" s="15">
        <f t="shared" si="360"/>
        <v>10833333.333333334</v>
      </c>
      <c r="AT47" s="15">
        <f t="shared" si="360"/>
        <v>10833333.333333334</v>
      </c>
      <c r="AU47" s="15">
        <f t="shared" si="360"/>
        <v>10833333.333333334</v>
      </c>
      <c r="AV47" s="15">
        <f t="shared" si="360"/>
        <v>10833333.333333334</v>
      </c>
      <c r="AW47" s="15">
        <f t="shared" si="360"/>
        <v>10833333.333333334</v>
      </c>
      <c r="AX47" s="15">
        <f t="shared" si="360"/>
        <v>10833333.333333334</v>
      </c>
      <c r="AY47" s="15">
        <f t="shared" si="360"/>
        <v>10833333.333333334</v>
      </c>
      <c r="AZ47" s="15">
        <f t="shared" si="360"/>
        <v>10833333.333333334</v>
      </c>
      <c r="BA47" s="15">
        <f t="shared" si="360"/>
        <v>0</v>
      </c>
      <c r="BB47" s="15">
        <f t="shared" si="360"/>
        <v>0</v>
      </c>
      <c r="BC47" s="15">
        <f t="shared" si="360"/>
        <v>0</v>
      </c>
      <c r="BD47" s="15">
        <f t="shared" si="360"/>
        <v>0</v>
      </c>
      <c r="BE47" s="15">
        <f t="shared" si="361"/>
        <v>0</v>
      </c>
      <c r="BF47" s="15">
        <f t="shared" si="361"/>
        <v>0</v>
      </c>
      <c r="BG47" s="15">
        <f t="shared" si="361"/>
        <v>0</v>
      </c>
      <c r="BH47" s="15">
        <f t="shared" si="361"/>
        <v>0</v>
      </c>
      <c r="BI47" s="15">
        <f t="shared" si="361"/>
        <v>0</v>
      </c>
      <c r="BJ47" s="15">
        <f t="shared" si="361"/>
        <v>0</v>
      </c>
      <c r="BK47" s="15">
        <f t="shared" si="361"/>
        <v>0</v>
      </c>
      <c r="BL47" s="15">
        <f t="shared" si="361"/>
        <v>0</v>
      </c>
      <c r="BM47" s="15">
        <f t="shared" si="361"/>
        <v>0</v>
      </c>
      <c r="BN47" s="15">
        <f t="shared" si="361"/>
        <v>0</v>
      </c>
      <c r="BO47" s="15">
        <f t="shared" si="361"/>
        <v>0</v>
      </c>
      <c r="BP47" s="15">
        <f t="shared" si="361"/>
        <v>0</v>
      </c>
      <c r="BQ47" s="15">
        <f t="shared" si="361"/>
        <v>0</v>
      </c>
      <c r="BR47" s="15">
        <f t="shared" si="361"/>
        <v>0</v>
      </c>
      <c r="BT47" s="15">
        <f t="shared" si="362"/>
        <v>13000000</v>
      </c>
      <c r="BU47" s="15">
        <f t="shared" si="362"/>
        <v>13000000</v>
      </c>
      <c r="BV47" s="15">
        <f t="shared" si="362"/>
        <v>13000000</v>
      </c>
      <c r="BW47" s="15">
        <f t="shared" si="362"/>
        <v>13000000</v>
      </c>
      <c r="BX47" s="15">
        <f t="shared" si="362"/>
        <v>13000000</v>
      </c>
      <c r="BY47" s="15">
        <f t="shared" si="362"/>
        <v>13000000</v>
      </c>
      <c r="BZ47" s="15">
        <f t="shared" si="362"/>
        <v>13000000</v>
      </c>
      <c r="CA47" s="15">
        <f t="shared" si="362"/>
        <v>13000000</v>
      </c>
      <c r="CB47" s="15">
        <f t="shared" si="362"/>
        <v>13000000</v>
      </c>
      <c r="CC47" s="15">
        <f t="shared" si="362"/>
        <v>13000000</v>
      </c>
      <c r="CD47" s="15">
        <f t="shared" si="362"/>
        <v>13000000</v>
      </c>
      <c r="CE47" s="15">
        <f t="shared" si="362"/>
        <v>13000000</v>
      </c>
      <c r="CF47" s="15">
        <f t="shared" si="362"/>
        <v>0</v>
      </c>
      <c r="CG47" s="15">
        <f t="shared" si="362"/>
        <v>0</v>
      </c>
      <c r="CH47" s="15">
        <f t="shared" si="362"/>
        <v>0</v>
      </c>
      <c r="CI47" s="15">
        <f t="shared" si="362"/>
        <v>0</v>
      </c>
      <c r="CJ47" s="15">
        <f t="shared" si="363"/>
        <v>0</v>
      </c>
      <c r="CK47" s="15">
        <f t="shared" si="363"/>
        <v>0</v>
      </c>
      <c r="CL47" s="15">
        <f t="shared" si="363"/>
        <v>0</v>
      </c>
      <c r="CM47" s="15">
        <f t="shared" si="363"/>
        <v>0</v>
      </c>
      <c r="CN47" s="15">
        <f t="shared" si="363"/>
        <v>0</v>
      </c>
      <c r="CO47" s="15">
        <f t="shared" si="363"/>
        <v>0</v>
      </c>
      <c r="CP47" s="15">
        <f t="shared" si="363"/>
        <v>0</v>
      </c>
      <c r="CQ47" s="15">
        <f t="shared" si="363"/>
        <v>0</v>
      </c>
      <c r="CR47" s="15">
        <f t="shared" si="363"/>
        <v>0</v>
      </c>
      <c r="CS47" s="15">
        <f t="shared" si="363"/>
        <v>0</v>
      </c>
      <c r="CT47" s="15">
        <f t="shared" si="363"/>
        <v>0</v>
      </c>
      <c r="CU47" s="15">
        <f t="shared" si="363"/>
        <v>0</v>
      </c>
      <c r="CV47" s="15">
        <f t="shared" si="363"/>
        <v>0</v>
      </c>
      <c r="CW47" s="15">
        <f t="shared" si="363"/>
        <v>0</v>
      </c>
      <c r="CY47" s="15">
        <f t="shared" si="364"/>
        <v>13000000</v>
      </c>
      <c r="CZ47" s="15">
        <f t="shared" si="364"/>
        <v>13000000</v>
      </c>
      <c r="DA47" s="15">
        <f t="shared" si="364"/>
        <v>13000000</v>
      </c>
      <c r="DB47" s="15">
        <f t="shared" si="364"/>
        <v>13000000</v>
      </c>
      <c r="DC47" s="15">
        <f t="shared" si="364"/>
        <v>13000000</v>
      </c>
      <c r="DD47" s="15">
        <f t="shared" si="364"/>
        <v>13000000</v>
      </c>
      <c r="DE47" s="15">
        <f t="shared" si="364"/>
        <v>13000000</v>
      </c>
      <c r="DF47" s="15">
        <f t="shared" si="364"/>
        <v>13000000</v>
      </c>
      <c r="DG47" s="15">
        <f t="shared" si="364"/>
        <v>13000000</v>
      </c>
      <c r="DH47" s="15">
        <f t="shared" si="364"/>
        <v>13000000</v>
      </c>
      <c r="DI47" s="15">
        <f t="shared" si="364"/>
        <v>13000000</v>
      </c>
      <c r="DJ47" s="15">
        <f t="shared" si="364"/>
        <v>13000000</v>
      </c>
      <c r="DK47" s="15">
        <f t="shared" si="364"/>
        <v>0</v>
      </c>
      <c r="DL47" s="15">
        <f t="shared" si="364"/>
        <v>0</v>
      </c>
      <c r="DM47" s="15">
        <f t="shared" si="364"/>
        <v>0</v>
      </c>
      <c r="DN47" s="15">
        <f t="shared" si="364"/>
        <v>0</v>
      </c>
      <c r="DO47" s="15">
        <f t="shared" si="365"/>
        <v>0</v>
      </c>
      <c r="DP47" s="15">
        <f t="shared" si="365"/>
        <v>0</v>
      </c>
      <c r="DQ47" s="15">
        <f t="shared" si="365"/>
        <v>0</v>
      </c>
      <c r="DR47" s="15">
        <f t="shared" si="365"/>
        <v>0</v>
      </c>
      <c r="DS47" s="15">
        <f t="shared" si="365"/>
        <v>0</v>
      </c>
      <c r="DT47" s="15">
        <f t="shared" si="365"/>
        <v>0</v>
      </c>
      <c r="DU47" s="15">
        <f t="shared" si="365"/>
        <v>0</v>
      </c>
      <c r="DV47" s="15">
        <f t="shared" si="365"/>
        <v>0</v>
      </c>
      <c r="DW47" s="15">
        <f t="shared" si="365"/>
        <v>0</v>
      </c>
      <c r="DX47" s="15">
        <f t="shared" si="365"/>
        <v>0</v>
      </c>
      <c r="DY47" s="15">
        <f t="shared" si="365"/>
        <v>0</v>
      </c>
      <c r="DZ47" s="15">
        <f t="shared" si="365"/>
        <v>0</v>
      </c>
      <c r="EA47" s="15">
        <f t="shared" si="365"/>
        <v>0</v>
      </c>
      <c r="EB47" s="15">
        <f t="shared" si="365"/>
        <v>0</v>
      </c>
      <c r="ED47" s="15">
        <f t="shared" si="366"/>
        <v>10833333.333333334</v>
      </c>
      <c r="EE47" s="15">
        <f t="shared" si="366"/>
        <v>10833333.333333334</v>
      </c>
      <c r="EF47" s="15">
        <f t="shared" si="366"/>
        <v>10833333.333333334</v>
      </c>
      <c r="EG47" s="15">
        <f t="shared" si="366"/>
        <v>10833333.333333334</v>
      </c>
      <c r="EH47" s="15">
        <f t="shared" si="366"/>
        <v>10833333.333333334</v>
      </c>
      <c r="EI47" s="15">
        <f t="shared" si="366"/>
        <v>10833333.333333334</v>
      </c>
      <c r="EJ47" s="15">
        <f t="shared" si="366"/>
        <v>10833333.333333334</v>
      </c>
      <c r="EK47" s="15">
        <f t="shared" si="366"/>
        <v>10833333.333333334</v>
      </c>
      <c r="EL47" s="15">
        <f t="shared" si="366"/>
        <v>10833333.333333334</v>
      </c>
      <c r="EM47" s="15">
        <f t="shared" si="366"/>
        <v>10833333.333333334</v>
      </c>
      <c r="EN47" s="15">
        <f t="shared" si="366"/>
        <v>10833333.333333334</v>
      </c>
      <c r="EO47" s="15">
        <f t="shared" si="366"/>
        <v>10833333.333333334</v>
      </c>
      <c r="EP47" s="15">
        <f t="shared" si="366"/>
        <v>0</v>
      </c>
      <c r="EQ47" s="15">
        <f t="shared" si="366"/>
        <v>0</v>
      </c>
      <c r="ER47" s="15">
        <f t="shared" si="366"/>
        <v>0</v>
      </c>
      <c r="ES47" s="15">
        <f t="shared" si="366"/>
        <v>0</v>
      </c>
      <c r="ET47" s="15">
        <f t="shared" si="367"/>
        <v>0</v>
      </c>
      <c r="EU47" s="15">
        <f t="shared" si="367"/>
        <v>0</v>
      </c>
      <c r="EV47" s="15">
        <f t="shared" si="367"/>
        <v>0</v>
      </c>
      <c r="EW47" s="15">
        <f t="shared" si="367"/>
        <v>0</v>
      </c>
      <c r="EX47" s="15">
        <f t="shared" si="367"/>
        <v>0</v>
      </c>
      <c r="EY47" s="15">
        <f t="shared" si="367"/>
        <v>0</v>
      </c>
      <c r="EZ47" s="15">
        <f t="shared" si="367"/>
        <v>0</v>
      </c>
      <c r="FA47" s="15">
        <f t="shared" si="367"/>
        <v>0</v>
      </c>
      <c r="FB47" s="15">
        <f t="shared" si="367"/>
        <v>0</v>
      </c>
      <c r="FC47" s="15">
        <f t="shared" si="367"/>
        <v>0</v>
      </c>
      <c r="FD47" s="15">
        <f t="shared" si="367"/>
        <v>0</v>
      </c>
      <c r="FE47" s="15">
        <f t="shared" si="367"/>
        <v>0</v>
      </c>
      <c r="FF47" s="15">
        <f t="shared" si="367"/>
        <v>0</v>
      </c>
      <c r="FG47" s="15">
        <f t="shared" si="367"/>
        <v>0</v>
      </c>
      <c r="FI47" s="15">
        <f t="shared" si="368"/>
        <v>10833333.333333334</v>
      </c>
      <c r="FJ47" s="15">
        <f t="shared" si="368"/>
        <v>10833333.333333334</v>
      </c>
      <c r="FK47" s="15">
        <f t="shared" si="368"/>
        <v>10833333.333333334</v>
      </c>
      <c r="FL47" s="15">
        <f t="shared" si="368"/>
        <v>10833333.333333334</v>
      </c>
      <c r="FM47" s="15">
        <f t="shared" si="368"/>
        <v>10833333.333333334</v>
      </c>
      <c r="FN47" s="15">
        <f t="shared" si="368"/>
        <v>10833333.333333334</v>
      </c>
      <c r="FO47" s="15">
        <f t="shared" si="368"/>
        <v>10833333.333333334</v>
      </c>
      <c r="FP47" s="15">
        <f t="shared" si="368"/>
        <v>10833333.333333334</v>
      </c>
      <c r="FQ47" s="15">
        <f t="shared" si="368"/>
        <v>10833333.333333334</v>
      </c>
      <c r="FR47" s="15">
        <f t="shared" si="368"/>
        <v>10833333.333333334</v>
      </c>
      <c r="FS47" s="15">
        <f t="shared" si="368"/>
        <v>10833333.333333334</v>
      </c>
      <c r="FT47" s="15">
        <f t="shared" si="368"/>
        <v>10833333.333333334</v>
      </c>
      <c r="FU47" s="15">
        <f t="shared" si="368"/>
        <v>0</v>
      </c>
      <c r="FV47" s="15">
        <f t="shared" si="368"/>
        <v>0</v>
      </c>
      <c r="FW47" s="15">
        <f t="shared" si="368"/>
        <v>0</v>
      </c>
      <c r="FX47" s="15">
        <f t="shared" si="368"/>
        <v>0</v>
      </c>
      <c r="FY47" s="15">
        <f t="shared" si="369"/>
        <v>0</v>
      </c>
      <c r="FZ47" s="15">
        <f t="shared" si="369"/>
        <v>0</v>
      </c>
      <c r="GA47" s="15">
        <f t="shared" si="369"/>
        <v>0</v>
      </c>
      <c r="GB47" s="15">
        <f t="shared" si="369"/>
        <v>0</v>
      </c>
      <c r="GC47" s="15">
        <f t="shared" si="369"/>
        <v>0</v>
      </c>
      <c r="GD47" s="15">
        <f t="shared" si="369"/>
        <v>0</v>
      </c>
      <c r="GE47" s="15">
        <f t="shared" si="369"/>
        <v>0</v>
      </c>
      <c r="GF47" s="15">
        <f t="shared" si="369"/>
        <v>0</v>
      </c>
      <c r="GG47" s="15">
        <f t="shared" si="369"/>
        <v>0</v>
      </c>
      <c r="GH47" s="15">
        <f t="shared" si="369"/>
        <v>0</v>
      </c>
      <c r="GI47" s="15">
        <f t="shared" si="369"/>
        <v>0</v>
      </c>
      <c r="GJ47" s="15">
        <f t="shared" si="369"/>
        <v>0</v>
      </c>
      <c r="GK47" s="15">
        <f t="shared" si="369"/>
        <v>0</v>
      </c>
      <c r="GL47" s="15">
        <f t="shared" si="369"/>
        <v>0</v>
      </c>
      <c r="GN47" s="15">
        <f t="shared" si="370"/>
        <v>10833333.333333334</v>
      </c>
      <c r="GO47" s="15">
        <f t="shared" si="370"/>
        <v>10833333.333333334</v>
      </c>
      <c r="GP47" s="15">
        <f t="shared" si="370"/>
        <v>10833333.333333334</v>
      </c>
      <c r="GQ47" s="15">
        <f t="shared" si="370"/>
        <v>10833333.333333334</v>
      </c>
      <c r="GR47" s="15">
        <f t="shared" si="370"/>
        <v>10833333.333333334</v>
      </c>
      <c r="GS47" s="15">
        <f t="shared" si="370"/>
        <v>10833333.333333334</v>
      </c>
      <c r="GT47" s="15">
        <f t="shared" si="370"/>
        <v>10833333.333333334</v>
      </c>
      <c r="GU47" s="15">
        <f t="shared" si="370"/>
        <v>10833333.333333334</v>
      </c>
      <c r="GV47" s="15">
        <f t="shared" si="370"/>
        <v>10833333.333333334</v>
      </c>
      <c r="GW47" s="15">
        <f t="shared" si="370"/>
        <v>10833333.333333334</v>
      </c>
      <c r="GX47" s="15">
        <f t="shared" si="370"/>
        <v>10833333.333333334</v>
      </c>
      <c r="GY47" s="15">
        <f t="shared" si="370"/>
        <v>10833333.333333334</v>
      </c>
      <c r="GZ47" s="15">
        <f t="shared" si="370"/>
        <v>0</v>
      </c>
      <c r="HA47" s="15">
        <f t="shared" si="370"/>
        <v>0</v>
      </c>
      <c r="HB47" s="15">
        <f t="shared" si="370"/>
        <v>0</v>
      </c>
      <c r="HC47" s="15">
        <f t="shared" si="370"/>
        <v>0</v>
      </c>
      <c r="HD47" s="15">
        <f t="shared" si="371"/>
        <v>0</v>
      </c>
      <c r="HE47" s="15">
        <f t="shared" si="371"/>
        <v>0</v>
      </c>
      <c r="HF47" s="15">
        <f t="shared" si="371"/>
        <v>0</v>
      </c>
      <c r="HG47" s="15">
        <f t="shared" si="371"/>
        <v>0</v>
      </c>
      <c r="HH47" s="15">
        <f t="shared" si="371"/>
        <v>0</v>
      </c>
      <c r="HI47" s="15">
        <f t="shared" si="371"/>
        <v>0</v>
      </c>
      <c r="HJ47" s="15">
        <f t="shared" si="371"/>
        <v>0</v>
      </c>
      <c r="HK47" s="15">
        <f t="shared" si="371"/>
        <v>0</v>
      </c>
      <c r="HL47" s="15">
        <f t="shared" si="371"/>
        <v>0</v>
      </c>
      <c r="HM47" s="15">
        <f t="shared" si="371"/>
        <v>0</v>
      </c>
      <c r="HN47" s="15">
        <f t="shared" si="371"/>
        <v>0</v>
      </c>
      <c r="HO47" s="15">
        <f t="shared" si="371"/>
        <v>0</v>
      </c>
      <c r="HP47" s="15">
        <f t="shared" si="371"/>
        <v>0</v>
      </c>
      <c r="HQ47" s="15">
        <f t="shared" si="371"/>
        <v>0</v>
      </c>
    </row>
    <row r="48" spans="1:225" outlineLevel="1" x14ac:dyDescent="0.25">
      <c r="B48" t="s">
        <v>345</v>
      </c>
      <c r="C48" s="624" t="s">
        <v>251</v>
      </c>
      <c r="D48" s="614" t="s">
        <v>549</v>
      </c>
      <c r="E48" s="468">
        <v>1</v>
      </c>
      <c r="F48" s="221"/>
      <c r="G48" s="457">
        <v>12</v>
      </c>
      <c r="H48" s="468">
        <f t="shared" si="372"/>
        <v>130000000</v>
      </c>
      <c r="I48" s="457">
        <f t="shared" si="343"/>
        <v>130000000</v>
      </c>
      <c r="J48" s="457">
        <f t="shared" si="344"/>
        <v>10833333.333333334</v>
      </c>
      <c r="K48" s="221"/>
      <c r="L48" s="457">
        <v>12</v>
      </c>
      <c r="M48" s="457">
        <f t="shared" si="345"/>
        <v>156000000</v>
      </c>
      <c r="N48" s="457">
        <f t="shared" si="346"/>
        <v>156000000</v>
      </c>
      <c r="O48" s="457">
        <f t="shared" si="347"/>
        <v>13000000</v>
      </c>
      <c r="P48" s="221"/>
      <c r="Q48" s="457">
        <v>12</v>
      </c>
      <c r="R48" s="457">
        <f t="shared" si="348"/>
        <v>156000000</v>
      </c>
      <c r="S48" s="457">
        <f t="shared" si="349"/>
        <v>156000000</v>
      </c>
      <c r="T48" s="457">
        <f t="shared" si="350"/>
        <v>13000000</v>
      </c>
      <c r="U48" s="221"/>
      <c r="V48" s="457">
        <v>12</v>
      </c>
      <c r="W48" s="457">
        <f t="shared" si="351"/>
        <v>130000000</v>
      </c>
      <c r="X48" s="457">
        <f t="shared" si="352"/>
        <v>130000000</v>
      </c>
      <c r="Y48" s="457">
        <f t="shared" si="353"/>
        <v>10833333.333333334</v>
      </c>
      <c r="Z48" s="221"/>
      <c r="AA48" s="457">
        <v>12</v>
      </c>
      <c r="AB48" s="457">
        <f t="shared" si="354"/>
        <v>130000000</v>
      </c>
      <c r="AC48" s="457">
        <f t="shared" si="355"/>
        <v>130000000</v>
      </c>
      <c r="AD48" s="457">
        <f t="shared" si="356"/>
        <v>10833333.333333334</v>
      </c>
      <c r="AE48" s="221"/>
      <c r="AF48" s="457">
        <v>12</v>
      </c>
      <c r="AG48" s="457">
        <f t="shared" si="357"/>
        <v>130000000</v>
      </c>
      <c r="AH48" s="457">
        <f t="shared" si="358"/>
        <v>130000000</v>
      </c>
      <c r="AI48" s="457">
        <f t="shared" si="359"/>
        <v>10833333.333333334</v>
      </c>
      <c r="AJ48" s="221"/>
      <c r="AM48" t="s">
        <v>337</v>
      </c>
      <c r="AO48" s="15">
        <f t="shared" si="360"/>
        <v>10833333.333333334</v>
      </c>
      <c r="AP48" s="15">
        <f t="shared" si="360"/>
        <v>10833333.333333334</v>
      </c>
      <c r="AQ48" s="15">
        <f t="shared" si="360"/>
        <v>10833333.333333334</v>
      </c>
      <c r="AR48" s="15">
        <f t="shared" si="360"/>
        <v>10833333.333333334</v>
      </c>
      <c r="AS48" s="15">
        <f t="shared" si="360"/>
        <v>10833333.333333334</v>
      </c>
      <c r="AT48" s="15">
        <f t="shared" si="360"/>
        <v>10833333.333333334</v>
      </c>
      <c r="AU48" s="15">
        <f t="shared" si="360"/>
        <v>10833333.333333334</v>
      </c>
      <c r="AV48" s="15">
        <f t="shared" si="360"/>
        <v>10833333.333333334</v>
      </c>
      <c r="AW48" s="15">
        <f t="shared" si="360"/>
        <v>10833333.333333334</v>
      </c>
      <c r="AX48" s="15">
        <f t="shared" si="360"/>
        <v>10833333.333333334</v>
      </c>
      <c r="AY48" s="15">
        <f t="shared" si="360"/>
        <v>10833333.333333334</v>
      </c>
      <c r="AZ48" s="15">
        <f t="shared" si="360"/>
        <v>10833333.333333334</v>
      </c>
      <c r="BA48" s="15">
        <f t="shared" si="360"/>
        <v>0</v>
      </c>
      <c r="BB48" s="15">
        <f t="shared" si="360"/>
        <v>0</v>
      </c>
      <c r="BC48" s="15">
        <f t="shared" si="360"/>
        <v>0</v>
      </c>
      <c r="BD48" s="15">
        <f t="shared" si="360"/>
        <v>0</v>
      </c>
      <c r="BE48" s="15">
        <f t="shared" si="361"/>
        <v>0</v>
      </c>
      <c r="BF48" s="15">
        <f t="shared" si="361"/>
        <v>0</v>
      </c>
      <c r="BG48" s="15">
        <f t="shared" si="361"/>
        <v>0</v>
      </c>
      <c r="BH48" s="15">
        <f t="shared" si="361"/>
        <v>0</v>
      </c>
      <c r="BI48" s="15">
        <f t="shared" si="361"/>
        <v>0</v>
      </c>
      <c r="BJ48" s="15">
        <f t="shared" si="361"/>
        <v>0</v>
      </c>
      <c r="BK48" s="15">
        <f t="shared" si="361"/>
        <v>0</v>
      </c>
      <c r="BL48" s="15">
        <f t="shared" si="361"/>
        <v>0</v>
      </c>
      <c r="BM48" s="15">
        <f t="shared" si="361"/>
        <v>0</v>
      </c>
      <c r="BN48" s="15">
        <f t="shared" si="361"/>
        <v>0</v>
      </c>
      <c r="BO48" s="15">
        <f t="shared" si="361"/>
        <v>0</v>
      </c>
      <c r="BP48" s="15">
        <f t="shared" si="361"/>
        <v>0</v>
      </c>
      <c r="BQ48" s="15">
        <f t="shared" si="361"/>
        <v>0</v>
      </c>
      <c r="BR48" s="15">
        <f t="shared" si="361"/>
        <v>0</v>
      </c>
      <c r="BT48" s="15">
        <f t="shared" si="362"/>
        <v>13000000</v>
      </c>
      <c r="BU48" s="15">
        <f t="shared" si="362"/>
        <v>13000000</v>
      </c>
      <c r="BV48" s="15">
        <f t="shared" si="362"/>
        <v>13000000</v>
      </c>
      <c r="BW48" s="15">
        <f t="shared" si="362"/>
        <v>13000000</v>
      </c>
      <c r="BX48" s="15">
        <f t="shared" si="362"/>
        <v>13000000</v>
      </c>
      <c r="BY48" s="15">
        <f t="shared" si="362"/>
        <v>13000000</v>
      </c>
      <c r="BZ48" s="15">
        <f t="shared" si="362"/>
        <v>13000000</v>
      </c>
      <c r="CA48" s="15">
        <f t="shared" si="362"/>
        <v>13000000</v>
      </c>
      <c r="CB48" s="15">
        <f t="shared" si="362"/>
        <v>13000000</v>
      </c>
      <c r="CC48" s="15">
        <f t="shared" si="362"/>
        <v>13000000</v>
      </c>
      <c r="CD48" s="15">
        <f t="shared" si="362"/>
        <v>13000000</v>
      </c>
      <c r="CE48" s="15">
        <f t="shared" si="362"/>
        <v>13000000</v>
      </c>
      <c r="CF48" s="15">
        <f t="shared" si="362"/>
        <v>0</v>
      </c>
      <c r="CG48" s="15">
        <f t="shared" si="362"/>
        <v>0</v>
      </c>
      <c r="CH48" s="15">
        <f t="shared" si="362"/>
        <v>0</v>
      </c>
      <c r="CI48" s="15">
        <f t="shared" si="362"/>
        <v>0</v>
      </c>
      <c r="CJ48" s="15">
        <f t="shared" si="363"/>
        <v>0</v>
      </c>
      <c r="CK48" s="15">
        <f t="shared" si="363"/>
        <v>0</v>
      </c>
      <c r="CL48" s="15">
        <f t="shared" si="363"/>
        <v>0</v>
      </c>
      <c r="CM48" s="15">
        <f t="shared" si="363"/>
        <v>0</v>
      </c>
      <c r="CN48" s="15">
        <f t="shared" si="363"/>
        <v>0</v>
      </c>
      <c r="CO48" s="15">
        <f t="shared" si="363"/>
        <v>0</v>
      </c>
      <c r="CP48" s="15">
        <f t="shared" si="363"/>
        <v>0</v>
      </c>
      <c r="CQ48" s="15">
        <f t="shared" si="363"/>
        <v>0</v>
      </c>
      <c r="CR48" s="15">
        <f t="shared" si="363"/>
        <v>0</v>
      </c>
      <c r="CS48" s="15">
        <f t="shared" si="363"/>
        <v>0</v>
      </c>
      <c r="CT48" s="15">
        <f t="shared" si="363"/>
        <v>0</v>
      </c>
      <c r="CU48" s="15">
        <f t="shared" si="363"/>
        <v>0</v>
      </c>
      <c r="CV48" s="15">
        <f t="shared" si="363"/>
        <v>0</v>
      </c>
      <c r="CW48" s="15">
        <f t="shared" si="363"/>
        <v>0</v>
      </c>
      <c r="CY48" s="15">
        <f t="shared" si="364"/>
        <v>13000000</v>
      </c>
      <c r="CZ48" s="15">
        <f t="shared" si="364"/>
        <v>13000000</v>
      </c>
      <c r="DA48" s="15">
        <f t="shared" si="364"/>
        <v>13000000</v>
      </c>
      <c r="DB48" s="15">
        <f t="shared" si="364"/>
        <v>13000000</v>
      </c>
      <c r="DC48" s="15">
        <f t="shared" si="364"/>
        <v>13000000</v>
      </c>
      <c r="DD48" s="15">
        <f t="shared" si="364"/>
        <v>13000000</v>
      </c>
      <c r="DE48" s="15">
        <f t="shared" si="364"/>
        <v>13000000</v>
      </c>
      <c r="DF48" s="15">
        <f t="shared" si="364"/>
        <v>13000000</v>
      </c>
      <c r="DG48" s="15">
        <f t="shared" si="364"/>
        <v>13000000</v>
      </c>
      <c r="DH48" s="15">
        <f t="shared" si="364"/>
        <v>13000000</v>
      </c>
      <c r="DI48" s="15">
        <f t="shared" si="364"/>
        <v>13000000</v>
      </c>
      <c r="DJ48" s="15">
        <f t="shared" si="364"/>
        <v>13000000</v>
      </c>
      <c r="DK48" s="15">
        <f t="shared" si="364"/>
        <v>0</v>
      </c>
      <c r="DL48" s="15">
        <f t="shared" si="364"/>
        <v>0</v>
      </c>
      <c r="DM48" s="15">
        <f t="shared" si="364"/>
        <v>0</v>
      </c>
      <c r="DN48" s="15">
        <f t="shared" si="364"/>
        <v>0</v>
      </c>
      <c r="DO48" s="15">
        <f t="shared" si="365"/>
        <v>0</v>
      </c>
      <c r="DP48" s="15">
        <f t="shared" si="365"/>
        <v>0</v>
      </c>
      <c r="DQ48" s="15">
        <f t="shared" si="365"/>
        <v>0</v>
      </c>
      <c r="DR48" s="15">
        <f t="shared" si="365"/>
        <v>0</v>
      </c>
      <c r="DS48" s="15">
        <f t="shared" si="365"/>
        <v>0</v>
      </c>
      <c r="DT48" s="15">
        <f t="shared" si="365"/>
        <v>0</v>
      </c>
      <c r="DU48" s="15">
        <f t="shared" si="365"/>
        <v>0</v>
      </c>
      <c r="DV48" s="15">
        <f t="shared" si="365"/>
        <v>0</v>
      </c>
      <c r="DW48" s="15">
        <f t="shared" si="365"/>
        <v>0</v>
      </c>
      <c r="DX48" s="15">
        <f t="shared" si="365"/>
        <v>0</v>
      </c>
      <c r="DY48" s="15">
        <f t="shared" si="365"/>
        <v>0</v>
      </c>
      <c r="DZ48" s="15">
        <f t="shared" si="365"/>
        <v>0</v>
      </c>
      <c r="EA48" s="15">
        <f t="shared" si="365"/>
        <v>0</v>
      </c>
      <c r="EB48" s="15">
        <f t="shared" si="365"/>
        <v>0</v>
      </c>
      <c r="ED48" s="15">
        <f t="shared" si="366"/>
        <v>10833333.333333334</v>
      </c>
      <c r="EE48" s="15">
        <f t="shared" si="366"/>
        <v>10833333.333333334</v>
      </c>
      <c r="EF48" s="15">
        <f t="shared" si="366"/>
        <v>10833333.333333334</v>
      </c>
      <c r="EG48" s="15">
        <f t="shared" si="366"/>
        <v>10833333.333333334</v>
      </c>
      <c r="EH48" s="15">
        <f t="shared" si="366"/>
        <v>10833333.333333334</v>
      </c>
      <c r="EI48" s="15">
        <f t="shared" si="366"/>
        <v>10833333.333333334</v>
      </c>
      <c r="EJ48" s="15">
        <f t="shared" si="366"/>
        <v>10833333.333333334</v>
      </c>
      <c r="EK48" s="15">
        <f t="shared" si="366"/>
        <v>10833333.333333334</v>
      </c>
      <c r="EL48" s="15">
        <f t="shared" si="366"/>
        <v>10833333.333333334</v>
      </c>
      <c r="EM48" s="15">
        <f t="shared" si="366"/>
        <v>10833333.333333334</v>
      </c>
      <c r="EN48" s="15">
        <f t="shared" si="366"/>
        <v>10833333.333333334</v>
      </c>
      <c r="EO48" s="15">
        <f t="shared" si="366"/>
        <v>10833333.333333334</v>
      </c>
      <c r="EP48" s="15">
        <f t="shared" si="366"/>
        <v>0</v>
      </c>
      <c r="EQ48" s="15">
        <f t="shared" si="366"/>
        <v>0</v>
      </c>
      <c r="ER48" s="15">
        <f t="shared" si="366"/>
        <v>0</v>
      </c>
      <c r="ES48" s="15">
        <f t="shared" si="366"/>
        <v>0</v>
      </c>
      <c r="ET48" s="15">
        <f t="shared" si="367"/>
        <v>0</v>
      </c>
      <c r="EU48" s="15">
        <f t="shared" si="367"/>
        <v>0</v>
      </c>
      <c r="EV48" s="15">
        <f t="shared" si="367"/>
        <v>0</v>
      </c>
      <c r="EW48" s="15">
        <f t="shared" si="367"/>
        <v>0</v>
      </c>
      <c r="EX48" s="15">
        <f t="shared" si="367"/>
        <v>0</v>
      </c>
      <c r="EY48" s="15">
        <f t="shared" si="367"/>
        <v>0</v>
      </c>
      <c r="EZ48" s="15">
        <f t="shared" si="367"/>
        <v>0</v>
      </c>
      <c r="FA48" s="15">
        <f t="shared" si="367"/>
        <v>0</v>
      </c>
      <c r="FB48" s="15">
        <f t="shared" si="367"/>
        <v>0</v>
      </c>
      <c r="FC48" s="15">
        <f t="shared" si="367"/>
        <v>0</v>
      </c>
      <c r="FD48" s="15">
        <f t="shared" si="367"/>
        <v>0</v>
      </c>
      <c r="FE48" s="15">
        <f t="shared" si="367"/>
        <v>0</v>
      </c>
      <c r="FF48" s="15">
        <f t="shared" si="367"/>
        <v>0</v>
      </c>
      <c r="FG48" s="15">
        <f t="shared" si="367"/>
        <v>0</v>
      </c>
      <c r="FI48" s="15">
        <f t="shared" si="368"/>
        <v>10833333.333333334</v>
      </c>
      <c r="FJ48" s="15">
        <f t="shared" si="368"/>
        <v>10833333.333333334</v>
      </c>
      <c r="FK48" s="15">
        <f t="shared" si="368"/>
        <v>10833333.333333334</v>
      </c>
      <c r="FL48" s="15">
        <f t="shared" si="368"/>
        <v>10833333.333333334</v>
      </c>
      <c r="FM48" s="15">
        <f t="shared" si="368"/>
        <v>10833333.333333334</v>
      </c>
      <c r="FN48" s="15">
        <f t="shared" si="368"/>
        <v>10833333.333333334</v>
      </c>
      <c r="FO48" s="15">
        <f t="shared" si="368"/>
        <v>10833333.333333334</v>
      </c>
      <c r="FP48" s="15">
        <f t="shared" si="368"/>
        <v>10833333.333333334</v>
      </c>
      <c r="FQ48" s="15">
        <f t="shared" si="368"/>
        <v>10833333.333333334</v>
      </c>
      <c r="FR48" s="15">
        <f t="shared" si="368"/>
        <v>10833333.333333334</v>
      </c>
      <c r="FS48" s="15">
        <f t="shared" si="368"/>
        <v>10833333.333333334</v>
      </c>
      <c r="FT48" s="15">
        <f t="shared" si="368"/>
        <v>10833333.333333334</v>
      </c>
      <c r="FU48" s="15">
        <f t="shared" si="368"/>
        <v>0</v>
      </c>
      <c r="FV48" s="15">
        <f t="shared" si="368"/>
        <v>0</v>
      </c>
      <c r="FW48" s="15">
        <f t="shared" si="368"/>
        <v>0</v>
      </c>
      <c r="FX48" s="15">
        <f t="shared" si="368"/>
        <v>0</v>
      </c>
      <c r="FY48" s="15">
        <f t="shared" si="369"/>
        <v>0</v>
      </c>
      <c r="FZ48" s="15">
        <f t="shared" si="369"/>
        <v>0</v>
      </c>
      <c r="GA48" s="15">
        <f t="shared" si="369"/>
        <v>0</v>
      </c>
      <c r="GB48" s="15">
        <f t="shared" si="369"/>
        <v>0</v>
      </c>
      <c r="GC48" s="15">
        <f t="shared" si="369"/>
        <v>0</v>
      </c>
      <c r="GD48" s="15">
        <f t="shared" si="369"/>
        <v>0</v>
      </c>
      <c r="GE48" s="15">
        <f t="shared" si="369"/>
        <v>0</v>
      </c>
      <c r="GF48" s="15">
        <f t="shared" si="369"/>
        <v>0</v>
      </c>
      <c r="GG48" s="15">
        <f t="shared" si="369"/>
        <v>0</v>
      </c>
      <c r="GH48" s="15">
        <f t="shared" si="369"/>
        <v>0</v>
      </c>
      <c r="GI48" s="15">
        <f t="shared" si="369"/>
        <v>0</v>
      </c>
      <c r="GJ48" s="15">
        <f t="shared" si="369"/>
        <v>0</v>
      </c>
      <c r="GK48" s="15">
        <f t="shared" si="369"/>
        <v>0</v>
      </c>
      <c r="GL48" s="15">
        <f t="shared" si="369"/>
        <v>0</v>
      </c>
      <c r="GN48" s="15">
        <f t="shared" si="370"/>
        <v>10833333.333333334</v>
      </c>
      <c r="GO48" s="15">
        <f t="shared" si="370"/>
        <v>10833333.333333334</v>
      </c>
      <c r="GP48" s="15">
        <f t="shared" si="370"/>
        <v>10833333.333333334</v>
      </c>
      <c r="GQ48" s="15">
        <f t="shared" si="370"/>
        <v>10833333.333333334</v>
      </c>
      <c r="GR48" s="15">
        <f t="shared" si="370"/>
        <v>10833333.333333334</v>
      </c>
      <c r="GS48" s="15">
        <f t="shared" si="370"/>
        <v>10833333.333333334</v>
      </c>
      <c r="GT48" s="15">
        <f t="shared" si="370"/>
        <v>10833333.333333334</v>
      </c>
      <c r="GU48" s="15">
        <f t="shared" si="370"/>
        <v>10833333.333333334</v>
      </c>
      <c r="GV48" s="15">
        <f t="shared" si="370"/>
        <v>10833333.333333334</v>
      </c>
      <c r="GW48" s="15">
        <f t="shared" si="370"/>
        <v>10833333.333333334</v>
      </c>
      <c r="GX48" s="15">
        <f t="shared" si="370"/>
        <v>10833333.333333334</v>
      </c>
      <c r="GY48" s="15">
        <f t="shared" si="370"/>
        <v>10833333.333333334</v>
      </c>
      <c r="GZ48" s="15">
        <f t="shared" si="370"/>
        <v>0</v>
      </c>
      <c r="HA48" s="15">
        <f t="shared" si="370"/>
        <v>0</v>
      </c>
      <c r="HB48" s="15">
        <f t="shared" si="370"/>
        <v>0</v>
      </c>
      <c r="HC48" s="15">
        <f t="shared" si="370"/>
        <v>0</v>
      </c>
      <c r="HD48" s="15">
        <f t="shared" si="371"/>
        <v>0</v>
      </c>
      <c r="HE48" s="15">
        <f t="shared" si="371"/>
        <v>0</v>
      </c>
      <c r="HF48" s="15">
        <f t="shared" si="371"/>
        <v>0</v>
      </c>
      <c r="HG48" s="15">
        <f t="shared" si="371"/>
        <v>0</v>
      </c>
      <c r="HH48" s="15">
        <f t="shared" si="371"/>
        <v>0</v>
      </c>
      <c r="HI48" s="15">
        <f t="shared" si="371"/>
        <v>0</v>
      </c>
      <c r="HJ48" s="15">
        <f t="shared" si="371"/>
        <v>0</v>
      </c>
      <c r="HK48" s="15">
        <f t="shared" si="371"/>
        <v>0</v>
      </c>
      <c r="HL48" s="15">
        <f t="shared" si="371"/>
        <v>0</v>
      </c>
      <c r="HM48" s="15">
        <f t="shared" si="371"/>
        <v>0</v>
      </c>
      <c r="HN48" s="15">
        <f t="shared" si="371"/>
        <v>0</v>
      </c>
      <c r="HO48" s="15">
        <f t="shared" si="371"/>
        <v>0</v>
      </c>
      <c r="HP48" s="15">
        <f t="shared" si="371"/>
        <v>0</v>
      </c>
      <c r="HQ48" s="15">
        <f t="shared" si="371"/>
        <v>0</v>
      </c>
    </row>
    <row r="49" spans="1:225" outlineLevel="1" x14ac:dyDescent="0.25">
      <c r="B49" t="s">
        <v>345</v>
      </c>
      <c r="C49" s="624" t="s">
        <v>252</v>
      </c>
      <c r="D49" s="614" t="s">
        <v>232</v>
      </c>
      <c r="E49" s="468">
        <v>1</v>
      </c>
      <c r="F49" s="221"/>
      <c r="G49" s="457">
        <v>12</v>
      </c>
      <c r="H49" s="468">
        <f t="shared" si="372"/>
        <v>130000000</v>
      </c>
      <c r="I49" s="457">
        <f t="shared" si="343"/>
        <v>130000000</v>
      </c>
      <c r="J49" s="457">
        <f t="shared" si="344"/>
        <v>10833333.333333334</v>
      </c>
      <c r="K49" s="221"/>
      <c r="L49" s="457">
        <v>12</v>
      </c>
      <c r="M49" s="457">
        <f t="shared" si="345"/>
        <v>156000000</v>
      </c>
      <c r="N49" s="457">
        <f t="shared" si="346"/>
        <v>156000000</v>
      </c>
      <c r="O49" s="457">
        <f t="shared" si="347"/>
        <v>13000000</v>
      </c>
      <c r="P49" s="221"/>
      <c r="Q49" s="457">
        <v>12</v>
      </c>
      <c r="R49" s="457">
        <f t="shared" si="348"/>
        <v>156000000</v>
      </c>
      <c r="S49" s="457">
        <f t="shared" si="349"/>
        <v>156000000</v>
      </c>
      <c r="T49" s="457">
        <f t="shared" si="350"/>
        <v>13000000</v>
      </c>
      <c r="U49" s="221"/>
      <c r="V49" s="457">
        <v>12</v>
      </c>
      <c r="W49" s="457">
        <f t="shared" si="351"/>
        <v>130000000</v>
      </c>
      <c r="X49" s="457">
        <f t="shared" si="352"/>
        <v>130000000</v>
      </c>
      <c r="Y49" s="457">
        <f t="shared" si="353"/>
        <v>10833333.333333334</v>
      </c>
      <c r="Z49" s="221"/>
      <c r="AA49" s="457">
        <v>12</v>
      </c>
      <c r="AB49" s="457">
        <f t="shared" si="354"/>
        <v>130000000</v>
      </c>
      <c r="AC49" s="457">
        <f t="shared" si="355"/>
        <v>130000000</v>
      </c>
      <c r="AD49" s="457">
        <f t="shared" si="356"/>
        <v>10833333.333333334</v>
      </c>
      <c r="AE49" s="221"/>
      <c r="AF49" s="457">
        <v>12</v>
      </c>
      <c r="AG49" s="457">
        <f t="shared" si="357"/>
        <v>130000000</v>
      </c>
      <c r="AH49" s="457">
        <f t="shared" si="358"/>
        <v>130000000</v>
      </c>
      <c r="AI49" s="457">
        <f t="shared" si="359"/>
        <v>10833333.333333334</v>
      </c>
      <c r="AJ49" s="221"/>
      <c r="AM49" t="s">
        <v>337</v>
      </c>
      <c r="AO49" s="15">
        <f t="shared" si="360"/>
        <v>10833333.333333334</v>
      </c>
      <c r="AP49" s="15">
        <f t="shared" si="360"/>
        <v>10833333.333333334</v>
      </c>
      <c r="AQ49" s="15">
        <f t="shared" si="360"/>
        <v>10833333.333333334</v>
      </c>
      <c r="AR49" s="15">
        <f t="shared" si="360"/>
        <v>10833333.333333334</v>
      </c>
      <c r="AS49" s="15">
        <f t="shared" si="360"/>
        <v>10833333.333333334</v>
      </c>
      <c r="AT49" s="15">
        <f t="shared" si="360"/>
        <v>10833333.333333334</v>
      </c>
      <c r="AU49" s="15">
        <f t="shared" si="360"/>
        <v>10833333.333333334</v>
      </c>
      <c r="AV49" s="15">
        <f t="shared" si="360"/>
        <v>10833333.333333334</v>
      </c>
      <c r="AW49" s="15">
        <f t="shared" si="360"/>
        <v>10833333.333333334</v>
      </c>
      <c r="AX49" s="15">
        <f t="shared" si="360"/>
        <v>10833333.333333334</v>
      </c>
      <c r="AY49" s="15">
        <f t="shared" si="360"/>
        <v>10833333.333333334</v>
      </c>
      <c r="AZ49" s="15">
        <f t="shared" si="360"/>
        <v>10833333.333333334</v>
      </c>
      <c r="BA49" s="15">
        <f t="shared" si="360"/>
        <v>0</v>
      </c>
      <c r="BB49" s="15">
        <f t="shared" si="360"/>
        <v>0</v>
      </c>
      <c r="BC49" s="15">
        <f t="shared" si="360"/>
        <v>0</v>
      </c>
      <c r="BD49" s="15">
        <f t="shared" si="360"/>
        <v>0</v>
      </c>
      <c r="BE49" s="15">
        <f t="shared" si="361"/>
        <v>0</v>
      </c>
      <c r="BF49" s="15">
        <f t="shared" si="361"/>
        <v>0</v>
      </c>
      <c r="BG49" s="15">
        <f t="shared" si="361"/>
        <v>0</v>
      </c>
      <c r="BH49" s="15">
        <f t="shared" si="361"/>
        <v>0</v>
      </c>
      <c r="BI49" s="15">
        <f t="shared" si="361"/>
        <v>0</v>
      </c>
      <c r="BJ49" s="15">
        <f t="shared" si="361"/>
        <v>0</v>
      </c>
      <c r="BK49" s="15">
        <f t="shared" si="361"/>
        <v>0</v>
      </c>
      <c r="BL49" s="15">
        <f t="shared" si="361"/>
        <v>0</v>
      </c>
      <c r="BM49" s="15">
        <f t="shared" si="361"/>
        <v>0</v>
      </c>
      <c r="BN49" s="15">
        <f t="shared" si="361"/>
        <v>0</v>
      </c>
      <c r="BO49" s="15">
        <f t="shared" si="361"/>
        <v>0</v>
      </c>
      <c r="BP49" s="15">
        <f t="shared" si="361"/>
        <v>0</v>
      </c>
      <c r="BQ49" s="15">
        <f t="shared" si="361"/>
        <v>0</v>
      </c>
      <c r="BR49" s="15">
        <f t="shared" si="361"/>
        <v>0</v>
      </c>
      <c r="BT49" s="15">
        <f t="shared" si="362"/>
        <v>13000000</v>
      </c>
      <c r="BU49" s="15">
        <f t="shared" si="362"/>
        <v>13000000</v>
      </c>
      <c r="BV49" s="15">
        <f t="shared" si="362"/>
        <v>13000000</v>
      </c>
      <c r="BW49" s="15">
        <f t="shared" si="362"/>
        <v>13000000</v>
      </c>
      <c r="BX49" s="15">
        <f t="shared" si="362"/>
        <v>13000000</v>
      </c>
      <c r="BY49" s="15">
        <f t="shared" si="362"/>
        <v>13000000</v>
      </c>
      <c r="BZ49" s="15">
        <f t="shared" si="362"/>
        <v>13000000</v>
      </c>
      <c r="CA49" s="15">
        <f t="shared" si="362"/>
        <v>13000000</v>
      </c>
      <c r="CB49" s="15">
        <f t="shared" si="362"/>
        <v>13000000</v>
      </c>
      <c r="CC49" s="15">
        <f t="shared" si="362"/>
        <v>13000000</v>
      </c>
      <c r="CD49" s="15">
        <f t="shared" si="362"/>
        <v>13000000</v>
      </c>
      <c r="CE49" s="15">
        <f t="shared" si="362"/>
        <v>13000000</v>
      </c>
      <c r="CF49" s="15">
        <f t="shared" si="362"/>
        <v>0</v>
      </c>
      <c r="CG49" s="15">
        <f t="shared" si="362"/>
        <v>0</v>
      </c>
      <c r="CH49" s="15">
        <f t="shared" si="362"/>
        <v>0</v>
      </c>
      <c r="CI49" s="15">
        <f t="shared" si="362"/>
        <v>0</v>
      </c>
      <c r="CJ49" s="15">
        <f t="shared" si="363"/>
        <v>0</v>
      </c>
      <c r="CK49" s="15">
        <f t="shared" si="363"/>
        <v>0</v>
      </c>
      <c r="CL49" s="15">
        <f t="shared" si="363"/>
        <v>0</v>
      </c>
      <c r="CM49" s="15">
        <f t="shared" si="363"/>
        <v>0</v>
      </c>
      <c r="CN49" s="15">
        <f t="shared" si="363"/>
        <v>0</v>
      </c>
      <c r="CO49" s="15">
        <f t="shared" si="363"/>
        <v>0</v>
      </c>
      <c r="CP49" s="15">
        <f t="shared" si="363"/>
        <v>0</v>
      </c>
      <c r="CQ49" s="15">
        <f t="shared" si="363"/>
        <v>0</v>
      </c>
      <c r="CR49" s="15">
        <f t="shared" si="363"/>
        <v>0</v>
      </c>
      <c r="CS49" s="15">
        <f t="shared" si="363"/>
        <v>0</v>
      </c>
      <c r="CT49" s="15">
        <f t="shared" si="363"/>
        <v>0</v>
      </c>
      <c r="CU49" s="15">
        <f t="shared" si="363"/>
        <v>0</v>
      </c>
      <c r="CV49" s="15">
        <f t="shared" si="363"/>
        <v>0</v>
      </c>
      <c r="CW49" s="15">
        <f t="shared" si="363"/>
        <v>0</v>
      </c>
      <c r="CY49" s="15">
        <f t="shared" si="364"/>
        <v>13000000</v>
      </c>
      <c r="CZ49" s="15">
        <f t="shared" si="364"/>
        <v>13000000</v>
      </c>
      <c r="DA49" s="15">
        <f t="shared" si="364"/>
        <v>13000000</v>
      </c>
      <c r="DB49" s="15">
        <f t="shared" si="364"/>
        <v>13000000</v>
      </c>
      <c r="DC49" s="15">
        <f t="shared" si="364"/>
        <v>13000000</v>
      </c>
      <c r="DD49" s="15">
        <f t="shared" si="364"/>
        <v>13000000</v>
      </c>
      <c r="DE49" s="15">
        <f t="shared" si="364"/>
        <v>13000000</v>
      </c>
      <c r="DF49" s="15">
        <f t="shared" si="364"/>
        <v>13000000</v>
      </c>
      <c r="DG49" s="15">
        <f t="shared" si="364"/>
        <v>13000000</v>
      </c>
      <c r="DH49" s="15">
        <f t="shared" si="364"/>
        <v>13000000</v>
      </c>
      <c r="DI49" s="15">
        <f t="shared" si="364"/>
        <v>13000000</v>
      </c>
      <c r="DJ49" s="15">
        <f t="shared" si="364"/>
        <v>13000000</v>
      </c>
      <c r="DK49" s="15">
        <f t="shared" si="364"/>
        <v>0</v>
      </c>
      <c r="DL49" s="15">
        <f t="shared" si="364"/>
        <v>0</v>
      </c>
      <c r="DM49" s="15">
        <f t="shared" si="364"/>
        <v>0</v>
      </c>
      <c r="DN49" s="15">
        <f t="shared" si="364"/>
        <v>0</v>
      </c>
      <c r="DO49" s="15">
        <f t="shared" si="365"/>
        <v>0</v>
      </c>
      <c r="DP49" s="15">
        <f t="shared" si="365"/>
        <v>0</v>
      </c>
      <c r="DQ49" s="15">
        <f t="shared" si="365"/>
        <v>0</v>
      </c>
      <c r="DR49" s="15">
        <f t="shared" si="365"/>
        <v>0</v>
      </c>
      <c r="DS49" s="15">
        <f t="shared" si="365"/>
        <v>0</v>
      </c>
      <c r="DT49" s="15">
        <f t="shared" si="365"/>
        <v>0</v>
      </c>
      <c r="DU49" s="15">
        <f t="shared" si="365"/>
        <v>0</v>
      </c>
      <c r="DV49" s="15">
        <f t="shared" si="365"/>
        <v>0</v>
      </c>
      <c r="DW49" s="15">
        <f t="shared" si="365"/>
        <v>0</v>
      </c>
      <c r="DX49" s="15">
        <f t="shared" si="365"/>
        <v>0</v>
      </c>
      <c r="DY49" s="15">
        <f t="shared" si="365"/>
        <v>0</v>
      </c>
      <c r="DZ49" s="15">
        <f t="shared" si="365"/>
        <v>0</v>
      </c>
      <c r="EA49" s="15">
        <f t="shared" si="365"/>
        <v>0</v>
      </c>
      <c r="EB49" s="15">
        <f t="shared" si="365"/>
        <v>0</v>
      </c>
      <c r="ED49" s="15">
        <f t="shared" si="366"/>
        <v>10833333.333333334</v>
      </c>
      <c r="EE49" s="15">
        <f t="shared" si="366"/>
        <v>10833333.333333334</v>
      </c>
      <c r="EF49" s="15">
        <f t="shared" si="366"/>
        <v>10833333.333333334</v>
      </c>
      <c r="EG49" s="15">
        <f t="shared" si="366"/>
        <v>10833333.333333334</v>
      </c>
      <c r="EH49" s="15">
        <f t="shared" si="366"/>
        <v>10833333.333333334</v>
      </c>
      <c r="EI49" s="15">
        <f t="shared" si="366"/>
        <v>10833333.333333334</v>
      </c>
      <c r="EJ49" s="15">
        <f t="shared" si="366"/>
        <v>10833333.333333334</v>
      </c>
      <c r="EK49" s="15">
        <f t="shared" si="366"/>
        <v>10833333.333333334</v>
      </c>
      <c r="EL49" s="15">
        <f t="shared" si="366"/>
        <v>10833333.333333334</v>
      </c>
      <c r="EM49" s="15">
        <f t="shared" si="366"/>
        <v>10833333.333333334</v>
      </c>
      <c r="EN49" s="15">
        <f t="shared" si="366"/>
        <v>10833333.333333334</v>
      </c>
      <c r="EO49" s="15">
        <f t="shared" si="366"/>
        <v>10833333.333333334</v>
      </c>
      <c r="EP49" s="15">
        <f t="shared" si="366"/>
        <v>0</v>
      </c>
      <c r="EQ49" s="15">
        <f t="shared" si="366"/>
        <v>0</v>
      </c>
      <c r="ER49" s="15">
        <f t="shared" si="366"/>
        <v>0</v>
      </c>
      <c r="ES49" s="15">
        <f t="shared" si="366"/>
        <v>0</v>
      </c>
      <c r="ET49" s="15">
        <f t="shared" si="367"/>
        <v>0</v>
      </c>
      <c r="EU49" s="15">
        <f t="shared" si="367"/>
        <v>0</v>
      </c>
      <c r="EV49" s="15">
        <f t="shared" si="367"/>
        <v>0</v>
      </c>
      <c r="EW49" s="15">
        <f t="shared" si="367"/>
        <v>0</v>
      </c>
      <c r="EX49" s="15">
        <f t="shared" si="367"/>
        <v>0</v>
      </c>
      <c r="EY49" s="15">
        <f t="shared" si="367"/>
        <v>0</v>
      </c>
      <c r="EZ49" s="15">
        <f t="shared" si="367"/>
        <v>0</v>
      </c>
      <c r="FA49" s="15">
        <f t="shared" si="367"/>
        <v>0</v>
      </c>
      <c r="FB49" s="15">
        <f t="shared" si="367"/>
        <v>0</v>
      </c>
      <c r="FC49" s="15">
        <f t="shared" si="367"/>
        <v>0</v>
      </c>
      <c r="FD49" s="15">
        <f t="shared" si="367"/>
        <v>0</v>
      </c>
      <c r="FE49" s="15">
        <f t="shared" si="367"/>
        <v>0</v>
      </c>
      <c r="FF49" s="15">
        <f t="shared" si="367"/>
        <v>0</v>
      </c>
      <c r="FG49" s="15">
        <f t="shared" si="367"/>
        <v>0</v>
      </c>
      <c r="FI49" s="15">
        <f t="shared" si="368"/>
        <v>10833333.333333334</v>
      </c>
      <c r="FJ49" s="15">
        <f t="shared" si="368"/>
        <v>10833333.333333334</v>
      </c>
      <c r="FK49" s="15">
        <f t="shared" si="368"/>
        <v>10833333.333333334</v>
      </c>
      <c r="FL49" s="15">
        <f t="shared" si="368"/>
        <v>10833333.333333334</v>
      </c>
      <c r="FM49" s="15">
        <f t="shared" si="368"/>
        <v>10833333.333333334</v>
      </c>
      <c r="FN49" s="15">
        <f t="shared" si="368"/>
        <v>10833333.333333334</v>
      </c>
      <c r="FO49" s="15">
        <f t="shared" si="368"/>
        <v>10833333.333333334</v>
      </c>
      <c r="FP49" s="15">
        <f t="shared" si="368"/>
        <v>10833333.333333334</v>
      </c>
      <c r="FQ49" s="15">
        <f t="shared" si="368"/>
        <v>10833333.333333334</v>
      </c>
      <c r="FR49" s="15">
        <f t="shared" si="368"/>
        <v>10833333.333333334</v>
      </c>
      <c r="FS49" s="15">
        <f t="shared" si="368"/>
        <v>10833333.333333334</v>
      </c>
      <c r="FT49" s="15">
        <f t="shared" si="368"/>
        <v>10833333.333333334</v>
      </c>
      <c r="FU49" s="15">
        <f t="shared" si="368"/>
        <v>0</v>
      </c>
      <c r="FV49" s="15">
        <f t="shared" si="368"/>
        <v>0</v>
      </c>
      <c r="FW49" s="15">
        <f t="shared" si="368"/>
        <v>0</v>
      </c>
      <c r="FX49" s="15">
        <f t="shared" si="368"/>
        <v>0</v>
      </c>
      <c r="FY49" s="15">
        <f t="shared" si="369"/>
        <v>0</v>
      </c>
      <c r="FZ49" s="15">
        <f t="shared" si="369"/>
        <v>0</v>
      </c>
      <c r="GA49" s="15">
        <f t="shared" si="369"/>
        <v>0</v>
      </c>
      <c r="GB49" s="15">
        <f t="shared" si="369"/>
        <v>0</v>
      </c>
      <c r="GC49" s="15">
        <f t="shared" si="369"/>
        <v>0</v>
      </c>
      <c r="GD49" s="15">
        <f t="shared" si="369"/>
        <v>0</v>
      </c>
      <c r="GE49" s="15">
        <f t="shared" si="369"/>
        <v>0</v>
      </c>
      <c r="GF49" s="15">
        <f t="shared" si="369"/>
        <v>0</v>
      </c>
      <c r="GG49" s="15">
        <f t="shared" si="369"/>
        <v>0</v>
      </c>
      <c r="GH49" s="15">
        <f t="shared" si="369"/>
        <v>0</v>
      </c>
      <c r="GI49" s="15">
        <f t="shared" si="369"/>
        <v>0</v>
      </c>
      <c r="GJ49" s="15">
        <f t="shared" si="369"/>
        <v>0</v>
      </c>
      <c r="GK49" s="15">
        <f t="shared" si="369"/>
        <v>0</v>
      </c>
      <c r="GL49" s="15">
        <f t="shared" si="369"/>
        <v>0</v>
      </c>
      <c r="GN49" s="15">
        <f t="shared" si="370"/>
        <v>10833333.333333334</v>
      </c>
      <c r="GO49" s="15">
        <f t="shared" si="370"/>
        <v>10833333.333333334</v>
      </c>
      <c r="GP49" s="15">
        <f t="shared" si="370"/>
        <v>10833333.333333334</v>
      </c>
      <c r="GQ49" s="15">
        <f t="shared" si="370"/>
        <v>10833333.333333334</v>
      </c>
      <c r="GR49" s="15">
        <f t="shared" si="370"/>
        <v>10833333.333333334</v>
      </c>
      <c r="GS49" s="15">
        <f t="shared" si="370"/>
        <v>10833333.333333334</v>
      </c>
      <c r="GT49" s="15">
        <f t="shared" si="370"/>
        <v>10833333.333333334</v>
      </c>
      <c r="GU49" s="15">
        <f t="shared" si="370"/>
        <v>10833333.333333334</v>
      </c>
      <c r="GV49" s="15">
        <f t="shared" si="370"/>
        <v>10833333.333333334</v>
      </c>
      <c r="GW49" s="15">
        <f t="shared" si="370"/>
        <v>10833333.333333334</v>
      </c>
      <c r="GX49" s="15">
        <f t="shared" si="370"/>
        <v>10833333.333333334</v>
      </c>
      <c r="GY49" s="15">
        <f t="shared" si="370"/>
        <v>10833333.333333334</v>
      </c>
      <c r="GZ49" s="15">
        <f t="shared" si="370"/>
        <v>0</v>
      </c>
      <c r="HA49" s="15">
        <f t="shared" si="370"/>
        <v>0</v>
      </c>
      <c r="HB49" s="15">
        <f t="shared" si="370"/>
        <v>0</v>
      </c>
      <c r="HC49" s="15">
        <f t="shared" si="370"/>
        <v>0</v>
      </c>
      <c r="HD49" s="15">
        <f t="shared" si="371"/>
        <v>0</v>
      </c>
      <c r="HE49" s="15">
        <f t="shared" si="371"/>
        <v>0</v>
      </c>
      <c r="HF49" s="15">
        <f t="shared" si="371"/>
        <v>0</v>
      </c>
      <c r="HG49" s="15">
        <f t="shared" si="371"/>
        <v>0</v>
      </c>
      <c r="HH49" s="15">
        <f t="shared" si="371"/>
        <v>0</v>
      </c>
      <c r="HI49" s="15">
        <f t="shared" si="371"/>
        <v>0</v>
      </c>
      <c r="HJ49" s="15">
        <f t="shared" si="371"/>
        <v>0</v>
      </c>
      <c r="HK49" s="15">
        <f t="shared" si="371"/>
        <v>0</v>
      </c>
      <c r="HL49" s="15">
        <f t="shared" si="371"/>
        <v>0</v>
      </c>
      <c r="HM49" s="15">
        <f t="shared" si="371"/>
        <v>0</v>
      </c>
      <c r="HN49" s="15">
        <f t="shared" si="371"/>
        <v>0</v>
      </c>
      <c r="HO49" s="15">
        <f t="shared" si="371"/>
        <v>0</v>
      </c>
      <c r="HP49" s="15">
        <f t="shared" si="371"/>
        <v>0</v>
      </c>
      <c r="HQ49" s="15">
        <f t="shared" si="371"/>
        <v>0</v>
      </c>
    </row>
    <row r="50" spans="1:225" outlineLevel="1" x14ac:dyDescent="0.25">
      <c r="B50" t="s">
        <v>345</v>
      </c>
      <c r="C50" s="624" t="s">
        <v>253</v>
      </c>
      <c r="D50" s="614" t="s">
        <v>233</v>
      </c>
      <c r="E50" s="468">
        <v>1</v>
      </c>
      <c r="F50" s="221"/>
      <c r="G50" s="457">
        <v>12</v>
      </c>
      <c r="H50" s="468">
        <f t="shared" si="372"/>
        <v>130000000</v>
      </c>
      <c r="I50" s="457">
        <f t="shared" si="343"/>
        <v>130000000</v>
      </c>
      <c r="J50" s="457">
        <f t="shared" si="344"/>
        <v>10833333.333333334</v>
      </c>
      <c r="K50" s="221"/>
      <c r="L50" s="457">
        <v>12</v>
      </c>
      <c r="M50" s="457">
        <f t="shared" si="345"/>
        <v>156000000</v>
      </c>
      <c r="N50" s="457">
        <f t="shared" si="346"/>
        <v>156000000</v>
      </c>
      <c r="O50" s="457">
        <f t="shared" si="347"/>
        <v>13000000</v>
      </c>
      <c r="P50" s="221"/>
      <c r="Q50" s="457">
        <v>12</v>
      </c>
      <c r="R50" s="457">
        <f t="shared" si="348"/>
        <v>156000000</v>
      </c>
      <c r="S50" s="457">
        <f t="shared" si="349"/>
        <v>156000000</v>
      </c>
      <c r="T50" s="457">
        <f t="shared" si="350"/>
        <v>13000000</v>
      </c>
      <c r="U50" s="221"/>
      <c r="V50" s="457">
        <v>12</v>
      </c>
      <c r="W50" s="457">
        <f t="shared" si="351"/>
        <v>130000000</v>
      </c>
      <c r="X50" s="457">
        <f t="shared" si="352"/>
        <v>130000000</v>
      </c>
      <c r="Y50" s="457">
        <f t="shared" si="353"/>
        <v>10833333.333333334</v>
      </c>
      <c r="Z50" s="221"/>
      <c r="AA50" s="457">
        <v>12</v>
      </c>
      <c r="AB50" s="457">
        <f t="shared" si="354"/>
        <v>130000000</v>
      </c>
      <c r="AC50" s="457">
        <f t="shared" si="355"/>
        <v>130000000</v>
      </c>
      <c r="AD50" s="457">
        <f t="shared" si="356"/>
        <v>10833333.333333334</v>
      </c>
      <c r="AE50" s="221"/>
      <c r="AF50" s="457">
        <v>12</v>
      </c>
      <c r="AG50" s="457">
        <f t="shared" si="357"/>
        <v>130000000</v>
      </c>
      <c r="AH50" s="457">
        <f t="shared" si="358"/>
        <v>130000000</v>
      </c>
      <c r="AI50" s="457">
        <f t="shared" si="359"/>
        <v>10833333.333333334</v>
      </c>
      <c r="AJ50" s="221"/>
      <c r="AM50" t="s">
        <v>337</v>
      </c>
      <c r="AO50" s="15">
        <f t="shared" si="360"/>
        <v>10833333.333333334</v>
      </c>
      <c r="AP50" s="15">
        <f t="shared" si="360"/>
        <v>10833333.333333334</v>
      </c>
      <c r="AQ50" s="15">
        <f t="shared" si="360"/>
        <v>10833333.333333334</v>
      </c>
      <c r="AR50" s="15">
        <f t="shared" si="360"/>
        <v>10833333.333333334</v>
      </c>
      <c r="AS50" s="15">
        <f t="shared" si="360"/>
        <v>10833333.333333334</v>
      </c>
      <c r="AT50" s="15">
        <f t="shared" si="360"/>
        <v>10833333.333333334</v>
      </c>
      <c r="AU50" s="15">
        <f t="shared" si="360"/>
        <v>10833333.333333334</v>
      </c>
      <c r="AV50" s="15">
        <f t="shared" si="360"/>
        <v>10833333.333333334</v>
      </c>
      <c r="AW50" s="15">
        <f t="shared" si="360"/>
        <v>10833333.333333334</v>
      </c>
      <c r="AX50" s="15">
        <f t="shared" si="360"/>
        <v>10833333.333333334</v>
      </c>
      <c r="AY50" s="15">
        <f t="shared" si="360"/>
        <v>10833333.333333334</v>
      </c>
      <c r="AZ50" s="15">
        <f t="shared" si="360"/>
        <v>10833333.333333334</v>
      </c>
      <c r="BA50" s="15">
        <f t="shared" si="360"/>
        <v>0</v>
      </c>
      <c r="BB50" s="15">
        <f t="shared" si="360"/>
        <v>0</v>
      </c>
      <c r="BC50" s="15">
        <f t="shared" si="360"/>
        <v>0</v>
      </c>
      <c r="BD50" s="15">
        <f t="shared" si="360"/>
        <v>0</v>
      </c>
      <c r="BE50" s="15">
        <f t="shared" si="361"/>
        <v>0</v>
      </c>
      <c r="BF50" s="15">
        <f t="shared" si="361"/>
        <v>0</v>
      </c>
      <c r="BG50" s="15">
        <f t="shared" si="361"/>
        <v>0</v>
      </c>
      <c r="BH50" s="15">
        <f t="shared" si="361"/>
        <v>0</v>
      </c>
      <c r="BI50" s="15">
        <f t="shared" si="361"/>
        <v>0</v>
      </c>
      <c r="BJ50" s="15">
        <f t="shared" si="361"/>
        <v>0</v>
      </c>
      <c r="BK50" s="15">
        <f t="shared" si="361"/>
        <v>0</v>
      </c>
      <c r="BL50" s="15">
        <f t="shared" si="361"/>
        <v>0</v>
      </c>
      <c r="BM50" s="15">
        <f t="shared" si="361"/>
        <v>0</v>
      </c>
      <c r="BN50" s="15">
        <f t="shared" si="361"/>
        <v>0</v>
      </c>
      <c r="BO50" s="15">
        <f t="shared" si="361"/>
        <v>0</v>
      </c>
      <c r="BP50" s="15">
        <f t="shared" si="361"/>
        <v>0</v>
      </c>
      <c r="BQ50" s="15">
        <f t="shared" si="361"/>
        <v>0</v>
      </c>
      <c r="BR50" s="15">
        <f t="shared" si="361"/>
        <v>0</v>
      </c>
      <c r="BT50" s="15">
        <f t="shared" si="362"/>
        <v>13000000</v>
      </c>
      <c r="BU50" s="15">
        <f t="shared" si="362"/>
        <v>13000000</v>
      </c>
      <c r="BV50" s="15">
        <f t="shared" si="362"/>
        <v>13000000</v>
      </c>
      <c r="BW50" s="15">
        <f t="shared" si="362"/>
        <v>13000000</v>
      </c>
      <c r="BX50" s="15">
        <f t="shared" si="362"/>
        <v>13000000</v>
      </c>
      <c r="BY50" s="15">
        <f t="shared" si="362"/>
        <v>13000000</v>
      </c>
      <c r="BZ50" s="15">
        <f t="shared" si="362"/>
        <v>13000000</v>
      </c>
      <c r="CA50" s="15">
        <f t="shared" si="362"/>
        <v>13000000</v>
      </c>
      <c r="CB50" s="15">
        <f t="shared" si="362"/>
        <v>13000000</v>
      </c>
      <c r="CC50" s="15">
        <f t="shared" si="362"/>
        <v>13000000</v>
      </c>
      <c r="CD50" s="15">
        <f t="shared" si="362"/>
        <v>13000000</v>
      </c>
      <c r="CE50" s="15">
        <f t="shared" si="362"/>
        <v>13000000</v>
      </c>
      <c r="CF50" s="15">
        <f t="shared" si="362"/>
        <v>0</v>
      </c>
      <c r="CG50" s="15">
        <f t="shared" si="362"/>
        <v>0</v>
      </c>
      <c r="CH50" s="15">
        <f t="shared" si="362"/>
        <v>0</v>
      </c>
      <c r="CI50" s="15">
        <f t="shared" si="362"/>
        <v>0</v>
      </c>
      <c r="CJ50" s="15">
        <f t="shared" si="363"/>
        <v>0</v>
      </c>
      <c r="CK50" s="15">
        <f t="shared" si="363"/>
        <v>0</v>
      </c>
      <c r="CL50" s="15">
        <f t="shared" si="363"/>
        <v>0</v>
      </c>
      <c r="CM50" s="15">
        <f t="shared" si="363"/>
        <v>0</v>
      </c>
      <c r="CN50" s="15">
        <f t="shared" si="363"/>
        <v>0</v>
      </c>
      <c r="CO50" s="15">
        <f t="shared" si="363"/>
        <v>0</v>
      </c>
      <c r="CP50" s="15">
        <f t="shared" si="363"/>
        <v>0</v>
      </c>
      <c r="CQ50" s="15">
        <f t="shared" si="363"/>
        <v>0</v>
      </c>
      <c r="CR50" s="15">
        <f t="shared" si="363"/>
        <v>0</v>
      </c>
      <c r="CS50" s="15">
        <f t="shared" si="363"/>
        <v>0</v>
      </c>
      <c r="CT50" s="15">
        <f t="shared" si="363"/>
        <v>0</v>
      </c>
      <c r="CU50" s="15">
        <f t="shared" si="363"/>
        <v>0</v>
      </c>
      <c r="CV50" s="15">
        <f t="shared" si="363"/>
        <v>0</v>
      </c>
      <c r="CW50" s="15">
        <f t="shared" si="363"/>
        <v>0</v>
      </c>
      <c r="CY50" s="15">
        <f t="shared" si="364"/>
        <v>13000000</v>
      </c>
      <c r="CZ50" s="15">
        <f t="shared" si="364"/>
        <v>13000000</v>
      </c>
      <c r="DA50" s="15">
        <f t="shared" si="364"/>
        <v>13000000</v>
      </c>
      <c r="DB50" s="15">
        <f t="shared" si="364"/>
        <v>13000000</v>
      </c>
      <c r="DC50" s="15">
        <f t="shared" si="364"/>
        <v>13000000</v>
      </c>
      <c r="DD50" s="15">
        <f t="shared" si="364"/>
        <v>13000000</v>
      </c>
      <c r="DE50" s="15">
        <f t="shared" si="364"/>
        <v>13000000</v>
      </c>
      <c r="DF50" s="15">
        <f t="shared" si="364"/>
        <v>13000000</v>
      </c>
      <c r="DG50" s="15">
        <f t="shared" si="364"/>
        <v>13000000</v>
      </c>
      <c r="DH50" s="15">
        <f t="shared" si="364"/>
        <v>13000000</v>
      </c>
      <c r="DI50" s="15">
        <f t="shared" si="364"/>
        <v>13000000</v>
      </c>
      <c r="DJ50" s="15">
        <f t="shared" si="364"/>
        <v>13000000</v>
      </c>
      <c r="DK50" s="15">
        <f t="shared" si="364"/>
        <v>0</v>
      </c>
      <c r="DL50" s="15">
        <f t="shared" si="364"/>
        <v>0</v>
      </c>
      <c r="DM50" s="15">
        <f t="shared" si="364"/>
        <v>0</v>
      </c>
      <c r="DN50" s="15">
        <f t="shared" si="364"/>
        <v>0</v>
      </c>
      <c r="DO50" s="15">
        <f t="shared" si="365"/>
        <v>0</v>
      </c>
      <c r="DP50" s="15">
        <f t="shared" si="365"/>
        <v>0</v>
      </c>
      <c r="DQ50" s="15">
        <f t="shared" si="365"/>
        <v>0</v>
      </c>
      <c r="DR50" s="15">
        <f t="shared" si="365"/>
        <v>0</v>
      </c>
      <c r="DS50" s="15">
        <f t="shared" si="365"/>
        <v>0</v>
      </c>
      <c r="DT50" s="15">
        <f t="shared" si="365"/>
        <v>0</v>
      </c>
      <c r="DU50" s="15">
        <f t="shared" si="365"/>
        <v>0</v>
      </c>
      <c r="DV50" s="15">
        <f t="shared" si="365"/>
        <v>0</v>
      </c>
      <c r="DW50" s="15">
        <f t="shared" si="365"/>
        <v>0</v>
      </c>
      <c r="DX50" s="15">
        <f t="shared" si="365"/>
        <v>0</v>
      </c>
      <c r="DY50" s="15">
        <f t="shared" si="365"/>
        <v>0</v>
      </c>
      <c r="DZ50" s="15">
        <f t="shared" si="365"/>
        <v>0</v>
      </c>
      <c r="EA50" s="15">
        <f t="shared" si="365"/>
        <v>0</v>
      </c>
      <c r="EB50" s="15">
        <f t="shared" si="365"/>
        <v>0</v>
      </c>
      <c r="ED50" s="15">
        <f t="shared" si="366"/>
        <v>10833333.333333334</v>
      </c>
      <c r="EE50" s="15">
        <f t="shared" si="366"/>
        <v>10833333.333333334</v>
      </c>
      <c r="EF50" s="15">
        <f t="shared" si="366"/>
        <v>10833333.333333334</v>
      </c>
      <c r="EG50" s="15">
        <f t="shared" si="366"/>
        <v>10833333.333333334</v>
      </c>
      <c r="EH50" s="15">
        <f t="shared" si="366"/>
        <v>10833333.333333334</v>
      </c>
      <c r="EI50" s="15">
        <f t="shared" si="366"/>
        <v>10833333.333333334</v>
      </c>
      <c r="EJ50" s="15">
        <f t="shared" si="366"/>
        <v>10833333.333333334</v>
      </c>
      <c r="EK50" s="15">
        <f t="shared" si="366"/>
        <v>10833333.333333334</v>
      </c>
      <c r="EL50" s="15">
        <f t="shared" si="366"/>
        <v>10833333.333333334</v>
      </c>
      <c r="EM50" s="15">
        <f t="shared" si="366"/>
        <v>10833333.333333334</v>
      </c>
      <c r="EN50" s="15">
        <f t="shared" si="366"/>
        <v>10833333.333333334</v>
      </c>
      <c r="EO50" s="15">
        <f t="shared" si="366"/>
        <v>10833333.333333334</v>
      </c>
      <c r="EP50" s="15">
        <f t="shared" si="366"/>
        <v>0</v>
      </c>
      <c r="EQ50" s="15">
        <f t="shared" si="366"/>
        <v>0</v>
      </c>
      <c r="ER50" s="15">
        <f t="shared" si="366"/>
        <v>0</v>
      </c>
      <c r="ES50" s="15">
        <f t="shared" si="366"/>
        <v>0</v>
      </c>
      <c r="ET50" s="15">
        <f t="shared" si="367"/>
        <v>0</v>
      </c>
      <c r="EU50" s="15">
        <f t="shared" si="367"/>
        <v>0</v>
      </c>
      <c r="EV50" s="15">
        <f t="shared" si="367"/>
        <v>0</v>
      </c>
      <c r="EW50" s="15">
        <f t="shared" si="367"/>
        <v>0</v>
      </c>
      <c r="EX50" s="15">
        <f t="shared" si="367"/>
        <v>0</v>
      </c>
      <c r="EY50" s="15">
        <f t="shared" si="367"/>
        <v>0</v>
      </c>
      <c r="EZ50" s="15">
        <f t="shared" si="367"/>
        <v>0</v>
      </c>
      <c r="FA50" s="15">
        <f t="shared" si="367"/>
        <v>0</v>
      </c>
      <c r="FB50" s="15">
        <f t="shared" si="367"/>
        <v>0</v>
      </c>
      <c r="FC50" s="15">
        <f t="shared" si="367"/>
        <v>0</v>
      </c>
      <c r="FD50" s="15">
        <f t="shared" si="367"/>
        <v>0</v>
      </c>
      <c r="FE50" s="15">
        <f t="shared" si="367"/>
        <v>0</v>
      </c>
      <c r="FF50" s="15">
        <f t="shared" si="367"/>
        <v>0</v>
      </c>
      <c r="FG50" s="15">
        <f t="shared" si="367"/>
        <v>0</v>
      </c>
      <c r="FI50" s="15">
        <f t="shared" si="368"/>
        <v>10833333.333333334</v>
      </c>
      <c r="FJ50" s="15">
        <f t="shared" si="368"/>
        <v>10833333.333333334</v>
      </c>
      <c r="FK50" s="15">
        <f t="shared" si="368"/>
        <v>10833333.333333334</v>
      </c>
      <c r="FL50" s="15">
        <f t="shared" si="368"/>
        <v>10833333.333333334</v>
      </c>
      <c r="FM50" s="15">
        <f t="shared" si="368"/>
        <v>10833333.333333334</v>
      </c>
      <c r="FN50" s="15">
        <f t="shared" si="368"/>
        <v>10833333.333333334</v>
      </c>
      <c r="FO50" s="15">
        <f t="shared" si="368"/>
        <v>10833333.333333334</v>
      </c>
      <c r="FP50" s="15">
        <f t="shared" si="368"/>
        <v>10833333.333333334</v>
      </c>
      <c r="FQ50" s="15">
        <f t="shared" si="368"/>
        <v>10833333.333333334</v>
      </c>
      <c r="FR50" s="15">
        <f t="shared" si="368"/>
        <v>10833333.333333334</v>
      </c>
      <c r="FS50" s="15">
        <f t="shared" si="368"/>
        <v>10833333.333333334</v>
      </c>
      <c r="FT50" s="15">
        <f t="shared" si="368"/>
        <v>10833333.333333334</v>
      </c>
      <c r="FU50" s="15">
        <f t="shared" si="368"/>
        <v>0</v>
      </c>
      <c r="FV50" s="15">
        <f t="shared" si="368"/>
        <v>0</v>
      </c>
      <c r="FW50" s="15">
        <f t="shared" si="368"/>
        <v>0</v>
      </c>
      <c r="FX50" s="15">
        <f t="shared" si="368"/>
        <v>0</v>
      </c>
      <c r="FY50" s="15">
        <f t="shared" si="369"/>
        <v>0</v>
      </c>
      <c r="FZ50" s="15">
        <f t="shared" si="369"/>
        <v>0</v>
      </c>
      <c r="GA50" s="15">
        <f t="shared" si="369"/>
        <v>0</v>
      </c>
      <c r="GB50" s="15">
        <f t="shared" si="369"/>
        <v>0</v>
      </c>
      <c r="GC50" s="15">
        <f t="shared" si="369"/>
        <v>0</v>
      </c>
      <c r="GD50" s="15">
        <f t="shared" si="369"/>
        <v>0</v>
      </c>
      <c r="GE50" s="15">
        <f t="shared" si="369"/>
        <v>0</v>
      </c>
      <c r="GF50" s="15">
        <f t="shared" si="369"/>
        <v>0</v>
      </c>
      <c r="GG50" s="15">
        <f t="shared" si="369"/>
        <v>0</v>
      </c>
      <c r="GH50" s="15">
        <f t="shared" si="369"/>
        <v>0</v>
      </c>
      <c r="GI50" s="15">
        <f t="shared" si="369"/>
        <v>0</v>
      </c>
      <c r="GJ50" s="15">
        <f t="shared" si="369"/>
        <v>0</v>
      </c>
      <c r="GK50" s="15">
        <f t="shared" si="369"/>
        <v>0</v>
      </c>
      <c r="GL50" s="15">
        <f t="shared" si="369"/>
        <v>0</v>
      </c>
      <c r="GN50" s="15">
        <f t="shared" si="370"/>
        <v>10833333.333333334</v>
      </c>
      <c r="GO50" s="15">
        <f t="shared" si="370"/>
        <v>10833333.333333334</v>
      </c>
      <c r="GP50" s="15">
        <f t="shared" si="370"/>
        <v>10833333.333333334</v>
      </c>
      <c r="GQ50" s="15">
        <f t="shared" si="370"/>
        <v>10833333.333333334</v>
      </c>
      <c r="GR50" s="15">
        <f t="shared" si="370"/>
        <v>10833333.333333334</v>
      </c>
      <c r="GS50" s="15">
        <f t="shared" si="370"/>
        <v>10833333.333333334</v>
      </c>
      <c r="GT50" s="15">
        <f t="shared" si="370"/>
        <v>10833333.333333334</v>
      </c>
      <c r="GU50" s="15">
        <f t="shared" si="370"/>
        <v>10833333.333333334</v>
      </c>
      <c r="GV50" s="15">
        <f t="shared" si="370"/>
        <v>10833333.333333334</v>
      </c>
      <c r="GW50" s="15">
        <f t="shared" si="370"/>
        <v>10833333.333333334</v>
      </c>
      <c r="GX50" s="15">
        <f t="shared" si="370"/>
        <v>10833333.333333334</v>
      </c>
      <c r="GY50" s="15">
        <f t="shared" si="370"/>
        <v>10833333.333333334</v>
      </c>
      <c r="GZ50" s="15">
        <f t="shared" si="370"/>
        <v>0</v>
      </c>
      <c r="HA50" s="15">
        <f t="shared" si="370"/>
        <v>0</v>
      </c>
      <c r="HB50" s="15">
        <f t="shared" si="370"/>
        <v>0</v>
      </c>
      <c r="HC50" s="15">
        <f t="shared" si="370"/>
        <v>0</v>
      </c>
      <c r="HD50" s="15">
        <f t="shared" si="371"/>
        <v>0</v>
      </c>
      <c r="HE50" s="15">
        <f t="shared" si="371"/>
        <v>0</v>
      </c>
      <c r="HF50" s="15">
        <f t="shared" si="371"/>
        <v>0</v>
      </c>
      <c r="HG50" s="15">
        <f t="shared" si="371"/>
        <v>0</v>
      </c>
      <c r="HH50" s="15">
        <f t="shared" si="371"/>
        <v>0</v>
      </c>
      <c r="HI50" s="15">
        <f t="shared" si="371"/>
        <v>0</v>
      </c>
      <c r="HJ50" s="15">
        <f t="shared" si="371"/>
        <v>0</v>
      </c>
      <c r="HK50" s="15">
        <f t="shared" si="371"/>
        <v>0</v>
      </c>
      <c r="HL50" s="15">
        <f t="shared" si="371"/>
        <v>0</v>
      </c>
      <c r="HM50" s="15">
        <f t="shared" si="371"/>
        <v>0</v>
      </c>
      <c r="HN50" s="15">
        <f t="shared" si="371"/>
        <v>0</v>
      </c>
      <c r="HO50" s="15">
        <f t="shared" si="371"/>
        <v>0</v>
      </c>
      <c r="HP50" s="15">
        <f t="shared" si="371"/>
        <v>0</v>
      </c>
      <c r="HQ50" s="15">
        <f t="shared" si="371"/>
        <v>0</v>
      </c>
    </row>
    <row r="51" spans="1:225" outlineLevel="1" x14ac:dyDescent="0.25">
      <c r="B51" t="s">
        <v>345</v>
      </c>
      <c r="C51" s="624" t="s">
        <v>254</v>
      </c>
      <c r="D51" s="614" t="s">
        <v>235</v>
      </c>
      <c r="E51" s="468">
        <v>1</v>
      </c>
      <c r="F51" s="221"/>
      <c r="G51" s="457">
        <v>12</v>
      </c>
      <c r="H51" s="468">
        <f t="shared" si="372"/>
        <v>130000000</v>
      </c>
      <c r="I51" s="457">
        <f t="shared" si="343"/>
        <v>130000000</v>
      </c>
      <c r="J51" s="457">
        <f t="shared" si="344"/>
        <v>10833333.333333334</v>
      </c>
      <c r="K51" s="221"/>
      <c r="L51" s="457">
        <v>12</v>
      </c>
      <c r="M51" s="457">
        <f t="shared" si="345"/>
        <v>156000000</v>
      </c>
      <c r="N51" s="457">
        <f t="shared" si="346"/>
        <v>156000000</v>
      </c>
      <c r="O51" s="457">
        <f t="shared" si="347"/>
        <v>13000000</v>
      </c>
      <c r="P51" s="221"/>
      <c r="Q51" s="457">
        <v>12</v>
      </c>
      <c r="R51" s="457">
        <f t="shared" si="348"/>
        <v>156000000</v>
      </c>
      <c r="S51" s="457">
        <f t="shared" si="349"/>
        <v>156000000</v>
      </c>
      <c r="T51" s="457">
        <f t="shared" si="350"/>
        <v>13000000</v>
      </c>
      <c r="U51" s="221"/>
      <c r="V51" s="457">
        <v>12</v>
      </c>
      <c r="W51" s="457">
        <f t="shared" si="351"/>
        <v>130000000</v>
      </c>
      <c r="X51" s="457">
        <f t="shared" si="352"/>
        <v>130000000</v>
      </c>
      <c r="Y51" s="457">
        <f t="shared" si="353"/>
        <v>10833333.333333334</v>
      </c>
      <c r="Z51" s="221"/>
      <c r="AA51" s="457">
        <v>12</v>
      </c>
      <c r="AB51" s="457">
        <f t="shared" si="354"/>
        <v>130000000</v>
      </c>
      <c r="AC51" s="457">
        <f t="shared" si="355"/>
        <v>130000000</v>
      </c>
      <c r="AD51" s="457">
        <f t="shared" si="356"/>
        <v>10833333.333333334</v>
      </c>
      <c r="AE51" s="221"/>
      <c r="AF51" s="457">
        <v>12</v>
      </c>
      <c r="AG51" s="457">
        <f t="shared" si="357"/>
        <v>130000000</v>
      </c>
      <c r="AH51" s="457">
        <f t="shared" si="358"/>
        <v>130000000</v>
      </c>
      <c r="AI51" s="457">
        <f t="shared" si="359"/>
        <v>10833333.333333334</v>
      </c>
      <c r="AJ51" s="221"/>
      <c r="AM51" t="s">
        <v>337</v>
      </c>
      <c r="AO51" s="15">
        <f t="shared" si="360"/>
        <v>10833333.333333334</v>
      </c>
      <c r="AP51" s="15">
        <f t="shared" si="360"/>
        <v>10833333.333333334</v>
      </c>
      <c r="AQ51" s="15">
        <f t="shared" si="360"/>
        <v>10833333.333333334</v>
      </c>
      <c r="AR51" s="15">
        <f t="shared" si="360"/>
        <v>10833333.333333334</v>
      </c>
      <c r="AS51" s="15">
        <f t="shared" si="360"/>
        <v>10833333.333333334</v>
      </c>
      <c r="AT51" s="15">
        <f t="shared" si="360"/>
        <v>10833333.333333334</v>
      </c>
      <c r="AU51" s="15">
        <f t="shared" si="360"/>
        <v>10833333.333333334</v>
      </c>
      <c r="AV51" s="15">
        <f t="shared" si="360"/>
        <v>10833333.333333334</v>
      </c>
      <c r="AW51" s="15">
        <f t="shared" si="360"/>
        <v>10833333.333333334</v>
      </c>
      <c r="AX51" s="15">
        <f t="shared" si="360"/>
        <v>10833333.333333334</v>
      </c>
      <c r="AY51" s="15">
        <f t="shared" si="360"/>
        <v>10833333.333333334</v>
      </c>
      <c r="AZ51" s="15">
        <f t="shared" si="360"/>
        <v>10833333.333333334</v>
      </c>
      <c r="BA51" s="15">
        <f t="shared" si="360"/>
        <v>0</v>
      </c>
      <c r="BB51" s="15">
        <f t="shared" si="360"/>
        <v>0</v>
      </c>
      <c r="BC51" s="15">
        <f t="shared" si="360"/>
        <v>0</v>
      </c>
      <c r="BD51" s="15">
        <f t="shared" si="360"/>
        <v>0</v>
      </c>
      <c r="BE51" s="15">
        <f t="shared" si="361"/>
        <v>0</v>
      </c>
      <c r="BF51" s="15">
        <f t="shared" si="361"/>
        <v>0</v>
      </c>
      <c r="BG51" s="15">
        <f t="shared" si="361"/>
        <v>0</v>
      </c>
      <c r="BH51" s="15">
        <f t="shared" si="361"/>
        <v>0</v>
      </c>
      <c r="BI51" s="15">
        <f t="shared" si="361"/>
        <v>0</v>
      </c>
      <c r="BJ51" s="15">
        <f t="shared" si="361"/>
        <v>0</v>
      </c>
      <c r="BK51" s="15">
        <f t="shared" si="361"/>
        <v>0</v>
      </c>
      <c r="BL51" s="15">
        <f t="shared" si="361"/>
        <v>0</v>
      </c>
      <c r="BM51" s="15">
        <f t="shared" si="361"/>
        <v>0</v>
      </c>
      <c r="BN51" s="15">
        <f t="shared" si="361"/>
        <v>0</v>
      </c>
      <c r="BO51" s="15">
        <f t="shared" si="361"/>
        <v>0</v>
      </c>
      <c r="BP51" s="15">
        <f t="shared" si="361"/>
        <v>0</v>
      </c>
      <c r="BQ51" s="15">
        <f t="shared" si="361"/>
        <v>0</v>
      </c>
      <c r="BR51" s="15">
        <f t="shared" si="361"/>
        <v>0</v>
      </c>
      <c r="BT51" s="15">
        <f t="shared" si="362"/>
        <v>13000000</v>
      </c>
      <c r="BU51" s="15">
        <f t="shared" si="362"/>
        <v>13000000</v>
      </c>
      <c r="BV51" s="15">
        <f t="shared" si="362"/>
        <v>13000000</v>
      </c>
      <c r="BW51" s="15">
        <f t="shared" si="362"/>
        <v>13000000</v>
      </c>
      <c r="BX51" s="15">
        <f t="shared" si="362"/>
        <v>13000000</v>
      </c>
      <c r="BY51" s="15">
        <f t="shared" si="362"/>
        <v>13000000</v>
      </c>
      <c r="BZ51" s="15">
        <f t="shared" si="362"/>
        <v>13000000</v>
      </c>
      <c r="CA51" s="15">
        <f t="shared" si="362"/>
        <v>13000000</v>
      </c>
      <c r="CB51" s="15">
        <f t="shared" si="362"/>
        <v>13000000</v>
      </c>
      <c r="CC51" s="15">
        <f t="shared" si="362"/>
        <v>13000000</v>
      </c>
      <c r="CD51" s="15">
        <f t="shared" si="362"/>
        <v>13000000</v>
      </c>
      <c r="CE51" s="15">
        <f t="shared" si="362"/>
        <v>13000000</v>
      </c>
      <c r="CF51" s="15">
        <f t="shared" si="362"/>
        <v>0</v>
      </c>
      <c r="CG51" s="15">
        <f t="shared" si="362"/>
        <v>0</v>
      </c>
      <c r="CH51" s="15">
        <f t="shared" si="362"/>
        <v>0</v>
      </c>
      <c r="CI51" s="15">
        <f t="shared" si="362"/>
        <v>0</v>
      </c>
      <c r="CJ51" s="15">
        <f t="shared" si="363"/>
        <v>0</v>
      </c>
      <c r="CK51" s="15">
        <f t="shared" si="363"/>
        <v>0</v>
      </c>
      <c r="CL51" s="15">
        <f t="shared" si="363"/>
        <v>0</v>
      </c>
      <c r="CM51" s="15">
        <f t="shared" si="363"/>
        <v>0</v>
      </c>
      <c r="CN51" s="15">
        <f t="shared" si="363"/>
        <v>0</v>
      </c>
      <c r="CO51" s="15">
        <f t="shared" si="363"/>
        <v>0</v>
      </c>
      <c r="CP51" s="15">
        <f t="shared" si="363"/>
        <v>0</v>
      </c>
      <c r="CQ51" s="15">
        <f t="shared" si="363"/>
        <v>0</v>
      </c>
      <c r="CR51" s="15">
        <f t="shared" si="363"/>
        <v>0</v>
      </c>
      <c r="CS51" s="15">
        <f t="shared" si="363"/>
        <v>0</v>
      </c>
      <c r="CT51" s="15">
        <f t="shared" si="363"/>
        <v>0</v>
      </c>
      <c r="CU51" s="15">
        <f t="shared" si="363"/>
        <v>0</v>
      </c>
      <c r="CV51" s="15">
        <f t="shared" si="363"/>
        <v>0</v>
      </c>
      <c r="CW51" s="15">
        <f t="shared" si="363"/>
        <v>0</v>
      </c>
      <c r="CY51" s="15">
        <f t="shared" si="364"/>
        <v>13000000</v>
      </c>
      <c r="CZ51" s="15">
        <f t="shared" si="364"/>
        <v>13000000</v>
      </c>
      <c r="DA51" s="15">
        <f t="shared" si="364"/>
        <v>13000000</v>
      </c>
      <c r="DB51" s="15">
        <f t="shared" si="364"/>
        <v>13000000</v>
      </c>
      <c r="DC51" s="15">
        <f t="shared" si="364"/>
        <v>13000000</v>
      </c>
      <c r="DD51" s="15">
        <f t="shared" si="364"/>
        <v>13000000</v>
      </c>
      <c r="DE51" s="15">
        <f t="shared" si="364"/>
        <v>13000000</v>
      </c>
      <c r="DF51" s="15">
        <f t="shared" si="364"/>
        <v>13000000</v>
      </c>
      <c r="DG51" s="15">
        <f t="shared" si="364"/>
        <v>13000000</v>
      </c>
      <c r="DH51" s="15">
        <f t="shared" si="364"/>
        <v>13000000</v>
      </c>
      <c r="DI51" s="15">
        <f t="shared" si="364"/>
        <v>13000000</v>
      </c>
      <c r="DJ51" s="15">
        <f t="shared" si="364"/>
        <v>13000000</v>
      </c>
      <c r="DK51" s="15">
        <f t="shared" si="364"/>
        <v>0</v>
      </c>
      <c r="DL51" s="15">
        <f t="shared" si="364"/>
        <v>0</v>
      </c>
      <c r="DM51" s="15">
        <f t="shared" si="364"/>
        <v>0</v>
      </c>
      <c r="DN51" s="15">
        <f t="shared" si="364"/>
        <v>0</v>
      </c>
      <c r="DO51" s="15">
        <f t="shared" si="365"/>
        <v>0</v>
      </c>
      <c r="DP51" s="15">
        <f t="shared" si="365"/>
        <v>0</v>
      </c>
      <c r="DQ51" s="15">
        <f t="shared" si="365"/>
        <v>0</v>
      </c>
      <c r="DR51" s="15">
        <f t="shared" si="365"/>
        <v>0</v>
      </c>
      <c r="DS51" s="15">
        <f t="shared" si="365"/>
        <v>0</v>
      </c>
      <c r="DT51" s="15">
        <f t="shared" si="365"/>
        <v>0</v>
      </c>
      <c r="DU51" s="15">
        <f t="shared" si="365"/>
        <v>0</v>
      </c>
      <c r="DV51" s="15">
        <f t="shared" si="365"/>
        <v>0</v>
      </c>
      <c r="DW51" s="15">
        <f t="shared" si="365"/>
        <v>0</v>
      </c>
      <c r="DX51" s="15">
        <f t="shared" si="365"/>
        <v>0</v>
      </c>
      <c r="DY51" s="15">
        <f t="shared" si="365"/>
        <v>0</v>
      </c>
      <c r="DZ51" s="15">
        <f t="shared" si="365"/>
        <v>0</v>
      </c>
      <c r="EA51" s="15">
        <f t="shared" si="365"/>
        <v>0</v>
      </c>
      <c r="EB51" s="15">
        <f t="shared" si="365"/>
        <v>0</v>
      </c>
      <c r="ED51" s="15">
        <f t="shared" si="366"/>
        <v>10833333.333333334</v>
      </c>
      <c r="EE51" s="15">
        <f t="shared" si="366"/>
        <v>10833333.333333334</v>
      </c>
      <c r="EF51" s="15">
        <f t="shared" si="366"/>
        <v>10833333.333333334</v>
      </c>
      <c r="EG51" s="15">
        <f t="shared" si="366"/>
        <v>10833333.333333334</v>
      </c>
      <c r="EH51" s="15">
        <f t="shared" si="366"/>
        <v>10833333.333333334</v>
      </c>
      <c r="EI51" s="15">
        <f t="shared" si="366"/>
        <v>10833333.333333334</v>
      </c>
      <c r="EJ51" s="15">
        <f t="shared" si="366"/>
        <v>10833333.333333334</v>
      </c>
      <c r="EK51" s="15">
        <f t="shared" si="366"/>
        <v>10833333.333333334</v>
      </c>
      <c r="EL51" s="15">
        <f t="shared" si="366"/>
        <v>10833333.333333334</v>
      </c>
      <c r="EM51" s="15">
        <f t="shared" si="366"/>
        <v>10833333.333333334</v>
      </c>
      <c r="EN51" s="15">
        <f t="shared" si="366"/>
        <v>10833333.333333334</v>
      </c>
      <c r="EO51" s="15">
        <f t="shared" si="366"/>
        <v>10833333.333333334</v>
      </c>
      <c r="EP51" s="15">
        <f t="shared" si="366"/>
        <v>0</v>
      </c>
      <c r="EQ51" s="15">
        <f t="shared" si="366"/>
        <v>0</v>
      </c>
      <c r="ER51" s="15">
        <f t="shared" si="366"/>
        <v>0</v>
      </c>
      <c r="ES51" s="15">
        <f t="shared" si="366"/>
        <v>0</v>
      </c>
      <c r="ET51" s="15">
        <f t="shared" si="367"/>
        <v>0</v>
      </c>
      <c r="EU51" s="15">
        <f t="shared" si="367"/>
        <v>0</v>
      </c>
      <c r="EV51" s="15">
        <f t="shared" si="367"/>
        <v>0</v>
      </c>
      <c r="EW51" s="15">
        <f t="shared" si="367"/>
        <v>0</v>
      </c>
      <c r="EX51" s="15">
        <f t="shared" si="367"/>
        <v>0</v>
      </c>
      <c r="EY51" s="15">
        <f t="shared" si="367"/>
        <v>0</v>
      </c>
      <c r="EZ51" s="15">
        <f t="shared" si="367"/>
        <v>0</v>
      </c>
      <c r="FA51" s="15">
        <f t="shared" si="367"/>
        <v>0</v>
      </c>
      <c r="FB51" s="15">
        <f t="shared" si="367"/>
        <v>0</v>
      </c>
      <c r="FC51" s="15">
        <f t="shared" si="367"/>
        <v>0</v>
      </c>
      <c r="FD51" s="15">
        <f t="shared" si="367"/>
        <v>0</v>
      </c>
      <c r="FE51" s="15">
        <f t="shared" si="367"/>
        <v>0</v>
      </c>
      <c r="FF51" s="15">
        <f t="shared" si="367"/>
        <v>0</v>
      </c>
      <c r="FG51" s="15">
        <f t="shared" si="367"/>
        <v>0</v>
      </c>
      <c r="FI51" s="15">
        <f t="shared" si="368"/>
        <v>10833333.333333334</v>
      </c>
      <c r="FJ51" s="15">
        <f t="shared" si="368"/>
        <v>10833333.333333334</v>
      </c>
      <c r="FK51" s="15">
        <f t="shared" si="368"/>
        <v>10833333.333333334</v>
      </c>
      <c r="FL51" s="15">
        <f t="shared" si="368"/>
        <v>10833333.333333334</v>
      </c>
      <c r="FM51" s="15">
        <f t="shared" si="368"/>
        <v>10833333.333333334</v>
      </c>
      <c r="FN51" s="15">
        <f t="shared" si="368"/>
        <v>10833333.333333334</v>
      </c>
      <c r="FO51" s="15">
        <f t="shared" si="368"/>
        <v>10833333.333333334</v>
      </c>
      <c r="FP51" s="15">
        <f t="shared" si="368"/>
        <v>10833333.333333334</v>
      </c>
      <c r="FQ51" s="15">
        <f t="shared" si="368"/>
        <v>10833333.333333334</v>
      </c>
      <c r="FR51" s="15">
        <f t="shared" si="368"/>
        <v>10833333.333333334</v>
      </c>
      <c r="FS51" s="15">
        <f t="shared" si="368"/>
        <v>10833333.333333334</v>
      </c>
      <c r="FT51" s="15">
        <f t="shared" si="368"/>
        <v>10833333.333333334</v>
      </c>
      <c r="FU51" s="15">
        <f t="shared" si="368"/>
        <v>0</v>
      </c>
      <c r="FV51" s="15">
        <f t="shared" si="368"/>
        <v>0</v>
      </c>
      <c r="FW51" s="15">
        <f t="shared" si="368"/>
        <v>0</v>
      </c>
      <c r="FX51" s="15">
        <f t="shared" si="368"/>
        <v>0</v>
      </c>
      <c r="FY51" s="15">
        <f t="shared" si="369"/>
        <v>0</v>
      </c>
      <c r="FZ51" s="15">
        <f t="shared" si="369"/>
        <v>0</v>
      </c>
      <c r="GA51" s="15">
        <f t="shared" si="369"/>
        <v>0</v>
      </c>
      <c r="GB51" s="15">
        <f t="shared" si="369"/>
        <v>0</v>
      </c>
      <c r="GC51" s="15">
        <f t="shared" si="369"/>
        <v>0</v>
      </c>
      <c r="GD51" s="15">
        <f t="shared" si="369"/>
        <v>0</v>
      </c>
      <c r="GE51" s="15">
        <f t="shared" si="369"/>
        <v>0</v>
      </c>
      <c r="GF51" s="15">
        <f t="shared" si="369"/>
        <v>0</v>
      </c>
      <c r="GG51" s="15">
        <f t="shared" si="369"/>
        <v>0</v>
      </c>
      <c r="GH51" s="15">
        <f t="shared" si="369"/>
        <v>0</v>
      </c>
      <c r="GI51" s="15">
        <f t="shared" si="369"/>
        <v>0</v>
      </c>
      <c r="GJ51" s="15">
        <f t="shared" si="369"/>
        <v>0</v>
      </c>
      <c r="GK51" s="15">
        <f t="shared" si="369"/>
        <v>0</v>
      </c>
      <c r="GL51" s="15">
        <f t="shared" si="369"/>
        <v>0</v>
      </c>
      <c r="GN51" s="15">
        <f t="shared" si="370"/>
        <v>10833333.333333334</v>
      </c>
      <c r="GO51" s="15">
        <f t="shared" si="370"/>
        <v>10833333.333333334</v>
      </c>
      <c r="GP51" s="15">
        <f t="shared" si="370"/>
        <v>10833333.333333334</v>
      </c>
      <c r="GQ51" s="15">
        <f t="shared" si="370"/>
        <v>10833333.333333334</v>
      </c>
      <c r="GR51" s="15">
        <f t="shared" si="370"/>
        <v>10833333.333333334</v>
      </c>
      <c r="GS51" s="15">
        <f t="shared" si="370"/>
        <v>10833333.333333334</v>
      </c>
      <c r="GT51" s="15">
        <f t="shared" si="370"/>
        <v>10833333.333333334</v>
      </c>
      <c r="GU51" s="15">
        <f t="shared" si="370"/>
        <v>10833333.333333334</v>
      </c>
      <c r="GV51" s="15">
        <f t="shared" si="370"/>
        <v>10833333.333333334</v>
      </c>
      <c r="GW51" s="15">
        <f t="shared" si="370"/>
        <v>10833333.333333334</v>
      </c>
      <c r="GX51" s="15">
        <f t="shared" si="370"/>
        <v>10833333.333333334</v>
      </c>
      <c r="GY51" s="15">
        <f t="shared" si="370"/>
        <v>10833333.333333334</v>
      </c>
      <c r="GZ51" s="15">
        <f t="shared" si="370"/>
        <v>0</v>
      </c>
      <c r="HA51" s="15">
        <f t="shared" si="370"/>
        <v>0</v>
      </c>
      <c r="HB51" s="15">
        <f t="shared" si="370"/>
        <v>0</v>
      </c>
      <c r="HC51" s="15">
        <f t="shared" si="370"/>
        <v>0</v>
      </c>
      <c r="HD51" s="15">
        <f t="shared" si="371"/>
        <v>0</v>
      </c>
      <c r="HE51" s="15">
        <f t="shared" si="371"/>
        <v>0</v>
      </c>
      <c r="HF51" s="15">
        <f t="shared" si="371"/>
        <v>0</v>
      </c>
      <c r="HG51" s="15">
        <f t="shared" si="371"/>
        <v>0</v>
      </c>
      <c r="HH51" s="15">
        <f t="shared" si="371"/>
        <v>0</v>
      </c>
      <c r="HI51" s="15">
        <f t="shared" si="371"/>
        <v>0</v>
      </c>
      <c r="HJ51" s="15">
        <f t="shared" si="371"/>
        <v>0</v>
      </c>
      <c r="HK51" s="15">
        <f t="shared" si="371"/>
        <v>0</v>
      </c>
      <c r="HL51" s="15">
        <f t="shared" si="371"/>
        <v>0</v>
      </c>
      <c r="HM51" s="15">
        <f t="shared" si="371"/>
        <v>0</v>
      </c>
      <c r="HN51" s="15">
        <f t="shared" si="371"/>
        <v>0</v>
      </c>
      <c r="HO51" s="15">
        <f t="shared" si="371"/>
        <v>0</v>
      </c>
      <c r="HP51" s="15">
        <f t="shared" si="371"/>
        <v>0</v>
      </c>
      <c r="HQ51" s="15">
        <f t="shared" si="371"/>
        <v>0</v>
      </c>
    </row>
    <row r="52" spans="1:225" outlineLevel="1" x14ac:dyDescent="0.25">
      <c r="B52" t="s">
        <v>345</v>
      </c>
      <c r="C52" s="624" t="s">
        <v>255</v>
      </c>
      <c r="D52" s="614" t="s">
        <v>237</v>
      </c>
      <c r="E52" s="468">
        <v>1</v>
      </c>
      <c r="F52" s="221"/>
      <c r="G52" s="457">
        <v>12</v>
      </c>
      <c r="H52" s="468">
        <f t="shared" si="372"/>
        <v>130000000</v>
      </c>
      <c r="I52" s="457">
        <f t="shared" si="343"/>
        <v>130000000</v>
      </c>
      <c r="J52" s="457">
        <f t="shared" si="344"/>
        <v>10833333.333333334</v>
      </c>
      <c r="K52" s="221"/>
      <c r="L52" s="457">
        <v>12</v>
      </c>
      <c r="M52" s="457">
        <f t="shared" si="345"/>
        <v>156000000</v>
      </c>
      <c r="N52" s="457">
        <f t="shared" si="346"/>
        <v>156000000</v>
      </c>
      <c r="O52" s="457">
        <f t="shared" si="347"/>
        <v>13000000</v>
      </c>
      <c r="P52" s="221"/>
      <c r="Q52" s="457">
        <v>12</v>
      </c>
      <c r="R52" s="457">
        <f t="shared" si="348"/>
        <v>156000000</v>
      </c>
      <c r="S52" s="457">
        <f t="shared" si="349"/>
        <v>156000000</v>
      </c>
      <c r="T52" s="457">
        <f t="shared" si="350"/>
        <v>13000000</v>
      </c>
      <c r="U52" s="221"/>
      <c r="V52" s="457">
        <v>12</v>
      </c>
      <c r="W52" s="457">
        <f t="shared" si="351"/>
        <v>130000000</v>
      </c>
      <c r="X52" s="457">
        <f t="shared" si="352"/>
        <v>130000000</v>
      </c>
      <c r="Y52" s="457">
        <f t="shared" si="353"/>
        <v>10833333.333333334</v>
      </c>
      <c r="Z52" s="221"/>
      <c r="AA52" s="457">
        <v>12</v>
      </c>
      <c r="AB52" s="457">
        <f t="shared" si="354"/>
        <v>130000000</v>
      </c>
      <c r="AC52" s="457">
        <f t="shared" si="355"/>
        <v>130000000</v>
      </c>
      <c r="AD52" s="457">
        <f t="shared" si="356"/>
        <v>10833333.333333334</v>
      </c>
      <c r="AE52" s="221"/>
      <c r="AF52" s="457">
        <v>12</v>
      </c>
      <c r="AG52" s="457">
        <f t="shared" si="357"/>
        <v>130000000</v>
      </c>
      <c r="AH52" s="457">
        <f t="shared" si="358"/>
        <v>130000000</v>
      </c>
      <c r="AI52" s="457">
        <f t="shared" si="359"/>
        <v>10833333.333333334</v>
      </c>
      <c r="AJ52" s="221"/>
      <c r="AM52" t="s">
        <v>337</v>
      </c>
      <c r="AO52" s="15">
        <f t="shared" si="360"/>
        <v>10833333.333333334</v>
      </c>
      <c r="AP52" s="15">
        <f t="shared" si="360"/>
        <v>10833333.333333334</v>
      </c>
      <c r="AQ52" s="15">
        <f t="shared" si="360"/>
        <v>10833333.333333334</v>
      </c>
      <c r="AR52" s="15">
        <f t="shared" si="360"/>
        <v>10833333.333333334</v>
      </c>
      <c r="AS52" s="15">
        <f t="shared" si="360"/>
        <v>10833333.333333334</v>
      </c>
      <c r="AT52" s="15">
        <f t="shared" si="360"/>
        <v>10833333.333333334</v>
      </c>
      <c r="AU52" s="15">
        <f t="shared" si="360"/>
        <v>10833333.333333334</v>
      </c>
      <c r="AV52" s="15">
        <f t="shared" si="360"/>
        <v>10833333.333333334</v>
      </c>
      <c r="AW52" s="15">
        <f t="shared" si="360"/>
        <v>10833333.333333334</v>
      </c>
      <c r="AX52" s="15">
        <f t="shared" si="360"/>
        <v>10833333.333333334</v>
      </c>
      <c r="AY52" s="15">
        <f t="shared" si="360"/>
        <v>10833333.333333334</v>
      </c>
      <c r="AZ52" s="15">
        <f t="shared" si="360"/>
        <v>10833333.333333334</v>
      </c>
      <c r="BA52" s="15">
        <f t="shared" si="360"/>
        <v>0</v>
      </c>
      <c r="BB52" s="15">
        <f t="shared" si="360"/>
        <v>0</v>
      </c>
      <c r="BC52" s="15">
        <f t="shared" si="360"/>
        <v>0</v>
      </c>
      <c r="BD52" s="15">
        <f t="shared" si="360"/>
        <v>0</v>
      </c>
      <c r="BE52" s="15">
        <f t="shared" si="361"/>
        <v>0</v>
      </c>
      <c r="BF52" s="15">
        <f t="shared" si="361"/>
        <v>0</v>
      </c>
      <c r="BG52" s="15">
        <f t="shared" si="361"/>
        <v>0</v>
      </c>
      <c r="BH52" s="15">
        <f t="shared" si="361"/>
        <v>0</v>
      </c>
      <c r="BI52" s="15">
        <f t="shared" si="361"/>
        <v>0</v>
      </c>
      <c r="BJ52" s="15">
        <f t="shared" si="361"/>
        <v>0</v>
      </c>
      <c r="BK52" s="15">
        <f t="shared" si="361"/>
        <v>0</v>
      </c>
      <c r="BL52" s="15">
        <f t="shared" si="361"/>
        <v>0</v>
      </c>
      <c r="BM52" s="15">
        <f t="shared" si="361"/>
        <v>0</v>
      </c>
      <c r="BN52" s="15">
        <f t="shared" si="361"/>
        <v>0</v>
      </c>
      <c r="BO52" s="15">
        <f t="shared" si="361"/>
        <v>0</v>
      </c>
      <c r="BP52" s="15">
        <f t="shared" si="361"/>
        <v>0</v>
      </c>
      <c r="BQ52" s="15">
        <f t="shared" si="361"/>
        <v>0</v>
      </c>
      <c r="BR52" s="15">
        <f t="shared" si="361"/>
        <v>0</v>
      </c>
      <c r="BT52" s="15">
        <f t="shared" si="362"/>
        <v>13000000</v>
      </c>
      <c r="BU52" s="15">
        <f t="shared" si="362"/>
        <v>13000000</v>
      </c>
      <c r="BV52" s="15">
        <f t="shared" si="362"/>
        <v>13000000</v>
      </c>
      <c r="BW52" s="15">
        <f t="shared" si="362"/>
        <v>13000000</v>
      </c>
      <c r="BX52" s="15">
        <f t="shared" si="362"/>
        <v>13000000</v>
      </c>
      <c r="BY52" s="15">
        <f t="shared" si="362"/>
        <v>13000000</v>
      </c>
      <c r="BZ52" s="15">
        <f t="shared" si="362"/>
        <v>13000000</v>
      </c>
      <c r="CA52" s="15">
        <f t="shared" si="362"/>
        <v>13000000</v>
      </c>
      <c r="CB52" s="15">
        <f t="shared" si="362"/>
        <v>13000000</v>
      </c>
      <c r="CC52" s="15">
        <f t="shared" si="362"/>
        <v>13000000</v>
      </c>
      <c r="CD52" s="15">
        <f t="shared" si="362"/>
        <v>13000000</v>
      </c>
      <c r="CE52" s="15">
        <f t="shared" si="362"/>
        <v>13000000</v>
      </c>
      <c r="CF52" s="15">
        <f t="shared" si="362"/>
        <v>0</v>
      </c>
      <c r="CG52" s="15">
        <f t="shared" si="362"/>
        <v>0</v>
      </c>
      <c r="CH52" s="15">
        <f t="shared" si="362"/>
        <v>0</v>
      </c>
      <c r="CI52" s="15">
        <f t="shared" si="362"/>
        <v>0</v>
      </c>
      <c r="CJ52" s="15">
        <f t="shared" si="363"/>
        <v>0</v>
      </c>
      <c r="CK52" s="15">
        <f t="shared" si="363"/>
        <v>0</v>
      </c>
      <c r="CL52" s="15">
        <f t="shared" si="363"/>
        <v>0</v>
      </c>
      <c r="CM52" s="15">
        <f t="shared" si="363"/>
        <v>0</v>
      </c>
      <c r="CN52" s="15">
        <f t="shared" si="363"/>
        <v>0</v>
      </c>
      <c r="CO52" s="15">
        <f t="shared" si="363"/>
        <v>0</v>
      </c>
      <c r="CP52" s="15">
        <f t="shared" si="363"/>
        <v>0</v>
      </c>
      <c r="CQ52" s="15">
        <f t="shared" si="363"/>
        <v>0</v>
      </c>
      <c r="CR52" s="15">
        <f t="shared" si="363"/>
        <v>0</v>
      </c>
      <c r="CS52" s="15">
        <f t="shared" si="363"/>
        <v>0</v>
      </c>
      <c r="CT52" s="15">
        <f t="shared" si="363"/>
        <v>0</v>
      </c>
      <c r="CU52" s="15">
        <f t="shared" si="363"/>
        <v>0</v>
      </c>
      <c r="CV52" s="15">
        <f t="shared" si="363"/>
        <v>0</v>
      </c>
      <c r="CW52" s="15">
        <f t="shared" si="363"/>
        <v>0</v>
      </c>
      <c r="CY52" s="15">
        <f t="shared" si="364"/>
        <v>13000000</v>
      </c>
      <c r="CZ52" s="15">
        <f t="shared" si="364"/>
        <v>13000000</v>
      </c>
      <c r="DA52" s="15">
        <f t="shared" si="364"/>
        <v>13000000</v>
      </c>
      <c r="DB52" s="15">
        <f t="shared" si="364"/>
        <v>13000000</v>
      </c>
      <c r="DC52" s="15">
        <f t="shared" si="364"/>
        <v>13000000</v>
      </c>
      <c r="DD52" s="15">
        <f t="shared" si="364"/>
        <v>13000000</v>
      </c>
      <c r="DE52" s="15">
        <f t="shared" si="364"/>
        <v>13000000</v>
      </c>
      <c r="DF52" s="15">
        <f t="shared" si="364"/>
        <v>13000000</v>
      </c>
      <c r="DG52" s="15">
        <f t="shared" si="364"/>
        <v>13000000</v>
      </c>
      <c r="DH52" s="15">
        <f t="shared" si="364"/>
        <v>13000000</v>
      </c>
      <c r="DI52" s="15">
        <f t="shared" si="364"/>
        <v>13000000</v>
      </c>
      <c r="DJ52" s="15">
        <f t="shared" si="364"/>
        <v>13000000</v>
      </c>
      <c r="DK52" s="15">
        <f t="shared" si="364"/>
        <v>0</v>
      </c>
      <c r="DL52" s="15">
        <f t="shared" si="364"/>
        <v>0</v>
      </c>
      <c r="DM52" s="15">
        <f t="shared" si="364"/>
        <v>0</v>
      </c>
      <c r="DN52" s="15">
        <f t="shared" si="364"/>
        <v>0</v>
      </c>
      <c r="DO52" s="15">
        <f t="shared" si="365"/>
        <v>0</v>
      </c>
      <c r="DP52" s="15">
        <f t="shared" si="365"/>
        <v>0</v>
      </c>
      <c r="DQ52" s="15">
        <f t="shared" si="365"/>
        <v>0</v>
      </c>
      <c r="DR52" s="15">
        <f t="shared" si="365"/>
        <v>0</v>
      </c>
      <c r="DS52" s="15">
        <f t="shared" si="365"/>
        <v>0</v>
      </c>
      <c r="DT52" s="15">
        <f t="shared" si="365"/>
        <v>0</v>
      </c>
      <c r="DU52" s="15">
        <f t="shared" si="365"/>
        <v>0</v>
      </c>
      <c r="DV52" s="15">
        <f t="shared" si="365"/>
        <v>0</v>
      </c>
      <c r="DW52" s="15">
        <f t="shared" si="365"/>
        <v>0</v>
      </c>
      <c r="DX52" s="15">
        <f t="shared" si="365"/>
        <v>0</v>
      </c>
      <c r="DY52" s="15">
        <f t="shared" si="365"/>
        <v>0</v>
      </c>
      <c r="DZ52" s="15">
        <f t="shared" si="365"/>
        <v>0</v>
      </c>
      <c r="EA52" s="15">
        <f t="shared" si="365"/>
        <v>0</v>
      </c>
      <c r="EB52" s="15">
        <f t="shared" si="365"/>
        <v>0</v>
      </c>
      <c r="ED52" s="15">
        <f t="shared" si="366"/>
        <v>10833333.333333334</v>
      </c>
      <c r="EE52" s="15">
        <f t="shared" si="366"/>
        <v>10833333.333333334</v>
      </c>
      <c r="EF52" s="15">
        <f t="shared" si="366"/>
        <v>10833333.333333334</v>
      </c>
      <c r="EG52" s="15">
        <f t="shared" si="366"/>
        <v>10833333.333333334</v>
      </c>
      <c r="EH52" s="15">
        <f t="shared" si="366"/>
        <v>10833333.333333334</v>
      </c>
      <c r="EI52" s="15">
        <f t="shared" si="366"/>
        <v>10833333.333333334</v>
      </c>
      <c r="EJ52" s="15">
        <f t="shared" si="366"/>
        <v>10833333.333333334</v>
      </c>
      <c r="EK52" s="15">
        <f t="shared" si="366"/>
        <v>10833333.333333334</v>
      </c>
      <c r="EL52" s="15">
        <f t="shared" si="366"/>
        <v>10833333.333333334</v>
      </c>
      <c r="EM52" s="15">
        <f t="shared" si="366"/>
        <v>10833333.333333334</v>
      </c>
      <c r="EN52" s="15">
        <f t="shared" si="366"/>
        <v>10833333.333333334</v>
      </c>
      <c r="EO52" s="15">
        <f t="shared" si="366"/>
        <v>10833333.333333334</v>
      </c>
      <c r="EP52" s="15">
        <f t="shared" si="366"/>
        <v>0</v>
      </c>
      <c r="EQ52" s="15">
        <f t="shared" si="366"/>
        <v>0</v>
      </c>
      <c r="ER52" s="15">
        <f t="shared" si="366"/>
        <v>0</v>
      </c>
      <c r="ES52" s="15">
        <f t="shared" si="366"/>
        <v>0</v>
      </c>
      <c r="ET52" s="15">
        <f t="shared" si="367"/>
        <v>0</v>
      </c>
      <c r="EU52" s="15">
        <f t="shared" si="367"/>
        <v>0</v>
      </c>
      <c r="EV52" s="15">
        <f t="shared" si="367"/>
        <v>0</v>
      </c>
      <c r="EW52" s="15">
        <f t="shared" si="367"/>
        <v>0</v>
      </c>
      <c r="EX52" s="15">
        <f t="shared" si="367"/>
        <v>0</v>
      </c>
      <c r="EY52" s="15">
        <f t="shared" si="367"/>
        <v>0</v>
      </c>
      <c r="EZ52" s="15">
        <f t="shared" si="367"/>
        <v>0</v>
      </c>
      <c r="FA52" s="15">
        <f t="shared" si="367"/>
        <v>0</v>
      </c>
      <c r="FB52" s="15">
        <f t="shared" si="367"/>
        <v>0</v>
      </c>
      <c r="FC52" s="15">
        <f t="shared" si="367"/>
        <v>0</v>
      </c>
      <c r="FD52" s="15">
        <f t="shared" si="367"/>
        <v>0</v>
      </c>
      <c r="FE52" s="15">
        <f t="shared" si="367"/>
        <v>0</v>
      </c>
      <c r="FF52" s="15">
        <f t="shared" si="367"/>
        <v>0</v>
      </c>
      <c r="FG52" s="15">
        <f t="shared" si="367"/>
        <v>0</v>
      </c>
      <c r="FI52" s="15">
        <f t="shared" si="368"/>
        <v>10833333.333333334</v>
      </c>
      <c r="FJ52" s="15">
        <f t="shared" si="368"/>
        <v>10833333.333333334</v>
      </c>
      <c r="FK52" s="15">
        <f t="shared" si="368"/>
        <v>10833333.333333334</v>
      </c>
      <c r="FL52" s="15">
        <f t="shared" si="368"/>
        <v>10833333.333333334</v>
      </c>
      <c r="FM52" s="15">
        <f t="shared" si="368"/>
        <v>10833333.333333334</v>
      </c>
      <c r="FN52" s="15">
        <f t="shared" si="368"/>
        <v>10833333.333333334</v>
      </c>
      <c r="FO52" s="15">
        <f t="shared" si="368"/>
        <v>10833333.333333334</v>
      </c>
      <c r="FP52" s="15">
        <f t="shared" si="368"/>
        <v>10833333.333333334</v>
      </c>
      <c r="FQ52" s="15">
        <f t="shared" si="368"/>
        <v>10833333.333333334</v>
      </c>
      <c r="FR52" s="15">
        <f t="shared" si="368"/>
        <v>10833333.333333334</v>
      </c>
      <c r="FS52" s="15">
        <f t="shared" si="368"/>
        <v>10833333.333333334</v>
      </c>
      <c r="FT52" s="15">
        <f t="shared" si="368"/>
        <v>10833333.333333334</v>
      </c>
      <c r="FU52" s="15">
        <f t="shared" si="368"/>
        <v>0</v>
      </c>
      <c r="FV52" s="15">
        <f t="shared" si="368"/>
        <v>0</v>
      </c>
      <c r="FW52" s="15">
        <f t="shared" si="368"/>
        <v>0</v>
      </c>
      <c r="FX52" s="15">
        <f t="shared" si="368"/>
        <v>0</v>
      </c>
      <c r="FY52" s="15">
        <f t="shared" si="369"/>
        <v>0</v>
      </c>
      <c r="FZ52" s="15">
        <f t="shared" si="369"/>
        <v>0</v>
      </c>
      <c r="GA52" s="15">
        <f t="shared" si="369"/>
        <v>0</v>
      </c>
      <c r="GB52" s="15">
        <f t="shared" si="369"/>
        <v>0</v>
      </c>
      <c r="GC52" s="15">
        <f t="shared" si="369"/>
        <v>0</v>
      </c>
      <c r="GD52" s="15">
        <f t="shared" si="369"/>
        <v>0</v>
      </c>
      <c r="GE52" s="15">
        <f t="shared" si="369"/>
        <v>0</v>
      </c>
      <c r="GF52" s="15">
        <f t="shared" si="369"/>
        <v>0</v>
      </c>
      <c r="GG52" s="15">
        <f t="shared" si="369"/>
        <v>0</v>
      </c>
      <c r="GH52" s="15">
        <f t="shared" si="369"/>
        <v>0</v>
      </c>
      <c r="GI52" s="15">
        <f t="shared" si="369"/>
        <v>0</v>
      </c>
      <c r="GJ52" s="15">
        <f t="shared" si="369"/>
        <v>0</v>
      </c>
      <c r="GK52" s="15">
        <f t="shared" si="369"/>
        <v>0</v>
      </c>
      <c r="GL52" s="15">
        <f t="shared" si="369"/>
        <v>0</v>
      </c>
      <c r="GN52" s="15">
        <f t="shared" si="370"/>
        <v>10833333.333333334</v>
      </c>
      <c r="GO52" s="15">
        <f t="shared" si="370"/>
        <v>10833333.333333334</v>
      </c>
      <c r="GP52" s="15">
        <f t="shared" si="370"/>
        <v>10833333.333333334</v>
      </c>
      <c r="GQ52" s="15">
        <f t="shared" si="370"/>
        <v>10833333.333333334</v>
      </c>
      <c r="GR52" s="15">
        <f t="shared" si="370"/>
        <v>10833333.333333334</v>
      </c>
      <c r="GS52" s="15">
        <f t="shared" si="370"/>
        <v>10833333.333333334</v>
      </c>
      <c r="GT52" s="15">
        <f t="shared" si="370"/>
        <v>10833333.333333334</v>
      </c>
      <c r="GU52" s="15">
        <f t="shared" si="370"/>
        <v>10833333.333333334</v>
      </c>
      <c r="GV52" s="15">
        <f t="shared" si="370"/>
        <v>10833333.333333334</v>
      </c>
      <c r="GW52" s="15">
        <f t="shared" si="370"/>
        <v>10833333.333333334</v>
      </c>
      <c r="GX52" s="15">
        <f t="shared" si="370"/>
        <v>10833333.333333334</v>
      </c>
      <c r="GY52" s="15">
        <f t="shared" si="370"/>
        <v>10833333.333333334</v>
      </c>
      <c r="GZ52" s="15">
        <f t="shared" si="370"/>
        <v>0</v>
      </c>
      <c r="HA52" s="15">
        <f t="shared" si="370"/>
        <v>0</v>
      </c>
      <c r="HB52" s="15">
        <f t="shared" si="370"/>
        <v>0</v>
      </c>
      <c r="HC52" s="15">
        <f t="shared" si="370"/>
        <v>0</v>
      </c>
      <c r="HD52" s="15">
        <f t="shared" si="371"/>
        <v>0</v>
      </c>
      <c r="HE52" s="15">
        <f t="shared" si="371"/>
        <v>0</v>
      </c>
      <c r="HF52" s="15">
        <f t="shared" si="371"/>
        <v>0</v>
      </c>
      <c r="HG52" s="15">
        <f t="shared" si="371"/>
        <v>0</v>
      </c>
      <c r="HH52" s="15">
        <f t="shared" si="371"/>
        <v>0</v>
      </c>
      <c r="HI52" s="15">
        <f t="shared" si="371"/>
        <v>0</v>
      </c>
      <c r="HJ52" s="15">
        <f t="shared" si="371"/>
        <v>0</v>
      </c>
      <c r="HK52" s="15">
        <f t="shared" si="371"/>
        <v>0</v>
      </c>
      <c r="HL52" s="15">
        <f t="shared" si="371"/>
        <v>0</v>
      </c>
      <c r="HM52" s="15">
        <f t="shared" si="371"/>
        <v>0</v>
      </c>
      <c r="HN52" s="15">
        <f t="shared" si="371"/>
        <v>0</v>
      </c>
      <c r="HO52" s="15">
        <f t="shared" si="371"/>
        <v>0</v>
      </c>
      <c r="HP52" s="15">
        <f t="shared" si="371"/>
        <v>0</v>
      </c>
      <c r="HQ52" s="15">
        <f t="shared" si="371"/>
        <v>0</v>
      </c>
    </row>
    <row r="53" spans="1:225" outlineLevel="1" x14ac:dyDescent="0.25">
      <c r="B53" t="s">
        <v>345</v>
      </c>
      <c r="C53" s="624" t="s">
        <v>256</v>
      </c>
      <c r="D53" s="614" t="s">
        <v>238</v>
      </c>
      <c r="E53" s="468">
        <v>1</v>
      </c>
      <c r="F53" s="221"/>
      <c r="G53" s="457">
        <v>12</v>
      </c>
      <c r="H53" s="468">
        <f t="shared" si="372"/>
        <v>130000000</v>
      </c>
      <c r="I53" s="457">
        <f t="shared" si="343"/>
        <v>130000000</v>
      </c>
      <c r="J53" s="457">
        <f t="shared" si="344"/>
        <v>10833333.333333334</v>
      </c>
      <c r="K53" s="221"/>
      <c r="L53" s="457">
        <v>12</v>
      </c>
      <c r="M53" s="457">
        <f t="shared" si="345"/>
        <v>156000000</v>
      </c>
      <c r="N53" s="457">
        <f t="shared" si="346"/>
        <v>156000000</v>
      </c>
      <c r="O53" s="457">
        <f t="shared" si="347"/>
        <v>13000000</v>
      </c>
      <c r="P53" s="221"/>
      <c r="Q53" s="457">
        <v>12</v>
      </c>
      <c r="R53" s="457">
        <f t="shared" si="348"/>
        <v>156000000</v>
      </c>
      <c r="S53" s="457">
        <f t="shared" si="349"/>
        <v>156000000</v>
      </c>
      <c r="T53" s="457">
        <f t="shared" si="350"/>
        <v>13000000</v>
      </c>
      <c r="U53" s="221"/>
      <c r="V53" s="457">
        <v>12</v>
      </c>
      <c r="W53" s="457">
        <f t="shared" si="351"/>
        <v>130000000</v>
      </c>
      <c r="X53" s="457">
        <f t="shared" si="352"/>
        <v>130000000</v>
      </c>
      <c r="Y53" s="457">
        <f t="shared" si="353"/>
        <v>10833333.333333334</v>
      </c>
      <c r="Z53" s="221"/>
      <c r="AA53" s="457">
        <v>12</v>
      </c>
      <c r="AB53" s="457">
        <f t="shared" si="354"/>
        <v>130000000</v>
      </c>
      <c r="AC53" s="457">
        <f t="shared" si="355"/>
        <v>130000000</v>
      </c>
      <c r="AD53" s="457">
        <f t="shared" si="356"/>
        <v>10833333.333333334</v>
      </c>
      <c r="AE53" s="221"/>
      <c r="AF53" s="457">
        <v>12</v>
      </c>
      <c r="AG53" s="457">
        <f t="shared" si="357"/>
        <v>130000000</v>
      </c>
      <c r="AH53" s="457">
        <f t="shared" si="358"/>
        <v>130000000</v>
      </c>
      <c r="AI53" s="457">
        <f t="shared" si="359"/>
        <v>10833333.333333334</v>
      </c>
      <c r="AJ53" s="221"/>
      <c r="AM53" t="s">
        <v>337</v>
      </c>
      <c r="AO53" s="15">
        <f t="shared" si="360"/>
        <v>10833333.333333334</v>
      </c>
      <c r="AP53" s="15">
        <f t="shared" si="360"/>
        <v>10833333.333333334</v>
      </c>
      <c r="AQ53" s="15">
        <f t="shared" si="360"/>
        <v>10833333.333333334</v>
      </c>
      <c r="AR53" s="15">
        <f t="shared" si="360"/>
        <v>10833333.333333334</v>
      </c>
      <c r="AS53" s="15">
        <f t="shared" si="360"/>
        <v>10833333.333333334</v>
      </c>
      <c r="AT53" s="15">
        <f t="shared" si="360"/>
        <v>10833333.333333334</v>
      </c>
      <c r="AU53" s="15">
        <f t="shared" si="360"/>
        <v>10833333.333333334</v>
      </c>
      <c r="AV53" s="15">
        <f t="shared" si="360"/>
        <v>10833333.333333334</v>
      </c>
      <c r="AW53" s="15">
        <f t="shared" si="360"/>
        <v>10833333.333333334</v>
      </c>
      <c r="AX53" s="15">
        <f t="shared" si="360"/>
        <v>10833333.333333334</v>
      </c>
      <c r="AY53" s="15">
        <f t="shared" si="360"/>
        <v>10833333.333333334</v>
      </c>
      <c r="AZ53" s="15">
        <f t="shared" si="360"/>
        <v>10833333.333333334</v>
      </c>
      <c r="BA53" s="15">
        <f t="shared" si="360"/>
        <v>0</v>
      </c>
      <c r="BB53" s="15">
        <f t="shared" si="360"/>
        <v>0</v>
      </c>
      <c r="BC53" s="15">
        <f t="shared" si="360"/>
        <v>0</v>
      </c>
      <c r="BD53" s="15">
        <f t="shared" si="360"/>
        <v>0</v>
      </c>
      <c r="BE53" s="15">
        <f t="shared" si="361"/>
        <v>0</v>
      </c>
      <c r="BF53" s="15">
        <f t="shared" si="361"/>
        <v>0</v>
      </c>
      <c r="BG53" s="15">
        <f t="shared" si="361"/>
        <v>0</v>
      </c>
      <c r="BH53" s="15">
        <f t="shared" si="361"/>
        <v>0</v>
      </c>
      <c r="BI53" s="15">
        <f t="shared" si="361"/>
        <v>0</v>
      </c>
      <c r="BJ53" s="15">
        <f t="shared" si="361"/>
        <v>0</v>
      </c>
      <c r="BK53" s="15">
        <f t="shared" si="361"/>
        <v>0</v>
      </c>
      <c r="BL53" s="15">
        <f t="shared" si="361"/>
        <v>0</v>
      </c>
      <c r="BM53" s="15">
        <f t="shared" si="361"/>
        <v>0</v>
      </c>
      <c r="BN53" s="15">
        <f t="shared" si="361"/>
        <v>0</v>
      </c>
      <c r="BO53" s="15">
        <f t="shared" si="361"/>
        <v>0</v>
      </c>
      <c r="BP53" s="15">
        <f t="shared" si="361"/>
        <v>0</v>
      </c>
      <c r="BQ53" s="15">
        <f t="shared" si="361"/>
        <v>0</v>
      </c>
      <c r="BR53" s="15">
        <f t="shared" si="361"/>
        <v>0</v>
      </c>
      <c r="BT53" s="15">
        <f t="shared" si="362"/>
        <v>13000000</v>
      </c>
      <c r="BU53" s="15">
        <f t="shared" si="362"/>
        <v>13000000</v>
      </c>
      <c r="BV53" s="15">
        <f t="shared" si="362"/>
        <v>13000000</v>
      </c>
      <c r="BW53" s="15">
        <f t="shared" si="362"/>
        <v>13000000</v>
      </c>
      <c r="BX53" s="15">
        <f t="shared" si="362"/>
        <v>13000000</v>
      </c>
      <c r="BY53" s="15">
        <f t="shared" si="362"/>
        <v>13000000</v>
      </c>
      <c r="BZ53" s="15">
        <f t="shared" si="362"/>
        <v>13000000</v>
      </c>
      <c r="CA53" s="15">
        <f t="shared" si="362"/>
        <v>13000000</v>
      </c>
      <c r="CB53" s="15">
        <f t="shared" si="362"/>
        <v>13000000</v>
      </c>
      <c r="CC53" s="15">
        <f t="shared" si="362"/>
        <v>13000000</v>
      </c>
      <c r="CD53" s="15">
        <f t="shared" si="362"/>
        <v>13000000</v>
      </c>
      <c r="CE53" s="15">
        <f t="shared" si="362"/>
        <v>13000000</v>
      </c>
      <c r="CF53" s="15">
        <f t="shared" si="362"/>
        <v>0</v>
      </c>
      <c r="CG53" s="15">
        <f t="shared" si="362"/>
        <v>0</v>
      </c>
      <c r="CH53" s="15">
        <f t="shared" si="362"/>
        <v>0</v>
      </c>
      <c r="CI53" s="15">
        <f t="shared" si="362"/>
        <v>0</v>
      </c>
      <c r="CJ53" s="15">
        <f t="shared" si="363"/>
        <v>0</v>
      </c>
      <c r="CK53" s="15">
        <f t="shared" si="363"/>
        <v>0</v>
      </c>
      <c r="CL53" s="15">
        <f t="shared" si="363"/>
        <v>0</v>
      </c>
      <c r="CM53" s="15">
        <f t="shared" si="363"/>
        <v>0</v>
      </c>
      <c r="CN53" s="15">
        <f t="shared" si="363"/>
        <v>0</v>
      </c>
      <c r="CO53" s="15">
        <f t="shared" si="363"/>
        <v>0</v>
      </c>
      <c r="CP53" s="15">
        <f t="shared" si="363"/>
        <v>0</v>
      </c>
      <c r="CQ53" s="15">
        <f t="shared" si="363"/>
        <v>0</v>
      </c>
      <c r="CR53" s="15">
        <f t="shared" si="363"/>
        <v>0</v>
      </c>
      <c r="CS53" s="15">
        <f t="shared" si="363"/>
        <v>0</v>
      </c>
      <c r="CT53" s="15">
        <f t="shared" si="363"/>
        <v>0</v>
      </c>
      <c r="CU53" s="15">
        <f t="shared" si="363"/>
        <v>0</v>
      </c>
      <c r="CV53" s="15">
        <f t="shared" si="363"/>
        <v>0</v>
      </c>
      <c r="CW53" s="15">
        <f t="shared" si="363"/>
        <v>0</v>
      </c>
      <c r="CY53" s="15">
        <f t="shared" si="364"/>
        <v>13000000</v>
      </c>
      <c r="CZ53" s="15">
        <f t="shared" si="364"/>
        <v>13000000</v>
      </c>
      <c r="DA53" s="15">
        <f t="shared" si="364"/>
        <v>13000000</v>
      </c>
      <c r="DB53" s="15">
        <f t="shared" si="364"/>
        <v>13000000</v>
      </c>
      <c r="DC53" s="15">
        <f t="shared" si="364"/>
        <v>13000000</v>
      </c>
      <c r="DD53" s="15">
        <f t="shared" si="364"/>
        <v>13000000</v>
      </c>
      <c r="DE53" s="15">
        <f t="shared" si="364"/>
        <v>13000000</v>
      </c>
      <c r="DF53" s="15">
        <f t="shared" si="364"/>
        <v>13000000</v>
      </c>
      <c r="DG53" s="15">
        <f t="shared" si="364"/>
        <v>13000000</v>
      </c>
      <c r="DH53" s="15">
        <f t="shared" si="364"/>
        <v>13000000</v>
      </c>
      <c r="DI53" s="15">
        <f t="shared" si="364"/>
        <v>13000000</v>
      </c>
      <c r="DJ53" s="15">
        <f t="shared" si="364"/>
        <v>13000000</v>
      </c>
      <c r="DK53" s="15">
        <f t="shared" si="364"/>
        <v>0</v>
      </c>
      <c r="DL53" s="15">
        <f t="shared" si="364"/>
        <v>0</v>
      </c>
      <c r="DM53" s="15">
        <f t="shared" si="364"/>
        <v>0</v>
      </c>
      <c r="DN53" s="15">
        <f t="shared" si="364"/>
        <v>0</v>
      </c>
      <c r="DO53" s="15">
        <f t="shared" si="365"/>
        <v>0</v>
      </c>
      <c r="DP53" s="15">
        <f t="shared" si="365"/>
        <v>0</v>
      </c>
      <c r="DQ53" s="15">
        <f t="shared" si="365"/>
        <v>0</v>
      </c>
      <c r="DR53" s="15">
        <f t="shared" si="365"/>
        <v>0</v>
      </c>
      <c r="DS53" s="15">
        <f t="shared" si="365"/>
        <v>0</v>
      </c>
      <c r="DT53" s="15">
        <f t="shared" si="365"/>
        <v>0</v>
      </c>
      <c r="DU53" s="15">
        <f t="shared" si="365"/>
        <v>0</v>
      </c>
      <c r="DV53" s="15">
        <f t="shared" si="365"/>
        <v>0</v>
      </c>
      <c r="DW53" s="15">
        <f t="shared" si="365"/>
        <v>0</v>
      </c>
      <c r="DX53" s="15">
        <f t="shared" si="365"/>
        <v>0</v>
      </c>
      <c r="DY53" s="15">
        <f t="shared" si="365"/>
        <v>0</v>
      </c>
      <c r="DZ53" s="15">
        <f t="shared" si="365"/>
        <v>0</v>
      </c>
      <c r="EA53" s="15">
        <f t="shared" si="365"/>
        <v>0</v>
      </c>
      <c r="EB53" s="15">
        <f t="shared" si="365"/>
        <v>0</v>
      </c>
      <c r="ED53" s="15">
        <f t="shared" si="366"/>
        <v>10833333.333333334</v>
      </c>
      <c r="EE53" s="15">
        <f t="shared" si="366"/>
        <v>10833333.333333334</v>
      </c>
      <c r="EF53" s="15">
        <f t="shared" si="366"/>
        <v>10833333.333333334</v>
      </c>
      <c r="EG53" s="15">
        <f t="shared" si="366"/>
        <v>10833333.333333334</v>
      </c>
      <c r="EH53" s="15">
        <f t="shared" si="366"/>
        <v>10833333.333333334</v>
      </c>
      <c r="EI53" s="15">
        <f t="shared" si="366"/>
        <v>10833333.333333334</v>
      </c>
      <c r="EJ53" s="15">
        <f t="shared" si="366"/>
        <v>10833333.333333334</v>
      </c>
      <c r="EK53" s="15">
        <f t="shared" si="366"/>
        <v>10833333.333333334</v>
      </c>
      <c r="EL53" s="15">
        <f t="shared" si="366"/>
        <v>10833333.333333334</v>
      </c>
      <c r="EM53" s="15">
        <f t="shared" si="366"/>
        <v>10833333.333333334</v>
      </c>
      <c r="EN53" s="15">
        <f t="shared" si="366"/>
        <v>10833333.333333334</v>
      </c>
      <c r="EO53" s="15">
        <f t="shared" si="366"/>
        <v>10833333.333333334</v>
      </c>
      <c r="EP53" s="15">
        <f t="shared" si="366"/>
        <v>0</v>
      </c>
      <c r="EQ53" s="15">
        <f t="shared" si="366"/>
        <v>0</v>
      </c>
      <c r="ER53" s="15">
        <f t="shared" si="366"/>
        <v>0</v>
      </c>
      <c r="ES53" s="15">
        <f t="shared" si="366"/>
        <v>0</v>
      </c>
      <c r="ET53" s="15">
        <f t="shared" si="367"/>
        <v>0</v>
      </c>
      <c r="EU53" s="15">
        <f t="shared" si="367"/>
        <v>0</v>
      </c>
      <c r="EV53" s="15">
        <f t="shared" si="367"/>
        <v>0</v>
      </c>
      <c r="EW53" s="15">
        <f t="shared" si="367"/>
        <v>0</v>
      </c>
      <c r="EX53" s="15">
        <f t="shared" si="367"/>
        <v>0</v>
      </c>
      <c r="EY53" s="15">
        <f t="shared" si="367"/>
        <v>0</v>
      </c>
      <c r="EZ53" s="15">
        <f t="shared" si="367"/>
        <v>0</v>
      </c>
      <c r="FA53" s="15">
        <f t="shared" si="367"/>
        <v>0</v>
      </c>
      <c r="FB53" s="15">
        <f t="shared" si="367"/>
        <v>0</v>
      </c>
      <c r="FC53" s="15">
        <f t="shared" si="367"/>
        <v>0</v>
      </c>
      <c r="FD53" s="15">
        <f t="shared" si="367"/>
        <v>0</v>
      </c>
      <c r="FE53" s="15">
        <f t="shared" si="367"/>
        <v>0</v>
      </c>
      <c r="FF53" s="15">
        <f t="shared" si="367"/>
        <v>0</v>
      </c>
      <c r="FG53" s="15">
        <f t="shared" si="367"/>
        <v>0</v>
      </c>
      <c r="FI53" s="15">
        <f t="shared" si="368"/>
        <v>10833333.333333334</v>
      </c>
      <c r="FJ53" s="15">
        <f t="shared" si="368"/>
        <v>10833333.333333334</v>
      </c>
      <c r="FK53" s="15">
        <f t="shared" si="368"/>
        <v>10833333.333333334</v>
      </c>
      <c r="FL53" s="15">
        <f t="shared" si="368"/>
        <v>10833333.333333334</v>
      </c>
      <c r="FM53" s="15">
        <f t="shared" si="368"/>
        <v>10833333.333333334</v>
      </c>
      <c r="FN53" s="15">
        <f t="shared" si="368"/>
        <v>10833333.333333334</v>
      </c>
      <c r="FO53" s="15">
        <f t="shared" si="368"/>
        <v>10833333.333333334</v>
      </c>
      <c r="FP53" s="15">
        <f t="shared" si="368"/>
        <v>10833333.333333334</v>
      </c>
      <c r="FQ53" s="15">
        <f t="shared" si="368"/>
        <v>10833333.333333334</v>
      </c>
      <c r="FR53" s="15">
        <f t="shared" si="368"/>
        <v>10833333.333333334</v>
      </c>
      <c r="FS53" s="15">
        <f t="shared" si="368"/>
        <v>10833333.333333334</v>
      </c>
      <c r="FT53" s="15">
        <f t="shared" si="368"/>
        <v>10833333.333333334</v>
      </c>
      <c r="FU53" s="15">
        <f t="shared" si="368"/>
        <v>0</v>
      </c>
      <c r="FV53" s="15">
        <f t="shared" si="368"/>
        <v>0</v>
      </c>
      <c r="FW53" s="15">
        <f t="shared" si="368"/>
        <v>0</v>
      </c>
      <c r="FX53" s="15">
        <f t="shared" si="368"/>
        <v>0</v>
      </c>
      <c r="FY53" s="15">
        <f t="shared" si="369"/>
        <v>0</v>
      </c>
      <c r="FZ53" s="15">
        <f t="shared" si="369"/>
        <v>0</v>
      </c>
      <c r="GA53" s="15">
        <f t="shared" si="369"/>
        <v>0</v>
      </c>
      <c r="GB53" s="15">
        <f t="shared" si="369"/>
        <v>0</v>
      </c>
      <c r="GC53" s="15">
        <f t="shared" si="369"/>
        <v>0</v>
      </c>
      <c r="GD53" s="15">
        <f t="shared" si="369"/>
        <v>0</v>
      </c>
      <c r="GE53" s="15">
        <f t="shared" si="369"/>
        <v>0</v>
      </c>
      <c r="GF53" s="15">
        <f t="shared" si="369"/>
        <v>0</v>
      </c>
      <c r="GG53" s="15">
        <f t="shared" si="369"/>
        <v>0</v>
      </c>
      <c r="GH53" s="15">
        <f t="shared" si="369"/>
        <v>0</v>
      </c>
      <c r="GI53" s="15">
        <f t="shared" si="369"/>
        <v>0</v>
      </c>
      <c r="GJ53" s="15">
        <f t="shared" si="369"/>
        <v>0</v>
      </c>
      <c r="GK53" s="15">
        <f t="shared" si="369"/>
        <v>0</v>
      </c>
      <c r="GL53" s="15">
        <f t="shared" si="369"/>
        <v>0</v>
      </c>
      <c r="GN53" s="15">
        <f t="shared" si="370"/>
        <v>10833333.333333334</v>
      </c>
      <c r="GO53" s="15">
        <f t="shared" si="370"/>
        <v>10833333.333333334</v>
      </c>
      <c r="GP53" s="15">
        <f t="shared" si="370"/>
        <v>10833333.333333334</v>
      </c>
      <c r="GQ53" s="15">
        <f t="shared" si="370"/>
        <v>10833333.333333334</v>
      </c>
      <c r="GR53" s="15">
        <f t="shared" si="370"/>
        <v>10833333.333333334</v>
      </c>
      <c r="GS53" s="15">
        <f t="shared" si="370"/>
        <v>10833333.333333334</v>
      </c>
      <c r="GT53" s="15">
        <f t="shared" si="370"/>
        <v>10833333.333333334</v>
      </c>
      <c r="GU53" s="15">
        <f t="shared" si="370"/>
        <v>10833333.333333334</v>
      </c>
      <c r="GV53" s="15">
        <f t="shared" si="370"/>
        <v>10833333.333333334</v>
      </c>
      <c r="GW53" s="15">
        <f t="shared" si="370"/>
        <v>10833333.333333334</v>
      </c>
      <c r="GX53" s="15">
        <f t="shared" si="370"/>
        <v>10833333.333333334</v>
      </c>
      <c r="GY53" s="15">
        <f t="shared" si="370"/>
        <v>10833333.333333334</v>
      </c>
      <c r="GZ53" s="15">
        <f t="shared" si="370"/>
        <v>0</v>
      </c>
      <c r="HA53" s="15">
        <f t="shared" si="370"/>
        <v>0</v>
      </c>
      <c r="HB53" s="15">
        <f t="shared" si="370"/>
        <v>0</v>
      </c>
      <c r="HC53" s="15">
        <f t="shared" si="370"/>
        <v>0</v>
      </c>
      <c r="HD53" s="15">
        <f t="shared" si="371"/>
        <v>0</v>
      </c>
      <c r="HE53" s="15">
        <f t="shared" si="371"/>
        <v>0</v>
      </c>
      <c r="HF53" s="15">
        <f t="shared" si="371"/>
        <v>0</v>
      </c>
      <c r="HG53" s="15">
        <f t="shared" si="371"/>
        <v>0</v>
      </c>
      <c r="HH53" s="15">
        <f t="shared" si="371"/>
        <v>0</v>
      </c>
      <c r="HI53" s="15">
        <f t="shared" si="371"/>
        <v>0</v>
      </c>
      <c r="HJ53" s="15">
        <f t="shared" si="371"/>
        <v>0</v>
      </c>
      <c r="HK53" s="15">
        <f t="shared" si="371"/>
        <v>0</v>
      </c>
      <c r="HL53" s="15">
        <f t="shared" si="371"/>
        <v>0</v>
      </c>
      <c r="HM53" s="15">
        <f t="shared" si="371"/>
        <v>0</v>
      </c>
      <c r="HN53" s="15">
        <f t="shared" si="371"/>
        <v>0</v>
      </c>
      <c r="HO53" s="15">
        <f t="shared" si="371"/>
        <v>0</v>
      </c>
      <c r="HP53" s="15">
        <f t="shared" si="371"/>
        <v>0</v>
      </c>
      <c r="HQ53" s="15">
        <f t="shared" si="371"/>
        <v>0</v>
      </c>
    </row>
    <row r="54" spans="1:225" outlineLevel="1" x14ac:dyDescent="0.25">
      <c r="B54" t="s">
        <v>345</v>
      </c>
      <c r="C54" s="624" t="s">
        <v>257</v>
      </c>
      <c r="D54" s="614" t="s">
        <v>239</v>
      </c>
      <c r="E54" s="468">
        <v>1</v>
      </c>
      <c r="F54" s="221"/>
      <c r="G54" s="457">
        <v>12</v>
      </c>
      <c r="H54" s="468">
        <f t="shared" si="372"/>
        <v>130000000</v>
      </c>
      <c r="I54" s="457">
        <f t="shared" si="343"/>
        <v>130000000</v>
      </c>
      <c r="J54" s="457">
        <f t="shared" si="344"/>
        <v>10833333.333333334</v>
      </c>
      <c r="K54" s="221"/>
      <c r="L54" s="457">
        <v>12</v>
      </c>
      <c r="M54" s="457">
        <f t="shared" si="345"/>
        <v>156000000</v>
      </c>
      <c r="N54" s="457">
        <f t="shared" si="346"/>
        <v>156000000</v>
      </c>
      <c r="O54" s="457">
        <f t="shared" si="347"/>
        <v>13000000</v>
      </c>
      <c r="P54" s="221"/>
      <c r="Q54" s="457">
        <v>12</v>
      </c>
      <c r="R54" s="457">
        <f t="shared" si="348"/>
        <v>156000000</v>
      </c>
      <c r="S54" s="457">
        <f t="shared" si="349"/>
        <v>156000000</v>
      </c>
      <c r="T54" s="457">
        <f t="shared" si="350"/>
        <v>13000000</v>
      </c>
      <c r="U54" s="221"/>
      <c r="V54" s="457">
        <v>12</v>
      </c>
      <c r="W54" s="457">
        <f t="shared" si="351"/>
        <v>130000000</v>
      </c>
      <c r="X54" s="457">
        <f t="shared" si="352"/>
        <v>130000000</v>
      </c>
      <c r="Y54" s="457">
        <f t="shared" si="353"/>
        <v>10833333.333333334</v>
      </c>
      <c r="Z54" s="221"/>
      <c r="AA54" s="457">
        <v>12</v>
      </c>
      <c r="AB54" s="457">
        <f t="shared" si="354"/>
        <v>130000000</v>
      </c>
      <c r="AC54" s="457">
        <f t="shared" si="355"/>
        <v>130000000</v>
      </c>
      <c r="AD54" s="457">
        <f t="shared" si="356"/>
        <v>10833333.333333334</v>
      </c>
      <c r="AE54" s="221"/>
      <c r="AF54" s="457">
        <v>12</v>
      </c>
      <c r="AG54" s="457">
        <f t="shared" si="357"/>
        <v>130000000</v>
      </c>
      <c r="AH54" s="457">
        <f t="shared" si="358"/>
        <v>130000000</v>
      </c>
      <c r="AI54" s="457">
        <f t="shared" si="359"/>
        <v>10833333.333333334</v>
      </c>
      <c r="AJ54" s="221"/>
      <c r="AM54" t="s">
        <v>337</v>
      </c>
      <c r="AO54" s="15">
        <f t="shared" si="360"/>
        <v>10833333.333333334</v>
      </c>
      <c r="AP54" s="15">
        <f t="shared" si="360"/>
        <v>10833333.333333334</v>
      </c>
      <c r="AQ54" s="15">
        <f t="shared" si="360"/>
        <v>10833333.333333334</v>
      </c>
      <c r="AR54" s="15">
        <f t="shared" si="360"/>
        <v>10833333.333333334</v>
      </c>
      <c r="AS54" s="15">
        <f t="shared" si="360"/>
        <v>10833333.333333334</v>
      </c>
      <c r="AT54" s="15">
        <f t="shared" si="360"/>
        <v>10833333.333333334</v>
      </c>
      <c r="AU54" s="15">
        <f t="shared" si="360"/>
        <v>10833333.333333334</v>
      </c>
      <c r="AV54" s="15">
        <f t="shared" si="360"/>
        <v>10833333.333333334</v>
      </c>
      <c r="AW54" s="15">
        <f t="shared" si="360"/>
        <v>10833333.333333334</v>
      </c>
      <c r="AX54" s="15">
        <f t="shared" si="360"/>
        <v>10833333.333333334</v>
      </c>
      <c r="AY54" s="15">
        <f t="shared" si="360"/>
        <v>10833333.333333334</v>
      </c>
      <c r="AZ54" s="15">
        <f t="shared" si="360"/>
        <v>10833333.333333334</v>
      </c>
      <c r="BA54" s="15">
        <f t="shared" si="360"/>
        <v>0</v>
      </c>
      <c r="BB54" s="15">
        <f t="shared" si="360"/>
        <v>0</v>
      </c>
      <c r="BC54" s="15">
        <f t="shared" si="360"/>
        <v>0</v>
      </c>
      <c r="BD54" s="15">
        <f t="shared" si="360"/>
        <v>0</v>
      </c>
      <c r="BE54" s="15">
        <f t="shared" si="361"/>
        <v>0</v>
      </c>
      <c r="BF54" s="15">
        <f t="shared" si="361"/>
        <v>0</v>
      </c>
      <c r="BG54" s="15">
        <f t="shared" si="361"/>
        <v>0</v>
      </c>
      <c r="BH54" s="15">
        <f t="shared" si="361"/>
        <v>0</v>
      </c>
      <c r="BI54" s="15">
        <f t="shared" si="361"/>
        <v>0</v>
      </c>
      <c r="BJ54" s="15">
        <f t="shared" si="361"/>
        <v>0</v>
      </c>
      <c r="BK54" s="15">
        <f t="shared" si="361"/>
        <v>0</v>
      </c>
      <c r="BL54" s="15">
        <f t="shared" si="361"/>
        <v>0</v>
      </c>
      <c r="BM54" s="15">
        <f t="shared" si="361"/>
        <v>0</v>
      </c>
      <c r="BN54" s="15">
        <f t="shared" si="361"/>
        <v>0</v>
      </c>
      <c r="BO54" s="15">
        <f t="shared" si="361"/>
        <v>0</v>
      </c>
      <c r="BP54" s="15">
        <f t="shared" si="361"/>
        <v>0</v>
      </c>
      <c r="BQ54" s="15">
        <f t="shared" si="361"/>
        <v>0</v>
      </c>
      <c r="BR54" s="15">
        <f t="shared" si="361"/>
        <v>0</v>
      </c>
      <c r="BT54" s="15">
        <f t="shared" si="362"/>
        <v>13000000</v>
      </c>
      <c r="BU54" s="15">
        <f t="shared" si="362"/>
        <v>13000000</v>
      </c>
      <c r="BV54" s="15">
        <f t="shared" si="362"/>
        <v>13000000</v>
      </c>
      <c r="BW54" s="15">
        <f t="shared" si="362"/>
        <v>13000000</v>
      </c>
      <c r="BX54" s="15">
        <f t="shared" si="362"/>
        <v>13000000</v>
      </c>
      <c r="BY54" s="15">
        <f t="shared" si="362"/>
        <v>13000000</v>
      </c>
      <c r="BZ54" s="15">
        <f t="shared" si="362"/>
        <v>13000000</v>
      </c>
      <c r="CA54" s="15">
        <f t="shared" si="362"/>
        <v>13000000</v>
      </c>
      <c r="CB54" s="15">
        <f t="shared" si="362"/>
        <v>13000000</v>
      </c>
      <c r="CC54" s="15">
        <f t="shared" si="362"/>
        <v>13000000</v>
      </c>
      <c r="CD54" s="15">
        <f t="shared" si="362"/>
        <v>13000000</v>
      </c>
      <c r="CE54" s="15">
        <f t="shared" si="362"/>
        <v>13000000</v>
      </c>
      <c r="CF54" s="15">
        <f t="shared" si="362"/>
        <v>0</v>
      </c>
      <c r="CG54" s="15">
        <f t="shared" si="362"/>
        <v>0</v>
      </c>
      <c r="CH54" s="15">
        <f t="shared" si="362"/>
        <v>0</v>
      </c>
      <c r="CI54" s="15">
        <f t="shared" si="362"/>
        <v>0</v>
      </c>
      <c r="CJ54" s="15">
        <f t="shared" si="363"/>
        <v>0</v>
      </c>
      <c r="CK54" s="15">
        <f t="shared" si="363"/>
        <v>0</v>
      </c>
      <c r="CL54" s="15">
        <f t="shared" si="363"/>
        <v>0</v>
      </c>
      <c r="CM54" s="15">
        <f t="shared" si="363"/>
        <v>0</v>
      </c>
      <c r="CN54" s="15">
        <f t="shared" si="363"/>
        <v>0</v>
      </c>
      <c r="CO54" s="15">
        <f t="shared" si="363"/>
        <v>0</v>
      </c>
      <c r="CP54" s="15">
        <f t="shared" si="363"/>
        <v>0</v>
      </c>
      <c r="CQ54" s="15">
        <f t="shared" si="363"/>
        <v>0</v>
      </c>
      <c r="CR54" s="15">
        <f t="shared" si="363"/>
        <v>0</v>
      </c>
      <c r="CS54" s="15">
        <f t="shared" si="363"/>
        <v>0</v>
      </c>
      <c r="CT54" s="15">
        <f t="shared" si="363"/>
        <v>0</v>
      </c>
      <c r="CU54" s="15">
        <f t="shared" si="363"/>
        <v>0</v>
      </c>
      <c r="CV54" s="15">
        <f t="shared" si="363"/>
        <v>0</v>
      </c>
      <c r="CW54" s="15">
        <f t="shared" si="363"/>
        <v>0</v>
      </c>
      <c r="CY54" s="15">
        <f t="shared" si="364"/>
        <v>13000000</v>
      </c>
      <c r="CZ54" s="15">
        <f t="shared" si="364"/>
        <v>13000000</v>
      </c>
      <c r="DA54" s="15">
        <f t="shared" si="364"/>
        <v>13000000</v>
      </c>
      <c r="DB54" s="15">
        <f t="shared" si="364"/>
        <v>13000000</v>
      </c>
      <c r="DC54" s="15">
        <f t="shared" si="364"/>
        <v>13000000</v>
      </c>
      <c r="DD54" s="15">
        <f t="shared" si="364"/>
        <v>13000000</v>
      </c>
      <c r="DE54" s="15">
        <f t="shared" si="364"/>
        <v>13000000</v>
      </c>
      <c r="DF54" s="15">
        <f t="shared" si="364"/>
        <v>13000000</v>
      </c>
      <c r="DG54" s="15">
        <f t="shared" si="364"/>
        <v>13000000</v>
      </c>
      <c r="DH54" s="15">
        <f t="shared" si="364"/>
        <v>13000000</v>
      </c>
      <c r="DI54" s="15">
        <f t="shared" si="364"/>
        <v>13000000</v>
      </c>
      <c r="DJ54" s="15">
        <f t="shared" si="364"/>
        <v>13000000</v>
      </c>
      <c r="DK54" s="15">
        <f t="shared" si="364"/>
        <v>0</v>
      </c>
      <c r="DL54" s="15">
        <f t="shared" si="364"/>
        <v>0</v>
      </c>
      <c r="DM54" s="15">
        <f t="shared" si="364"/>
        <v>0</v>
      </c>
      <c r="DN54" s="15">
        <f t="shared" si="364"/>
        <v>0</v>
      </c>
      <c r="DO54" s="15">
        <f t="shared" si="365"/>
        <v>0</v>
      </c>
      <c r="DP54" s="15">
        <f t="shared" si="365"/>
        <v>0</v>
      </c>
      <c r="DQ54" s="15">
        <f t="shared" si="365"/>
        <v>0</v>
      </c>
      <c r="DR54" s="15">
        <f t="shared" si="365"/>
        <v>0</v>
      </c>
      <c r="DS54" s="15">
        <f t="shared" si="365"/>
        <v>0</v>
      </c>
      <c r="DT54" s="15">
        <f t="shared" si="365"/>
        <v>0</v>
      </c>
      <c r="DU54" s="15">
        <f t="shared" si="365"/>
        <v>0</v>
      </c>
      <c r="DV54" s="15">
        <f t="shared" si="365"/>
        <v>0</v>
      </c>
      <c r="DW54" s="15">
        <f t="shared" si="365"/>
        <v>0</v>
      </c>
      <c r="DX54" s="15">
        <f t="shared" si="365"/>
        <v>0</v>
      </c>
      <c r="DY54" s="15">
        <f t="shared" si="365"/>
        <v>0</v>
      </c>
      <c r="DZ54" s="15">
        <f t="shared" si="365"/>
        <v>0</v>
      </c>
      <c r="EA54" s="15">
        <f t="shared" si="365"/>
        <v>0</v>
      </c>
      <c r="EB54" s="15">
        <f t="shared" si="365"/>
        <v>0</v>
      </c>
      <c r="ED54" s="15">
        <f t="shared" si="366"/>
        <v>10833333.333333334</v>
      </c>
      <c r="EE54" s="15">
        <f t="shared" si="366"/>
        <v>10833333.333333334</v>
      </c>
      <c r="EF54" s="15">
        <f t="shared" si="366"/>
        <v>10833333.333333334</v>
      </c>
      <c r="EG54" s="15">
        <f t="shared" si="366"/>
        <v>10833333.333333334</v>
      </c>
      <c r="EH54" s="15">
        <f t="shared" si="366"/>
        <v>10833333.333333334</v>
      </c>
      <c r="EI54" s="15">
        <f t="shared" si="366"/>
        <v>10833333.333333334</v>
      </c>
      <c r="EJ54" s="15">
        <f t="shared" si="366"/>
        <v>10833333.333333334</v>
      </c>
      <c r="EK54" s="15">
        <f t="shared" si="366"/>
        <v>10833333.333333334</v>
      </c>
      <c r="EL54" s="15">
        <f t="shared" si="366"/>
        <v>10833333.333333334</v>
      </c>
      <c r="EM54" s="15">
        <f t="shared" si="366"/>
        <v>10833333.333333334</v>
      </c>
      <c r="EN54" s="15">
        <f t="shared" si="366"/>
        <v>10833333.333333334</v>
      </c>
      <c r="EO54" s="15">
        <f t="shared" si="366"/>
        <v>10833333.333333334</v>
      </c>
      <c r="EP54" s="15">
        <f t="shared" si="366"/>
        <v>0</v>
      </c>
      <c r="EQ54" s="15">
        <f t="shared" si="366"/>
        <v>0</v>
      </c>
      <c r="ER54" s="15">
        <f t="shared" si="366"/>
        <v>0</v>
      </c>
      <c r="ES54" s="15">
        <f t="shared" si="366"/>
        <v>0</v>
      </c>
      <c r="ET54" s="15">
        <f t="shared" si="367"/>
        <v>0</v>
      </c>
      <c r="EU54" s="15">
        <f t="shared" si="367"/>
        <v>0</v>
      </c>
      <c r="EV54" s="15">
        <f t="shared" si="367"/>
        <v>0</v>
      </c>
      <c r="EW54" s="15">
        <f t="shared" si="367"/>
        <v>0</v>
      </c>
      <c r="EX54" s="15">
        <f t="shared" si="367"/>
        <v>0</v>
      </c>
      <c r="EY54" s="15">
        <f t="shared" si="367"/>
        <v>0</v>
      </c>
      <c r="EZ54" s="15">
        <f t="shared" si="367"/>
        <v>0</v>
      </c>
      <c r="FA54" s="15">
        <f t="shared" si="367"/>
        <v>0</v>
      </c>
      <c r="FB54" s="15">
        <f t="shared" si="367"/>
        <v>0</v>
      </c>
      <c r="FC54" s="15">
        <f t="shared" si="367"/>
        <v>0</v>
      </c>
      <c r="FD54" s="15">
        <f t="shared" si="367"/>
        <v>0</v>
      </c>
      <c r="FE54" s="15">
        <f t="shared" si="367"/>
        <v>0</v>
      </c>
      <c r="FF54" s="15">
        <f t="shared" si="367"/>
        <v>0</v>
      </c>
      <c r="FG54" s="15">
        <f t="shared" si="367"/>
        <v>0</v>
      </c>
      <c r="FI54" s="15">
        <f t="shared" si="368"/>
        <v>10833333.333333334</v>
      </c>
      <c r="FJ54" s="15">
        <f t="shared" si="368"/>
        <v>10833333.333333334</v>
      </c>
      <c r="FK54" s="15">
        <f t="shared" si="368"/>
        <v>10833333.333333334</v>
      </c>
      <c r="FL54" s="15">
        <f t="shared" si="368"/>
        <v>10833333.333333334</v>
      </c>
      <c r="FM54" s="15">
        <f t="shared" si="368"/>
        <v>10833333.333333334</v>
      </c>
      <c r="FN54" s="15">
        <f t="shared" si="368"/>
        <v>10833333.333333334</v>
      </c>
      <c r="FO54" s="15">
        <f t="shared" si="368"/>
        <v>10833333.333333334</v>
      </c>
      <c r="FP54" s="15">
        <f t="shared" si="368"/>
        <v>10833333.333333334</v>
      </c>
      <c r="FQ54" s="15">
        <f t="shared" si="368"/>
        <v>10833333.333333334</v>
      </c>
      <c r="FR54" s="15">
        <f t="shared" si="368"/>
        <v>10833333.333333334</v>
      </c>
      <c r="FS54" s="15">
        <f t="shared" si="368"/>
        <v>10833333.333333334</v>
      </c>
      <c r="FT54" s="15">
        <f t="shared" si="368"/>
        <v>10833333.333333334</v>
      </c>
      <c r="FU54" s="15">
        <f t="shared" si="368"/>
        <v>0</v>
      </c>
      <c r="FV54" s="15">
        <f t="shared" si="368"/>
        <v>0</v>
      </c>
      <c r="FW54" s="15">
        <f t="shared" si="368"/>
        <v>0</v>
      </c>
      <c r="FX54" s="15">
        <f t="shared" si="368"/>
        <v>0</v>
      </c>
      <c r="FY54" s="15">
        <f t="shared" si="369"/>
        <v>0</v>
      </c>
      <c r="FZ54" s="15">
        <f t="shared" si="369"/>
        <v>0</v>
      </c>
      <c r="GA54" s="15">
        <f t="shared" si="369"/>
        <v>0</v>
      </c>
      <c r="GB54" s="15">
        <f t="shared" si="369"/>
        <v>0</v>
      </c>
      <c r="GC54" s="15">
        <f t="shared" si="369"/>
        <v>0</v>
      </c>
      <c r="GD54" s="15">
        <f t="shared" si="369"/>
        <v>0</v>
      </c>
      <c r="GE54" s="15">
        <f t="shared" si="369"/>
        <v>0</v>
      </c>
      <c r="GF54" s="15">
        <f t="shared" si="369"/>
        <v>0</v>
      </c>
      <c r="GG54" s="15">
        <f t="shared" si="369"/>
        <v>0</v>
      </c>
      <c r="GH54" s="15">
        <f t="shared" si="369"/>
        <v>0</v>
      </c>
      <c r="GI54" s="15">
        <f t="shared" si="369"/>
        <v>0</v>
      </c>
      <c r="GJ54" s="15">
        <f t="shared" si="369"/>
        <v>0</v>
      </c>
      <c r="GK54" s="15">
        <f t="shared" si="369"/>
        <v>0</v>
      </c>
      <c r="GL54" s="15">
        <f t="shared" si="369"/>
        <v>0</v>
      </c>
      <c r="GN54" s="15">
        <f t="shared" si="370"/>
        <v>10833333.333333334</v>
      </c>
      <c r="GO54" s="15">
        <f t="shared" si="370"/>
        <v>10833333.333333334</v>
      </c>
      <c r="GP54" s="15">
        <f t="shared" si="370"/>
        <v>10833333.333333334</v>
      </c>
      <c r="GQ54" s="15">
        <f t="shared" si="370"/>
        <v>10833333.333333334</v>
      </c>
      <c r="GR54" s="15">
        <f t="shared" si="370"/>
        <v>10833333.333333334</v>
      </c>
      <c r="GS54" s="15">
        <f t="shared" si="370"/>
        <v>10833333.333333334</v>
      </c>
      <c r="GT54" s="15">
        <f t="shared" si="370"/>
        <v>10833333.333333334</v>
      </c>
      <c r="GU54" s="15">
        <f t="shared" si="370"/>
        <v>10833333.333333334</v>
      </c>
      <c r="GV54" s="15">
        <f t="shared" si="370"/>
        <v>10833333.333333334</v>
      </c>
      <c r="GW54" s="15">
        <f t="shared" si="370"/>
        <v>10833333.333333334</v>
      </c>
      <c r="GX54" s="15">
        <f t="shared" si="370"/>
        <v>10833333.333333334</v>
      </c>
      <c r="GY54" s="15">
        <f t="shared" si="370"/>
        <v>10833333.333333334</v>
      </c>
      <c r="GZ54" s="15">
        <f t="shared" si="370"/>
        <v>0</v>
      </c>
      <c r="HA54" s="15">
        <f t="shared" si="370"/>
        <v>0</v>
      </c>
      <c r="HB54" s="15">
        <f t="shared" si="370"/>
        <v>0</v>
      </c>
      <c r="HC54" s="15">
        <f t="shared" si="370"/>
        <v>0</v>
      </c>
      <c r="HD54" s="15">
        <f t="shared" si="371"/>
        <v>0</v>
      </c>
      <c r="HE54" s="15">
        <f t="shared" si="371"/>
        <v>0</v>
      </c>
      <c r="HF54" s="15">
        <f t="shared" si="371"/>
        <v>0</v>
      </c>
      <c r="HG54" s="15">
        <f t="shared" si="371"/>
        <v>0</v>
      </c>
      <c r="HH54" s="15">
        <f t="shared" si="371"/>
        <v>0</v>
      </c>
      <c r="HI54" s="15">
        <f t="shared" si="371"/>
        <v>0</v>
      </c>
      <c r="HJ54" s="15">
        <f t="shared" si="371"/>
        <v>0</v>
      </c>
      <c r="HK54" s="15">
        <f t="shared" si="371"/>
        <v>0</v>
      </c>
      <c r="HL54" s="15">
        <f t="shared" si="371"/>
        <v>0</v>
      </c>
      <c r="HM54" s="15">
        <f t="shared" si="371"/>
        <v>0</v>
      </c>
      <c r="HN54" s="15">
        <f t="shared" si="371"/>
        <v>0</v>
      </c>
      <c r="HO54" s="15">
        <f t="shared" si="371"/>
        <v>0</v>
      </c>
      <c r="HP54" s="15">
        <f t="shared" si="371"/>
        <v>0</v>
      </c>
      <c r="HQ54" s="15">
        <f t="shared" si="371"/>
        <v>0</v>
      </c>
    </row>
    <row r="55" spans="1:225" outlineLevel="1" x14ac:dyDescent="0.25">
      <c r="B55" t="s">
        <v>345</v>
      </c>
      <c r="C55" s="624" t="s">
        <v>258</v>
      </c>
      <c r="D55" s="614" t="s">
        <v>240</v>
      </c>
      <c r="E55" s="468">
        <v>1</v>
      </c>
      <c r="F55" s="221"/>
      <c r="G55" s="457">
        <v>12</v>
      </c>
      <c r="H55" s="468">
        <f t="shared" si="372"/>
        <v>130000000</v>
      </c>
      <c r="I55" s="457">
        <f t="shared" si="343"/>
        <v>130000000</v>
      </c>
      <c r="J55" s="457">
        <f t="shared" si="344"/>
        <v>10833333.333333334</v>
      </c>
      <c r="K55" s="221"/>
      <c r="L55" s="457">
        <v>12</v>
      </c>
      <c r="M55" s="457">
        <f t="shared" si="345"/>
        <v>156000000</v>
      </c>
      <c r="N55" s="457">
        <f t="shared" si="346"/>
        <v>156000000</v>
      </c>
      <c r="O55" s="457">
        <f t="shared" si="347"/>
        <v>13000000</v>
      </c>
      <c r="P55" s="221"/>
      <c r="Q55" s="457">
        <v>12</v>
      </c>
      <c r="R55" s="457">
        <f t="shared" si="348"/>
        <v>156000000</v>
      </c>
      <c r="S55" s="457">
        <f t="shared" si="349"/>
        <v>156000000</v>
      </c>
      <c r="T55" s="457">
        <f t="shared" si="350"/>
        <v>13000000</v>
      </c>
      <c r="U55" s="221"/>
      <c r="V55" s="457">
        <v>12</v>
      </c>
      <c r="W55" s="457">
        <f t="shared" si="351"/>
        <v>130000000</v>
      </c>
      <c r="X55" s="457">
        <f t="shared" si="352"/>
        <v>130000000</v>
      </c>
      <c r="Y55" s="457">
        <f t="shared" si="353"/>
        <v>10833333.333333334</v>
      </c>
      <c r="Z55" s="221"/>
      <c r="AA55" s="457">
        <v>12</v>
      </c>
      <c r="AB55" s="457">
        <f t="shared" si="354"/>
        <v>130000000</v>
      </c>
      <c r="AC55" s="457">
        <f t="shared" si="355"/>
        <v>130000000</v>
      </c>
      <c r="AD55" s="457">
        <f t="shared" si="356"/>
        <v>10833333.333333334</v>
      </c>
      <c r="AE55" s="221"/>
      <c r="AF55" s="457">
        <v>12</v>
      </c>
      <c r="AG55" s="457">
        <f t="shared" si="357"/>
        <v>130000000</v>
      </c>
      <c r="AH55" s="457">
        <f t="shared" si="358"/>
        <v>130000000</v>
      </c>
      <c r="AI55" s="457">
        <f t="shared" si="359"/>
        <v>10833333.333333334</v>
      </c>
      <c r="AJ55" s="221"/>
      <c r="AM55" t="s">
        <v>337</v>
      </c>
      <c r="AO55" s="15">
        <f t="shared" si="360"/>
        <v>10833333.333333334</v>
      </c>
      <c r="AP55" s="15">
        <f t="shared" si="360"/>
        <v>10833333.333333334</v>
      </c>
      <c r="AQ55" s="15">
        <f t="shared" si="360"/>
        <v>10833333.333333334</v>
      </c>
      <c r="AR55" s="15">
        <f t="shared" si="360"/>
        <v>10833333.333333334</v>
      </c>
      <c r="AS55" s="15">
        <f t="shared" si="360"/>
        <v>10833333.333333334</v>
      </c>
      <c r="AT55" s="15">
        <f t="shared" si="360"/>
        <v>10833333.333333334</v>
      </c>
      <c r="AU55" s="15">
        <f t="shared" si="360"/>
        <v>10833333.333333334</v>
      </c>
      <c r="AV55" s="15">
        <f t="shared" si="360"/>
        <v>10833333.333333334</v>
      </c>
      <c r="AW55" s="15">
        <f t="shared" si="360"/>
        <v>10833333.333333334</v>
      </c>
      <c r="AX55" s="15">
        <f t="shared" si="360"/>
        <v>10833333.333333334</v>
      </c>
      <c r="AY55" s="15">
        <f t="shared" si="360"/>
        <v>10833333.333333334</v>
      </c>
      <c r="AZ55" s="15">
        <f t="shared" si="360"/>
        <v>10833333.333333334</v>
      </c>
      <c r="BA55" s="15">
        <f t="shared" si="360"/>
        <v>0</v>
      </c>
      <c r="BB55" s="15">
        <f t="shared" si="360"/>
        <v>0</v>
      </c>
      <c r="BC55" s="15">
        <f t="shared" si="360"/>
        <v>0</v>
      </c>
      <c r="BD55" s="15">
        <f t="shared" ref="BD55:BR58" si="373">IF($G55&gt;=BD$8,$J55,0)</f>
        <v>0</v>
      </c>
      <c r="BE55" s="15">
        <f t="shared" si="373"/>
        <v>0</v>
      </c>
      <c r="BF55" s="15">
        <f t="shared" si="373"/>
        <v>0</v>
      </c>
      <c r="BG55" s="15">
        <f t="shared" si="373"/>
        <v>0</v>
      </c>
      <c r="BH55" s="15">
        <f t="shared" si="373"/>
        <v>0</v>
      </c>
      <c r="BI55" s="15">
        <f t="shared" si="373"/>
        <v>0</v>
      </c>
      <c r="BJ55" s="15">
        <f t="shared" si="373"/>
        <v>0</v>
      </c>
      <c r="BK55" s="15">
        <f t="shared" si="373"/>
        <v>0</v>
      </c>
      <c r="BL55" s="15">
        <f t="shared" si="373"/>
        <v>0</v>
      </c>
      <c r="BM55" s="15">
        <f t="shared" si="373"/>
        <v>0</v>
      </c>
      <c r="BN55" s="15">
        <f t="shared" si="373"/>
        <v>0</v>
      </c>
      <c r="BO55" s="15">
        <f t="shared" si="373"/>
        <v>0</v>
      </c>
      <c r="BP55" s="15">
        <f t="shared" si="373"/>
        <v>0</v>
      </c>
      <c r="BQ55" s="15">
        <f t="shared" si="373"/>
        <v>0</v>
      </c>
      <c r="BR55" s="15">
        <f t="shared" si="373"/>
        <v>0</v>
      </c>
      <c r="BT55" s="15">
        <f t="shared" si="362"/>
        <v>13000000</v>
      </c>
      <c r="BU55" s="15">
        <f t="shared" si="362"/>
        <v>13000000</v>
      </c>
      <c r="BV55" s="15">
        <f t="shared" si="362"/>
        <v>13000000</v>
      </c>
      <c r="BW55" s="15">
        <f t="shared" si="362"/>
        <v>13000000</v>
      </c>
      <c r="BX55" s="15">
        <f t="shared" si="362"/>
        <v>13000000</v>
      </c>
      <c r="BY55" s="15">
        <f t="shared" si="362"/>
        <v>13000000</v>
      </c>
      <c r="BZ55" s="15">
        <f t="shared" si="362"/>
        <v>13000000</v>
      </c>
      <c r="CA55" s="15">
        <f t="shared" si="362"/>
        <v>13000000</v>
      </c>
      <c r="CB55" s="15">
        <f t="shared" si="362"/>
        <v>13000000</v>
      </c>
      <c r="CC55" s="15">
        <f t="shared" si="362"/>
        <v>13000000</v>
      </c>
      <c r="CD55" s="15">
        <f t="shared" si="362"/>
        <v>13000000</v>
      </c>
      <c r="CE55" s="15">
        <f t="shared" si="362"/>
        <v>13000000</v>
      </c>
      <c r="CF55" s="15">
        <f t="shared" si="362"/>
        <v>0</v>
      </c>
      <c r="CG55" s="15">
        <f t="shared" si="362"/>
        <v>0</v>
      </c>
      <c r="CH55" s="15">
        <f t="shared" si="362"/>
        <v>0</v>
      </c>
      <c r="CI55" s="15">
        <f t="shared" ref="CI55:CW58" si="374">IF($L55&gt;=CI$8,$O55,0)</f>
        <v>0</v>
      </c>
      <c r="CJ55" s="15">
        <f t="shared" si="374"/>
        <v>0</v>
      </c>
      <c r="CK55" s="15">
        <f t="shared" si="374"/>
        <v>0</v>
      </c>
      <c r="CL55" s="15">
        <f t="shared" si="374"/>
        <v>0</v>
      </c>
      <c r="CM55" s="15">
        <f t="shared" si="374"/>
        <v>0</v>
      </c>
      <c r="CN55" s="15">
        <f t="shared" si="374"/>
        <v>0</v>
      </c>
      <c r="CO55" s="15">
        <f t="shared" si="374"/>
        <v>0</v>
      </c>
      <c r="CP55" s="15">
        <f t="shared" si="374"/>
        <v>0</v>
      </c>
      <c r="CQ55" s="15">
        <f t="shared" si="374"/>
        <v>0</v>
      </c>
      <c r="CR55" s="15">
        <f t="shared" si="374"/>
        <v>0</v>
      </c>
      <c r="CS55" s="15">
        <f t="shared" si="374"/>
        <v>0</v>
      </c>
      <c r="CT55" s="15">
        <f t="shared" si="374"/>
        <v>0</v>
      </c>
      <c r="CU55" s="15">
        <f t="shared" si="374"/>
        <v>0</v>
      </c>
      <c r="CV55" s="15">
        <f t="shared" si="374"/>
        <v>0</v>
      </c>
      <c r="CW55" s="15">
        <f t="shared" si="374"/>
        <v>0</v>
      </c>
      <c r="CY55" s="15">
        <f t="shared" si="364"/>
        <v>13000000</v>
      </c>
      <c r="CZ55" s="15">
        <f t="shared" si="364"/>
        <v>13000000</v>
      </c>
      <c r="DA55" s="15">
        <f t="shared" si="364"/>
        <v>13000000</v>
      </c>
      <c r="DB55" s="15">
        <f t="shared" si="364"/>
        <v>13000000</v>
      </c>
      <c r="DC55" s="15">
        <f t="shared" si="364"/>
        <v>13000000</v>
      </c>
      <c r="DD55" s="15">
        <f t="shared" si="364"/>
        <v>13000000</v>
      </c>
      <c r="DE55" s="15">
        <f t="shared" si="364"/>
        <v>13000000</v>
      </c>
      <c r="DF55" s="15">
        <f t="shared" si="364"/>
        <v>13000000</v>
      </c>
      <c r="DG55" s="15">
        <f t="shared" si="364"/>
        <v>13000000</v>
      </c>
      <c r="DH55" s="15">
        <f t="shared" si="364"/>
        <v>13000000</v>
      </c>
      <c r="DI55" s="15">
        <f t="shared" si="364"/>
        <v>13000000</v>
      </c>
      <c r="DJ55" s="15">
        <f t="shared" si="364"/>
        <v>13000000</v>
      </c>
      <c r="DK55" s="15">
        <f t="shared" si="364"/>
        <v>0</v>
      </c>
      <c r="DL55" s="15">
        <f t="shared" si="364"/>
        <v>0</v>
      </c>
      <c r="DM55" s="15">
        <f t="shared" si="364"/>
        <v>0</v>
      </c>
      <c r="DN55" s="15">
        <f t="shared" ref="DN55:DO58" si="375">IF($Q55&gt;=DN$8,$T55,0)</f>
        <v>0</v>
      </c>
      <c r="DO55" s="15">
        <f t="shared" si="375"/>
        <v>0</v>
      </c>
      <c r="DP55" s="15">
        <f t="shared" si="365"/>
        <v>0</v>
      </c>
      <c r="DQ55" s="15">
        <f t="shared" si="365"/>
        <v>0</v>
      </c>
      <c r="DR55" s="15">
        <f t="shared" si="365"/>
        <v>0</v>
      </c>
      <c r="DS55" s="15">
        <f t="shared" si="365"/>
        <v>0</v>
      </c>
      <c r="DT55" s="15">
        <f t="shared" si="365"/>
        <v>0</v>
      </c>
      <c r="DU55" s="15">
        <f t="shared" si="365"/>
        <v>0</v>
      </c>
      <c r="DV55" s="15">
        <f t="shared" si="365"/>
        <v>0</v>
      </c>
      <c r="DW55" s="15">
        <f t="shared" si="365"/>
        <v>0</v>
      </c>
      <c r="DX55" s="15">
        <f t="shared" si="365"/>
        <v>0</v>
      </c>
      <c r="DY55" s="15">
        <f t="shared" si="365"/>
        <v>0</v>
      </c>
      <c r="DZ55" s="15">
        <f t="shared" si="365"/>
        <v>0</v>
      </c>
      <c r="EA55" s="15">
        <f t="shared" si="365"/>
        <v>0</v>
      </c>
      <c r="EB55" s="15">
        <f t="shared" si="365"/>
        <v>0</v>
      </c>
      <c r="ED55" s="15">
        <f t="shared" si="366"/>
        <v>10833333.333333334</v>
      </c>
      <c r="EE55" s="15">
        <f t="shared" si="366"/>
        <v>10833333.333333334</v>
      </c>
      <c r="EF55" s="15">
        <f t="shared" si="366"/>
        <v>10833333.333333334</v>
      </c>
      <c r="EG55" s="15">
        <f t="shared" si="366"/>
        <v>10833333.333333334</v>
      </c>
      <c r="EH55" s="15">
        <f t="shared" si="366"/>
        <v>10833333.333333334</v>
      </c>
      <c r="EI55" s="15">
        <f t="shared" si="366"/>
        <v>10833333.333333334</v>
      </c>
      <c r="EJ55" s="15">
        <f t="shared" si="366"/>
        <v>10833333.333333334</v>
      </c>
      <c r="EK55" s="15">
        <f t="shared" si="366"/>
        <v>10833333.333333334</v>
      </c>
      <c r="EL55" s="15">
        <f t="shared" si="366"/>
        <v>10833333.333333334</v>
      </c>
      <c r="EM55" s="15">
        <f t="shared" si="366"/>
        <v>10833333.333333334</v>
      </c>
      <c r="EN55" s="15">
        <f t="shared" si="366"/>
        <v>10833333.333333334</v>
      </c>
      <c r="EO55" s="15">
        <f t="shared" si="366"/>
        <v>10833333.333333334</v>
      </c>
      <c r="EP55" s="15">
        <f t="shared" si="366"/>
        <v>0</v>
      </c>
      <c r="EQ55" s="15">
        <f t="shared" si="366"/>
        <v>0</v>
      </c>
      <c r="ER55" s="15">
        <f t="shared" si="366"/>
        <v>0</v>
      </c>
      <c r="ES55" s="15">
        <f t="shared" ref="ES55:FG58" si="376">IF($V55&gt;=ES$8,$Y55,0)</f>
        <v>0</v>
      </c>
      <c r="ET55" s="15">
        <f t="shared" si="376"/>
        <v>0</v>
      </c>
      <c r="EU55" s="15">
        <f t="shared" si="376"/>
        <v>0</v>
      </c>
      <c r="EV55" s="15">
        <f t="shared" si="376"/>
        <v>0</v>
      </c>
      <c r="EW55" s="15">
        <f t="shared" si="376"/>
        <v>0</v>
      </c>
      <c r="EX55" s="15">
        <f t="shared" si="376"/>
        <v>0</v>
      </c>
      <c r="EY55" s="15">
        <f t="shared" si="376"/>
        <v>0</v>
      </c>
      <c r="EZ55" s="15">
        <f t="shared" si="376"/>
        <v>0</v>
      </c>
      <c r="FA55" s="15">
        <f t="shared" si="376"/>
        <v>0</v>
      </c>
      <c r="FB55" s="15">
        <f t="shared" si="376"/>
        <v>0</v>
      </c>
      <c r="FC55" s="15">
        <f t="shared" si="376"/>
        <v>0</v>
      </c>
      <c r="FD55" s="15">
        <f t="shared" si="376"/>
        <v>0</v>
      </c>
      <c r="FE55" s="15">
        <f t="shared" si="376"/>
        <v>0</v>
      </c>
      <c r="FF55" s="15">
        <f t="shared" si="376"/>
        <v>0</v>
      </c>
      <c r="FG55" s="15">
        <f t="shared" si="376"/>
        <v>0</v>
      </c>
      <c r="FI55" s="15">
        <f t="shared" si="368"/>
        <v>10833333.333333334</v>
      </c>
      <c r="FJ55" s="15">
        <f t="shared" si="368"/>
        <v>10833333.333333334</v>
      </c>
      <c r="FK55" s="15">
        <f t="shared" si="368"/>
        <v>10833333.333333334</v>
      </c>
      <c r="FL55" s="15">
        <f t="shared" si="368"/>
        <v>10833333.333333334</v>
      </c>
      <c r="FM55" s="15">
        <f t="shared" si="368"/>
        <v>10833333.333333334</v>
      </c>
      <c r="FN55" s="15">
        <f t="shared" si="368"/>
        <v>10833333.333333334</v>
      </c>
      <c r="FO55" s="15">
        <f t="shared" si="368"/>
        <v>10833333.333333334</v>
      </c>
      <c r="FP55" s="15">
        <f t="shared" si="368"/>
        <v>10833333.333333334</v>
      </c>
      <c r="FQ55" s="15">
        <f t="shared" si="368"/>
        <v>10833333.333333334</v>
      </c>
      <c r="FR55" s="15">
        <f t="shared" si="368"/>
        <v>10833333.333333334</v>
      </c>
      <c r="FS55" s="15">
        <f t="shared" si="368"/>
        <v>10833333.333333334</v>
      </c>
      <c r="FT55" s="15">
        <f t="shared" si="368"/>
        <v>10833333.333333334</v>
      </c>
      <c r="FU55" s="15">
        <f t="shared" si="368"/>
        <v>0</v>
      </c>
      <c r="FV55" s="15">
        <f t="shared" si="368"/>
        <v>0</v>
      </c>
      <c r="FW55" s="15">
        <f t="shared" si="368"/>
        <v>0</v>
      </c>
      <c r="FX55" s="15">
        <f t="shared" ref="FX55:GL58" si="377">IF($AA55&gt;=FX$8,$AD55,0)</f>
        <v>0</v>
      </c>
      <c r="FY55" s="15">
        <f t="shared" si="377"/>
        <v>0</v>
      </c>
      <c r="FZ55" s="15">
        <f t="shared" si="377"/>
        <v>0</v>
      </c>
      <c r="GA55" s="15">
        <f t="shared" si="377"/>
        <v>0</v>
      </c>
      <c r="GB55" s="15">
        <f t="shared" si="377"/>
        <v>0</v>
      </c>
      <c r="GC55" s="15">
        <f t="shared" si="377"/>
        <v>0</v>
      </c>
      <c r="GD55" s="15">
        <f t="shared" si="377"/>
        <v>0</v>
      </c>
      <c r="GE55" s="15">
        <f t="shared" si="377"/>
        <v>0</v>
      </c>
      <c r="GF55" s="15">
        <f t="shared" si="377"/>
        <v>0</v>
      </c>
      <c r="GG55" s="15">
        <f t="shared" si="377"/>
        <v>0</v>
      </c>
      <c r="GH55" s="15">
        <f t="shared" si="377"/>
        <v>0</v>
      </c>
      <c r="GI55" s="15">
        <f t="shared" si="377"/>
        <v>0</v>
      </c>
      <c r="GJ55" s="15">
        <f t="shared" si="377"/>
        <v>0</v>
      </c>
      <c r="GK55" s="15">
        <f t="shared" si="377"/>
        <v>0</v>
      </c>
      <c r="GL55" s="15">
        <f t="shared" si="377"/>
        <v>0</v>
      </c>
      <c r="GN55" s="15">
        <f t="shared" si="370"/>
        <v>10833333.333333334</v>
      </c>
      <c r="GO55" s="15">
        <f t="shared" si="370"/>
        <v>10833333.333333334</v>
      </c>
      <c r="GP55" s="15">
        <f t="shared" si="370"/>
        <v>10833333.333333334</v>
      </c>
      <c r="GQ55" s="15">
        <f t="shared" si="370"/>
        <v>10833333.333333334</v>
      </c>
      <c r="GR55" s="15">
        <f t="shared" si="370"/>
        <v>10833333.333333334</v>
      </c>
      <c r="GS55" s="15">
        <f t="shared" si="370"/>
        <v>10833333.333333334</v>
      </c>
      <c r="GT55" s="15">
        <f t="shared" si="370"/>
        <v>10833333.333333334</v>
      </c>
      <c r="GU55" s="15">
        <f t="shared" si="370"/>
        <v>10833333.333333334</v>
      </c>
      <c r="GV55" s="15">
        <f t="shared" si="370"/>
        <v>10833333.333333334</v>
      </c>
      <c r="GW55" s="15">
        <f t="shared" si="370"/>
        <v>10833333.333333334</v>
      </c>
      <c r="GX55" s="15">
        <f t="shared" si="370"/>
        <v>10833333.333333334</v>
      </c>
      <c r="GY55" s="15">
        <f t="shared" si="370"/>
        <v>10833333.333333334</v>
      </c>
      <c r="GZ55" s="15">
        <f t="shared" si="370"/>
        <v>0</v>
      </c>
      <c r="HA55" s="15">
        <f t="shared" si="370"/>
        <v>0</v>
      </c>
      <c r="HB55" s="15">
        <f t="shared" si="370"/>
        <v>0</v>
      </c>
      <c r="HC55" s="15">
        <f t="shared" ref="HC55:HQ58" si="378">IF($AF55&gt;=HC$8,$AI55,0)</f>
        <v>0</v>
      </c>
      <c r="HD55" s="15">
        <f t="shared" si="378"/>
        <v>0</v>
      </c>
      <c r="HE55" s="15">
        <f t="shared" si="378"/>
        <v>0</v>
      </c>
      <c r="HF55" s="15">
        <f t="shared" si="378"/>
        <v>0</v>
      </c>
      <c r="HG55" s="15">
        <f t="shared" si="378"/>
        <v>0</v>
      </c>
      <c r="HH55" s="15">
        <f t="shared" si="378"/>
        <v>0</v>
      </c>
      <c r="HI55" s="15">
        <f t="shared" si="378"/>
        <v>0</v>
      </c>
      <c r="HJ55" s="15">
        <f t="shared" si="378"/>
        <v>0</v>
      </c>
      <c r="HK55" s="15">
        <f t="shared" si="378"/>
        <v>0</v>
      </c>
      <c r="HL55" s="15">
        <f t="shared" si="378"/>
        <v>0</v>
      </c>
      <c r="HM55" s="15">
        <f t="shared" si="378"/>
        <v>0</v>
      </c>
      <c r="HN55" s="15">
        <f t="shared" si="378"/>
        <v>0</v>
      </c>
      <c r="HO55" s="15">
        <f t="shared" si="378"/>
        <v>0</v>
      </c>
      <c r="HP55" s="15">
        <f t="shared" si="378"/>
        <v>0</v>
      </c>
      <c r="HQ55" s="15">
        <f t="shared" si="378"/>
        <v>0</v>
      </c>
    </row>
    <row r="56" spans="1:225" outlineLevel="1" x14ac:dyDescent="0.25">
      <c r="B56" t="s">
        <v>345</v>
      </c>
      <c r="C56" s="624" t="s">
        <v>259</v>
      </c>
      <c r="D56" s="614" t="s">
        <v>229</v>
      </c>
      <c r="E56" s="468">
        <v>1</v>
      </c>
      <c r="F56" s="221"/>
      <c r="G56" s="457">
        <v>12</v>
      </c>
      <c r="H56" s="468">
        <f>(62500000/$D$6)*1.04</f>
        <v>65000000</v>
      </c>
      <c r="I56" s="457">
        <f t="shared" si="343"/>
        <v>65000000</v>
      </c>
      <c r="J56" s="457">
        <f t="shared" si="344"/>
        <v>5416666.666666667</v>
      </c>
      <c r="K56" s="221"/>
      <c r="L56" s="457">
        <v>12</v>
      </c>
      <c r="M56" s="457">
        <f t="shared" si="345"/>
        <v>78000000</v>
      </c>
      <c r="N56" s="457">
        <f t="shared" si="346"/>
        <v>78000000</v>
      </c>
      <c r="O56" s="457">
        <f t="shared" si="347"/>
        <v>6500000</v>
      </c>
      <c r="P56" s="221"/>
      <c r="Q56" s="457">
        <v>12</v>
      </c>
      <c r="R56" s="457">
        <f t="shared" si="348"/>
        <v>78000000</v>
      </c>
      <c r="S56" s="457">
        <f t="shared" si="349"/>
        <v>78000000</v>
      </c>
      <c r="T56" s="457">
        <f t="shared" si="350"/>
        <v>6500000</v>
      </c>
      <c r="U56" s="221"/>
      <c r="V56" s="457">
        <v>12</v>
      </c>
      <c r="W56" s="457">
        <f t="shared" si="351"/>
        <v>65000000</v>
      </c>
      <c r="X56" s="457">
        <f t="shared" si="352"/>
        <v>65000000</v>
      </c>
      <c r="Y56" s="457">
        <f t="shared" si="353"/>
        <v>5416666.666666667</v>
      </c>
      <c r="Z56" s="221"/>
      <c r="AA56" s="457">
        <v>12</v>
      </c>
      <c r="AB56" s="457">
        <f t="shared" si="354"/>
        <v>78000000</v>
      </c>
      <c r="AC56" s="457">
        <f t="shared" si="355"/>
        <v>78000000</v>
      </c>
      <c r="AD56" s="457">
        <f t="shared" si="356"/>
        <v>6500000</v>
      </c>
      <c r="AE56" s="221"/>
      <c r="AF56" s="457">
        <v>12</v>
      </c>
      <c r="AG56" s="457">
        <f t="shared" si="357"/>
        <v>78000000</v>
      </c>
      <c r="AH56" s="457">
        <f t="shared" si="358"/>
        <v>78000000</v>
      </c>
      <c r="AI56" s="457">
        <f t="shared" si="359"/>
        <v>6500000</v>
      </c>
      <c r="AJ56" s="221"/>
      <c r="AM56" t="s">
        <v>337</v>
      </c>
      <c r="AO56" s="15">
        <f t="shared" ref="AO56:BD58" si="379">IF($G56&gt;=AO$8,$J56,0)</f>
        <v>5416666.666666667</v>
      </c>
      <c r="AP56" s="15">
        <f t="shared" si="379"/>
        <v>5416666.666666667</v>
      </c>
      <c r="AQ56" s="15">
        <f t="shared" si="379"/>
        <v>5416666.666666667</v>
      </c>
      <c r="AR56" s="15">
        <f t="shared" si="379"/>
        <v>5416666.666666667</v>
      </c>
      <c r="AS56" s="15">
        <f t="shared" si="379"/>
        <v>5416666.666666667</v>
      </c>
      <c r="AT56" s="15">
        <f t="shared" si="379"/>
        <v>5416666.666666667</v>
      </c>
      <c r="AU56" s="15">
        <f t="shared" si="379"/>
        <v>5416666.666666667</v>
      </c>
      <c r="AV56" s="15">
        <f t="shared" si="379"/>
        <v>5416666.666666667</v>
      </c>
      <c r="AW56" s="15">
        <f t="shared" si="379"/>
        <v>5416666.666666667</v>
      </c>
      <c r="AX56" s="15">
        <f t="shared" si="379"/>
        <v>5416666.666666667</v>
      </c>
      <c r="AY56" s="15">
        <f t="shared" si="379"/>
        <v>5416666.666666667</v>
      </c>
      <c r="AZ56" s="15">
        <f t="shared" si="379"/>
        <v>5416666.666666667</v>
      </c>
      <c r="BA56" s="15">
        <f t="shared" si="379"/>
        <v>0</v>
      </c>
      <c r="BB56" s="15">
        <f t="shared" si="379"/>
        <v>0</v>
      </c>
      <c r="BC56" s="15">
        <f t="shared" si="379"/>
        <v>0</v>
      </c>
      <c r="BD56" s="15">
        <f t="shared" si="379"/>
        <v>0</v>
      </c>
      <c r="BE56" s="15">
        <f t="shared" si="373"/>
        <v>0</v>
      </c>
      <c r="BF56" s="15">
        <f t="shared" si="373"/>
        <v>0</v>
      </c>
      <c r="BG56" s="15">
        <f t="shared" si="373"/>
        <v>0</v>
      </c>
      <c r="BH56" s="15">
        <f t="shared" si="373"/>
        <v>0</v>
      </c>
      <c r="BI56" s="15">
        <f t="shared" si="373"/>
        <v>0</v>
      </c>
      <c r="BJ56" s="15">
        <f t="shared" si="373"/>
        <v>0</v>
      </c>
      <c r="BK56" s="15">
        <f t="shared" si="373"/>
        <v>0</v>
      </c>
      <c r="BL56" s="15">
        <f t="shared" si="373"/>
        <v>0</v>
      </c>
      <c r="BM56" s="15">
        <f t="shared" si="373"/>
        <v>0</v>
      </c>
      <c r="BN56" s="15">
        <f t="shared" si="373"/>
        <v>0</v>
      </c>
      <c r="BO56" s="15">
        <f t="shared" si="373"/>
        <v>0</v>
      </c>
      <c r="BP56" s="15">
        <f t="shared" si="373"/>
        <v>0</v>
      </c>
      <c r="BQ56" s="15">
        <f t="shared" si="373"/>
        <v>0</v>
      </c>
      <c r="BR56" s="15">
        <f t="shared" si="373"/>
        <v>0</v>
      </c>
      <c r="BT56" s="15">
        <f t="shared" ref="BT56:CI58" si="380">IF($L56&gt;=BT$8,$O56,0)</f>
        <v>6500000</v>
      </c>
      <c r="BU56" s="15">
        <f t="shared" si="380"/>
        <v>6500000</v>
      </c>
      <c r="BV56" s="15">
        <f t="shared" si="380"/>
        <v>6500000</v>
      </c>
      <c r="BW56" s="15">
        <f t="shared" si="380"/>
        <v>6500000</v>
      </c>
      <c r="BX56" s="15">
        <f t="shared" si="380"/>
        <v>6500000</v>
      </c>
      <c r="BY56" s="15">
        <f t="shared" si="380"/>
        <v>6500000</v>
      </c>
      <c r="BZ56" s="15">
        <f t="shared" si="380"/>
        <v>6500000</v>
      </c>
      <c r="CA56" s="15">
        <f t="shared" si="380"/>
        <v>6500000</v>
      </c>
      <c r="CB56" s="15">
        <f t="shared" si="380"/>
        <v>6500000</v>
      </c>
      <c r="CC56" s="15">
        <f t="shared" si="380"/>
        <v>6500000</v>
      </c>
      <c r="CD56" s="15">
        <f t="shared" si="380"/>
        <v>6500000</v>
      </c>
      <c r="CE56" s="15">
        <f t="shared" si="380"/>
        <v>6500000</v>
      </c>
      <c r="CF56" s="15">
        <f t="shared" si="380"/>
        <v>0</v>
      </c>
      <c r="CG56" s="15">
        <f t="shared" si="380"/>
        <v>0</v>
      </c>
      <c r="CH56" s="15">
        <f t="shared" si="380"/>
        <v>0</v>
      </c>
      <c r="CI56" s="15">
        <f t="shared" si="380"/>
        <v>0</v>
      </c>
      <c r="CJ56" s="15">
        <f t="shared" si="374"/>
        <v>0</v>
      </c>
      <c r="CK56" s="15">
        <f t="shared" si="374"/>
        <v>0</v>
      </c>
      <c r="CL56" s="15">
        <f t="shared" si="374"/>
        <v>0</v>
      </c>
      <c r="CM56" s="15">
        <f t="shared" si="374"/>
        <v>0</v>
      </c>
      <c r="CN56" s="15">
        <f t="shared" si="374"/>
        <v>0</v>
      </c>
      <c r="CO56" s="15">
        <f t="shared" si="374"/>
        <v>0</v>
      </c>
      <c r="CP56" s="15">
        <f t="shared" si="374"/>
        <v>0</v>
      </c>
      <c r="CQ56" s="15">
        <f t="shared" si="374"/>
        <v>0</v>
      </c>
      <c r="CR56" s="15">
        <f t="shared" si="374"/>
        <v>0</v>
      </c>
      <c r="CS56" s="15">
        <f t="shared" si="374"/>
        <v>0</v>
      </c>
      <c r="CT56" s="15">
        <f t="shared" si="374"/>
        <v>0</v>
      </c>
      <c r="CU56" s="15">
        <f t="shared" si="374"/>
        <v>0</v>
      </c>
      <c r="CV56" s="15">
        <f t="shared" si="374"/>
        <v>0</v>
      </c>
      <c r="CW56" s="15">
        <f t="shared" si="374"/>
        <v>0</v>
      </c>
      <c r="CY56" s="15">
        <f t="shared" ref="CY56:DN58" si="381">IF($Q56&gt;=CY$8,$T56,0)</f>
        <v>6500000</v>
      </c>
      <c r="CZ56" s="15">
        <f t="shared" si="381"/>
        <v>6500000</v>
      </c>
      <c r="DA56" s="15">
        <f t="shared" si="381"/>
        <v>6500000</v>
      </c>
      <c r="DB56" s="15">
        <f t="shared" si="381"/>
        <v>6500000</v>
      </c>
      <c r="DC56" s="15">
        <f t="shared" si="381"/>
        <v>6500000</v>
      </c>
      <c r="DD56" s="15">
        <f t="shared" si="381"/>
        <v>6500000</v>
      </c>
      <c r="DE56" s="15">
        <f t="shared" si="381"/>
        <v>6500000</v>
      </c>
      <c r="DF56" s="15">
        <f t="shared" si="381"/>
        <v>6500000</v>
      </c>
      <c r="DG56" s="15">
        <f t="shared" si="381"/>
        <v>6500000</v>
      </c>
      <c r="DH56" s="15">
        <f t="shared" si="381"/>
        <v>6500000</v>
      </c>
      <c r="DI56" s="15">
        <f t="shared" si="381"/>
        <v>6500000</v>
      </c>
      <c r="DJ56" s="15">
        <f t="shared" si="381"/>
        <v>6500000</v>
      </c>
      <c r="DK56" s="15">
        <f t="shared" si="381"/>
        <v>0</v>
      </c>
      <c r="DL56" s="15">
        <f t="shared" si="381"/>
        <v>0</v>
      </c>
      <c r="DM56" s="15">
        <f t="shared" si="381"/>
        <v>0</v>
      </c>
      <c r="DN56" s="15">
        <f t="shared" si="381"/>
        <v>0</v>
      </c>
      <c r="DO56" s="15">
        <f t="shared" si="375"/>
        <v>0</v>
      </c>
      <c r="DP56" s="15">
        <f t="shared" si="365"/>
        <v>0</v>
      </c>
      <c r="DQ56" s="15">
        <f t="shared" si="365"/>
        <v>0</v>
      </c>
      <c r="DR56" s="15">
        <f t="shared" si="365"/>
        <v>0</v>
      </c>
      <c r="DS56" s="15">
        <f t="shared" si="365"/>
        <v>0</v>
      </c>
      <c r="DT56" s="15">
        <f t="shared" si="365"/>
        <v>0</v>
      </c>
      <c r="DU56" s="15">
        <f t="shared" si="365"/>
        <v>0</v>
      </c>
      <c r="DV56" s="15">
        <f t="shared" si="365"/>
        <v>0</v>
      </c>
      <c r="DW56" s="15">
        <f t="shared" si="365"/>
        <v>0</v>
      </c>
      <c r="DX56" s="15">
        <f t="shared" si="365"/>
        <v>0</v>
      </c>
      <c r="DY56" s="15">
        <f t="shared" si="365"/>
        <v>0</v>
      </c>
      <c r="DZ56" s="15">
        <f t="shared" si="365"/>
        <v>0</v>
      </c>
      <c r="EA56" s="15">
        <f t="shared" si="365"/>
        <v>0</v>
      </c>
      <c r="EB56" s="15">
        <f t="shared" si="365"/>
        <v>0</v>
      </c>
      <c r="ED56" s="15">
        <f t="shared" ref="ED56:ES58" si="382">IF($V56&gt;=ED$8,$Y56,0)</f>
        <v>5416666.666666667</v>
      </c>
      <c r="EE56" s="15">
        <f t="shared" si="382"/>
        <v>5416666.666666667</v>
      </c>
      <c r="EF56" s="15">
        <f t="shared" si="382"/>
        <v>5416666.666666667</v>
      </c>
      <c r="EG56" s="15">
        <f t="shared" si="382"/>
        <v>5416666.666666667</v>
      </c>
      <c r="EH56" s="15">
        <f t="shared" si="382"/>
        <v>5416666.666666667</v>
      </c>
      <c r="EI56" s="15">
        <f t="shared" si="382"/>
        <v>5416666.666666667</v>
      </c>
      <c r="EJ56" s="15">
        <f t="shared" si="382"/>
        <v>5416666.666666667</v>
      </c>
      <c r="EK56" s="15">
        <f t="shared" si="382"/>
        <v>5416666.666666667</v>
      </c>
      <c r="EL56" s="15">
        <f t="shared" si="382"/>
        <v>5416666.666666667</v>
      </c>
      <c r="EM56" s="15">
        <f t="shared" si="382"/>
        <v>5416666.666666667</v>
      </c>
      <c r="EN56" s="15">
        <f t="shared" si="382"/>
        <v>5416666.666666667</v>
      </c>
      <c r="EO56" s="15">
        <f t="shared" si="382"/>
        <v>5416666.666666667</v>
      </c>
      <c r="EP56" s="15">
        <f t="shared" si="382"/>
        <v>0</v>
      </c>
      <c r="EQ56" s="15">
        <f t="shared" si="382"/>
        <v>0</v>
      </c>
      <c r="ER56" s="15">
        <f t="shared" si="382"/>
        <v>0</v>
      </c>
      <c r="ES56" s="15">
        <f t="shared" si="382"/>
        <v>0</v>
      </c>
      <c r="ET56" s="15">
        <f t="shared" si="376"/>
        <v>0</v>
      </c>
      <c r="EU56" s="15">
        <f t="shared" si="376"/>
        <v>0</v>
      </c>
      <c r="EV56" s="15">
        <f t="shared" si="376"/>
        <v>0</v>
      </c>
      <c r="EW56" s="15">
        <f t="shared" si="376"/>
        <v>0</v>
      </c>
      <c r="EX56" s="15">
        <f t="shared" si="376"/>
        <v>0</v>
      </c>
      <c r="EY56" s="15">
        <f t="shared" si="376"/>
        <v>0</v>
      </c>
      <c r="EZ56" s="15">
        <f t="shared" si="376"/>
        <v>0</v>
      </c>
      <c r="FA56" s="15">
        <f t="shared" si="376"/>
        <v>0</v>
      </c>
      <c r="FB56" s="15">
        <f t="shared" si="376"/>
        <v>0</v>
      </c>
      <c r="FC56" s="15">
        <f t="shared" si="376"/>
        <v>0</v>
      </c>
      <c r="FD56" s="15">
        <f t="shared" si="376"/>
        <v>0</v>
      </c>
      <c r="FE56" s="15">
        <f t="shared" si="376"/>
        <v>0</v>
      </c>
      <c r="FF56" s="15">
        <f t="shared" si="376"/>
        <v>0</v>
      </c>
      <c r="FG56" s="15">
        <f t="shared" si="376"/>
        <v>0</v>
      </c>
      <c r="FI56" s="15">
        <f t="shared" ref="FI56:FX58" si="383">IF($AA56&gt;=FI$8,$AD56,0)</f>
        <v>6500000</v>
      </c>
      <c r="FJ56" s="15">
        <f t="shared" si="383"/>
        <v>6500000</v>
      </c>
      <c r="FK56" s="15">
        <f t="shared" si="383"/>
        <v>6500000</v>
      </c>
      <c r="FL56" s="15">
        <f t="shared" si="383"/>
        <v>6500000</v>
      </c>
      <c r="FM56" s="15">
        <f t="shared" si="383"/>
        <v>6500000</v>
      </c>
      <c r="FN56" s="15">
        <f t="shared" si="383"/>
        <v>6500000</v>
      </c>
      <c r="FO56" s="15">
        <f t="shared" si="383"/>
        <v>6500000</v>
      </c>
      <c r="FP56" s="15">
        <f t="shared" si="383"/>
        <v>6500000</v>
      </c>
      <c r="FQ56" s="15">
        <f t="shared" si="383"/>
        <v>6500000</v>
      </c>
      <c r="FR56" s="15">
        <f t="shared" si="383"/>
        <v>6500000</v>
      </c>
      <c r="FS56" s="15">
        <f t="shared" si="383"/>
        <v>6500000</v>
      </c>
      <c r="FT56" s="15">
        <f t="shared" si="383"/>
        <v>6500000</v>
      </c>
      <c r="FU56" s="15">
        <f t="shared" si="383"/>
        <v>0</v>
      </c>
      <c r="FV56" s="15">
        <f t="shared" si="383"/>
        <v>0</v>
      </c>
      <c r="FW56" s="15">
        <f t="shared" si="383"/>
        <v>0</v>
      </c>
      <c r="FX56" s="15">
        <f t="shared" si="383"/>
        <v>0</v>
      </c>
      <c r="FY56" s="15">
        <f t="shared" si="377"/>
        <v>0</v>
      </c>
      <c r="FZ56" s="15">
        <f t="shared" si="377"/>
        <v>0</v>
      </c>
      <c r="GA56" s="15">
        <f t="shared" si="377"/>
        <v>0</v>
      </c>
      <c r="GB56" s="15">
        <f t="shared" si="377"/>
        <v>0</v>
      </c>
      <c r="GC56" s="15">
        <f t="shared" si="377"/>
        <v>0</v>
      </c>
      <c r="GD56" s="15">
        <f t="shared" si="377"/>
        <v>0</v>
      </c>
      <c r="GE56" s="15">
        <f t="shared" si="377"/>
        <v>0</v>
      </c>
      <c r="GF56" s="15">
        <f t="shared" si="377"/>
        <v>0</v>
      </c>
      <c r="GG56" s="15">
        <f t="shared" si="377"/>
        <v>0</v>
      </c>
      <c r="GH56" s="15">
        <f t="shared" si="377"/>
        <v>0</v>
      </c>
      <c r="GI56" s="15">
        <f t="shared" si="377"/>
        <v>0</v>
      </c>
      <c r="GJ56" s="15">
        <f t="shared" si="377"/>
        <v>0</v>
      </c>
      <c r="GK56" s="15">
        <f t="shared" si="377"/>
        <v>0</v>
      </c>
      <c r="GL56" s="15">
        <f t="shared" si="377"/>
        <v>0</v>
      </c>
      <c r="GN56" s="15">
        <f t="shared" ref="GN56:HC58" si="384">IF($AF56&gt;=GN$8,$AI56,0)</f>
        <v>6500000</v>
      </c>
      <c r="GO56" s="15">
        <f t="shared" si="384"/>
        <v>6500000</v>
      </c>
      <c r="GP56" s="15">
        <f t="shared" si="384"/>
        <v>6500000</v>
      </c>
      <c r="GQ56" s="15">
        <f t="shared" si="384"/>
        <v>6500000</v>
      </c>
      <c r="GR56" s="15">
        <f t="shared" si="384"/>
        <v>6500000</v>
      </c>
      <c r="GS56" s="15">
        <f t="shared" si="384"/>
        <v>6500000</v>
      </c>
      <c r="GT56" s="15">
        <f t="shared" si="384"/>
        <v>6500000</v>
      </c>
      <c r="GU56" s="15">
        <f t="shared" si="384"/>
        <v>6500000</v>
      </c>
      <c r="GV56" s="15">
        <f t="shared" si="384"/>
        <v>6500000</v>
      </c>
      <c r="GW56" s="15">
        <f t="shared" si="384"/>
        <v>6500000</v>
      </c>
      <c r="GX56" s="15">
        <f t="shared" si="384"/>
        <v>6500000</v>
      </c>
      <c r="GY56" s="15">
        <f t="shared" si="384"/>
        <v>6500000</v>
      </c>
      <c r="GZ56" s="15">
        <f t="shared" si="384"/>
        <v>0</v>
      </c>
      <c r="HA56" s="15">
        <f t="shared" si="384"/>
        <v>0</v>
      </c>
      <c r="HB56" s="15">
        <f t="shared" si="384"/>
        <v>0</v>
      </c>
      <c r="HC56" s="15">
        <f t="shared" si="384"/>
        <v>0</v>
      </c>
      <c r="HD56" s="15">
        <f t="shared" si="378"/>
        <v>0</v>
      </c>
      <c r="HE56" s="15">
        <f t="shared" si="378"/>
        <v>0</v>
      </c>
      <c r="HF56" s="15">
        <f t="shared" si="378"/>
        <v>0</v>
      </c>
      <c r="HG56" s="15">
        <f t="shared" si="378"/>
        <v>0</v>
      </c>
      <c r="HH56" s="15">
        <f t="shared" si="378"/>
        <v>0</v>
      </c>
      <c r="HI56" s="15">
        <f t="shared" si="378"/>
        <v>0</v>
      </c>
      <c r="HJ56" s="15">
        <f t="shared" si="378"/>
        <v>0</v>
      </c>
      <c r="HK56" s="15">
        <f t="shared" si="378"/>
        <v>0</v>
      </c>
      <c r="HL56" s="15">
        <f t="shared" si="378"/>
        <v>0</v>
      </c>
      <c r="HM56" s="15">
        <f t="shared" si="378"/>
        <v>0</v>
      </c>
      <c r="HN56" s="15">
        <f t="shared" si="378"/>
        <v>0</v>
      </c>
      <c r="HO56" s="15">
        <f t="shared" si="378"/>
        <v>0</v>
      </c>
      <c r="HP56" s="15">
        <f t="shared" si="378"/>
        <v>0</v>
      </c>
      <c r="HQ56" s="15">
        <f t="shared" si="378"/>
        <v>0</v>
      </c>
    </row>
    <row r="57" spans="1:225" outlineLevel="1" x14ac:dyDescent="0.25">
      <c r="B57" t="s">
        <v>345</v>
      </c>
      <c r="C57" s="624" t="s">
        <v>260</v>
      </c>
      <c r="D57" s="614" t="s">
        <v>226</v>
      </c>
      <c r="E57" s="468">
        <v>1</v>
      </c>
      <c r="F57" s="221"/>
      <c r="G57" s="457">
        <v>12</v>
      </c>
      <c r="H57" s="468">
        <f>(50000000/$D$6)*1.04</f>
        <v>52000000</v>
      </c>
      <c r="I57" s="457">
        <f t="shared" si="343"/>
        <v>52000000</v>
      </c>
      <c r="J57" s="457">
        <f t="shared" si="344"/>
        <v>4333333.333333333</v>
      </c>
      <c r="K57" s="221"/>
      <c r="L57" s="457">
        <v>12</v>
      </c>
      <c r="M57" s="457">
        <f t="shared" si="345"/>
        <v>78000000</v>
      </c>
      <c r="N57" s="457">
        <f t="shared" si="346"/>
        <v>78000000</v>
      </c>
      <c r="O57" s="457">
        <f t="shared" si="347"/>
        <v>6500000</v>
      </c>
      <c r="P57" s="221"/>
      <c r="Q57" s="457">
        <v>12</v>
      </c>
      <c r="R57" s="457">
        <f t="shared" si="348"/>
        <v>78000000</v>
      </c>
      <c r="S57" s="457">
        <f t="shared" si="349"/>
        <v>78000000</v>
      </c>
      <c r="T57" s="457">
        <f t="shared" si="350"/>
        <v>6500000</v>
      </c>
      <c r="U57" s="221"/>
      <c r="V57" s="457">
        <v>12</v>
      </c>
      <c r="W57" s="457">
        <f t="shared" si="351"/>
        <v>52000000</v>
      </c>
      <c r="X57" s="457">
        <f t="shared" si="352"/>
        <v>52000000</v>
      </c>
      <c r="Y57" s="457">
        <f t="shared" si="353"/>
        <v>4333333.333333333</v>
      </c>
      <c r="Z57" s="221"/>
      <c r="AA57" s="457">
        <v>12</v>
      </c>
      <c r="AB57" s="457">
        <f t="shared" si="354"/>
        <v>52000000</v>
      </c>
      <c r="AC57" s="457">
        <f t="shared" si="355"/>
        <v>52000000</v>
      </c>
      <c r="AD57" s="457">
        <f t="shared" si="356"/>
        <v>4333333.333333333</v>
      </c>
      <c r="AE57" s="221"/>
      <c r="AF57" s="457">
        <v>12</v>
      </c>
      <c r="AG57" s="457">
        <f t="shared" si="357"/>
        <v>52000000</v>
      </c>
      <c r="AH57" s="457">
        <f t="shared" si="358"/>
        <v>52000000</v>
      </c>
      <c r="AI57" s="457">
        <f t="shared" si="359"/>
        <v>4333333.333333333</v>
      </c>
      <c r="AJ57" s="221"/>
      <c r="AM57" t="s">
        <v>337</v>
      </c>
      <c r="AO57" s="15">
        <f t="shared" si="379"/>
        <v>4333333.333333333</v>
      </c>
      <c r="AP57" s="15">
        <f t="shared" si="379"/>
        <v>4333333.333333333</v>
      </c>
      <c r="AQ57" s="15">
        <f t="shared" si="379"/>
        <v>4333333.333333333</v>
      </c>
      <c r="AR57" s="15">
        <f t="shared" si="379"/>
        <v>4333333.333333333</v>
      </c>
      <c r="AS57" s="15">
        <f t="shared" si="379"/>
        <v>4333333.333333333</v>
      </c>
      <c r="AT57" s="15">
        <f t="shared" si="379"/>
        <v>4333333.333333333</v>
      </c>
      <c r="AU57" s="15">
        <f t="shared" si="379"/>
        <v>4333333.333333333</v>
      </c>
      <c r="AV57" s="15">
        <f t="shared" si="379"/>
        <v>4333333.333333333</v>
      </c>
      <c r="AW57" s="15">
        <f t="shared" si="379"/>
        <v>4333333.333333333</v>
      </c>
      <c r="AX57" s="15">
        <f t="shared" si="379"/>
        <v>4333333.333333333</v>
      </c>
      <c r="AY57" s="15">
        <f t="shared" si="379"/>
        <v>4333333.333333333</v>
      </c>
      <c r="AZ57" s="15">
        <f t="shared" si="379"/>
        <v>4333333.333333333</v>
      </c>
      <c r="BA57" s="15">
        <f t="shared" si="379"/>
        <v>0</v>
      </c>
      <c r="BB57" s="15">
        <f t="shared" si="379"/>
        <v>0</v>
      </c>
      <c r="BC57" s="15">
        <f t="shared" si="379"/>
        <v>0</v>
      </c>
      <c r="BD57" s="15">
        <f t="shared" si="379"/>
        <v>0</v>
      </c>
      <c r="BE57" s="15">
        <f t="shared" si="373"/>
        <v>0</v>
      </c>
      <c r="BF57" s="15">
        <f t="shared" si="373"/>
        <v>0</v>
      </c>
      <c r="BG57" s="15">
        <f t="shared" si="373"/>
        <v>0</v>
      </c>
      <c r="BH57" s="15">
        <f t="shared" si="373"/>
        <v>0</v>
      </c>
      <c r="BI57" s="15">
        <f t="shared" si="373"/>
        <v>0</v>
      </c>
      <c r="BJ57" s="15">
        <f t="shared" si="373"/>
        <v>0</v>
      </c>
      <c r="BK57" s="15">
        <f t="shared" si="373"/>
        <v>0</v>
      </c>
      <c r="BL57" s="15">
        <f t="shared" si="373"/>
        <v>0</v>
      </c>
      <c r="BM57" s="15">
        <f t="shared" si="373"/>
        <v>0</v>
      </c>
      <c r="BN57" s="15">
        <f t="shared" si="373"/>
        <v>0</v>
      </c>
      <c r="BO57" s="15">
        <f t="shared" si="373"/>
        <v>0</v>
      </c>
      <c r="BP57" s="15">
        <f t="shared" si="373"/>
        <v>0</v>
      </c>
      <c r="BQ57" s="15">
        <f t="shared" si="373"/>
        <v>0</v>
      </c>
      <c r="BR57" s="15">
        <f t="shared" si="373"/>
        <v>0</v>
      </c>
      <c r="BT57" s="15">
        <f t="shared" si="380"/>
        <v>6500000</v>
      </c>
      <c r="BU57" s="15">
        <f t="shared" si="380"/>
        <v>6500000</v>
      </c>
      <c r="BV57" s="15">
        <f t="shared" si="380"/>
        <v>6500000</v>
      </c>
      <c r="BW57" s="15">
        <f t="shared" si="380"/>
        <v>6500000</v>
      </c>
      <c r="BX57" s="15">
        <f t="shared" si="380"/>
        <v>6500000</v>
      </c>
      <c r="BY57" s="15">
        <f t="shared" si="380"/>
        <v>6500000</v>
      </c>
      <c r="BZ57" s="15">
        <f t="shared" si="380"/>
        <v>6500000</v>
      </c>
      <c r="CA57" s="15">
        <f t="shared" si="380"/>
        <v>6500000</v>
      </c>
      <c r="CB57" s="15">
        <f t="shared" si="380"/>
        <v>6500000</v>
      </c>
      <c r="CC57" s="15">
        <f t="shared" si="380"/>
        <v>6500000</v>
      </c>
      <c r="CD57" s="15">
        <f t="shared" si="380"/>
        <v>6500000</v>
      </c>
      <c r="CE57" s="15">
        <f t="shared" si="380"/>
        <v>6500000</v>
      </c>
      <c r="CF57" s="15">
        <f t="shared" si="380"/>
        <v>0</v>
      </c>
      <c r="CG57" s="15">
        <f t="shared" si="380"/>
        <v>0</v>
      </c>
      <c r="CH57" s="15">
        <f t="shared" si="380"/>
        <v>0</v>
      </c>
      <c r="CI57" s="15">
        <f t="shared" si="380"/>
        <v>0</v>
      </c>
      <c r="CJ57" s="15">
        <f t="shared" si="374"/>
        <v>0</v>
      </c>
      <c r="CK57" s="15">
        <f t="shared" si="374"/>
        <v>0</v>
      </c>
      <c r="CL57" s="15">
        <f t="shared" si="374"/>
        <v>0</v>
      </c>
      <c r="CM57" s="15">
        <f t="shared" si="374"/>
        <v>0</v>
      </c>
      <c r="CN57" s="15">
        <f t="shared" si="374"/>
        <v>0</v>
      </c>
      <c r="CO57" s="15">
        <f t="shared" si="374"/>
        <v>0</v>
      </c>
      <c r="CP57" s="15">
        <f t="shared" si="374"/>
        <v>0</v>
      </c>
      <c r="CQ57" s="15">
        <f t="shared" si="374"/>
        <v>0</v>
      </c>
      <c r="CR57" s="15">
        <f t="shared" si="374"/>
        <v>0</v>
      </c>
      <c r="CS57" s="15">
        <f t="shared" si="374"/>
        <v>0</v>
      </c>
      <c r="CT57" s="15">
        <f t="shared" si="374"/>
        <v>0</v>
      </c>
      <c r="CU57" s="15">
        <f t="shared" si="374"/>
        <v>0</v>
      </c>
      <c r="CV57" s="15">
        <f t="shared" si="374"/>
        <v>0</v>
      </c>
      <c r="CW57" s="15">
        <f t="shared" si="374"/>
        <v>0</v>
      </c>
      <c r="CY57" s="15">
        <f t="shared" si="381"/>
        <v>6500000</v>
      </c>
      <c r="CZ57" s="15">
        <f t="shared" si="381"/>
        <v>6500000</v>
      </c>
      <c r="DA57" s="15">
        <f t="shared" si="381"/>
        <v>6500000</v>
      </c>
      <c r="DB57" s="15">
        <f t="shared" si="381"/>
        <v>6500000</v>
      </c>
      <c r="DC57" s="15">
        <f t="shared" si="381"/>
        <v>6500000</v>
      </c>
      <c r="DD57" s="15">
        <f t="shared" si="381"/>
        <v>6500000</v>
      </c>
      <c r="DE57" s="15">
        <f t="shared" si="381"/>
        <v>6500000</v>
      </c>
      <c r="DF57" s="15">
        <f t="shared" si="381"/>
        <v>6500000</v>
      </c>
      <c r="DG57" s="15">
        <f t="shared" si="381"/>
        <v>6500000</v>
      </c>
      <c r="DH57" s="15">
        <f t="shared" si="381"/>
        <v>6500000</v>
      </c>
      <c r="DI57" s="15">
        <f t="shared" si="381"/>
        <v>6500000</v>
      </c>
      <c r="DJ57" s="15">
        <f t="shared" si="381"/>
        <v>6500000</v>
      </c>
      <c r="DK57" s="15">
        <f t="shared" si="381"/>
        <v>0</v>
      </c>
      <c r="DL57" s="15">
        <f t="shared" si="381"/>
        <v>0</v>
      </c>
      <c r="DM57" s="15">
        <f t="shared" si="381"/>
        <v>0</v>
      </c>
      <c r="DN57" s="15">
        <f t="shared" si="381"/>
        <v>0</v>
      </c>
      <c r="DO57" s="15">
        <f t="shared" si="375"/>
        <v>0</v>
      </c>
      <c r="DP57" s="15">
        <f t="shared" si="365"/>
        <v>0</v>
      </c>
      <c r="DQ57" s="15">
        <f t="shared" si="365"/>
        <v>0</v>
      </c>
      <c r="DR57" s="15">
        <f t="shared" si="365"/>
        <v>0</v>
      </c>
      <c r="DS57" s="15">
        <f t="shared" si="365"/>
        <v>0</v>
      </c>
      <c r="DT57" s="15">
        <f t="shared" si="365"/>
        <v>0</v>
      </c>
      <c r="DU57" s="15">
        <f t="shared" si="365"/>
        <v>0</v>
      </c>
      <c r="DV57" s="15">
        <f t="shared" si="365"/>
        <v>0</v>
      </c>
      <c r="DW57" s="15">
        <f t="shared" si="365"/>
        <v>0</v>
      </c>
      <c r="DX57" s="15">
        <f t="shared" si="365"/>
        <v>0</v>
      </c>
      <c r="DY57" s="15">
        <f t="shared" si="365"/>
        <v>0</v>
      </c>
      <c r="DZ57" s="15">
        <f t="shared" si="365"/>
        <v>0</v>
      </c>
      <c r="EA57" s="15">
        <f t="shared" si="365"/>
        <v>0</v>
      </c>
      <c r="EB57" s="15">
        <f t="shared" si="365"/>
        <v>0</v>
      </c>
      <c r="ED57" s="15">
        <f t="shared" si="382"/>
        <v>4333333.333333333</v>
      </c>
      <c r="EE57" s="15">
        <f t="shared" si="382"/>
        <v>4333333.333333333</v>
      </c>
      <c r="EF57" s="15">
        <f t="shared" si="382"/>
        <v>4333333.333333333</v>
      </c>
      <c r="EG57" s="15">
        <f t="shared" si="382"/>
        <v>4333333.333333333</v>
      </c>
      <c r="EH57" s="15">
        <f t="shared" si="382"/>
        <v>4333333.333333333</v>
      </c>
      <c r="EI57" s="15">
        <f t="shared" si="382"/>
        <v>4333333.333333333</v>
      </c>
      <c r="EJ57" s="15">
        <f t="shared" si="382"/>
        <v>4333333.333333333</v>
      </c>
      <c r="EK57" s="15">
        <f t="shared" si="382"/>
        <v>4333333.333333333</v>
      </c>
      <c r="EL57" s="15">
        <f t="shared" si="382"/>
        <v>4333333.333333333</v>
      </c>
      <c r="EM57" s="15">
        <f t="shared" si="382"/>
        <v>4333333.333333333</v>
      </c>
      <c r="EN57" s="15">
        <f t="shared" si="382"/>
        <v>4333333.333333333</v>
      </c>
      <c r="EO57" s="15">
        <f t="shared" si="382"/>
        <v>4333333.333333333</v>
      </c>
      <c r="EP57" s="15">
        <f t="shared" si="382"/>
        <v>0</v>
      </c>
      <c r="EQ57" s="15">
        <f t="shared" si="382"/>
        <v>0</v>
      </c>
      <c r="ER57" s="15">
        <f t="shared" si="382"/>
        <v>0</v>
      </c>
      <c r="ES57" s="15">
        <f t="shared" si="382"/>
        <v>0</v>
      </c>
      <c r="ET57" s="15">
        <f t="shared" si="376"/>
        <v>0</v>
      </c>
      <c r="EU57" s="15">
        <f t="shared" si="376"/>
        <v>0</v>
      </c>
      <c r="EV57" s="15">
        <f t="shared" si="376"/>
        <v>0</v>
      </c>
      <c r="EW57" s="15">
        <f t="shared" si="376"/>
        <v>0</v>
      </c>
      <c r="EX57" s="15">
        <f t="shared" si="376"/>
        <v>0</v>
      </c>
      <c r="EY57" s="15">
        <f t="shared" si="376"/>
        <v>0</v>
      </c>
      <c r="EZ57" s="15">
        <f t="shared" si="376"/>
        <v>0</v>
      </c>
      <c r="FA57" s="15">
        <f t="shared" si="376"/>
        <v>0</v>
      </c>
      <c r="FB57" s="15">
        <f t="shared" si="376"/>
        <v>0</v>
      </c>
      <c r="FC57" s="15">
        <f t="shared" si="376"/>
        <v>0</v>
      </c>
      <c r="FD57" s="15">
        <f t="shared" si="376"/>
        <v>0</v>
      </c>
      <c r="FE57" s="15">
        <f t="shared" si="376"/>
        <v>0</v>
      </c>
      <c r="FF57" s="15">
        <f t="shared" si="376"/>
        <v>0</v>
      </c>
      <c r="FG57" s="15">
        <f t="shared" si="376"/>
        <v>0</v>
      </c>
      <c r="FI57" s="15">
        <f t="shared" si="383"/>
        <v>4333333.333333333</v>
      </c>
      <c r="FJ57" s="15">
        <f t="shared" si="383"/>
        <v>4333333.333333333</v>
      </c>
      <c r="FK57" s="15">
        <f t="shared" si="383"/>
        <v>4333333.333333333</v>
      </c>
      <c r="FL57" s="15">
        <f t="shared" si="383"/>
        <v>4333333.333333333</v>
      </c>
      <c r="FM57" s="15">
        <f t="shared" si="383"/>
        <v>4333333.333333333</v>
      </c>
      <c r="FN57" s="15">
        <f t="shared" si="383"/>
        <v>4333333.333333333</v>
      </c>
      <c r="FO57" s="15">
        <f t="shared" si="383"/>
        <v>4333333.333333333</v>
      </c>
      <c r="FP57" s="15">
        <f t="shared" si="383"/>
        <v>4333333.333333333</v>
      </c>
      <c r="FQ57" s="15">
        <f t="shared" si="383"/>
        <v>4333333.333333333</v>
      </c>
      <c r="FR57" s="15">
        <f t="shared" si="383"/>
        <v>4333333.333333333</v>
      </c>
      <c r="FS57" s="15">
        <f t="shared" si="383"/>
        <v>4333333.333333333</v>
      </c>
      <c r="FT57" s="15">
        <f t="shared" si="383"/>
        <v>4333333.333333333</v>
      </c>
      <c r="FU57" s="15">
        <f t="shared" si="383"/>
        <v>0</v>
      </c>
      <c r="FV57" s="15">
        <f t="shared" si="383"/>
        <v>0</v>
      </c>
      <c r="FW57" s="15">
        <f t="shared" si="383"/>
        <v>0</v>
      </c>
      <c r="FX57" s="15">
        <f t="shared" si="383"/>
        <v>0</v>
      </c>
      <c r="FY57" s="15">
        <f t="shared" si="377"/>
        <v>0</v>
      </c>
      <c r="FZ57" s="15">
        <f t="shared" si="377"/>
        <v>0</v>
      </c>
      <c r="GA57" s="15">
        <f t="shared" si="377"/>
        <v>0</v>
      </c>
      <c r="GB57" s="15">
        <f t="shared" si="377"/>
        <v>0</v>
      </c>
      <c r="GC57" s="15">
        <f t="shared" si="377"/>
        <v>0</v>
      </c>
      <c r="GD57" s="15">
        <f t="shared" si="377"/>
        <v>0</v>
      </c>
      <c r="GE57" s="15">
        <f t="shared" si="377"/>
        <v>0</v>
      </c>
      <c r="GF57" s="15">
        <f t="shared" si="377"/>
        <v>0</v>
      </c>
      <c r="GG57" s="15">
        <f t="shared" si="377"/>
        <v>0</v>
      </c>
      <c r="GH57" s="15">
        <f t="shared" si="377"/>
        <v>0</v>
      </c>
      <c r="GI57" s="15">
        <f t="shared" si="377"/>
        <v>0</v>
      </c>
      <c r="GJ57" s="15">
        <f t="shared" si="377"/>
        <v>0</v>
      </c>
      <c r="GK57" s="15">
        <f t="shared" si="377"/>
        <v>0</v>
      </c>
      <c r="GL57" s="15">
        <f t="shared" si="377"/>
        <v>0</v>
      </c>
      <c r="GN57" s="15">
        <f t="shared" si="384"/>
        <v>4333333.333333333</v>
      </c>
      <c r="GO57" s="15">
        <f t="shared" si="384"/>
        <v>4333333.333333333</v>
      </c>
      <c r="GP57" s="15">
        <f t="shared" si="384"/>
        <v>4333333.333333333</v>
      </c>
      <c r="GQ57" s="15">
        <f t="shared" si="384"/>
        <v>4333333.333333333</v>
      </c>
      <c r="GR57" s="15">
        <f t="shared" si="384"/>
        <v>4333333.333333333</v>
      </c>
      <c r="GS57" s="15">
        <f t="shared" si="384"/>
        <v>4333333.333333333</v>
      </c>
      <c r="GT57" s="15">
        <f t="shared" si="384"/>
        <v>4333333.333333333</v>
      </c>
      <c r="GU57" s="15">
        <f t="shared" si="384"/>
        <v>4333333.333333333</v>
      </c>
      <c r="GV57" s="15">
        <f t="shared" si="384"/>
        <v>4333333.333333333</v>
      </c>
      <c r="GW57" s="15">
        <f t="shared" si="384"/>
        <v>4333333.333333333</v>
      </c>
      <c r="GX57" s="15">
        <f t="shared" si="384"/>
        <v>4333333.333333333</v>
      </c>
      <c r="GY57" s="15">
        <f t="shared" si="384"/>
        <v>4333333.333333333</v>
      </c>
      <c r="GZ57" s="15">
        <f t="shared" si="384"/>
        <v>0</v>
      </c>
      <c r="HA57" s="15">
        <f t="shared" si="384"/>
        <v>0</v>
      </c>
      <c r="HB57" s="15">
        <f t="shared" si="384"/>
        <v>0</v>
      </c>
      <c r="HC57" s="15">
        <f t="shared" si="384"/>
        <v>0</v>
      </c>
      <c r="HD57" s="15">
        <f t="shared" si="378"/>
        <v>0</v>
      </c>
      <c r="HE57" s="15">
        <f t="shared" si="378"/>
        <v>0</v>
      </c>
      <c r="HF57" s="15">
        <f t="shared" si="378"/>
        <v>0</v>
      </c>
      <c r="HG57" s="15">
        <f t="shared" si="378"/>
        <v>0</v>
      </c>
      <c r="HH57" s="15">
        <f t="shared" si="378"/>
        <v>0</v>
      </c>
      <c r="HI57" s="15">
        <f t="shared" si="378"/>
        <v>0</v>
      </c>
      <c r="HJ57" s="15">
        <f t="shared" si="378"/>
        <v>0</v>
      </c>
      <c r="HK57" s="15">
        <f t="shared" si="378"/>
        <v>0</v>
      </c>
      <c r="HL57" s="15">
        <f t="shared" si="378"/>
        <v>0</v>
      </c>
      <c r="HM57" s="15">
        <f t="shared" si="378"/>
        <v>0</v>
      </c>
      <c r="HN57" s="15">
        <f t="shared" si="378"/>
        <v>0</v>
      </c>
      <c r="HO57" s="15">
        <f t="shared" si="378"/>
        <v>0</v>
      </c>
      <c r="HP57" s="15">
        <f t="shared" si="378"/>
        <v>0</v>
      </c>
      <c r="HQ57" s="15">
        <f t="shared" si="378"/>
        <v>0</v>
      </c>
    </row>
    <row r="58" spans="1:225" outlineLevel="1" x14ac:dyDescent="0.25">
      <c r="B58" t="s">
        <v>345</v>
      </c>
      <c r="C58" s="624" t="s">
        <v>261</v>
      </c>
      <c r="D58" s="614" t="s">
        <v>234</v>
      </c>
      <c r="E58" s="468">
        <v>1</v>
      </c>
      <c r="F58" s="221"/>
      <c r="G58" s="457">
        <v>12</v>
      </c>
      <c r="H58" s="468">
        <f>(25000000/$D$6)*1.04</f>
        <v>26000000</v>
      </c>
      <c r="I58" s="457">
        <f t="shared" si="343"/>
        <v>26000000</v>
      </c>
      <c r="J58" s="457">
        <f t="shared" si="344"/>
        <v>2166666.6666666665</v>
      </c>
      <c r="K58" s="221"/>
      <c r="L58" s="457">
        <v>12</v>
      </c>
      <c r="M58" s="457">
        <f t="shared" si="345"/>
        <v>52000000</v>
      </c>
      <c r="N58" s="457">
        <f t="shared" si="346"/>
        <v>52000000</v>
      </c>
      <c r="O58" s="457">
        <f t="shared" si="347"/>
        <v>4333333.333333333</v>
      </c>
      <c r="P58" s="221"/>
      <c r="Q58" s="457">
        <v>12</v>
      </c>
      <c r="R58" s="457">
        <f t="shared" si="348"/>
        <v>52000000</v>
      </c>
      <c r="S58" s="457">
        <f t="shared" si="349"/>
        <v>52000000</v>
      </c>
      <c r="T58" s="457">
        <f t="shared" si="350"/>
        <v>4333333.333333333</v>
      </c>
      <c r="U58" s="221"/>
      <c r="V58" s="457">
        <v>12</v>
      </c>
      <c r="W58" s="457">
        <f t="shared" si="351"/>
        <v>26000000</v>
      </c>
      <c r="X58" s="457">
        <f t="shared" si="352"/>
        <v>26000000</v>
      </c>
      <c r="Y58" s="457">
        <f t="shared" si="353"/>
        <v>2166666.6666666665</v>
      </c>
      <c r="Z58" s="221"/>
      <c r="AA58" s="457">
        <v>12</v>
      </c>
      <c r="AB58" s="457">
        <f t="shared" si="354"/>
        <v>26000000</v>
      </c>
      <c r="AC58" s="457">
        <f t="shared" si="355"/>
        <v>26000000</v>
      </c>
      <c r="AD58" s="457">
        <f t="shared" si="356"/>
        <v>2166666.6666666665</v>
      </c>
      <c r="AE58" s="221"/>
      <c r="AF58" s="457">
        <v>12</v>
      </c>
      <c r="AG58" s="457">
        <f t="shared" si="357"/>
        <v>26000000</v>
      </c>
      <c r="AH58" s="457">
        <f t="shared" si="358"/>
        <v>26000000</v>
      </c>
      <c r="AI58" s="457">
        <f t="shared" si="359"/>
        <v>2166666.6666666665</v>
      </c>
      <c r="AJ58" s="221"/>
      <c r="AM58" t="s">
        <v>337</v>
      </c>
      <c r="AO58" s="15">
        <f t="shared" si="379"/>
        <v>2166666.6666666665</v>
      </c>
      <c r="AP58" s="15">
        <f t="shared" si="379"/>
        <v>2166666.6666666665</v>
      </c>
      <c r="AQ58" s="15">
        <f t="shared" si="379"/>
        <v>2166666.6666666665</v>
      </c>
      <c r="AR58" s="15">
        <f t="shared" si="379"/>
        <v>2166666.6666666665</v>
      </c>
      <c r="AS58" s="15">
        <f t="shared" si="379"/>
        <v>2166666.6666666665</v>
      </c>
      <c r="AT58" s="15">
        <f t="shared" si="379"/>
        <v>2166666.6666666665</v>
      </c>
      <c r="AU58" s="15">
        <f t="shared" si="379"/>
        <v>2166666.6666666665</v>
      </c>
      <c r="AV58" s="15">
        <f t="shared" si="379"/>
        <v>2166666.6666666665</v>
      </c>
      <c r="AW58" s="15">
        <f t="shared" si="379"/>
        <v>2166666.6666666665</v>
      </c>
      <c r="AX58" s="15">
        <f t="shared" si="379"/>
        <v>2166666.6666666665</v>
      </c>
      <c r="AY58" s="15">
        <f t="shared" si="379"/>
        <v>2166666.6666666665</v>
      </c>
      <c r="AZ58" s="15">
        <f t="shared" si="379"/>
        <v>2166666.6666666665</v>
      </c>
      <c r="BA58" s="15">
        <f t="shared" si="379"/>
        <v>0</v>
      </c>
      <c r="BB58" s="15">
        <f t="shared" si="379"/>
        <v>0</v>
      </c>
      <c r="BC58" s="15">
        <f t="shared" si="379"/>
        <v>0</v>
      </c>
      <c r="BD58" s="15">
        <f t="shared" si="379"/>
        <v>0</v>
      </c>
      <c r="BE58" s="15">
        <f t="shared" si="373"/>
        <v>0</v>
      </c>
      <c r="BF58" s="15">
        <f t="shared" si="373"/>
        <v>0</v>
      </c>
      <c r="BG58" s="15">
        <f t="shared" si="373"/>
        <v>0</v>
      </c>
      <c r="BH58" s="15">
        <f t="shared" si="373"/>
        <v>0</v>
      </c>
      <c r="BI58" s="15">
        <f t="shared" si="373"/>
        <v>0</v>
      </c>
      <c r="BJ58" s="15">
        <f t="shared" si="373"/>
        <v>0</v>
      </c>
      <c r="BK58" s="15">
        <f t="shared" si="373"/>
        <v>0</v>
      </c>
      <c r="BL58" s="15">
        <f t="shared" si="373"/>
        <v>0</v>
      </c>
      <c r="BM58" s="15">
        <f t="shared" si="373"/>
        <v>0</v>
      </c>
      <c r="BN58" s="15">
        <f t="shared" si="373"/>
        <v>0</v>
      </c>
      <c r="BO58" s="15">
        <f t="shared" si="373"/>
        <v>0</v>
      </c>
      <c r="BP58" s="15">
        <f t="shared" si="373"/>
        <v>0</v>
      </c>
      <c r="BQ58" s="15">
        <f t="shared" si="373"/>
        <v>0</v>
      </c>
      <c r="BR58" s="15">
        <f t="shared" si="373"/>
        <v>0</v>
      </c>
      <c r="BT58" s="15">
        <f t="shared" si="380"/>
        <v>4333333.333333333</v>
      </c>
      <c r="BU58" s="15">
        <f t="shared" si="380"/>
        <v>4333333.333333333</v>
      </c>
      <c r="BV58" s="15">
        <f t="shared" si="380"/>
        <v>4333333.333333333</v>
      </c>
      <c r="BW58" s="15">
        <f t="shared" si="380"/>
        <v>4333333.333333333</v>
      </c>
      <c r="BX58" s="15">
        <f t="shared" si="380"/>
        <v>4333333.333333333</v>
      </c>
      <c r="BY58" s="15">
        <f t="shared" si="380"/>
        <v>4333333.333333333</v>
      </c>
      <c r="BZ58" s="15">
        <f t="shared" si="380"/>
        <v>4333333.333333333</v>
      </c>
      <c r="CA58" s="15">
        <f t="shared" si="380"/>
        <v>4333333.333333333</v>
      </c>
      <c r="CB58" s="15">
        <f t="shared" si="380"/>
        <v>4333333.333333333</v>
      </c>
      <c r="CC58" s="15">
        <f t="shared" si="380"/>
        <v>4333333.333333333</v>
      </c>
      <c r="CD58" s="15">
        <f t="shared" si="380"/>
        <v>4333333.333333333</v>
      </c>
      <c r="CE58" s="15">
        <f t="shared" si="380"/>
        <v>4333333.333333333</v>
      </c>
      <c r="CF58" s="15">
        <f t="shared" si="380"/>
        <v>0</v>
      </c>
      <c r="CG58" s="15">
        <f t="shared" si="380"/>
        <v>0</v>
      </c>
      <c r="CH58" s="15">
        <f t="shared" si="380"/>
        <v>0</v>
      </c>
      <c r="CI58" s="15">
        <f t="shared" si="380"/>
        <v>0</v>
      </c>
      <c r="CJ58" s="15">
        <f t="shared" si="374"/>
        <v>0</v>
      </c>
      <c r="CK58" s="15">
        <f t="shared" si="374"/>
        <v>0</v>
      </c>
      <c r="CL58" s="15">
        <f t="shared" si="374"/>
        <v>0</v>
      </c>
      <c r="CM58" s="15">
        <f t="shared" si="374"/>
        <v>0</v>
      </c>
      <c r="CN58" s="15">
        <f t="shared" si="374"/>
        <v>0</v>
      </c>
      <c r="CO58" s="15">
        <f t="shared" si="374"/>
        <v>0</v>
      </c>
      <c r="CP58" s="15">
        <f t="shared" si="374"/>
        <v>0</v>
      </c>
      <c r="CQ58" s="15">
        <f t="shared" si="374"/>
        <v>0</v>
      </c>
      <c r="CR58" s="15">
        <f t="shared" si="374"/>
        <v>0</v>
      </c>
      <c r="CS58" s="15">
        <f t="shared" si="374"/>
        <v>0</v>
      </c>
      <c r="CT58" s="15">
        <f t="shared" si="374"/>
        <v>0</v>
      </c>
      <c r="CU58" s="15">
        <f t="shared" si="374"/>
        <v>0</v>
      </c>
      <c r="CV58" s="15">
        <f t="shared" si="374"/>
        <v>0</v>
      </c>
      <c r="CW58" s="15">
        <f t="shared" si="374"/>
        <v>0</v>
      </c>
      <c r="CY58" s="15">
        <f t="shared" si="381"/>
        <v>4333333.333333333</v>
      </c>
      <c r="CZ58" s="15">
        <f t="shared" si="381"/>
        <v>4333333.333333333</v>
      </c>
      <c r="DA58" s="15">
        <f t="shared" si="381"/>
        <v>4333333.333333333</v>
      </c>
      <c r="DB58" s="15">
        <f t="shared" si="381"/>
        <v>4333333.333333333</v>
      </c>
      <c r="DC58" s="15">
        <f t="shared" si="381"/>
        <v>4333333.333333333</v>
      </c>
      <c r="DD58" s="15">
        <f t="shared" si="381"/>
        <v>4333333.333333333</v>
      </c>
      <c r="DE58" s="15">
        <f t="shared" si="381"/>
        <v>4333333.333333333</v>
      </c>
      <c r="DF58" s="15">
        <f t="shared" si="381"/>
        <v>4333333.333333333</v>
      </c>
      <c r="DG58" s="15">
        <f t="shared" si="381"/>
        <v>4333333.333333333</v>
      </c>
      <c r="DH58" s="15">
        <f t="shared" si="381"/>
        <v>4333333.333333333</v>
      </c>
      <c r="DI58" s="15">
        <f t="shared" si="381"/>
        <v>4333333.333333333</v>
      </c>
      <c r="DJ58" s="15">
        <f t="shared" si="381"/>
        <v>4333333.333333333</v>
      </c>
      <c r="DK58" s="15">
        <f t="shared" si="381"/>
        <v>0</v>
      </c>
      <c r="DL58" s="15">
        <f t="shared" si="381"/>
        <v>0</v>
      </c>
      <c r="DM58" s="15">
        <f t="shared" si="381"/>
        <v>0</v>
      </c>
      <c r="DN58" s="15">
        <f t="shared" si="381"/>
        <v>0</v>
      </c>
      <c r="DO58" s="15">
        <f t="shared" si="375"/>
        <v>0</v>
      </c>
      <c r="DP58" s="15">
        <f t="shared" si="365"/>
        <v>0</v>
      </c>
      <c r="DQ58" s="15">
        <f t="shared" si="365"/>
        <v>0</v>
      </c>
      <c r="DR58" s="15">
        <f t="shared" si="365"/>
        <v>0</v>
      </c>
      <c r="DS58" s="15">
        <f t="shared" si="365"/>
        <v>0</v>
      </c>
      <c r="DT58" s="15">
        <f t="shared" si="365"/>
        <v>0</v>
      </c>
      <c r="DU58" s="15">
        <f t="shared" si="365"/>
        <v>0</v>
      </c>
      <c r="DV58" s="15">
        <f t="shared" ref="DV58:EB58" si="385">IF($Q58&gt;=DV$8,$T58,0)</f>
        <v>0</v>
      </c>
      <c r="DW58" s="15">
        <f t="shared" si="385"/>
        <v>0</v>
      </c>
      <c r="DX58" s="15">
        <f t="shared" si="385"/>
        <v>0</v>
      </c>
      <c r="DY58" s="15">
        <f t="shared" si="385"/>
        <v>0</v>
      </c>
      <c r="DZ58" s="15">
        <f t="shared" si="385"/>
        <v>0</v>
      </c>
      <c r="EA58" s="15">
        <f t="shared" si="385"/>
        <v>0</v>
      </c>
      <c r="EB58" s="15">
        <f t="shared" si="385"/>
        <v>0</v>
      </c>
      <c r="ED58" s="15">
        <f t="shared" si="382"/>
        <v>2166666.6666666665</v>
      </c>
      <c r="EE58" s="15">
        <f t="shared" si="382"/>
        <v>2166666.6666666665</v>
      </c>
      <c r="EF58" s="15">
        <f t="shared" si="382"/>
        <v>2166666.6666666665</v>
      </c>
      <c r="EG58" s="15">
        <f t="shared" si="382"/>
        <v>2166666.6666666665</v>
      </c>
      <c r="EH58" s="15">
        <f t="shared" si="382"/>
        <v>2166666.6666666665</v>
      </c>
      <c r="EI58" s="15">
        <f t="shared" si="382"/>
        <v>2166666.6666666665</v>
      </c>
      <c r="EJ58" s="15">
        <f t="shared" si="382"/>
        <v>2166666.6666666665</v>
      </c>
      <c r="EK58" s="15">
        <f t="shared" si="382"/>
        <v>2166666.6666666665</v>
      </c>
      <c r="EL58" s="15">
        <f t="shared" si="382"/>
        <v>2166666.6666666665</v>
      </c>
      <c r="EM58" s="15">
        <f t="shared" si="382"/>
        <v>2166666.6666666665</v>
      </c>
      <c r="EN58" s="15">
        <f t="shared" si="382"/>
        <v>2166666.6666666665</v>
      </c>
      <c r="EO58" s="15">
        <f t="shared" si="382"/>
        <v>2166666.6666666665</v>
      </c>
      <c r="EP58" s="15">
        <f t="shared" si="382"/>
        <v>0</v>
      </c>
      <c r="EQ58" s="15">
        <f t="shared" si="382"/>
        <v>0</v>
      </c>
      <c r="ER58" s="15">
        <f t="shared" si="382"/>
        <v>0</v>
      </c>
      <c r="ES58" s="15">
        <f t="shared" si="382"/>
        <v>0</v>
      </c>
      <c r="ET58" s="15">
        <f t="shared" si="376"/>
        <v>0</v>
      </c>
      <c r="EU58" s="15">
        <f t="shared" si="376"/>
        <v>0</v>
      </c>
      <c r="EV58" s="15">
        <f t="shared" si="376"/>
        <v>0</v>
      </c>
      <c r="EW58" s="15">
        <f t="shared" si="376"/>
        <v>0</v>
      </c>
      <c r="EX58" s="15">
        <f t="shared" si="376"/>
        <v>0</v>
      </c>
      <c r="EY58" s="15">
        <f t="shared" si="376"/>
        <v>0</v>
      </c>
      <c r="EZ58" s="15">
        <f t="shared" si="376"/>
        <v>0</v>
      </c>
      <c r="FA58" s="15">
        <f t="shared" si="376"/>
        <v>0</v>
      </c>
      <c r="FB58" s="15">
        <f t="shared" si="376"/>
        <v>0</v>
      </c>
      <c r="FC58" s="15">
        <f t="shared" si="376"/>
        <v>0</v>
      </c>
      <c r="FD58" s="15">
        <f t="shared" si="376"/>
        <v>0</v>
      </c>
      <c r="FE58" s="15">
        <f t="shared" si="376"/>
        <v>0</v>
      </c>
      <c r="FF58" s="15">
        <f t="shared" si="376"/>
        <v>0</v>
      </c>
      <c r="FG58" s="15">
        <f t="shared" si="376"/>
        <v>0</v>
      </c>
      <c r="FI58" s="15">
        <f t="shared" si="383"/>
        <v>2166666.6666666665</v>
      </c>
      <c r="FJ58" s="15">
        <f t="shared" si="383"/>
        <v>2166666.6666666665</v>
      </c>
      <c r="FK58" s="15">
        <f t="shared" si="383"/>
        <v>2166666.6666666665</v>
      </c>
      <c r="FL58" s="15">
        <f t="shared" si="383"/>
        <v>2166666.6666666665</v>
      </c>
      <c r="FM58" s="15">
        <f t="shared" si="383"/>
        <v>2166666.6666666665</v>
      </c>
      <c r="FN58" s="15">
        <f t="shared" si="383"/>
        <v>2166666.6666666665</v>
      </c>
      <c r="FO58" s="15">
        <f t="shared" si="383"/>
        <v>2166666.6666666665</v>
      </c>
      <c r="FP58" s="15">
        <f t="shared" si="383"/>
        <v>2166666.6666666665</v>
      </c>
      <c r="FQ58" s="15">
        <f t="shared" si="383"/>
        <v>2166666.6666666665</v>
      </c>
      <c r="FR58" s="15">
        <f t="shared" si="383"/>
        <v>2166666.6666666665</v>
      </c>
      <c r="FS58" s="15">
        <f t="shared" si="383"/>
        <v>2166666.6666666665</v>
      </c>
      <c r="FT58" s="15">
        <f t="shared" si="383"/>
        <v>2166666.6666666665</v>
      </c>
      <c r="FU58" s="15">
        <f t="shared" si="383"/>
        <v>0</v>
      </c>
      <c r="FV58" s="15">
        <f t="shared" si="383"/>
        <v>0</v>
      </c>
      <c r="FW58" s="15">
        <f t="shared" si="383"/>
        <v>0</v>
      </c>
      <c r="FX58" s="15">
        <f t="shared" si="383"/>
        <v>0</v>
      </c>
      <c r="FY58" s="15">
        <f t="shared" si="377"/>
        <v>0</v>
      </c>
      <c r="FZ58" s="15">
        <f t="shared" si="377"/>
        <v>0</v>
      </c>
      <c r="GA58" s="15">
        <f t="shared" si="377"/>
        <v>0</v>
      </c>
      <c r="GB58" s="15">
        <f t="shared" si="377"/>
        <v>0</v>
      </c>
      <c r="GC58" s="15">
        <f t="shared" si="377"/>
        <v>0</v>
      </c>
      <c r="GD58" s="15">
        <f t="shared" si="377"/>
        <v>0</v>
      </c>
      <c r="GE58" s="15">
        <f t="shared" si="377"/>
        <v>0</v>
      </c>
      <c r="GF58" s="15">
        <f t="shared" si="377"/>
        <v>0</v>
      </c>
      <c r="GG58" s="15">
        <f t="shared" si="377"/>
        <v>0</v>
      </c>
      <c r="GH58" s="15">
        <f t="shared" si="377"/>
        <v>0</v>
      </c>
      <c r="GI58" s="15">
        <f t="shared" si="377"/>
        <v>0</v>
      </c>
      <c r="GJ58" s="15">
        <f t="shared" si="377"/>
        <v>0</v>
      </c>
      <c r="GK58" s="15">
        <f t="shared" si="377"/>
        <v>0</v>
      </c>
      <c r="GL58" s="15">
        <f t="shared" si="377"/>
        <v>0</v>
      </c>
      <c r="GN58" s="15">
        <f t="shared" si="384"/>
        <v>2166666.6666666665</v>
      </c>
      <c r="GO58" s="15">
        <f t="shared" si="384"/>
        <v>2166666.6666666665</v>
      </c>
      <c r="GP58" s="15">
        <f t="shared" si="384"/>
        <v>2166666.6666666665</v>
      </c>
      <c r="GQ58" s="15">
        <f t="shared" si="384"/>
        <v>2166666.6666666665</v>
      </c>
      <c r="GR58" s="15">
        <f t="shared" si="384"/>
        <v>2166666.6666666665</v>
      </c>
      <c r="GS58" s="15">
        <f t="shared" si="384"/>
        <v>2166666.6666666665</v>
      </c>
      <c r="GT58" s="15">
        <f t="shared" si="384"/>
        <v>2166666.6666666665</v>
      </c>
      <c r="GU58" s="15">
        <f t="shared" si="384"/>
        <v>2166666.6666666665</v>
      </c>
      <c r="GV58" s="15">
        <f t="shared" si="384"/>
        <v>2166666.6666666665</v>
      </c>
      <c r="GW58" s="15">
        <f t="shared" si="384"/>
        <v>2166666.6666666665</v>
      </c>
      <c r="GX58" s="15">
        <f t="shared" si="384"/>
        <v>2166666.6666666665</v>
      </c>
      <c r="GY58" s="15">
        <f t="shared" si="384"/>
        <v>2166666.6666666665</v>
      </c>
      <c r="GZ58" s="15">
        <f t="shared" si="384"/>
        <v>0</v>
      </c>
      <c r="HA58" s="15">
        <f t="shared" si="384"/>
        <v>0</v>
      </c>
      <c r="HB58" s="15">
        <f t="shared" si="384"/>
        <v>0</v>
      </c>
      <c r="HC58" s="15">
        <f t="shared" si="384"/>
        <v>0</v>
      </c>
      <c r="HD58" s="15">
        <f t="shared" si="378"/>
        <v>0</v>
      </c>
      <c r="HE58" s="15">
        <f t="shared" si="378"/>
        <v>0</v>
      </c>
      <c r="HF58" s="15">
        <f t="shared" si="378"/>
        <v>0</v>
      </c>
      <c r="HG58" s="15">
        <f t="shared" si="378"/>
        <v>0</v>
      </c>
      <c r="HH58" s="15">
        <f t="shared" si="378"/>
        <v>0</v>
      </c>
      <c r="HI58" s="15">
        <f t="shared" si="378"/>
        <v>0</v>
      </c>
      <c r="HJ58" s="15">
        <f t="shared" si="378"/>
        <v>0</v>
      </c>
      <c r="HK58" s="15">
        <f t="shared" si="378"/>
        <v>0</v>
      </c>
      <c r="HL58" s="15">
        <f t="shared" si="378"/>
        <v>0</v>
      </c>
      <c r="HM58" s="15">
        <f t="shared" si="378"/>
        <v>0</v>
      </c>
      <c r="HN58" s="15">
        <f t="shared" si="378"/>
        <v>0</v>
      </c>
      <c r="HO58" s="15">
        <f t="shared" si="378"/>
        <v>0</v>
      </c>
      <c r="HP58" s="15">
        <f t="shared" si="378"/>
        <v>0</v>
      </c>
      <c r="HQ58" s="15">
        <f t="shared" si="378"/>
        <v>0</v>
      </c>
    </row>
    <row r="59" spans="1:225" ht="15.75" thickBot="1" x14ac:dyDescent="0.3">
      <c r="F59" s="221"/>
      <c r="J59" s="15"/>
      <c r="K59" s="221"/>
      <c r="O59" s="15"/>
      <c r="P59" s="221"/>
      <c r="T59" s="15"/>
      <c r="U59" s="221"/>
      <c r="Y59" s="15"/>
      <c r="Z59" s="221"/>
      <c r="AD59" s="15"/>
      <c r="AE59" s="221"/>
      <c r="AI59" s="15"/>
      <c r="AJ59" s="221"/>
    </row>
    <row r="60" spans="1:225" ht="20.25" customHeight="1" thickBot="1" x14ac:dyDescent="0.3">
      <c r="A60" t="s">
        <v>173</v>
      </c>
      <c r="C60" s="42" t="s">
        <v>66</v>
      </c>
      <c r="D60" s="42"/>
      <c r="E60" s="42"/>
      <c r="F60" s="225"/>
      <c r="G60" s="141"/>
      <c r="H60" s="42"/>
      <c r="I60" s="43">
        <f>I10+I35+I39</f>
        <v>300749800000</v>
      </c>
      <c r="J60" s="63">
        <f>J10+J35+J39</f>
        <v>25062483333.333336</v>
      </c>
      <c r="K60" s="225"/>
      <c r="L60" s="141"/>
      <c r="M60" s="141"/>
      <c r="N60" s="43">
        <f>N10+N35+N39</f>
        <v>486414000000</v>
      </c>
      <c r="O60" s="63">
        <f>O10+O35+O39</f>
        <v>34034500000</v>
      </c>
      <c r="P60" s="225"/>
      <c r="Q60" s="141"/>
      <c r="R60" s="141"/>
      <c r="S60" s="43">
        <f>S10+S35+S39</f>
        <v>486414000000</v>
      </c>
      <c r="T60" s="63">
        <f>T10+T35+T39</f>
        <v>34034500000</v>
      </c>
      <c r="U60" s="225"/>
      <c r="V60" s="141"/>
      <c r="W60" s="141"/>
      <c r="X60" s="43">
        <f>X10+X35+X39</f>
        <v>450749800000</v>
      </c>
      <c r="Y60" s="63">
        <f>Y10+Y35+Y39</f>
        <v>31062483333.333336</v>
      </c>
      <c r="Z60" s="225"/>
      <c r="AA60" s="141"/>
      <c r="AB60" s="141"/>
      <c r="AC60" s="43">
        <f>AC10+AC35+AC39</f>
        <v>464990000000</v>
      </c>
      <c r="AD60" s="63">
        <f>AD10+AD35+AD39</f>
        <v>32249166666.666664</v>
      </c>
      <c r="AE60" s="225"/>
      <c r="AF60" s="141"/>
      <c r="AG60" s="141"/>
      <c r="AH60" s="43">
        <f>AH10+AH35+AH39</f>
        <v>314990000000</v>
      </c>
      <c r="AI60" s="63">
        <f>AI10+AI35+AI39</f>
        <v>26249166666.666664</v>
      </c>
      <c r="AJ60" s="225"/>
      <c r="AO60" s="43">
        <f t="shared" ref="AO60:BR60" si="386">AO10+AO35+AO39</f>
        <v>25062483333.333336</v>
      </c>
      <c r="AP60" s="43">
        <f t="shared" si="386"/>
        <v>25062483333.333336</v>
      </c>
      <c r="AQ60" s="43">
        <f t="shared" si="386"/>
        <v>25062483333.333336</v>
      </c>
      <c r="AR60" s="43">
        <f t="shared" si="386"/>
        <v>25062483333.333336</v>
      </c>
      <c r="AS60" s="43">
        <f t="shared" si="386"/>
        <v>25062483333.333336</v>
      </c>
      <c r="AT60" s="43">
        <f t="shared" si="386"/>
        <v>25062483333.333336</v>
      </c>
      <c r="AU60" s="43">
        <f t="shared" si="386"/>
        <v>25062483333.333336</v>
      </c>
      <c r="AV60" s="43">
        <f t="shared" si="386"/>
        <v>25062483333.333336</v>
      </c>
      <c r="AW60" s="43">
        <f t="shared" si="386"/>
        <v>25062483333.333336</v>
      </c>
      <c r="AX60" s="43">
        <f t="shared" si="386"/>
        <v>25062483333.333336</v>
      </c>
      <c r="AY60" s="43">
        <f t="shared" si="386"/>
        <v>25062483333.333336</v>
      </c>
      <c r="AZ60" s="43">
        <f t="shared" si="386"/>
        <v>25062483333.333336</v>
      </c>
      <c r="BA60" s="43">
        <f t="shared" si="386"/>
        <v>0</v>
      </c>
      <c r="BB60" s="43">
        <f t="shared" si="386"/>
        <v>0</v>
      </c>
      <c r="BC60" s="43">
        <f t="shared" si="386"/>
        <v>0</v>
      </c>
      <c r="BD60" s="43">
        <f t="shared" si="386"/>
        <v>0</v>
      </c>
      <c r="BE60" s="43">
        <f t="shared" si="386"/>
        <v>0</v>
      </c>
      <c r="BF60" s="43">
        <f t="shared" si="386"/>
        <v>0</v>
      </c>
      <c r="BG60" s="43">
        <f t="shared" si="386"/>
        <v>0</v>
      </c>
      <c r="BH60" s="43">
        <f t="shared" si="386"/>
        <v>0</v>
      </c>
      <c r="BI60" s="43">
        <f t="shared" si="386"/>
        <v>0</v>
      </c>
      <c r="BJ60" s="43">
        <f t="shared" si="386"/>
        <v>0</v>
      </c>
      <c r="BK60" s="43">
        <f t="shared" si="386"/>
        <v>0</v>
      </c>
      <c r="BL60" s="43">
        <f t="shared" si="386"/>
        <v>0</v>
      </c>
      <c r="BM60" s="43">
        <f t="shared" si="386"/>
        <v>0</v>
      </c>
      <c r="BN60" s="43">
        <f t="shared" si="386"/>
        <v>0</v>
      </c>
      <c r="BO60" s="43">
        <f t="shared" si="386"/>
        <v>0</v>
      </c>
      <c r="BP60" s="43">
        <f t="shared" si="386"/>
        <v>0</v>
      </c>
      <c r="BQ60" s="43">
        <f t="shared" si="386"/>
        <v>0</v>
      </c>
      <c r="BR60" s="43">
        <f t="shared" si="386"/>
        <v>0</v>
      </c>
      <c r="BT60" s="43">
        <f t="shared" ref="BT60:CW60" si="387">BT10+BT35+BT39</f>
        <v>34034500000</v>
      </c>
      <c r="BU60" s="43">
        <f t="shared" si="387"/>
        <v>34034500000</v>
      </c>
      <c r="BV60" s="43">
        <f t="shared" si="387"/>
        <v>34034500000</v>
      </c>
      <c r="BW60" s="43">
        <f t="shared" si="387"/>
        <v>34034500000</v>
      </c>
      <c r="BX60" s="43">
        <f t="shared" si="387"/>
        <v>34034500000</v>
      </c>
      <c r="BY60" s="43">
        <f t="shared" si="387"/>
        <v>34034500000</v>
      </c>
      <c r="BZ60" s="43">
        <f t="shared" si="387"/>
        <v>34034500000</v>
      </c>
      <c r="CA60" s="43">
        <f t="shared" si="387"/>
        <v>34034500000</v>
      </c>
      <c r="CB60" s="43">
        <f t="shared" si="387"/>
        <v>34034500000</v>
      </c>
      <c r="CC60" s="43">
        <f t="shared" si="387"/>
        <v>34034500000</v>
      </c>
      <c r="CD60" s="43">
        <f t="shared" si="387"/>
        <v>34034500000</v>
      </c>
      <c r="CE60" s="43">
        <f t="shared" si="387"/>
        <v>34034500000</v>
      </c>
      <c r="CF60" s="43">
        <f t="shared" si="387"/>
        <v>6000000000</v>
      </c>
      <c r="CG60" s="43">
        <f t="shared" si="387"/>
        <v>6000000000</v>
      </c>
      <c r="CH60" s="43">
        <f t="shared" si="387"/>
        <v>6000000000</v>
      </c>
      <c r="CI60" s="43">
        <f t="shared" si="387"/>
        <v>6000000000</v>
      </c>
      <c r="CJ60" s="43">
        <f t="shared" si="387"/>
        <v>6000000000</v>
      </c>
      <c r="CK60" s="43">
        <f t="shared" si="387"/>
        <v>6000000000</v>
      </c>
      <c r="CL60" s="43">
        <f t="shared" si="387"/>
        <v>6000000000</v>
      </c>
      <c r="CM60" s="43">
        <f t="shared" si="387"/>
        <v>6000000000</v>
      </c>
      <c r="CN60" s="43">
        <f t="shared" si="387"/>
        <v>6000000000</v>
      </c>
      <c r="CO60" s="43">
        <f t="shared" si="387"/>
        <v>6000000000</v>
      </c>
      <c r="CP60" s="43">
        <f t="shared" si="387"/>
        <v>6000000000</v>
      </c>
      <c r="CQ60" s="43">
        <f t="shared" si="387"/>
        <v>6000000000</v>
      </c>
      <c r="CR60" s="43">
        <f t="shared" si="387"/>
        <v>6000000000</v>
      </c>
      <c r="CS60" s="43">
        <f t="shared" si="387"/>
        <v>0</v>
      </c>
      <c r="CT60" s="43">
        <f t="shared" si="387"/>
        <v>0</v>
      </c>
      <c r="CU60" s="43">
        <f t="shared" si="387"/>
        <v>0</v>
      </c>
      <c r="CV60" s="43">
        <f t="shared" si="387"/>
        <v>0</v>
      </c>
      <c r="CW60" s="43">
        <f t="shared" si="387"/>
        <v>0</v>
      </c>
      <c r="CY60" s="43">
        <f t="shared" ref="CY60:EB60" si="388">CY10+CY35+CY39</f>
        <v>34034500000</v>
      </c>
      <c r="CZ60" s="43">
        <f t="shared" si="388"/>
        <v>34034500000</v>
      </c>
      <c r="DA60" s="43">
        <f t="shared" si="388"/>
        <v>34034500000</v>
      </c>
      <c r="DB60" s="43">
        <f t="shared" si="388"/>
        <v>34034500000</v>
      </c>
      <c r="DC60" s="43">
        <f t="shared" si="388"/>
        <v>34034500000</v>
      </c>
      <c r="DD60" s="43">
        <f t="shared" si="388"/>
        <v>34034500000</v>
      </c>
      <c r="DE60" s="43">
        <f t="shared" si="388"/>
        <v>34034500000</v>
      </c>
      <c r="DF60" s="43">
        <f t="shared" si="388"/>
        <v>34034500000</v>
      </c>
      <c r="DG60" s="43">
        <f t="shared" si="388"/>
        <v>34034500000</v>
      </c>
      <c r="DH60" s="43">
        <f t="shared" si="388"/>
        <v>34034500000</v>
      </c>
      <c r="DI60" s="43">
        <f t="shared" si="388"/>
        <v>34034500000</v>
      </c>
      <c r="DJ60" s="43">
        <f t="shared" si="388"/>
        <v>34034500000</v>
      </c>
      <c r="DK60" s="43">
        <f t="shared" si="388"/>
        <v>6000000000</v>
      </c>
      <c r="DL60" s="43">
        <f t="shared" si="388"/>
        <v>6000000000</v>
      </c>
      <c r="DM60" s="43">
        <f t="shared" si="388"/>
        <v>6000000000</v>
      </c>
      <c r="DN60" s="43">
        <f t="shared" si="388"/>
        <v>6000000000</v>
      </c>
      <c r="DO60" s="43">
        <f t="shared" si="388"/>
        <v>6000000000</v>
      </c>
      <c r="DP60" s="43">
        <f t="shared" si="388"/>
        <v>6000000000</v>
      </c>
      <c r="DQ60" s="43">
        <f t="shared" si="388"/>
        <v>6000000000</v>
      </c>
      <c r="DR60" s="43">
        <f t="shared" si="388"/>
        <v>6000000000</v>
      </c>
      <c r="DS60" s="43">
        <f t="shared" si="388"/>
        <v>6000000000</v>
      </c>
      <c r="DT60" s="43">
        <f t="shared" si="388"/>
        <v>6000000000</v>
      </c>
      <c r="DU60" s="43">
        <f t="shared" si="388"/>
        <v>6000000000</v>
      </c>
      <c r="DV60" s="43">
        <f t="shared" si="388"/>
        <v>6000000000</v>
      </c>
      <c r="DW60" s="43">
        <f t="shared" si="388"/>
        <v>6000000000</v>
      </c>
      <c r="DX60" s="43">
        <f t="shared" si="388"/>
        <v>0</v>
      </c>
      <c r="DY60" s="43">
        <f t="shared" si="388"/>
        <v>0</v>
      </c>
      <c r="DZ60" s="43">
        <f t="shared" si="388"/>
        <v>0</v>
      </c>
      <c r="EA60" s="43">
        <f t="shared" si="388"/>
        <v>0</v>
      </c>
      <c r="EB60" s="43">
        <f t="shared" si="388"/>
        <v>0</v>
      </c>
      <c r="ED60" s="43">
        <f t="shared" ref="ED60:FG60" si="389">ED10+ED35+ED39</f>
        <v>31062483333.333336</v>
      </c>
      <c r="EE60" s="43">
        <f t="shared" si="389"/>
        <v>31062483333.333336</v>
      </c>
      <c r="EF60" s="43">
        <f t="shared" si="389"/>
        <v>31062483333.333336</v>
      </c>
      <c r="EG60" s="43">
        <f t="shared" si="389"/>
        <v>31062483333.333336</v>
      </c>
      <c r="EH60" s="43">
        <f t="shared" si="389"/>
        <v>31062483333.333336</v>
      </c>
      <c r="EI60" s="43">
        <f t="shared" si="389"/>
        <v>31062483333.333336</v>
      </c>
      <c r="EJ60" s="43">
        <f t="shared" si="389"/>
        <v>31062483333.333336</v>
      </c>
      <c r="EK60" s="43">
        <f t="shared" si="389"/>
        <v>31062483333.333336</v>
      </c>
      <c r="EL60" s="43">
        <f t="shared" si="389"/>
        <v>31062483333.333336</v>
      </c>
      <c r="EM60" s="43">
        <f t="shared" si="389"/>
        <v>31062483333.333336</v>
      </c>
      <c r="EN60" s="43">
        <f t="shared" si="389"/>
        <v>31062483333.333336</v>
      </c>
      <c r="EO60" s="43">
        <f t="shared" si="389"/>
        <v>31062483333.333336</v>
      </c>
      <c r="EP60" s="43">
        <f t="shared" si="389"/>
        <v>6000000000</v>
      </c>
      <c r="EQ60" s="43">
        <f t="shared" si="389"/>
        <v>6000000000</v>
      </c>
      <c r="ER60" s="43">
        <f t="shared" si="389"/>
        <v>6000000000</v>
      </c>
      <c r="ES60" s="43">
        <f t="shared" si="389"/>
        <v>6000000000</v>
      </c>
      <c r="ET60" s="43">
        <f t="shared" si="389"/>
        <v>6000000000</v>
      </c>
      <c r="EU60" s="43">
        <f t="shared" si="389"/>
        <v>6000000000</v>
      </c>
      <c r="EV60" s="43">
        <f t="shared" si="389"/>
        <v>6000000000</v>
      </c>
      <c r="EW60" s="43">
        <f t="shared" si="389"/>
        <v>6000000000</v>
      </c>
      <c r="EX60" s="43">
        <f t="shared" si="389"/>
        <v>6000000000</v>
      </c>
      <c r="EY60" s="43">
        <f t="shared" si="389"/>
        <v>6000000000</v>
      </c>
      <c r="EZ60" s="43">
        <f t="shared" si="389"/>
        <v>6000000000</v>
      </c>
      <c r="FA60" s="43">
        <f t="shared" si="389"/>
        <v>6000000000</v>
      </c>
      <c r="FB60" s="43">
        <f t="shared" si="389"/>
        <v>6000000000</v>
      </c>
      <c r="FC60" s="43">
        <f t="shared" si="389"/>
        <v>0</v>
      </c>
      <c r="FD60" s="43">
        <f t="shared" si="389"/>
        <v>0</v>
      </c>
      <c r="FE60" s="43">
        <f t="shared" si="389"/>
        <v>0</v>
      </c>
      <c r="FF60" s="43">
        <f t="shared" si="389"/>
        <v>0</v>
      </c>
      <c r="FG60" s="43">
        <f t="shared" si="389"/>
        <v>0</v>
      </c>
      <c r="FI60" s="43">
        <f t="shared" ref="FI60:GL60" si="390">FI10+FI35+FI39</f>
        <v>32249166666.666664</v>
      </c>
      <c r="FJ60" s="43">
        <f t="shared" si="390"/>
        <v>32249166666.666664</v>
      </c>
      <c r="FK60" s="43">
        <f t="shared" si="390"/>
        <v>32249166666.666664</v>
      </c>
      <c r="FL60" s="43">
        <f t="shared" si="390"/>
        <v>32249166666.666664</v>
      </c>
      <c r="FM60" s="43">
        <f t="shared" si="390"/>
        <v>32249166666.666664</v>
      </c>
      <c r="FN60" s="43">
        <f t="shared" si="390"/>
        <v>32249166666.666664</v>
      </c>
      <c r="FO60" s="43">
        <f t="shared" si="390"/>
        <v>32249166666.666664</v>
      </c>
      <c r="FP60" s="43">
        <f t="shared" si="390"/>
        <v>32249166666.666664</v>
      </c>
      <c r="FQ60" s="43">
        <f t="shared" si="390"/>
        <v>32249166666.666664</v>
      </c>
      <c r="FR60" s="43">
        <f t="shared" si="390"/>
        <v>32249166666.666664</v>
      </c>
      <c r="FS60" s="43">
        <f t="shared" si="390"/>
        <v>32249166666.666664</v>
      </c>
      <c r="FT60" s="43">
        <f t="shared" si="390"/>
        <v>32249166666.666664</v>
      </c>
      <c r="FU60" s="43">
        <f t="shared" si="390"/>
        <v>6000000000</v>
      </c>
      <c r="FV60" s="43">
        <f t="shared" si="390"/>
        <v>6000000000</v>
      </c>
      <c r="FW60" s="43">
        <f t="shared" si="390"/>
        <v>6000000000</v>
      </c>
      <c r="FX60" s="43">
        <f t="shared" si="390"/>
        <v>6000000000</v>
      </c>
      <c r="FY60" s="43">
        <f t="shared" si="390"/>
        <v>6000000000</v>
      </c>
      <c r="FZ60" s="43">
        <f t="shared" si="390"/>
        <v>6000000000</v>
      </c>
      <c r="GA60" s="43">
        <f t="shared" si="390"/>
        <v>6000000000</v>
      </c>
      <c r="GB60" s="43">
        <f t="shared" si="390"/>
        <v>6000000000</v>
      </c>
      <c r="GC60" s="43">
        <f t="shared" si="390"/>
        <v>6000000000</v>
      </c>
      <c r="GD60" s="43">
        <f t="shared" si="390"/>
        <v>6000000000</v>
      </c>
      <c r="GE60" s="43">
        <f t="shared" si="390"/>
        <v>6000000000</v>
      </c>
      <c r="GF60" s="43">
        <f t="shared" si="390"/>
        <v>6000000000</v>
      </c>
      <c r="GG60" s="43">
        <f t="shared" si="390"/>
        <v>6000000000</v>
      </c>
      <c r="GH60" s="43">
        <f t="shared" si="390"/>
        <v>0</v>
      </c>
      <c r="GI60" s="43">
        <f t="shared" si="390"/>
        <v>0</v>
      </c>
      <c r="GJ60" s="43">
        <f t="shared" si="390"/>
        <v>0</v>
      </c>
      <c r="GK60" s="43">
        <f t="shared" si="390"/>
        <v>0</v>
      </c>
      <c r="GL60" s="43">
        <f t="shared" si="390"/>
        <v>0</v>
      </c>
      <c r="GN60" s="43">
        <f t="shared" ref="GN60:HQ60" si="391">GN10+GN35+GN39</f>
        <v>26249166666.666664</v>
      </c>
      <c r="GO60" s="43">
        <f t="shared" si="391"/>
        <v>26249166666.666664</v>
      </c>
      <c r="GP60" s="43">
        <f t="shared" si="391"/>
        <v>26249166666.666664</v>
      </c>
      <c r="GQ60" s="43">
        <f t="shared" si="391"/>
        <v>26249166666.666664</v>
      </c>
      <c r="GR60" s="43">
        <f t="shared" si="391"/>
        <v>26249166666.666664</v>
      </c>
      <c r="GS60" s="43">
        <f t="shared" si="391"/>
        <v>26249166666.666664</v>
      </c>
      <c r="GT60" s="43">
        <f t="shared" si="391"/>
        <v>26249166666.666664</v>
      </c>
      <c r="GU60" s="43">
        <f t="shared" si="391"/>
        <v>26249166666.666664</v>
      </c>
      <c r="GV60" s="43">
        <f t="shared" si="391"/>
        <v>26249166666.666664</v>
      </c>
      <c r="GW60" s="43">
        <f t="shared" si="391"/>
        <v>26249166666.666664</v>
      </c>
      <c r="GX60" s="43">
        <f t="shared" si="391"/>
        <v>26249166666.666664</v>
      </c>
      <c r="GY60" s="43">
        <f t="shared" si="391"/>
        <v>26249166666.666664</v>
      </c>
      <c r="GZ60" s="43">
        <f t="shared" si="391"/>
        <v>0</v>
      </c>
      <c r="HA60" s="43">
        <f t="shared" si="391"/>
        <v>0</v>
      </c>
      <c r="HB60" s="43">
        <f t="shared" si="391"/>
        <v>0</v>
      </c>
      <c r="HC60" s="43">
        <f t="shared" si="391"/>
        <v>0</v>
      </c>
      <c r="HD60" s="43">
        <f t="shared" si="391"/>
        <v>0</v>
      </c>
      <c r="HE60" s="43">
        <f t="shared" si="391"/>
        <v>0</v>
      </c>
      <c r="HF60" s="43">
        <f t="shared" si="391"/>
        <v>0</v>
      </c>
      <c r="HG60" s="43">
        <f t="shared" si="391"/>
        <v>0</v>
      </c>
      <c r="HH60" s="43">
        <f t="shared" si="391"/>
        <v>0</v>
      </c>
      <c r="HI60" s="43">
        <f t="shared" si="391"/>
        <v>0</v>
      </c>
      <c r="HJ60" s="43">
        <f t="shared" si="391"/>
        <v>0</v>
      </c>
      <c r="HK60" s="43">
        <f t="shared" si="391"/>
        <v>0</v>
      </c>
      <c r="HL60" s="43">
        <f t="shared" si="391"/>
        <v>0</v>
      </c>
      <c r="HM60" s="43">
        <f t="shared" si="391"/>
        <v>0</v>
      </c>
      <c r="HN60" s="43">
        <f t="shared" si="391"/>
        <v>0</v>
      </c>
      <c r="HO60" s="43">
        <f t="shared" si="391"/>
        <v>0</v>
      </c>
      <c r="HP60" s="43">
        <f t="shared" si="391"/>
        <v>0</v>
      </c>
      <c r="HQ60" s="43">
        <f t="shared" si="391"/>
        <v>0</v>
      </c>
    </row>
    <row r="61" spans="1:225" x14ac:dyDescent="0.25">
      <c r="I61" s="15"/>
      <c r="AH61" s="64"/>
    </row>
    <row r="62" spans="1:225" s="380" customFormat="1" hidden="1" x14ac:dyDescent="0.25">
      <c r="D62" s="380" t="s">
        <v>561</v>
      </c>
      <c r="N62" s="381">
        <f>N60-$I$60</f>
        <v>185664200000</v>
      </c>
      <c r="S62" s="381">
        <f>S60-$I$60</f>
        <v>185664200000</v>
      </c>
      <c r="X62" s="381">
        <f>X60-$I$60</f>
        <v>150000000000</v>
      </c>
      <c r="AC62" s="381">
        <f>AC60-$I$60</f>
        <v>164240200000</v>
      </c>
      <c r="AH62" s="381">
        <f>AH60-$I$60</f>
        <v>14240200000</v>
      </c>
    </row>
    <row r="63" spans="1:225" s="245" customFormat="1" hidden="1" x14ac:dyDescent="0.25">
      <c r="D63" s="245" t="s">
        <v>412</v>
      </c>
      <c r="N63" s="246">
        <f>(N60-$I$60)/$I$60</f>
        <v>0.6173377338904299</v>
      </c>
      <c r="S63" s="246">
        <f>(S60-$I$60)/$I$60</f>
        <v>0.6173377338904299</v>
      </c>
      <c r="X63" s="246">
        <f>(X60-$I$60)/$I$60</f>
        <v>0.49875344888009898</v>
      </c>
      <c r="AC63" s="246">
        <f>(AC60-$I$60)/$I$60</f>
        <v>0.54610244129838159</v>
      </c>
      <c r="AH63" s="246">
        <f>(AH60-$I$60)/$I$60</f>
        <v>4.7348992418282575E-2</v>
      </c>
    </row>
    <row r="64" spans="1:225" hidden="1" x14ac:dyDescent="0.25"/>
    <row r="65" spans="4:35" ht="18" hidden="1" thickBot="1" x14ac:dyDescent="0.3">
      <c r="I65" s="43"/>
      <c r="J65" s="63">
        <v>28918250000.000004</v>
      </c>
      <c r="K65" s="225"/>
      <c r="L65" s="225"/>
      <c r="M65" s="225"/>
      <c r="N65" s="43">
        <v>426343915000</v>
      </c>
      <c r="O65" s="63">
        <v>33634391500</v>
      </c>
      <c r="P65" s="225"/>
      <c r="Q65" s="225"/>
      <c r="R65" s="225"/>
      <c r="S65" s="43">
        <v>276343915000</v>
      </c>
      <c r="T65" s="63">
        <v>27634391500</v>
      </c>
      <c r="V65" s="225"/>
      <c r="W65" s="225"/>
      <c r="X65" s="43">
        <v>276343915000</v>
      </c>
      <c r="Y65" s="63">
        <v>27634391500</v>
      </c>
      <c r="AA65" s="225"/>
      <c r="AB65" s="225"/>
      <c r="AC65" s="43">
        <v>276343915000</v>
      </c>
      <c r="AD65" s="63">
        <v>27634391500</v>
      </c>
      <c r="AF65" s="225"/>
      <c r="AG65" s="225"/>
      <c r="AH65" s="43">
        <v>276343915000</v>
      </c>
      <c r="AI65" s="63">
        <v>27634391500</v>
      </c>
    </row>
    <row r="66" spans="4:35" hidden="1" x14ac:dyDescent="0.25">
      <c r="I66" s="64"/>
      <c r="N66" s="64">
        <f>N65/N60</f>
        <v>0.87650420218168068</v>
      </c>
      <c r="S66" s="64">
        <f>S65/S60</f>
        <v>0.56812492033535222</v>
      </c>
      <c r="X66" s="64">
        <f>X65/X60</f>
        <v>0.61307606792060698</v>
      </c>
      <c r="AC66" s="64">
        <f>AC65/AC60</f>
        <v>0.59430076990903025</v>
      </c>
      <c r="AH66" s="64">
        <f>AH65/AH60</f>
        <v>0.87731012095622085</v>
      </c>
    </row>
    <row r="67" spans="4:35" x14ac:dyDescent="0.25">
      <c r="I67" s="15"/>
    </row>
    <row r="68" spans="4:35" x14ac:dyDescent="0.25">
      <c r="D68" s="15"/>
      <c r="S68" s="15"/>
      <c r="X68" s="15"/>
      <c r="AC68" s="15"/>
      <c r="AH68" s="15"/>
    </row>
  </sheetData>
  <mergeCells count="4">
    <mergeCell ref="C7:C8"/>
    <mergeCell ref="D7:D8"/>
    <mergeCell ref="AK7:AK8"/>
    <mergeCell ref="AL7:AL8"/>
  </mergeCells>
  <phoneticPr fontId="12" type="noConversion"/>
  <dataValidations disablePrompts="1" count="1">
    <dataValidation type="list" allowBlank="1" showInputMessage="1" showErrorMessage="1" sqref="D5:E5" xr:uid="{EA0412D8-7FB8-4DC4-B2F9-619394221867}">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6BCF-4C5D-4383-9A5A-54AA784A6764}">
  <dimension ref="A1:W113"/>
  <sheetViews>
    <sheetView showGridLines="0" topLeftCell="A5" zoomScale="85" zoomScaleNormal="85" workbookViewId="0">
      <pane ySplit="7" topLeftCell="A12" activePane="bottomLeft" state="frozen"/>
      <selection activeCell="A5" sqref="A5"/>
      <selection pane="bottomLeft" activeCell="M23" sqref="M23"/>
    </sheetView>
  </sheetViews>
  <sheetFormatPr defaultRowHeight="15" outlineLevelRow="1" outlineLevelCol="1" x14ac:dyDescent="0.25"/>
  <cols>
    <col min="1" max="1" width="17.5" customWidth="1" outlineLevel="1"/>
    <col min="2" max="2" width="22.75" customWidth="1" outlineLevel="1"/>
    <col min="3" max="3" width="13.5" customWidth="1" outlineLevel="1"/>
    <col min="4" max="4" width="5.5" customWidth="1"/>
    <col min="5" max="5" width="37.5" bestFit="1" customWidth="1"/>
    <col min="6" max="6" width="15.25" customWidth="1"/>
    <col min="7" max="7" width="1.5" customWidth="1"/>
    <col min="8" max="8" width="11.375" hidden="1" customWidth="1" outlineLevel="1"/>
    <col min="9" max="9" width="17.75" hidden="1" customWidth="1" outlineLevel="1"/>
    <col min="10" max="10" width="1.5" hidden="1" customWidth="1" outlineLevel="1"/>
    <col min="11" max="11" width="13.375" customWidth="1" collapsed="1"/>
    <col min="12" max="12" width="13.75" bestFit="1" customWidth="1"/>
    <col min="13" max="13" width="18.375" customWidth="1"/>
    <col min="14" max="17" width="22.75" customWidth="1"/>
    <col min="18" max="18" width="19.5" customWidth="1"/>
    <col min="19" max="19" width="77.5" bestFit="1" customWidth="1"/>
    <col min="20" max="20" width="16.125" bestFit="1" customWidth="1"/>
    <col min="21" max="21" width="12.5" customWidth="1"/>
    <col min="22" max="22" width="13.25" customWidth="1"/>
  </cols>
  <sheetData>
    <row r="1" spans="1:23" outlineLevel="1" x14ac:dyDescent="0.25">
      <c r="F1" s="45" t="s">
        <v>0</v>
      </c>
      <c r="H1" s="45"/>
      <c r="I1" s="45"/>
    </row>
    <row r="2" spans="1:23" outlineLevel="1" x14ac:dyDescent="0.25">
      <c r="F2" s="45" t="s">
        <v>1</v>
      </c>
      <c r="H2" s="45"/>
      <c r="I2" s="45"/>
    </row>
    <row r="3" spans="1:23" ht="19.5" outlineLevel="1" x14ac:dyDescent="0.3">
      <c r="F3" s="46" t="s">
        <v>44</v>
      </c>
      <c r="H3" s="46"/>
      <c r="I3" s="46"/>
    </row>
    <row r="4" spans="1:23" ht="26.25" outlineLevel="1" x14ac:dyDescent="0.4">
      <c r="F4" s="47" t="s">
        <v>45</v>
      </c>
      <c r="H4" s="47"/>
      <c r="I4" s="47"/>
    </row>
    <row r="5" spans="1:23" x14ac:dyDescent="0.25">
      <c r="E5" s="216" t="str">
        <f>Currency</f>
        <v>VND</v>
      </c>
      <c r="N5" s="15"/>
      <c r="O5" s="15"/>
      <c r="P5" s="15"/>
      <c r="Q5" s="15"/>
      <c r="R5" s="243"/>
      <c r="S5" s="20"/>
      <c r="T5" s="20"/>
    </row>
    <row r="6" spans="1:23" x14ac:dyDescent="0.25">
      <c r="A6" s="15"/>
      <c r="E6" s="15">
        <f>IF(E5="VND",1,EXR)</f>
        <v>1</v>
      </c>
    </row>
    <row r="7" spans="1:23" x14ac:dyDescent="0.25">
      <c r="A7" s="15"/>
      <c r="M7" s="249" t="s">
        <v>404</v>
      </c>
      <c r="N7" s="249" t="s">
        <v>405</v>
      </c>
      <c r="O7" s="249" t="s">
        <v>407</v>
      </c>
      <c r="P7" s="249" t="s">
        <v>692</v>
      </c>
      <c r="Q7" s="249" t="s">
        <v>693</v>
      </c>
      <c r="R7" s="249" t="s">
        <v>694</v>
      </c>
    </row>
    <row r="8" spans="1:23" x14ac:dyDescent="0.25">
      <c r="I8" s="216"/>
      <c r="M8" s="247"/>
      <c r="N8" s="248">
        <f>Opt2_CPSX</f>
        <v>0.05</v>
      </c>
      <c r="O8" s="248">
        <f>Opt3_CPSX</f>
        <v>0.05</v>
      </c>
      <c r="P8" s="248">
        <f>Opt4_CPSX</f>
        <v>0</v>
      </c>
      <c r="Q8" s="248">
        <f>Opt5_CPSX</f>
        <v>0.05</v>
      </c>
      <c r="R8" s="248">
        <f>Opt6_CPSX</f>
        <v>0.05</v>
      </c>
    </row>
    <row r="9" spans="1:23" s="24" customFormat="1" ht="18.75" customHeight="1" x14ac:dyDescent="0.3">
      <c r="A9"/>
      <c r="B9"/>
      <c r="C9"/>
      <c r="D9" s="1090" t="s">
        <v>2</v>
      </c>
      <c r="E9" s="1070" t="s">
        <v>29</v>
      </c>
      <c r="F9" s="1091" t="s">
        <v>62</v>
      </c>
      <c r="H9" s="544" t="s">
        <v>38</v>
      </c>
      <c r="I9" s="1092" t="s">
        <v>630</v>
      </c>
      <c r="K9" s="23" t="s">
        <v>38</v>
      </c>
      <c r="L9" s="23" t="s">
        <v>39</v>
      </c>
      <c r="M9" s="23" t="s">
        <v>58</v>
      </c>
      <c r="N9" s="23" t="s">
        <v>58</v>
      </c>
      <c r="O9" s="23" t="s">
        <v>58</v>
      </c>
      <c r="P9" s="23" t="s">
        <v>58</v>
      </c>
      <c r="Q9" s="23" t="s">
        <v>58</v>
      </c>
      <c r="R9" s="23" t="s">
        <v>58</v>
      </c>
      <c r="S9" s="1070" t="s">
        <v>37</v>
      </c>
      <c r="T9"/>
      <c r="U9"/>
      <c r="V9" s="1089" t="s">
        <v>629</v>
      </c>
      <c r="W9"/>
    </row>
    <row r="10" spans="1:23" s="24" customFormat="1" ht="17.25" x14ac:dyDescent="0.3">
      <c r="A10" t="s">
        <v>505</v>
      </c>
      <c r="B10" t="s">
        <v>506</v>
      </c>
      <c r="C10" t="s">
        <v>603</v>
      </c>
      <c r="D10" s="1090"/>
      <c r="E10" s="1070"/>
      <c r="F10" s="1091"/>
      <c r="H10" s="545" t="s">
        <v>628</v>
      </c>
      <c r="I10" s="1092"/>
      <c r="K10" s="25"/>
      <c r="L10" s="25" t="str">
        <f>"("&amp;$E$5&amp;"/đvt)"</f>
        <v>(VND/đvt)</v>
      </c>
      <c r="M10" s="25" t="str">
        <f>"("&amp;$E$5&amp;"/năm)"</f>
        <v>(VND/năm)</v>
      </c>
      <c r="N10" s="25" t="str">
        <f>"("&amp;$E$5&amp;"/năm)"</f>
        <v>(VND/năm)</v>
      </c>
      <c r="O10" s="25" t="str">
        <f t="shared" ref="O10:Q10" si="0">"("&amp;$E$5&amp;"/năm)"</f>
        <v>(VND/năm)</v>
      </c>
      <c r="P10" s="25" t="str">
        <f t="shared" si="0"/>
        <v>(VND/năm)</v>
      </c>
      <c r="Q10" s="25" t="str">
        <f t="shared" si="0"/>
        <v>(VND/năm)</v>
      </c>
      <c r="R10" s="25" t="str">
        <f>"("&amp;$E$5&amp;"/năm)"</f>
        <v>(VND/năm)</v>
      </c>
      <c r="S10" s="1070"/>
      <c r="T10"/>
      <c r="U10"/>
      <c r="V10" s="1089"/>
      <c r="W10"/>
    </row>
    <row r="11" spans="1:23" s="16" customFormat="1" ht="3.75" customHeight="1" x14ac:dyDescent="0.25">
      <c r="A11"/>
      <c r="B11"/>
      <c r="C11"/>
      <c r="D11" s="19"/>
      <c r="F11" s="40"/>
      <c r="H11" s="40"/>
      <c r="I11" s="40"/>
      <c r="K11"/>
      <c r="L11"/>
      <c r="M11"/>
      <c r="N11"/>
      <c r="O11"/>
      <c r="P11"/>
      <c r="Q11"/>
      <c r="R11"/>
      <c r="S11"/>
      <c r="T11"/>
      <c r="U11"/>
      <c r="V11"/>
      <c r="W11"/>
    </row>
    <row r="12" spans="1:23" s="22" customFormat="1" ht="17.25" x14ac:dyDescent="0.3">
      <c r="A12" t="s">
        <v>171</v>
      </c>
      <c r="B12"/>
      <c r="C12" t="s">
        <v>171</v>
      </c>
      <c r="D12" s="479" t="s">
        <v>41</v>
      </c>
      <c r="E12" s="480" t="s">
        <v>52</v>
      </c>
      <c r="F12" s="481" t="s">
        <v>64</v>
      </c>
      <c r="H12" s="482">
        <f>H13+H17</f>
        <v>32.5</v>
      </c>
      <c r="I12" s="482">
        <f>I13+I17</f>
        <v>0</v>
      </c>
      <c r="K12" s="662">
        <f>K13+K17</f>
        <v>32.5</v>
      </c>
      <c r="L12" s="483"/>
      <c r="M12" s="483">
        <f>M13+M17</f>
        <v>6011460000</v>
      </c>
      <c r="N12" s="483">
        <f>N13+N17</f>
        <v>6312033000</v>
      </c>
      <c r="O12" s="483">
        <f t="shared" ref="O12:Q12" si="1">O13+O17</f>
        <v>6312033000</v>
      </c>
      <c r="P12" s="483">
        <f t="shared" si="1"/>
        <v>6011460000</v>
      </c>
      <c r="Q12" s="483">
        <f t="shared" si="1"/>
        <v>6312033000</v>
      </c>
      <c r="R12" s="483">
        <f>R13+R17</f>
        <v>6312033000</v>
      </c>
      <c r="S12" s="480"/>
      <c r="U12"/>
      <c r="V12" s="482">
        <f>V13+V17</f>
        <v>-8</v>
      </c>
      <c r="W12"/>
    </row>
    <row r="13" spans="1:23" s="1" customFormat="1" x14ac:dyDescent="0.25">
      <c r="A13" t="s">
        <v>447</v>
      </c>
      <c r="B13"/>
      <c r="C13" t="s">
        <v>171</v>
      </c>
      <c r="D13" s="470"/>
      <c r="E13" s="470" t="s">
        <v>53</v>
      </c>
      <c r="F13" s="477" t="s">
        <v>64</v>
      </c>
      <c r="H13" s="478">
        <v>6</v>
      </c>
      <c r="I13" s="478">
        <f>SUM(I14:I16)</f>
        <v>0</v>
      </c>
      <c r="K13" s="663">
        <f>SUM(K14:K16)</f>
        <v>6</v>
      </c>
      <c r="L13" s="471"/>
      <c r="M13" s="471">
        <f>SUM(M14:M16)</f>
        <v>982800000</v>
      </c>
      <c r="N13" s="471">
        <f>SUM(N14:N16)</f>
        <v>1031940000</v>
      </c>
      <c r="O13" s="471">
        <f t="shared" ref="O13:Q13" si="2">SUM(O14:O16)</f>
        <v>1031940000</v>
      </c>
      <c r="P13" s="471">
        <f t="shared" si="2"/>
        <v>982800000</v>
      </c>
      <c r="Q13" s="471">
        <f t="shared" si="2"/>
        <v>1031940000</v>
      </c>
      <c r="R13" s="471">
        <f>SUM(R14:R16)</f>
        <v>1031940000</v>
      </c>
      <c r="S13" s="470"/>
      <c r="U13"/>
      <c r="V13" s="478">
        <f>SUM(V14:V16)</f>
        <v>-1</v>
      </c>
      <c r="W13"/>
    </row>
    <row r="14" spans="1:23" x14ac:dyDescent="0.25">
      <c r="B14" t="s">
        <v>88</v>
      </c>
      <c r="C14" t="s">
        <v>171</v>
      </c>
      <c r="D14" s="453" t="s">
        <v>56</v>
      </c>
      <c r="E14" s="454" t="s">
        <v>204</v>
      </c>
      <c r="F14" s="455" t="s">
        <v>64</v>
      </c>
      <c r="H14" s="456">
        <v>3</v>
      </c>
      <c r="I14" s="456">
        <f>IF($I$8="x",V14,0)</f>
        <v>0</v>
      </c>
      <c r="K14" s="664">
        <f>H14+I14</f>
        <v>3</v>
      </c>
      <c r="L14" s="457">
        <f>(50000*26*8/$E$6*15/12)*1.05</f>
        <v>13650000</v>
      </c>
      <c r="M14" s="457">
        <f>$K14*$L14*12</f>
        <v>491400000</v>
      </c>
      <c r="N14" s="457">
        <f>$K14*$L14*12*(1+N$8)</f>
        <v>515970000</v>
      </c>
      <c r="O14" s="457">
        <f t="shared" ref="O14:Q14" si="3">$K14*$L14*12*(1+O$8)</f>
        <v>515970000</v>
      </c>
      <c r="P14" s="457">
        <f t="shared" si="3"/>
        <v>491400000</v>
      </c>
      <c r="Q14" s="457">
        <f t="shared" si="3"/>
        <v>515970000</v>
      </c>
      <c r="R14" s="457">
        <f>$K14*$L14*12*(1+R$8)</f>
        <v>515970000</v>
      </c>
      <c r="S14" s="454" t="s">
        <v>194</v>
      </c>
      <c r="V14" s="456">
        <v>-0.5</v>
      </c>
    </row>
    <row r="15" spans="1:23" x14ac:dyDescent="0.25">
      <c r="B15" t="s">
        <v>88</v>
      </c>
      <c r="C15" t="s">
        <v>171</v>
      </c>
      <c r="D15" s="453" t="s">
        <v>57</v>
      </c>
      <c r="E15" s="454" t="s">
        <v>205</v>
      </c>
      <c r="F15" s="455" t="s">
        <v>64</v>
      </c>
      <c r="H15" s="456"/>
      <c r="I15" s="456">
        <f t="shared" ref="I15:I16" si="4">IF($I$8="x",V15,0)</f>
        <v>0</v>
      </c>
      <c r="K15" s="664">
        <f t="shared" ref="K15:K16" si="5">H15+I15</f>
        <v>0</v>
      </c>
      <c r="L15" s="457">
        <f>(50000*26*8/$E$6*15/12)*1.05</f>
        <v>13650000</v>
      </c>
      <c r="M15" s="457">
        <f t="shared" ref="M15:M16" si="6">$K15*$L15*12</f>
        <v>0</v>
      </c>
      <c r="N15" s="457">
        <f t="shared" ref="N15:R16" si="7">$K15*$L15*12*(1+N$8)</f>
        <v>0</v>
      </c>
      <c r="O15" s="457">
        <f t="shared" si="7"/>
        <v>0</v>
      </c>
      <c r="P15" s="457">
        <f t="shared" si="7"/>
        <v>0</v>
      </c>
      <c r="Q15" s="457">
        <f t="shared" si="7"/>
        <v>0</v>
      </c>
      <c r="R15" s="457">
        <f t="shared" si="7"/>
        <v>0</v>
      </c>
      <c r="S15" s="454" t="s">
        <v>194</v>
      </c>
      <c r="V15" s="456"/>
    </row>
    <row r="16" spans="1:23" x14ac:dyDescent="0.25">
      <c r="B16" t="s">
        <v>88</v>
      </c>
      <c r="C16" t="s">
        <v>171</v>
      </c>
      <c r="D16" s="453" t="s">
        <v>325</v>
      </c>
      <c r="E16" s="454" t="s">
        <v>27</v>
      </c>
      <c r="F16" s="455" t="s">
        <v>64</v>
      </c>
      <c r="H16" s="456">
        <v>3</v>
      </c>
      <c r="I16" s="456">
        <f t="shared" si="4"/>
        <v>0</v>
      </c>
      <c r="K16" s="664">
        <f t="shared" si="5"/>
        <v>3</v>
      </c>
      <c r="L16" s="457">
        <f>(50000*26*8/$E$6*15/12)*1.05</f>
        <v>13650000</v>
      </c>
      <c r="M16" s="457">
        <f t="shared" si="6"/>
        <v>491400000</v>
      </c>
      <c r="N16" s="457">
        <f t="shared" si="7"/>
        <v>515970000</v>
      </c>
      <c r="O16" s="457">
        <f t="shared" si="7"/>
        <v>515970000</v>
      </c>
      <c r="P16" s="457">
        <f t="shared" si="7"/>
        <v>491400000</v>
      </c>
      <c r="Q16" s="457">
        <f t="shared" si="7"/>
        <v>515970000</v>
      </c>
      <c r="R16" s="457">
        <f t="shared" si="7"/>
        <v>515970000</v>
      </c>
      <c r="S16" s="454" t="s">
        <v>194</v>
      </c>
      <c r="V16" s="456">
        <v>-0.5</v>
      </c>
    </row>
    <row r="17" spans="1:23" s="1" customFormat="1" x14ac:dyDescent="0.25">
      <c r="A17" t="s">
        <v>448</v>
      </c>
      <c r="B17"/>
      <c r="C17" t="s">
        <v>171</v>
      </c>
      <c r="D17" s="449"/>
      <c r="E17" s="449" t="s">
        <v>54</v>
      </c>
      <c r="F17" s="450" t="s">
        <v>64</v>
      </c>
      <c r="H17" s="451">
        <v>26.5</v>
      </c>
      <c r="I17" s="451">
        <f>SUM(I18:I25)</f>
        <v>0</v>
      </c>
      <c r="K17" s="665">
        <f>SUM(K18:K25)</f>
        <v>26.5</v>
      </c>
      <c r="L17" s="452"/>
      <c r="M17" s="452">
        <f>SUM(M18:M25)</f>
        <v>5028660000</v>
      </c>
      <c r="N17" s="452">
        <f>SUM(N18:N25)</f>
        <v>5280093000</v>
      </c>
      <c r="O17" s="451">
        <f t="shared" ref="O17:Q17" si="8">SUM(O18:O25)</f>
        <v>5280093000</v>
      </c>
      <c r="P17" s="451">
        <f t="shared" si="8"/>
        <v>5028660000</v>
      </c>
      <c r="Q17" s="451">
        <f t="shared" si="8"/>
        <v>5280093000</v>
      </c>
      <c r="R17" s="451">
        <f>SUM(R18:R25)</f>
        <v>5280093000</v>
      </c>
      <c r="S17" s="449"/>
      <c r="U17"/>
      <c r="V17" s="451">
        <f>SUM(V18:V25)</f>
        <v>-7</v>
      </c>
      <c r="W17"/>
    </row>
    <row r="18" spans="1:23" x14ac:dyDescent="0.25">
      <c r="B18" t="s">
        <v>97</v>
      </c>
      <c r="C18" t="s">
        <v>171</v>
      </c>
      <c r="D18" s="453" t="s">
        <v>324</v>
      </c>
      <c r="E18" s="454" t="s">
        <v>279</v>
      </c>
      <c r="F18" s="455" t="s">
        <v>64</v>
      </c>
      <c r="H18" s="456">
        <v>6</v>
      </c>
      <c r="I18" s="456">
        <f t="shared" ref="I18:I25" si="9">IF($I$8="x",V18,0)</f>
        <v>0</v>
      </c>
      <c r="K18" s="664">
        <f t="shared" ref="K18:K25" si="10">H18+I18</f>
        <v>6</v>
      </c>
      <c r="L18" s="457">
        <f>(50000*26*8/$E$6*15/12)*1.05</f>
        <v>13650000</v>
      </c>
      <c r="M18" s="457">
        <f t="shared" ref="M18:M25" si="11">$K18*$L18*12</f>
        <v>982800000</v>
      </c>
      <c r="N18" s="457">
        <f t="shared" ref="N18:R25" si="12">$K18*$L18*12*(1+N$8)</f>
        <v>1031940000</v>
      </c>
      <c r="O18" s="457">
        <f t="shared" si="12"/>
        <v>1031940000</v>
      </c>
      <c r="P18" s="457">
        <f t="shared" si="12"/>
        <v>982800000</v>
      </c>
      <c r="Q18" s="457">
        <f t="shared" si="12"/>
        <v>1031940000</v>
      </c>
      <c r="R18" s="457">
        <f t="shared" si="12"/>
        <v>1031940000</v>
      </c>
      <c r="S18" s="454" t="s">
        <v>283</v>
      </c>
      <c r="V18" s="456">
        <v>-0.5</v>
      </c>
    </row>
    <row r="19" spans="1:23" x14ac:dyDescent="0.25">
      <c r="B19" t="s">
        <v>97</v>
      </c>
      <c r="C19" t="s">
        <v>171</v>
      </c>
      <c r="D19" s="453" t="s">
        <v>327</v>
      </c>
      <c r="E19" s="454" t="s">
        <v>284</v>
      </c>
      <c r="F19" s="455" t="s">
        <v>64</v>
      </c>
      <c r="H19" s="456">
        <v>3</v>
      </c>
      <c r="I19" s="456">
        <f t="shared" si="9"/>
        <v>0</v>
      </c>
      <c r="K19" s="664">
        <f t="shared" si="10"/>
        <v>3</v>
      </c>
      <c r="L19" s="457">
        <f>(50000*26*8/$E$6*15/12)*1.05</f>
        <v>13650000</v>
      </c>
      <c r="M19" s="457">
        <f t="shared" si="11"/>
        <v>491400000</v>
      </c>
      <c r="N19" s="457">
        <f t="shared" si="12"/>
        <v>515970000</v>
      </c>
      <c r="O19" s="457">
        <f t="shared" si="12"/>
        <v>515970000</v>
      </c>
      <c r="P19" s="457">
        <f t="shared" si="12"/>
        <v>491400000</v>
      </c>
      <c r="Q19" s="457">
        <f t="shared" si="12"/>
        <v>515970000</v>
      </c>
      <c r="R19" s="457">
        <f t="shared" si="12"/>
        <v>515970000</v>
      </c>
      <c r="S19" s="454" t="s">
        <v>194</v>
      </c>
      <c r="V19" s="456">
        <v>-0.5</v>
      </c>
    </row>
    <row r="20" spans="1:23" x14ac:dyDescent="0.25">
      <c r="B20" t="s">
        <v>92</v>
      </c>
      <c r="C20" t="s">
        <v>171</v>
      </c>
      <c r="D20" s="453" t="s">
        <v>328</v>
      </c>
      <c r="E20" s="454" t="s">
        <v>281</v>
      </c>
      <c r="F20" s="455" t="s">
        <v>64</v>
      </c>
      <c r="H20" s="456">
        <v>4.5</v>
      </c>
      <c r="I20" s="456">
        <f t="shared" si="9"/>
        <v>0</v>
      </c>
      <c r="K20" s="664">
        <f t="shared" si="10"/>
        <v>4.5</v>
      </c>
      <c r="L20" s="457">
        <f>(50000*26*8/$E$6*15/12)*1.05</f>
        <v>13650000</v>
      </c>
      <c r="M20" s="457">
        <f t="shared" si="11"/>
        <v>737100000</v>
      </c>
      <c r="N20" s="457">
        <f>$K20*$L20*12*(1+N$8)</f>
        <v>773955000</v>
      </c>
      <c r="O20" s="457">
        <f t="shared" si="12"/>
        <v>773955000</v>
      </c>
      <c r="P20" s="457">
        <f t="shared" si="12"/>
        <v>737100000</v>
      </c>
      <c r="Q20" s="457">
        <f t="shared" si="12"/>
        <v>773955000</v>
      </c>
      <c r="R20" s="457">
        <f t="shared" si="12"/>
        <v>773955000</v>
      </c>
      <c r="S20" s="454" t="s">
        <v>289</v>
      </c>
      <c r="V20" s="456">
        <v>-1.5</v>
      </c>
    </row>
    <row r="21" spans="1:23" x14ac:dyDescent="0.25">
      <c r="B21" t="s">
        <v>91</v>
      </c>
      <c r="C21" t="s">
        <v>171</v>
      </c>
      <c r="D21" s="453" t="s">
        <v>326</v>
      </c>
      <c r="E21" s="454" t="s">
        <v>282</v>
      </c>
      <c r="F21" s="455" t="s">
        <v>64</v>
      </c>
      <c r="H21" s="456">
        <v>3</v>
      </c>
      <c r="I21" s="456">
        <f t="shared" si="9"/>
        <v>0</v>
      </c>
      <c r="K21" s="664">
        <f t="shared" si="10"/>
        <v>3</v>
      </c>
      <c r="L21" s="457">
        <f>(50000*26*8/$E$6*15/12)*1.05</f>
        <v>13650000</v>
      </c>
      <c r="M21" s="457">
        <f t="shared" si="11"/>
        <v>491400000</v>
      </c>
      <c r="N21" s="457">
        <f t="shared" si="12"/>
        <v>515970000</v>
      </c>
      <c r="O21" s="457">
        <f t="shared" si="12"/>
        <v>515970000</v>
      </c>
      <c r="P21" s="457">
        <f t="shared" si="12"/>
        <v>491400000</v>
      </c>
      <c r="Q21" s="457">
        <f t="shared" si="12"/>
        <v>515970000</v>
      </c>
      <c r="R21" s="457">
        <f t="shared" si="12"/>
        <v>515970000</v>
      </c>
      <c r="S21" s="454" t="s">
        <v>194</v>
      </c>
      <c r="V21" s="456">
        <v>-0.5</v>
      </c>
    </row>
    <row r="22" spans="1:23" x14ac:dyDescent="0.25">
      <c r="B22" t="s">
        <v>95</v>
      </c>
      <c r="C22" t="s">
        <v>171</v>
      </c>
      <c r="D22" s="453" t="s">
        <v>329</v>
      </c>
      <c r="E22" s="454" t="s">
        <v>61</v>
      </c>
      <c r="F22" s="455" t="s">
        <v>64</v>
      </c>
      <c r="H22" s="456">
        <v>3</v>
      </c>
      <c r="I22" s="456">
        <f t="shared" si="9"/>
        <v>0</v>
      </c>
      <c r="K22" s="664">
        <f t="shared" si="10"/>
        <v>3</v>
      </c>
      <c r="L22" s="457">
        <f>(80000*26*8/$E$6*15/12)*1.05</f>
        <v>21840000</v>
      </c>
      <c r="M22" s="457">
        <f t="shared" si="11"/>
        <v>786240000</v>
      </c>
      <c r="N22" s="457">
        <f t="shared" si="12"/>
        <v>825552000</v>
      </c>
      <c r="O22" s="457">
        <f t="shared" si="12"/>
        <v>825552000</v>
      </c>
      <c r="P22" s="457">
        <f t="shared" si="12"/>
        <v>786240000</v>
      </c>
      <c r="Q22" s="457">
        <f t="shared" si="12"/>
        <v>825552000</v>
      </c>
      <c r="R22" s="457">
        <f t="shared" si="12"/>
        <v>825552000</v>
      </c>
      <c r="S22" s="454" t="s">
        <v>194</v>
      </c>
      <c r="V22" s="456">
        <v>-0.5</v>
      </c>
    </row>
    <row r="23" spans="1:23" x14ac:dyDescent="0.25">
      <c r="B23" t="s">
        <v>342</v>
      </c>
      <c r="C23" t="s">
        <v>171</v>
      </c>
      <c r="D23" s="453" t="s">
        <v>330</v>
      </c>
      <c r="E23" s="454" t="s">
        <v>296</v>
      </c>
      <c r="F23" s="455" t="s">
        <v>64</v>
      </c>
      <c r="H23" s="456">
        <v>1</v>
      </c>
      <c r="I23" s="456">
        <f t="shared" si="9"/>
        <v>0</v>
      </c>
      <c r="K23" s="664">
        <f t="shared" si="10"/>
        <v>1</v>
      </c>
      <c r="L23" s="457">
        <f>(80000*26*8/$E$6*15/12)*1.05</f>
        <v>21840000</v>
      </c>
      <c r="M23" s="457">
        <f t="shared" si="11"/>
        <v>262080000</v>
      </c>
      <c r="N23" s="457">
        <f t="shared" si="12"/>
        <v>275184000</v>
      </c>
      <c r="O23" s="457">
        <f t="shared" si="12"/>
        <v>275184000</v>
      </c>
      <c r="P23" s="457">
        <f t="shared" si="12"/>
        <v>262080000</v>
      </c>
      <c r="Q23" s="457">
        <f t="shared" si="12"/>
        <v>275184000</v>
      </c>
      <c r="R23" s="457">
        <f t="shared" si="12"/>
        <v>275184000</v>
      </c>
      <c r="S23" s="454" t="s">
        <v>194</v>
      </c>
      <c r="V23" s="456">
        <v>-0.5</v>
      </c>
    </row>
    <row r="24" spans="1:23" x14ac:dyDescent="0.25">
      <c r="B24" t="s">
        <v>342</v>
      </c>
      <c r="C24" t="s">
        <v>171</v>
      </c>
      <c r="D24" s="453" t="s">
        <v>331</v>
      </c>
      <c r="E24" s="454" t="s">
        <v>60</v>
      </c>
      <c r="F24" s="455" t="s">
        <v>64</v>
      </c>
      <c r="H24" s="456">
        <v>3</v>
      </c>
      <c r="I24" s="456">
        <f t="shared" si="9"/>
        <v>0</v>
      </c>
      <c r="K24" s="664">
        <f t="shared" si="10"/>
        <v>3</v>
      </c>
      <c r="L24" s="457">
        <f>(80000*26*8/$E$6*15/12)*1.05</f>
        <v>21840000</v>
      </c>
      <c r="M24" s="457">
        <f t="shared" si="11"/>
        <v>786240000</v>
      </c>
      <c r="N24" s="457">
        <f t="shared" si="12"/>
        <v>825552000</v>
      </c>
      <c r="O24" s="457">
        <f t="shared" si="12"/>
        <v>825552000</v>
      </c>
      <c r="P24" s="457">
        <f t="shared" si="12"/>
        <v>786240000</v>
      </c>
      <c r="Q24" s="457">
        <f t="shared" si="12"/>
        <v>825552000</v>
      </c>
      <c r="R24" s="457">
        <f t="shared" si="12"/>
        <v>825552000</v>
      </c>
      <c r="S24" s="454" t="s">
        <v>194</v>
      </c>
      <c r="V24" s="456">
        <v>-1</v>
      </c>
    </row>
    <row r="25" spans="1:23" x14ac:dyDescent="0.25">
      <c r="B25" t="s">
        <v>97</v>
      </c>
      <c r="C25" t="s">
        <v>171</v>
      </c>
      <c r="D25" s="453" t="s">
        <v>332</v>
      </c>
      <c r="E25" s="454" t="s">
        <v>293</v>
      </c>
      <c r="F25" s="455" t="s">
        <v>64</v>
      </c>
      <c r="H25" s="456">
        <v>3</v>
      </c>
      <c r="I25" s="456">
        <f t="shared" si="9"/>
        <v>0</v>
      </c>
      <c r="K25" s="664">
        <f t="shared" si="10"/>
        <v>3</v>
      </c>
      <c r="L25" s="457">
        <f>(50000*26*8/$E$6*15/12)*1.05</f>
        <v>13650000</v>
      </c>
      <c r="M25" s="457">
        <f t="shared" si="11"/>
        <v>491400000</v>
      </c>
      <c r="N25" s="457">
        <f t="shared" si="12"/>
        <v>515970000</v>
      </c>
      <c r="O25" s="457">
        <f t="shared" si="12"/>
        <v>515970000</v>
      </c>
      <c r="P25" s="457">
        <f t="shared" si="12"/>
        <v>491400000</v>
      </c>
      <c r="Q25" s="457">
        <f t="shared" si="12"/>
        <v>515970000</v>
      </c>
      <c r="R25" s="457">
        <f t="shared" si="12"/>
        <v>515970000</v>
      </c>
      <c r="S25" s="454" t="s">
        <v>194</v>
      </c>
      <c r="V25" s="456">
        <v>-2</v>
      </c>
    </row>
    <row r="26" spans="1:23" x14ac:dyDescent="0.25">
      <c r="F26" s="41"/>
      <c r="H26" s="41"/>
      <c r="I26" s="41"/>
      <c r="K26" s="15"/>
      <c r="L26" s="15"/>
      <c r="M26" s="15"/>
      <c r="N26" s="15"/>
      <c r="O26" s="15"/>
      <c r="P26" s="15"/>
      <c r="Q26" s="15"/>
      <c r="R26" s="15"/>
    </row>
    <row r="27" spans="1:23" x14ac:dyDescent="0.25">
      <c r="F27" s="41"/>
      <c r="H27" s="41"/>
      <c r="I27" s="41"/>
      <c r="K27" s="15"/>
      <c r="L27" s="15"/>
      <c r="M27" s="355">
        <v>0.03</v>
      </c>
      <c r="N27" s="355">
        <v>3.5000000000000003E-2</v>
      </c>
      <c r="O27" s="355">
        <v>3.5000000000000003E-2</v>
      </c>
      <c r="P27" s="355">
        <v>0.03</v>
      </c>
      <c r="Q27" s="355">
        <v>3.5000000000000003E-2</v>
      </c>
      <c r="R27" s="355">
        <v>3.5000000000000003E-2</v>
      </c>
    </row>
    <row r="28" spans="1:23" s="22" customFormat="1" ht="17.25" x14ac:dyDescent="0.3">
      <c r="A28" t="s">
        <v>452</v>
      </c>
      <c r="B28"/>
      <c r="C28" t="s">
        <v>172</v>
      </c>
      <c r="D28" s="479" t="s">
        <v>42</v>
      </c>
      <c r="E28" s="480" t="s">
        <v>55</v>
      </c>
      <c r="F28" s="481"/>
      <c r="H28" s="481"/>
      <c r="I28" s="481"/>
      <c r="K28" s="483"/>
      <c r="L28" s="480"/>
      <c r="M28" s="483">
        <f t="shared" ref="M28:R28" si="13">SUM(M29:M31)</f>
        <v>9022494000</v>
      </c>
      <c r="N28" s="483">
        <f t="shared" si="13"/>
        <v>11774490000</v>
      </c>
      <c r="O28" s="483">
        <f t="shared" si="13"/>
        <v>11774490000</v>
      </c>
      <c r="P28" s="483">
        <f t="shared" si="13"/>
        <v>9022494000</v>
      </c>
      <c r="Q28" s="483">
        <f t="shared" si="13"/>
        <v>11024650000</v>
      </c>
      <c r="R28" s="483">
        <f t="shared" si="13"/>
        <v>11024650000</v>
      </c>
      <c r="S28" s="480"/>
      <c r="T28" s="15"/>
      <c r="U28"/>
      <c r="V28"/>
      <c r="W28"/>
    </row>
    <row r="29" spans="1:23" x14ac:dyDescent="0.25">
      <c r="C29" t="s">
        <v>172</v>
      </c>
      <c r="D29" s="458" t="s">
        <v>333</v>
      </c>
      <c r="E29" s="459" t="s">
        <v>286</v>
      </c>
      <c r="F29" s="460" t="str">
        <f>$E$5&amp;"/năm"</f>
        <v>VND/năm</v>
      </c>
      <c r="H29" s="460"/>
      <c r="I29" s="460"/>
      <c r="K29" s="461"/>
      <c r="L29" s="462"/>
      <c r="M29" s="461">
        <f>M$27*'W1'!I12</f>
        <v>7391670000.000001</v>
      </c>
      <c r="N29" s="461">
        <f>N$27*'W1'!N12</f>
        <v>9726080000</v>
      </c>
      <c r="O29" s="461">
        <f>O$27*'W1'!S12</f>
        <v>9726080000</v>
      </c>
      <c r="P29" s="461">
        <f>P$27*'W1'!X12</f>
        <v>7391670000.000001</v>
      </c>
      <c r="Q29" s="461">
        <f>Q$27*'W1'!AC12</f>
        <v>9120930000</v>
      </c>
      <c r="R29" s="461">
        <f>$R$27*'W1'!AH12</f>
        <v>9120930000</v>
      </c>
      <c r="S29" s="459" t="s">
        <v>550</v>
      </c>
    </row>
    <row r="30" spans="1:23" x14ac:dyDescent="0.25">
      <c r="C30" t="s">
        <v>172</v>
      </c>
      <c r="D30" s="453" t="s">
        <v>334</v>
      </c>
      <c r="E30" s="454" t="s">
        <v>287</v>
      </c>
      <c r="F30" s="455" t="str">
        <f t="shared" ref="F30:F31" si="14">$E$5&amp;"/năm"</f>
        <v>VND/năm</v>
      </c>
      <c r="H30" s="455"/>
      <c r="I30" s="455"/>
      <c r="K30" s="457"/>
      <c r="L30" s="463"/>
      <c r="M30" s="457">
        <f>M$27*'W1'!I20</f>
        <v>1143324000</v>
      </c>
      <c r="N30" s="457">
        <f>N$27*'W1'!N20</f>
        <v>1430520000.0000002</v>
      </c>
      <c r="O30" s="457">
        <f>O$27*'W1'!S20</f>
        <v>1430520000.0000002</v>
      </c>
      <c r="P30" s="457">
        <f>P$27*'W1'!X20</f>
        <v>1143324000</v>
      </c>
      <c r="Q30" s="457">
        <f>Q$27*'W1'!AC20</f>
        <v>1334060000.0000002</v>
      </c>
      <c r="R30" s="457">
        <f>$R$27*'W1'!AH20</f>
        <v>1334060000.0000002</v>
      </c>
      <c r="S30" s="454" t="s">
        <v>550</v>
      </c>
    </row>
    <row r="31" spans="1:23" x14ac:dyDescent="0.25">
      <c r="C31" t="s">
        <v>172</v>
      </c>
      <c r="D31" s="453" t="s">
        <v>335</v>
      </c>
      <c r="E31" s="454" t="s">
        <v>288</v>
      </c>
      <c r="F31" s="455" t="str">
        <f t="shared" si="14"/>
        <v>VND/năm</v>
      </c>
      <c r="H31" s="455"/>
      <c r="I31" s="455"/>
      <c r="K31" s="457"/>
      <c r="L31" s="463"/>
      <c r="M31" s="457">
        <f>M$27*'W1'!I39</f>
        <v>487500000</v>
      </c>
      <c r="N31" s="457">
        <f>N$27*'W1'!N39</f>
        <v>617890000</v>
      </c>
      <c r="O31" s="457">
        <f>O$27*'W1'!S39</f>
        <v>617890000</v>
      </c>
      <c r="P31" s="457">
        <f>P$27*'W1'!X39</f>
        <v>487500000</v>
      </c>
      <c r="Q31" s="457">
        <f>Q$27*'W1'!AC39</f>
        <v>569660000</v>
      </c>
      <c r="R31" s="457">
        <f>$R$27*'W1'!AH39</f>
        <v>569660000</v>
      </c>
      <c r="S31" s="454" t="s">
        <v>550</v>
      </c>
    </row>
    <row r="32" spans="1:23" x14ac:dyDescent="0.25">
      <c r="F32" s="41"/>
      <c r="H32" s="41"/>
      <c r="I32" s="41"/>
      <c r="K32" s="15"/>
      <c r="L32" s="15"/>
      <c r="M32" s="15"/>
      <c r="N32" s="15"/>
      <c r="O32" s="15"/>
      <c r="P32" s="15"/>
      <c r="Q32" s="15"/>
      <c r="R32" s="15"/>
    </row>
    <row r="33" spans="1:21" ht="17.25" x14ac:dyDescent="0.3">
      <c r="A33" t="s">
        <v>451</v>
      </c>
      <c r="C33" t="s">
        <v>172</v>
      </c>
      <c r="D33" s="479" t="s">
        <v>47</v>
      </c>
      <c r="E33" s="480" t="s">
        <v>640</v>
      </c>
      <c r="F33" s="484"/>
      <c r="H33" s="484"/>
      <c r="I33" s="484"/>
      <c r="K33" s="484"/>
      <c r="L33" s="484"/>
      <c r="M33" s="483">
        <f>K34*L34*12</f>
        <v>2400000000</v>
      </c>
      <c r="N33" s="483">
        <f>$M33*(1+N$8)</f>
        <v>2520000000</v>
      </c>
      <c r="O33" s="483">
        <f t="shared" ref="O33:R33" si="15">$M33*(1+O$8)</f>
        <v>2520000000</v>
      </c>
      <c r="P33" s="483">
        <f t="shared" si="15"/>
        <v>2400000000</v>
      </c>
      <c r="Q33" s="483">
        <f t="shared" si="15"/>
        <v>2520000000</v>
      </c>
      <c r="R33" s="483">
        <f t="shared" si="15"/>
        <v>2520000000</v>
      </c>
      <c r="S33" s="484"/>
    </row>
    <row r="34" spans="1:21" ht="17.25" x14ac:dyDescent="0.3">
      <c r="C34" t="s">
        <v>172</v>
      </c>
      <c r="D34" s="447"/>
      <c r="E34" s="448"/>
      <c r="F34" s="460" t="s">
        <v>782</v>
      </c>
      <c r="H34" s="460"/>
      <c r="I34" s="460"/>
      <c r="K34" s="464">
        <v>2000</v>
      </c>
      <c r="L34" s="465">
        <f>100000/$E$6</f>
        <v>100000</v>
      </c>
      <c r="M34" s="461"/>
      <c r="N34" s="461"/>
      <c r="O34" s="461"/>
      <c r="P34" s="461"/>
      <c r="Q34" s="461"/>
      <c r="R34" s="461"/>
      <c r="S34" s="459"/>
    </row>
    <row r="35" spans="1:21" x14ac:dyDescent="0.25">
      <c r="C35" t="s">
        <v>172</v>
      </c>
    </row>
    <row r="36" spans="1:21" x14ac:dyDescent="0.25">
      <c r="F36" s="41"/>
      <c r="H36" s="41"/>
      <c r="I36" s="41"/>
      <c r="K36" s="15"/>
      <c r="L36" s="15"/>
      <c r="M36" s="15"/>
      <c r="N36" s="15"/>
      <c r="O36" s="15"/>
      <c r="P36" s="15"/>
      <c r="Q36" s="15"/>
      <c r="R36" s="15"/>
    </row>
    <row r="37" spans="1:21" s="22" customFormat="1" ht="17.25" x14ac:dyDescent="0.3">
      <c r="A37" t="s">
        <v>453</v>
      </c>
      <c r="B37"/>
      <c r="C37" t="s">
        <v>172</v>
      </c>
      <c r="D37" s="479">
        <v>4</v>
      </c>
      <c r="E37" s="480" t="s">
        <v>197</v>
      </c>
      <c r="F37" s="481" t="str">
        <f>$E$5</f>
        <v>VND</v>
      </c>
      <c r="H37" s="481"/>
      <c r="I37" s="481"/>
      <c r="K37" s="483"/>
      <c r="L37" s="483"/>
      <c r="M37" s="483">
        <f>(L38*K38+K39*L39)*12</f>
        <v>552000000</v>
      </c>
      <c r="N37" s="483">
        <f>$M37*(1+N$8)</f>
        <v>579600000</v>
      </c>
      <c r="O37" s="483">
        <f t="shared" ref="O37:Q37" si="16">$M37*(1+O$8)</f>
        <v>579600000</v>
      </c>
      <c r="P37" s="483">
        <f t="shared" si="16"/>
        <v>552000000</v>
      </c>
      <c r="Q37" s="483">
        <f t="shared" si="16"/>
        <v>579600000</v>
      </c>
      <c r="R37" s="483">
        <f t="shared" ref="R37" si="17">$M37*(1+R$8)</f>
        <v>579600000</v>
      </c>
      <c r="S37" s="480"/>
    </row>
    <row r="38" spans="1:21" x14ac:dyDescent="0.25">
      <c r="C38" t="s">
        <v>172</v>
      </c>
      <c r="D38" s="459"/>
      <c r="E38" s="459" t="s">
        <v>198</v>
      </c>
      <c r="F38" s="459" t="str">
        <f>$E$5</f>
        <v>VND</v>
      </c>
      <c r="H38" s="459"/>
      <c r="I38" s="459"/>
      <c r="K38" s="466">
        <v>2</v>
      </c>
      <c r="L38" s="465">
        <f>20000000/$E$6</f>
        <v>20000000</v>
      </c>
      <c r="M38" s="461"/>
      <c r="N38" s="461"/>
      <c r="O38" s="461"/>
      <c r="P38" s="461"/>
      <c r="Q38" s="461"/>
      <c r="R38" s="461"/>
      <c r="S38" s="459"/>
    </row>
    <row r="39" spans="1:21" x14ac:dyDescent="0.25">
      <c r="C39" t="s">
        <v>172</v>
      </c>
      <c r="D39" s="454"/>
      <c r="E39" s="454" t="s">
        <v>199</v>
      </c>
      <c r="F39" s="454" t="str">
        <f>$E$5</f>
        <v>VND</v>
      </c>
      <c r="H39" s="454"/>
      <c r="I39" s="454"/>
      <c r="K39" s="454">
        <f>K38</f>
        <v>2</v>
      </c>
      <c r="L39" s="468">
        <f>3000000/$E$6</f>
        <v>3000000</v>
      </c>
      <c r="M39" s="457"/>
      <c r="N39" s="457"/>
      <c r="O39" s="457"/>
      <c r="P39" s="457"/>
      <c r="Q39" s="457"/>
      <c r="R39" s="457"/>
      <c r="S39" s="454"/>
    </row>
    <row r="41" spans="1:21" s="251" customFormat="1" ht="17.25" x14ac:dyDescent="0.3">
      <c r="A41" s="250" t="s">
        <v>437</v>
      </c>
      <c r="B41" s="250"/>
      <c r="C41" s="250" t="s">
        <v>537</v>
      </c>
      <c r="D41" s="479" t="s">
        <v>74</v>
      </c>
      <c r="E41" s="480" t="s">
        <v>69</v>
      </c>
      <c r="F41" s="485"/>
      <c r="H41" s="485"/>
      <c r="I41" s="485"/>
      <c r="K41" s="486"/>
      <c r="L41" s="487"/>
      <c r="M41" s="488">
        <v>7.0000000000000007E-2</v>
      </c>
      <c r="N41" s="488">
        <v>7.0000000000000007E-2</v>
      </c>
      <c r="O41" s="488">
        <v>7.0000000000000007E-2</v>
      </c>
      <c r="P41" s="488">
        <v>7.0000000000000007E-2</v>
      </c>
      <c r="Q41" s="488">
        <v>7.0000000000000007E-2</v>
      </c>
      <c r="R41" s="488">
        <v>7.0000000000000007E-2</v>
      </c>
      <c r="S41" s="487"/>
    </row>
    <row r="42" spans="1:21" x14ac:dyDescent="0.25">
      <c r="C42" t="s">
        <v>537</v>
      </c>
      <c r="D42" s="458" t="s">
        <v>420</v>
      </c>
      <c r="E42" s="459" t="s">
        <v>70</v>
      </c>
      <c r="F42" s="460" t="s">
        <v>71</v>
      </c>
      <c r="H42" s="460"/>
      <c r="I42" s="460"/>
      <c r="K42" s="459"/>
      <c r="L42" s="469">
        <v>7.0000000000000007E-2</v>
      </c>
      <c r="M42" s="459"/>
      <c r="N42" s="459"/>
      <c r="O42" s="459"/>
      <c r="P42" s="459"/>
      <c r="Q42" s="459"/>
      <c r="R42" s="459"/>
      <c r="S42" s="459"/>
    </row>
    <row r="44" spans="1:21" s="22" customFormat="1" ht="17.25" x14ac:dyDescent="0.3">
      <c r="A44" t="s">
        <v>174</v>
      </c>
      <c r="B44"/>
      <c r="C44" t="s">
        <v>174</v>
      </c>
      <c r="D44" s="38" t="s">
        <v>191</v>
      </c>
      <c r="E44" s="22" t="s">
        <v>72</v>
      </c>
      <c r="F44" s="40" t="str">
        <f>$E$5&amp;"/giờ"</f>
        <v>VND/giờ</v>
      </c>
      <c r="H44" s="40"/>
      <c r="I44" s="40"/>
      <c r="K44" s="28"/>
      <c r="L44" s="28"/>
      <c r="M44" s="28">
        <f>M45*M46</f>
        <v>1491750</v>
      </c>
      <c r="N44" s="28">
        <f t="shared" ref="N44:R44" si="18">N45*N46</f>
        <v>1377000</v>
      </c>
      <c r="O44" s="28">
        <f t="shared" si="18"/>
        <v>1377000</v>
      </c>
      <c r="P44" s="28">
        <f t="shared" si="18"/>
        <v>1491750</v>
      </c>
      <c r="Q44" s="28">
        <f t="shared" si="18"/>
        <v>1493280</v>
      </c>
      <c r="R44" s="28">
        <f t="shared" si="18"/>
        <v>1493280</v>
      </c>
      <c r="U44" s="22" t="s">
        <v>551</v>
      </c>
    </row>
    <row r="45" spans="1:21" x14ac:dyDescent="0.25">
      <c r="C45" t="s">
        <v>174</v>
      </c>
      <c r="D45" s="458" t="s">
        <v>563</v>
      </c>
      <c r="E45" s="459" t="s">
        <v>73</v>
      </c>
      <c r="F45" s="460" t="s">
        <v>186</v>
      </c>
      <c r="H45" s="460"/>
      <c r="I45" s="460"/>
      <c r="K45" s="459"/>
      <c r="L45" s="459"/>
      <c r="M45" s="466">
        <v>765</v>
      </c>
      <c r="N45" s="461">
        <f>$M45</f>
        <v>765</v>
      </c>
      <c r="O45" s="461">
        <f t="shared" ref="O45:Q45" si="19">$M45</f>
        <v>765</v>
      </c>
      <c r="P45" s="461">
        <f t="shared" si="19"/>
        <v>765</v>
      </c>
      <c r="Q45" s="461">
        <f t="shared" si="19"/>
        <v>765</v>
      </c>
      <c r="R45" s="461">
        <f>$M45</f>
        <v>765</v>
      </c>
      <c r="S45" s="459"/>
    </row>
    <row r="46" spans="1:21" x14ac:dyDescent="0.25">
      <c r="C46" t="s">
        <v>174</v>
      </c>
      <c r="D46" s="453" t="s">
        <v>564</v>
      </c>
      <c r="E46" s="454" t="s">
        <v>565</v>
      </c>
      <c r="F46" s="455" t="str">
        <f>$E$5&amp;"/Kwh"</f>
        <v>VND/Kwh</v>
      </c>
      <c r="H46" s="455"/>
      <c r="I46" s="455"/>
      <c r="K46" s="454"/>
      <c r="L46" s="454"/>
      <c r="M46" s="468">
        <f>1950/$E$6</f>
        <v>1950</v>
      </c>
      <c r="N46" s="463">
        <f>1800/$E$6</f>
        <v>1800</v>
      </c>
      <c r="O46" s="463">
        <f t="shared" ref="O46" si="20">1800/$E$6</f>
        <v>1800</v>
      </c>
      <c r="P46" s="463">
        <f>1950/$E$6</f>
        <v>1950</v>
      </c>
      <c r="Q46" s="463">
        <f>1952/$E$6</f>
        <v>1952</v>
      </c>
      <c r="R46" s="463">
        <f>1952/$E$6</f>
        <v>1952</v>
      </c>
      <c r="S46" s="454"/>
    </row>
    <row r="48" spans="1:21" s="22" customFormat="1" ht="17.25" x14ac:dyDescent="0.3">
      <c r="A48" t="s">
        <v>462</v>
      </c>
      <c r="B48"/>
      <c r="C48" t="s">
        <v>306</v>
      </c>
      <c r="D48" s="652" t="s">
        <v>196</v>
      </c>
      <c r="E48" s="653" t="s">
        <v>75</v>
      </c>
      <c r="F48" s="654" t="str">
        <f>$E$5&amp;"/kg thành phẩm"</f>
        <v>VND/kg thành phẩm</v>
      </c>
      <c r="H48" s="40"/>
      <c r="I48" s="40"/>
      <c r="K48" s="655"/>
      <c r="L48" s="655"/>
      <c r="M48" s="655">
        <f>L49</f>
        <v>314.81481481481484</v>
      </c>
      <c r="N48" s="655">
        <f>$M48*(1+N$8)</f>
        <v>330.5555555555556</v>
      </c>
      <c r="O48" s="655">
        <f t="shared" ref="O48:R48" si="21">$M48*(1+O$8)</f>
        <v>330.5555555555556</v>
      </c>
      <c r="P48" s="655">
        <f t="shared" si="21"/>
        <v>314.81481481481484</v>
      </c>
      <c r="Q48" s="655">
        <f t="shared" si="21"/>
        <v>330.5555555555556</v>
      </c>
      <c r="R48" s="655">
        <f t="shared" si="21"/>
        <v>330.5555555555556</v>
      </c>
      <c r="S48" s="653"/>
      <c r="T48" s="262"/>
    </row>
    <row r="49" spans="1:23" s="1" customFormat="1" x14ac:dyDescent="0.25">
      <c r="A49"/>
      <c r="B49"/>
      <c r="C49" t="s">
        <v>306</v>
      </c>
      <c r="D49" s="459"/>
      <c r="E49" s="470" t="s">
        <v>76</v>
      </c>
      <c r="F49" s="470" t="str">
        <f>$E$5&amp;"/kg thành phẩm"</f>
        <v>VND/kg thành phẩm</v>
      </c>
      <c r="H49" s="470"/>
      <c r="I49" s="470"/>
      <c r="K49" s="470"/>
      <c r="L49" s="471">
        <f>(L50/K54)/K52/('Cover Page'!F25/1000)/K53+L51/K52/('Cover Page'!F25/1000)</f>
        <v>314.81481481481484</v>
      </c>
      <c r="M49" s="470"/>
      <c r="N49" s="470"/>
      <c r="O49" s="470"/>
      <c r="P49" s="470"/>
      <c r="Q49" s="470"/>
      <c r="R49" s="470"/>
      <c r="S49" s="470"/>
      <c r="U49" s="17"/>
    </row>
    <row r="50" spans="1:23" x14ac:dyDescent="0.25">
      <c r="C50" t="s">
        <v>306</v>
      </c>
      <c r="D50" s="454"/>
      <c r="E50" s="454" t="s">
        <v>315</v>
      </c>
      <c r="F50" s="454" t="str">
        <f>$E$5&amp;"/thùng"</f>
        <v>VND/thùng</v>
      </c>
      <c r="H50" s="454"/>
      <c r="I50" s="454"/>
      <c r="K50" s="454"/>
      <c r="L50" s="472">
        <f>3000000/$E$6</f>
        <v>3000000</v>
      </c>
      <c r="M50" s="454"/>
      <c r="N50" s="454"/>
      <c r="O50" s="454"/>
      <c r="P50" s="454"/>
      <c r="Q50" s="454"/>
      <c r="R50" s="454"/>
      <c r="S50" s="454"/>
      <c r="U50" s="99"/>
    </row>
    <row r="51" spans="1:23" x14ac:dyDescent="0.25">
      <c r="C51" t="s">
        <v>306</v>
      </c>
      <c r="D51" s="454"/>
      <c r="E51" s="454" t="s">
        <v>317</v>
      </c>
      <c r="F51" s="454" t="str">
        <f>$E$5&amp;"/cái"</f>
        <v>VND/cái</v>
      </c>
      <c r="H51" s="454"/>
      <c r="I51" s="454"/>
      <c r="K51" s="454"/>
      <c r="L51" s="472">
        <f>50000/$E$6</f>
        <v>50000</v>
      </c>
      <c r="M51" s="454"/>
      <c r="N51" s="454"/>
      <c r="O51" s="454"/>
      <c r="P51" s="454"/>
      <c r="Q51" s="454"/>
      <c r="R51" s="454"/>
      <c r="S51" s="454"/>
      <c r="U51" s="99"/>
    </row>
    <row r="52" spans="1:23" x14ac:dyDescent="0.25">
      <c r="C52" t="s">
        <v>306</v>
      </c>
      <c r="D52" s="454"/>
      <c r="E52" s="454" t="s">
        <v>316</v>
      </c>
      <c r="F52" s="454" t="s">
        <v>654</v>
      </c>
      <c r="H52" s="454"/>
      <c r="I52" s="454"/>
      <c r="K52" s="472">
        <v>15000</v>
      </c>
      <c r="L52" s="473"/>
      <c r="M52" s="454"/>
      <c r="N52" s="454"/>
      <c r="O52" s="454"/>
      <c r="P52" s="454"/>
      <c r="Q52" s="454"/>
      <c r="R52" s="454"/>
      <c r="S52" s="457"/>
      <c r="U52" s="99"/>
    </row>
    <row r="53" spans="1:23" x14ac:dyDescent="0.25">
      <c r="C53" t="s">
        <v>306</v>
      </c>
      <c r="D53" s="454"/>
      <c r="E53" s="454" t="s">
        <v>321</v>
      </c>
      <c r="F53" s="454" t="s">
        <v>653</v>
      </c>
      <c r="H53" s="454"/>
      <c r="I53" s="454"/>
      <c r="K53" s="472">
        <v>4</v>
      </c>
      <c r="L53" s="473"/>
      <c r="M53" s="454"/>
      <c r="N53" s="454"/>
      <c r="O53" s="454"/>
      <c r="P53" s="454"/>
      <c r="Q53" s="454"/>
      <c r="R53" s="454"/>
      <c r="S53" s="454"/>
      <c r="U53" s="99"/>
    </row>
    <row r="54" spans="1:23" x14ac:dyDescent="0.25">
      <c r="C54" t="s">
        <v>306</v>
      </c>
      <c r="D54" s="454"/>
      <c r="E54" s="454" t="s">
        <v>652</v>
      </c>
      <c r="F54" s="454" t="s">
        <v>627</v>
      </c>
      <c r="H54" s="454"/>
      <c r="I54" s="454"/>
      <c r="K54" s="472">
        <v>36</v>
      </c>
      <c r="L54" s="473"/>
      <c r="M54" s="454"/>
      <c r="N54" s="454"/>
      <c r="O54" s="454"/>
      <c r="P54" s="454"/>
      <c r="Q54" s="454"/>
      <c r="R54" s="454"/>
      <c r="S54" s="454"/>
      <c r="U54" s="99"/>
    </row>
    <row r="56" spans="1:23" s="22" customFormat="1" ht="17.25" x14ac:dyDescent="0.3">
      <c r="A56" t="s">
        <v>459</v>
      </c>
      <c r="B56"/>
      <c r="C56" t="s">
        <v>536</v>
      </c>
      <c r="D56" s="479" t="s">
        <v>455</v>
      </c>
      <c r="E56" s="480" t="s">
        <v>638</v>
      </c>
      <c r="F56" s="481" t="str">
        <f>$E$5&amp;"/kg"</f>
        <v>VND/kg</v>
      </c>
      <c r="H56" s="481"/>
      <c r="I56" s="481"/>
      <c r="K56" s="483"/>
      <c r="L56" s="483"/>
      <c r="M56" s="491">
        <f>960*26/$E$6</f>
        <v>24960</v>
      </c>
      <c r="N56" s="482">
        <f>25828.2025454785</f>
        <v>25828.2025454785</v>
      </c>
      <c r="O56" s="482">
        <f>N56</f>
        <v>25828.2025454785</v>
      </c>
      <c r="P56" s="756">
        <f>960*26/$E$6</f>
        <v>24960</v>
      </c>
      <c r="Q56" s="756">
        <f>960*26/$E$6</f>
        <v>24960</v>
      </c>
      <c r="R56" s="482">
        <f>Q56</f>
        <v>24960</v>
      </c>
      <c r="S56" s="480"/>
      <c r="U56" s="28">
        <f>P56-Q56</f>
        <v>0</v>
      </c>
      <c r="V56" s="757">
        <f>U56/26000</f>
        <v>0</v>
      </c>
      <c r="W56" s="649">
        <f>U56/P56</f>
        <v>0</v>
      </c>
    </row>
    <row r="57" spans="1:23" x14ac:dyDescent="0.25">
      <c r="M57" s="15"/>
    </row>
    <row r="58" spans="1:23" s="22" customFormat="1" ht="17.25" x14ac:dyDescent="0.3">
      <c r="A58"/>
      <c r="B58"/>
      <c r="C58" t="s">
        <v>177</v>
      </c>
      <c r="D58" s="479" t="s">
        <v>463</v>
      </c>
      <c r="E58" s="480" t="s">
        <v>639</v>
      </c>
      <c r="F58" s="481"/>
      <c r="H58" s="481"/>
      <c r="I58" s="481"/>
      <c r="K58" s="483"/>
      <c r="L58" s="483"/>
      <c r="M58" s="489"/>
      <c r="N58" s="490"/>
      <c r="O58" s="490"/>
      <c r="P58" s="490"/>
      <c r="Q58" s="490"/>
      <c r="R58" s="490"/>
      <c r="S58" s="480"/>
    </row>
    <row r="59" spans="1:23" s="1" customFormat="1" x14ac:dyDescent="0.25">
      <c r="C59" s="1" t="s">
        <v>177</v>
      </c>
      <c r="E59" s="1" t="s">
        <v>637</v>
      </c>
      <c r="M59" s="39"/>
    </row>
    <row r="60" spans="1:23" x14ac:dyDescent="0.25">
      <c r="A60" t="s">
        <v>665</v>
      </c>
      <c r="B60" t="s">
        <v>142</v>
      </c>
      <c r="C60" t="s">
        <v>177</v>
      </c>
      <c r="D60" s="459"/>
      <c r="E60" s="459" t="s">
        <v>634</v>
      </c>
      <c r="F60" s="459" t="s">
        <v>636</v>
      </c>
      <c r="H60" s="459"/>
      <c r="I60" s="459"/>
      <c r="K60" s="459"/>
      <c r="L60" s="459"/>
      <c r="M60" s="755">
        <v>2.0000000000000001E-4</v>
      </c>
      <c r="N60" s="755">
        <v>2.0000000000000001E-4</v>
      </c>
      <c r="O60" s="755">
        <v>2.0000000000000001E-4</v>
      </c>
      <c r="P60" s="755">
        <v>2.0000000000000001E-4</v>
      </c>
      <c r="Q60" s="755">
        <v>2.0000000000000001E-4</v>
      </c>
      <c r="R60" s="755">
        <v>2.0000000000000001E-4</v>
      </c>
      <c r="S60" s="459"/>
    </row>
    <row r="61" spans="1:23" x14ac:dyDescent="0.25">
      <c r="A61" t="s">
        <v>666</v>
      </c>
      <c r="B61" t="s">
        <v>142</v>
      </c>
      <c r="C61" t="s">
        <v>177</v>
      </c>
      <c r="D61" s="454"/>
      <c r="E61" s="454" t="s">
        <v>635</v>
      </c>
      <c r="F61" s="454" t="s">
        <v>636</v>
      </c>
      <c r="H61" s="454"/>
      <c r="I61" s="454"/>
      <c r="K61" s="454"/>
      <c r="L61" s="454"/>
      <c r="M61" s="547"/>
      <c r="N61" s="547">
        <v>5.0000000000000001E-3</v>
      </c>
      <c r="O61" s="547">
        <v>5.0000000000000001E-3</v>
      </c>
      <c r="P61" s="547">
        <v>5.0000000000000001E-3</v>
      </c>
      <c r="Q61" s="547">
        <v>5.0000000000000001E-3</v>
      </c>
      <c r="R61" s="547">
        <v>5.0000000000000001E-3</v>
      </c>
      <c r="S61" s="454"/>
    </row>
    <row r="62" spans="1:23" x14ac:dyDescent="0.25">
      <c r="M62" s="15"/>
    </row>
    <row r="63" spans="1:23" s="1" customFormat="1" x14ac:dyDescent="0.25">
      <c r="C63" s="1" t="s">
        <v>177</v>
      </c>
      <c r="E63" s="1" t="s">
        <v>39</v>
      </c>
      <c r="M63" s="39"/>
    </row>
    <row r="64" spans="1:23" x14ac:dyDescent="0.25">
      <c r="A64" t="s">
        <v>667</v>
      </c>
      <c r="C64" t="s">
        <v>177</v>
      </c>
      <c r="D64" s="454"/>
      <c r="E64" s="454" t="s">
        <v>634</v>
      </c>
      <c r="F64" s="454" t="str">
        <f>$E$5&amp;"/Kilogram"</f>
        <v>VND/Kilogram</v>
      </c>
      <c r="H64" s="454"/>
      <c r="I64" s="454"/>
      <c r="K64" s="454"/>
      <c r="L64" s="454"/>
      <c r="M64" s="457">
        <f t="shared" ref="M64:R64" si="22">949542/$E$6</f>
        <v>949542</v>
      </c>
      <c r="N64" s="457">
        <f t="shared" si="22"/>
        <v>949542</v>
      </c>
      <c r="O64" s="457">
        <f t="shared" si="22"/>
        <v>949542</v>
      </c>
      <c r="P64" s="457">
        <f t="shared" si="22"/>
        <v>949542</v>
      </c>
      <c r="Q64" s="457">
        <f t="shared" si="22"/>
        <v>949542</v>
      </c>
      <c r="R64" s="457">
        <f t="shared" si="22"/>
        <v>949542</v>
      </c>
      <c r="S64" s="454"/>
    </row>
    <row r="65" spans="1:19" x14ac:dyDescent="0.25">
      <c r="A65" t="s">
        <v>668</v>
      </c>
      <c r="C65" t="s">
        <v>177</v>
      </c>
      <c r="D65" s="454"/>
      <c r="E65" s="454" t="s">
        <v>635</v>
      </c>
      <c r="F65" s="454" t="str">
        <f>$E$5&amp;"/Kilogram"</f>
        <v>VND/Kilogram</v>
      </c>
      <c r="H65" s="454"/>
      <c r="I65" s="454"/>
      <c r="K65" s="454"/>
      <c r="L65" s="454"/>
      <c r="M65" s="463">
        <f t="shared" ref="M65:R65" si="23">30*EXR/$E$6*0</f>
        <v>0</v>
      </c>
      <c r="N65" s="457">
        <f t="shared" si="23"/>
        <v>0</v>
      </c>
      <c r="O65" s="457">
        <f t="shared" si="23"/>
        <v>0</v>
      </c>
      <c r="P65" s="457">
        <f t="shared" si="23"/>
        <v>0</v>
      </c>
      <c r="Q65" s="457">
        <f t="shared" si="23"/>
        <v>0</v>
      </c>
      <c r="R65" s="457">
        <f t="shared" si="23"/>
        <v>0</v>
      </c>
      <c r="S65" s="454"/>
    </row>
    <row r="66" spans="1:19" x14ac:dyDescent="0.25">
      <c r="M66" s="15"/>
    </row>
    <row r="67" spans="1:19" s="22" customFormat="1" ht="17.25" x14ac:dyDescent="0.3">
      <c r="A67" t="s">
        <v>140</v>
      </c>
      <c r="B67" t="s">
        <v>534</v>
      </c>
      <c r="C67" t="s">
        <v>172</v>
      </c>
      <c r="D67" s="479" t="s">
        <v>465</v>
      </c>
      <c r="E67" s="480" t="s">
        <v>685</v>
      </c>
      <c r="F67" s="481" t="s">
        <v>466</v>
      </c>
      <c r="H67" s="481"/>
      <c r="I67" s="481"/>
      <c r="K67" s="483"/>
      <c r="L67" s="483"/>
      <c r="M67" s="524">
        <v>0.04</v>
      </c>
      <c r="N67" s="524">
        <v>0.04</v>
      </c>
      <c r="O67" s="524">
        <v>0.04</v>
      </c>
      <c r="P67" s="524">
        <v>0.04</v>
      </c>
      <c r="Q67" s="524">
        <v>0.04</v>
      </c>
      <c r="R67" s="524">
        <v>0.04</v>
      </c>
      <c r="S67" s="480"/>
    </row>
    <row r="69" spans="1:19" s="22" customFormat="1" ht="17.25" x14ac:dyDescent="0.3">
      <c r="A69" t="s">
        <v>527</v>
      </c>
      <c r="B69" t="s">
        <v>156</v>
      </c>
      <c r="C69" t="s">
        <v>171</v>
      </c>
      <c r="D69" s="479" t="s">
        <v>467</v>
      </c>
      <c r="E69" s="480" t="s">
        <v>686</v>
      </c>
      <c r="F69" s="481" t="str">
        <f>$E$5&amp;"/kg thành phẩm"</f>
        <v>VND/kg thành phẩm</v>
      </c>
      <c r="H69" s="481"/>
      <c r="I69" s="481"/>
      <c r="K69" s="483"/>
      <c r="L69" s="483"/>
      <c r="M69" s="491"/>
      <c r="N69" s="483">
        <f>353.211642516825/$E$6*(1+N$8)</f>
        <v>370.87222464266625</v>
      </c>
      <c r="O69" s="483">
        <f t="shared" ref="O69:R69" si="24">353.211642516825/$E$6*(1+O$8)</f>
        <v>370.87222464266625</v>
      </c>
      <c r="P69" s="483"/>
      <c r="Q69" s="483">
        <f t="shared" si="24"/>
        <v>370.87222464266625</v>
      </c>
      <c r="R69" s="483">
        <f t="shared" si="24"/>
        <v>370.87222464266625</v>
      </c>
      <c r="S69" s="480"/>
    </row>
    <row r="71" spans="1:19" s="22" customFormat="1" ht="17.25" x14ac:dyDescent="0.3">
      <c r="A71" t="s">
        <v>522</v>
      </c>
      <c r="B71" t="s">
        <v>156</v>
      </c>
      <c r="C71" t="s">
        <v>182</v>
      </c>
      <c r="D71" s="479" t="s">
        <v>519</v>
      </c>
      <c r="E71" s="480" t="s">
        <v>678</v>
      </c>
      <c r="F71" s="481" t="str">
        <f>$E$5&amp;"/kg thành phẩm"</f>
        <v>VND/kg thành phẩm</v>
      </c>
      <c r="H71" s="481"/>
      <c r="I71" s="481"/>
      <c r="K71" s="483"/>
      <c r="L71" s="483"/>
      <c r="M71" s="491"/>
      <c r="N71" s="483">
        <f>118.305377909601/$E$6*(1+N$8)</f>
        <v>124.22064680508106</v>
      </c>
      <c r="O71" s="483">
        <f t="shared" ref="O71:R71" si="25">118.305377909601/$E$6*(1+O$8)</f>
        <v>124.22064680508106</v>
      </c>
      <c r="P71" s="483"/>
      <c r="Q71" s="483">
        <f t="shared" si="25"/>
        <v>124.22064680508106</v>
      </c>
      <c r="R71" s="483">
        <f t="shared" si="25"/>
        <v>124.22064680508106</v>
      </c>
      <c r="S71" s="480"/>
    </row>
    <row r="73" spans="1:19" s="22" customFormat="1" ht="17.25" x14ac:dyDescent="0.3">
      <c r="A73" t="s">
        <v>521</v>
      </c>
      <c r="B73"/>
      <c r="C73" t="s">
        <v>172</v>
      </c>
      <c r="D73" s="479" t="s">
        <v>617</v>
      </c>
      <c r="E73" s="480" t="s">
        <v>680</v>
      </c>
      <c r="F73" s="481"/>
      <c r="H73" s="481"/>
      <c r="I73" s="481"/>
      <c r="K73" s="483"/>
      <c r="L73" s="492">
        <v>2E-3</v>
      </c>
      <c r="M73" s="491">
        <f>$L$73*'W1'!I60</f>
        <v>601499600</v>
      </c>
      <c r="N73" s="491">
        <f>$L$73*'W1'!N60</f>
        <v>972828000</v>
      </c>
      <c r="O73" s="491">
        <f>$L$73*'W1'!S60</f>
        <v>972828000</v>
      </c>
      <c r="P73" s="491">
        <f>$L$73*'W1'!X60</f>
        <v>901499600</v>
      </c>
      <c r="Q73" s="491">
        <f>$L$73*'W1'!AC60</f>
        <v>929980000</v>
      </c>
      <c r="R73" s="491">
        <f>$L$73*'W1'!AH60</f>
        <v>629980000</v>
      </c>
      <c r="S73" s="480"/>
    </row>
    <row r="75" spans="1:19" ht="17.25" x14ac:dyDescent="0.3">
      <c r="A75" t="s">
        <v>622</v>
      </c>
      <c r="B75" t="s">
        <v>622</v>
      </c>
      <c r="C75" t="s">
        <v>172</v>
      </c>
      <c r="D75" s="479" t="s">
        <v>655</v>
      </c>
      <c r="E75" s="480" t="s">
        <v>679</v>
      </c>
      <c r="F75" s="481" t="str">
        <f>$E$5&amp;"/kg thành phẩm"</f>
        <v>VND/kg thành phẩm</v>
      </c>
      <c r="H75" s="481"/>
      <c r="I75" s="481"/>
      <c r="K75" s="484"/>
      <c r="L75" s="484"/>
      <c r="M75" s="491">
        <f>M77/M79</f>
        <v>888.88888888888891</v>
      </c>
      <c r="N75" s="491">
        <f t="shared" ref="N75:R75" si="26">N77/N79</f>
        <v>933.33333333333337</v>
      </c>
      <c r="O75" s="491">
        <f t="shared" si="26"/>
        <v>933.33333333333337</v>
      </c>
      <c r="P75" s="491">
        <f t="shared" si="26"/>
        <v>888.88888888888891</v>
      </c>
      <c r="Q75" s="491">
        <f t="shared" si="26"/>
        <v>933.33333333333337</v>
      </c>
      <c r="R75" s="491">
        <f t="shared" si="26"/>
        <v>933.33333333333337</v>
      </c>
      <c r="S75" s="484"/>
    </row>
    <row r="76" spans="1:19" x14ac:dyDescent="0.25">
      <c r="C76" t="s">
        <v>172</v>
      </c>
    </row>
    <row r="77" spans="1:19" x14ac:dyDescent="0.25">
      <c r="C77" t="s">
        <v>172</v>
      </c>
      <c r="D77" s="459"/>
      <c r="E77" s="459" t="s">
        <v>166</v>
      </c>
      <c r="F77" s="459" t="str">
        <f>$E$5&amp;"/chuyến"</f>
        <v>VND/chuyến</v>
      </c>
      <c r="H77" s="459"/>
      <c r="I77" s="459"/>
      <c r="K77" s="459"/>
      <c r="L77" s="459"/>
      <c r="M77" s="462">
        <f>4000000/$E$6</f>
        <v>4000000</v>
      </c>
      <c r="N77" s="461">
        <f>$M77*(1+N$8)</f>
        <v>4200000</v>
      </c>
      <c r="O77" s="461">
        <f>$M77*(1+O$8)</f>
        <v>4200000</v>
      </c>
      <c r="P77" s="461">
        <f>$M77*(1+P$8)</f>
        <v>4000000</v>
      </c>
      <c r="Q77" s="461">
        <f>$M77*(1+Q$8)</f>
        <v>4200000</v>
      </c>
      <c r="R77" s="461">
        <f>$M77*(1+R$8)</f>
        <v>4200000</v>
      </c>
      <c r="S77" s="459"/>
    </row>
    <row r="78" spans="1:19" x14ac:dyDescent="0.25">
      <c r="C78" t="s">
        <v>172</v>
      </c>
      <c r="D78" s="454"/>
      <c r="E78" s="454" t="s">
        <v>618</v>
      </c>
      <c r="F78" s="454" t="s">
        <v>619</v>
      </c>
      <c r="H78" s="454"/>
      <c r="I78" s="454"/>
      <c r="K78" s="454"/>
      <c r="L78" s="454"/>
      <c r="M78" s="457">
        <v>20</v>
      </c>
      <c r="N78" s="457">
        <v>20</v>
      </c>
      <c r="O78" s="457">
        <v>20</v>
      </c>
      <c r="P78" s="457">
        <v>20</v>
      </c>
      <c r="Q78" s="457">
        <v>20</v>
      </c>
      <c r="R78" s="457">
        <v>20</v>
      </c>
      <c r="S78" s="454"/>
    </row>
    <row r="79" spans="1:19" x14ac:dyDescent="0.25">
      <c r="C79" t="s">
        <v>172</v>
      </c>
      <c r="D79" s="454"/>
      <c r="E79" s="454" t="s">
        <v>620</v>
      </c>
      <c r="F79" s="454" t="s">
        <v>621</v>
      </c>
      <c r="H79" s="454"/>
      <c r="I79" s="454"/>
      <c r="K79" s="454"/>
      <c r="L79" s="454"/>
      <c r="M79" s="457">
        <f>M78*$K52*'Cover Page'!$F$25/10^3</f>
        <v>4500</v>
      </c>
      <c r="N79" s="457">
        <f>N78*$K52*'Cover Page'!$F$25/10^3</f>
        <v>4500</v>
      </c>
      <c r="O79" s="457">
        <f>O78*$K52*'Cover Page'!$F$25/10^3</f>
        <v>4500</v>
      </c>
      <c r="P79" s="457">
        <f>P78*$K52*'Cover Page'!$F$25/10^3</f>
        <v>4500</v>
      </c>
      <c r="Q79" s="457">
        <f>Q78*$K52*'Cover Page'!$F$25/10^3</f>
        <v>4500</v>
      </c>
      <c r="R79" s="457">
        <f>R78*$K52*'Cover Page'!$F$25/10^3</f>
        <v>4500</v>
      </c>
      <c r="S79" s="454"/>
    </row>
    <row r="80" spans="1:19" x14ac:dyDescent="0.25">
      <c r="C80" t="s">
        <v>172</v>
      </c>
      <c r="D80" s="454"/>
      <c r="E80" s="454"/>
      <c r="F80" s="454"/>
      <c r="H80" s="454"/>
      <c r="I80" s="454"/>
      <c r="K80" s="454"/>
      <c r="L80" s="474"/>
      <c r="M80" s="454"/>
      <c r="N80" s="475"/>
      <c r="O80" s="475"/>
      <c r="P80" s="475"/>
      <c r="Q80" s="475"/>
      <c r="R80" s="475"/>
      <c r="S80" s="454"/>
    </row>
    <row r="81" spans="3:19" s="250" customFormat="1" x14ac:dyDescent="0.25">
      <c r="C81" s="250" t="s">
        <v>172</v>
      </c>
      <c r="D81" s="537"/>
      <c r="E81" s="537" t="s">
        <v>166</v>
      </c>
      <c r="F81" s="537" t="str">
        <f>$E$5&amp;"/phôi"</f>
        <v>VND/phôi</v>
      </c>
      <c r="H81" s="537"/>
      <c r="I81" s="537"/>
      <c r="K81" s="537"/>
      <c r="L81" s="537"/>
      <c r="M81" s="546">
        <f>M75/(1/0.015)</f>
        <v>13.333333333333332</v>
      </c>
      <c r="N81" s="546">
        <f>N75/(1/0.015)</f>
        <v>14</v>
      </c>
      <c r="O81" s="546">
        <f t="shared" ref="O81:Q81" si="27">O75/(1/0.015)</f>
        <v>14</v>
      </c>
      <c r="P81" s="546">
        <f t="shared" si="27"/>
        <v>13.333333333333332</v>
      </c>
      <c r="Q81" s="546">
        <f t="shared" si="27"/>
        <v>14</v>
      </c>
      <c r="R81" s="546">
        <f>R75/(1/0.015)</f>
        <v>14</v>
      </c>
      <c r="S81" s="537"/>
    </row>
    <row r="82" spans="3:19" x14ac:dyDescent="0.25">
      <c r="M82" s="70"/>
      <c r="N82" s="70"/>
      <c r="O82" s="70"/>
      <c r="P82" s="70"/>
      <c r="Q82" s="70"/>
      <c r="R82" s="70"/>
    </row>
    <row r="83" spans="3:19" x14ac:dyDescent="0.25">
      <c r="M83" s="64"/>
    </row>
    <row r="84" spans="3:19" x14ac:dyDescent="0.25">
      <c r="M84" s="64"/>
    </row>
    <row r="85" spans="3:19" x14ac:dyDescent="0.25">
      <c r="M85" s="64"/>
    </row>
    <row r="88" spans="3:19" x14ac:dyDescent="0.25">
      <c r="M88" s="1043"/>
    </row>
    <row r="89" spans="3:19" x14ac:dyDescent="0.25">
      <c r="E89" s="1043"/>
    </row>
    <row r="112" ht="15.75" thickBot="1" x14ac:dyDescent="0.3"/>
    <row r="113" s="214" customFormat="1" x14ac:dyDescent="0.25"/>
  </sheetData>
  <mergeCells count="6">
    <mergeCell ref="V9:V10"/>
    <mergeCell ref="D9:D10"/>
    <mergeCell ref="S9:S10"/>
    <mergeCell ref="F9:F10"/>
    <mergeCell ref="E9:E10"/>
    <mergeCell ref="I9:I10"/>
  </mergeCells>
  <phoneticPr fontId="12" type="noConversion"/>
  <dataValidations disablePrompts="1" count="1">
    <dataValidation type="list" allowBlank="1" showInputMessage="1" showErrorMessage="1" sqref="E5" xr:uid="{D1CD41A5-CD9C-4643-B7C9-F768F66288B8}">
      <formula1>"USD,VND"</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C339-B9D2-4F39-8A73-0DF85329D33E}">
  <dimension ref="A9:AQ1019"/>
  <sheetViews>
    <sheetView showGridLines="0" topLeftCell="A9" zoomScale="70" zoomScaleNormal="70" workbookViewId="0">
      <pane xSplit="10" ySplit="9" topLeftCell="K130" activePane="bottomRight" state="frozen"/>
      <selection activeCell="A9" sqref="A9"/>
      <selection pane="topRight" activeCell="F9" sqref="F9"/>
      <selection pane="bottomLeft" activeCell="A12" sqref="A12"/>
      <selection pane="bottomRight" activeCell="A180" sqref="A180:XFD1017"/>
    </sheetView>
  </sheetViews>
  <sheetFormatPr defaultRowHeight="15" outlineLevelRow="1" outlineLevelCol="1" x14ac:dyDescent="0.25"/>
  <cols>
    <col min="1" max="1" width="9" customWidth="1"/>
    <col min="2" max="2" width="19.5" hidden="1" customWidth="1" outlineLevel="1"/>
    <col min="3" max="3" width="11.125" hidden="1" customWidth="1" outlineLevel="1"/>
    <col min="4" max="6" width="18.375" hidden="1" customWidth="1" outlineLevel="1"/>
    <col min="7" max="7" width="3.75" bestFit="1" customWidth="1" collapsed="1"/>
    <col min="8" max="8" width="28" customWidth="1"/>
    <col min="9" max="9" width="11" style="65" bestFit="1" customWidth="1"/>
    <col min="10" max="10" width="1.5" customWidth="1"/>
    <col min="11" max="11" width="15.75" customWidth="1"/>
    <col min="12" max="12" width="16.375" customWidth="1"/>
    <col min="13" max="13" width="13" bestFit="1" customWidth="1"/>
    <col min="14" max="36" width="13.75" bestFit="1" customWidth="1"/>
    <col min="38" max="38" width="9.625" bestFit="1" customWidth="1"/>
    <col min="39" max="39" width="10.625" bestFit="1" customWidth="1"/>
    <col min="40" max="40" width="15.25" bestFit="1" customWidth="1"/>
    <col min="42" max="43" width="14.25" bestFit="1" customWidth="1"/>
  </cols>
  <sheetData>
    <row r="9" spans="1:36" x14ac:dyDescent="0.25">
      <c r="A9">
        <v>0.81444097305669105</v>
      </c>
      <c r="H9" s="216" t="str">
        <f>Currency</f>
        <v>VND</v>
      </c>
      <c r="L9" s="538"/>
      <c r="M9" s="64"/>
      <c r="N9" s="64"/>
    </row>
    <row r="10" spans="1:36" x14ac:dyDescent="0.25">
      <c r="H10">
        <f>IF(H9="USD",1,1/1000000)</f>
        <v>9.9999999999999995E-7</v>
      </c>
      <c r="AC10" s="70"/>
    </row>
    <row r="11" spans="1:36" s="69" customFormat="1" outlineLevel="1" x14ac:dyDescent="0.25">
      <c r="H11" s="69" t="s">
        <v>748</v>
      </c>
      <c r="I11" s="68"/>
      <c r="L11" s="69">
        <v>-1</v>
      </c>
      <c r="M11" s="69">
        <v>-1</v>
      </c>
      <c r="N11" s="69">
        <f>M11+1</f>
        <v>0</v>
      </c>
      <c r="O11" s="69">
        <f t="shared" ref="O11:AJ11" si="0">N11+1</f>
        <v>1</v>
      </c>
      <c r="P11" s="69">
        <f t="shared" si="0"/>
        <v>2</v>
      </c>
      <c r="Q11" s="69">
        <f t="shared" si="0"/>
        <v>3</v>
      </c>
      <c r="R11" s="69">
        <f t="shared" si="0"/>
        <v>4</v>
      </c>
      <c r="S11" s="69">
        <f t="shared" si="0"/>
        <v>5</v>
      </c>
      <c r="T11" s="69">
        <f t="shared" si="0"/>
        <v>6</v>
      </c>
      <c r="U11" s="69">
        <f t="shared" si="0"/>
        <v>7</v>
      </c>
      <c r="V11" s="69">
        <f t="shared" si="0"/>
        <v>8</v>
      </c>
      <c r="W11" s="69">
        <f t="shared" si="0"/>
        <v>9</v>
      </c>
      <c r="X11" s="69">
        <f t="shared" si="0"/>
        <v>10</v>
      </c>
      <c r="Y11" s="69">
        <f t="shared" si="0"/>
        <v>11</v>
      </c>
      <c r="Z11" s="69">
        <f t="shared" si="0"/>
        <v>12</v>
      </c>
      <c r="AA11" s="69">
        <f t="shared" si="0"/>
        <v>13</v>
      </c>
      <c r="AB11" s="69">
        <f t="shared" si="0"/>
        <v>14</v>
      </c>
      <c r="AC11" s="69">
        <f t="shared" si="0"/>
        <v>15</v>
      </c>
      <c r="AD11" s="69">
        <f t="shared" si="0"/>
        <v>16</v>
      </c>
      <c r="AE11" s="69">
        <f t="shared" si="0"/>
        <v>17</v>
      </c>
      <c r="AF11" s="69">
        <f t="shared" si="0"/>
        <v>18</v>
      </c>
      <c r="AG11" s="69">
        <f t="shared" si="0"/>
        <v>19</v>
      </c>
      <c r="AH11" s="69">
        <f t="shared" si="0"/>
        <v>20</v>
      </c>
      <c r="AI11" s="69">
        <f t="shared" si="0"/>
        <v>21</v>
      </c>
      <c r="AJ11" s="69">
        <f t="shared" si="0"/>
        <v>22</v>
      </c>
    </row>
    <row r="12" spans="1:36" s="69" customFormat="1" outlineLevel="1" x14ac:dyDescent="0.25">
      <c r="H12" s="69" t="s">
        <v>746</v>
      </c>
      <c r="I12" s="68"/>
      <c r="L12" s="69">
        <v>0</v>
      </c>
      <c r="M12" s="69">
        <v>0</v>
      </c>
      <c r="N12" s="69">
        <f>M12+1</f>
        <v>1</v>
      </c>
      <c r="O12" s="69">
        <f>N12+1</f>
        <v>2</v>
      </c>
      <c r="P12" s="69">
        <f t="shared" ref="P12:AJ13" si="1">O12+1</f>
        <v>3</v>
      </c>
      <c r="Q12" s="69">
        <f t="shared" si="1"/>
        <v>4</v>
      </c>
      <c r="R12" s="69">
        <f t="shared" si="1"/>
        <v>5</v>
      </c>
      <c r="S12" s="69">
        <f t="shared" si="1"/>
        <v>6</v>
      </c>
      <c r="T12" s="69">
        <f t="shared" si="1"/>
        <v>7</v>
      </c>
      <c r="U12" s="69">
        <f t="shared" si="1"/>
        <v>8</v>
      </c>
      <c r="V12" s="69">
        <f t="shared" si="1"/>
        <v>9</v>
      </c>
      <c r="W12" s="69">
        <f t="shared" si="1"/>
        <v>10</v>
      </c>
      <c r="X12" s="69">
        <f t="shared" si="1"/>
        <v>11</v>
      </c>
      <c r="Y12" s="69">
        <f t="shared" si="1"/>
        <v>12</v>
      </c>
      <c r="Z12" s="69">
        <f t="shared" si="1"/>
        <v>13</v>
      </c>
      <c r="AA12" s="69">
        <f t="shared" si="1"/>
        <v>14</v>
      </c>
      <c r="AB12" s="69">
        <f t="shared" si="1"/>
        <v>15</v>
      </c>
      <c r="AC12" s="69">
        <f t="shared" si="1"/>
        <v>16</v>
      </c>
      <c r="AD12" s="69">
        <f t="shared" si="1"/>
        <v>17</v>
      </c>
      <c r="AE12" s="69">
        <f t="shared" si="1"/>
        <v>18</v>
      </c>
      <c r="AF12" s="69">
        <f t="shared" si="1"/>
        <v>19</v>
      </c>
      <c r="AG12" s="69">
        <f t="shared" si="1"/>
        <v>20</v>
      </c>
      <c r="AH12" s="69">
        <f t="shared" si="1"/>
        <v>21</v>
      </c>
      <c r="AI12" s="69">
        <f t="shared" si="1"/>
        <v>22</v>
      </c>
      <c r="AJ12" s="69">
        <f t="shared" si="1"/>
        <v>23</v>
      </c>
    </row>
    <row r="13" spans="1:36" s="69" customFormat="1" outlineLevel="1" x14ac:dyDescent="0.25">
      <c r="H13" s="69" t="s">
        <v>615</v>
      </c>
      <c r="I13" s="68"/>
      <c r="L13" s="69">
        <v>-1</v>
      </c>
      <c r="M13" s="69">
        <v>-1</v>
      </c>
      <c r="N13" s="69">
        <f>M13+1</f>
        <v>0</v>
      </c>
      <c r="O13" s="69">
        <f t="shared" ref="O13" si="2">N13+1</f>
        <v>1</v>
      </c>
      <c r="P13" s="69">
        <f t="shared" si="1"/>
        <v>2</v>
      </c>
      <c r="Q13" s="69">
        <f t="shared" si="1"/>
        <v>3</v>
      </c>
      <c r="R13" s="69">
        <f t="shared" si="1"/>
        <v>4</v>
      </c>
      <c r="S13" s="69">
        <f t="shared" si="1"/>
        <v>5</v>
      </c>
      <c r="T13" s="69">
        <f t="shared" si="1"/>
        <v>6</v>
      </c>
      <c r="U13" s="69">
        <f t="shared" si="1"/>
        <v>7</v>
      </c>
      <c r="V13" s="69">
        <f t="shared" si="1"/>
        <v>8</v>
      </c>
      <c r="W13" s="69">
        <f t="shared" si="1"/>
        <v>9</v>
      </c>
      <c r="X13" s="69">
        <f t="shared" si="1"/>
        <v>10</v>
      </c>
      <c r="Y13" s="69">
        <f t="shared" si="1"/>
        <v>11</v>
      </c>
      <c r="Z13" s="69">
        <f t="shared" si="1"/>
        <v>12</v>
      </c>
      <c r="AA13" s="69">
        <f t="shared" si="1"/>
        <v>13</v>
      </c>
      <c r="AB13" s="69">
        <f t="shared" si="1"/>
        <v>14</v>
      </c>
      <c r="AC13" s="69">
        <f t="shared" si="1"/>
        <v>15</v>
      </c>
      <c r="AD13" s="69">
        <f t="shared" si="1"/>
        <v>16</v>
      </c>
      <c r="AE13" s="69">
        <f t="shared" si="1"/>
        <v>17</v>
      </c>
      <c r="AF13" s="69">
        <f t="shared" si="1"/>
        <v>18</v>
      </c>
      <c r="AG13" s="69">
        <f t="shared" si="1"/>
        <v>19</v>
      </c>
      <c r="AH13" s="69">
        <f t="shared" si="1"/>
        <v>20</v>
      </c>
      <c r="AI13" s="69">
        <f t="shared" si="1"/>
        <v>21</v>
      </c>
      <c r="AJ13" s="69">
        <f t="shared" si="1"/>
        <v>22</v>
      </c>
    </row>
    <row r="14" spans="1:36" s="69" customFormat="1" outlineLevel="1" x14ac:dyDescent="0.25">
      <c r="H14" s="69" t="s">
        <v>502</v>
      </c>
      <c r="I14" s="68"/>
      <c r="K14" s="69">
        <v>0</v>
      </c>
      <c r="L14" s="69">
        <f>K14+1</f>
        <v>1</v>
      </c>
      <c r="M14" s="69">
        <f t="shared" ref="M14:AJ14" si="3">L14+1</f>
        <v>2</v>
      </c>
      <c r="N14" s="69">
        <f t="shared" si="3"/>
        <v>3</v>
      </c>
      <c r="O14" s="69">
        <f t="shared" si="3"/>
        <v>4</v>
      </c>
      <c r="P14" s="69">
        <f t="shared" si="3"/>
        <v>5</v>
      </c>
      <c r="Q14" s="69">
        <f t="shared" si="3"/>
        <v>6</v>
      </c>
      <c r="R14" s="69">
        <f t="shared" si="3"/>
        <v>7</v>
      </c>
      <c r="S14" s="69">
        <f t="shared" si="3"/>
        <v>8</v>
      </c>
      <c r="T14" s="69">
        <f t="shared" si="3"/>
        <v>9</v>
      </c>
      <c r="U14" s="69">
        <f t="shared" si="3"/>
        <v>10</v>
      </c>
      <c r="V14" s="69">
        <f t="shared" si="3"/>
        <v>11</v>
      </c>
      <c r="W14" s="69">
        <f t="shared" si="3"/>
        <v>12</v>
      </c>
      <c r="X14" s="69">
        <f t="shared" si="3"/>
        <v>13</v>
      </c>
      <c r="Y14" s="69">
        <f t="shared" si="3"/>
        <v>14</v>
      </c>
      <c r="Z14" s="69">
        <f t="shared" si="3"/>
        <v>15</v>
      </c>
      <c r="AA14" s="69">
        <f t="shared" si="3"/>
        <v>16</v>
      </c>
      <c r="AB14" s="69">
        <f t="shared" si="3"/>
        <v>17</v>
      </c>
      <c r="AC14" s="69">
        <f t="shared" si="3"/>
        <v>18</v>
      </c>
      <c r="AD14" s="69">
        <f t="shared" si="3"/>
        <v>19</v>
      </c>
      <c r="AE14" s="69">
        <f t="shared" si="3"/>
        <v>20</v>
      </c>
      <c r="AF14" s="69">
        <f t="shared" si="3"/>
        <v>21</v>
      </c>
      <c r="AG14" s="69">
        <f t="shared" si="3"/>
        <v>22</v>
      </c>
      <c r="AH14" s="69">
        <f t="shared" si="3"/>
        <v>23</v>
      </c>
      <c r="AI14" s="69">
        <f t="shared" si="3"/>
        <v>24</v>
      </c>
      <c r="AJ14" s="69">
        <f t="shared" si="3"/>
        <v>25</v>
      </c>
    </row>
    <row r="15" spans="1:36" x14ac:dyDescent="0.25">
      <c r="N15" s="70"/>
    </row>
    <row r="16" spans="1:36" s="215" customFormat="1" ht="22.15" customHeight="1" x14ac:dyDescent="0.25">
      <c r="B16" s="284" t="s">
        <v>485</v>
      </c>
      <c r="C16" s="284" t="s">
        <v>486</v>
      </c>
      <c r="D16" s="284" t="s">
        <v>514</v>
      </c>
      <c r="E16" s="284" t="s">
        <v>535</v>
      </c>
      <c r="F16" s="284" t="s">
        <v>569</v>
      </c>
      <c r="G16" s="285" t="s">
        <v>2</v>
      </c>
      <c r="H16" s="285" t="s">
        <v>428</v>
      </c>
      <c r="I16" s="285" t="s">
        <v>62</v>
      </c>
      <c r="K16" s="285">
        <v>2026</v>
      </c>
      <c r="L16" s="285">
        <f>K16+1</f>
        <v>2027</v>
      </c>
      <c r="M16" s="285">
        <f t="shared" ref="M16:AJ16" si="4">L16+1</f>
        <v>2028</v>
      </c>
      <c r="N16" s="285">
        <f t="shared" si="4"/>
        <v>2029</v>
      </c>
      <c r="O16" s="285">
        <f t="shared" si="4"/>
        <v>2030</v>
      </c>
      <c r="P16" s="285">
        <f t="shared" si="4"/>
        <v>2031</v>
      </c>
      <c r="Q16" s="285">
        <f t="shared" si="4"/>
        <v>2032</v>
      </c>
      <c r="R16" s="285">
        <f t="shared" si="4"/>
        <v>2033</v>
      </c>
      <c r="S16" s="285">
        <f t="shared" si="4"/>
        <v>2034</v>
      </c>
      <c r="T16" s="285">
        <f t="shared" si="4"/>
        <v>2035</v>
      </c>
      <c r="U16" s="285">
        <f t="shared" si="4"/>
        <v>2036</v>
      </c>
      <c r="V16" s="285">
        <f t="shared" si="4"/>
        <v>2037</v>
      </c>
      <c r="W16" s="285">
        <f t="shared" si="4"/>
        <v>2038</v>
      </c>
      <c r="X16" s="285">
        <f t="shared" si="4"/>
        <v>2039</v>
      </c>
      <c r="Y16" s="285">
        <f t="shared" si="4"/>
        <v>2040</v>
      </c>
      <c r="Z16" s="285">
        <f t="shared" si="4"/>
        <v>2041</v>
      </c>
      <c r="AA16" s="285">
        <f t="shared" si="4"/>
        <v>2042</v>
      </c>
      <c r="AB16" s="285">
        <f t="shared" si="4"/>
        <v>2043</v>
      </c>
      <c r="AC16" s="285">
        <f t="shared" si="4"/>
        <v>2044</v>
      </c>
      <c r="AD16" s="285">
        <f t="shared" si="4"/>
        <v>2045</v>
      </c>
      <c r="AE16" s="285">
        <f t="shared" si="4"/>
        <v>2046</v>
      </c>
      <c r="AF16" s="285">
        <f t="shared" si="4"/>
        <v>2047</v>
      </c>
      <c r="AG16" s="285">
        <f t="shared" si="4"/>
        <v>2048</v>
      </c>
      <c r="AH16" s="285">
        <f t="shared" si="4"/>
        <v>2049</v>
      </c>
      <c r="AI16" s="285">
        <f t="shared" si="4"/>
        <v>2050</v>
      </c>
      <c r="AJ16" s="285">
        <f t="shared" si="4"/>
        <v>2051</v>
      </c>
    </row>
    <row r="17" spans="1:36" ht="3.75" customHeight="1" x14ac:dyDescent="0.25">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spans="1:36" s="632" customFormat="1" ht="19.5" x14ac:dyDescent="0.3">
      <c r="A18" s="632" t="s">
        <v>422</v>
      </c>
      <c r="H18" s="633" t="s">
        <v>422</v>
      </c>
      <c r="K18" s="634"/>
      <c r="L18" s="634"/>
      <c r="M18" s="634"/>
      <c r="N18" s="634"/>
      <c r="O18" s="634"/>
      <c r="P18" s="634"/>
      <c r="Q18" s="634"/>
      <c r="R18" s="634"/>
      <c r="S18" s="634"/>
      <c r="T18" s="634"/>
      <c r="U18" s="634"/>
      <c r="V18" s="634"/>
      <c r="W18" s="634"/>
      <c r="X18" s="634"/>
      <c r="Y18" s="634"/>
      <c r="Z18" s="634"/>
      <c r="AA18" s="634"/>
      <c r="AB18" s="634"/>
      <c r="AC18" s="634"/>
      <c r="AD18" s="634"/>
      <c r="AE18" s="634"/>
      <c r="AF18" s="634"/>
      <c r="AG18" s="634"/>
      <c r="AH18" s="634"/>
      <c r="AI18" s="634"/>
      <c r="AJ18" s="634"/>
    </row>
    <row r="19" spans="1:36" x14ac:dyDescent="0.25">
      <c r="A19" t="s">
        <v>422</v>
      </c>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spans="1:36" s="24" customFormat="1" ht="17.25" x14ac:dyDescent="0.3">
      <c r="A20" s="24" t="s">
        <v>422</v>
      </c>
      <c r="H20" s="24" t="s">
        <v>669</v>
      </c>
      <c r="K20" s="635"/>
      <c r="L20" s="635"/>
      <c r="M20" s="635"/>
      <c r="N20" s="635"/>
      <c r="O20" s="635"/>
      <c r="P20" s="635"/>
      <c r="Q20" s="635"/>
      <c r="R20" s="635"/>
      <c r="S20" s="635"/>
      <c r="T20" s="635"/>
      <c r="U20" s="635"/>
      <c r="V20" s="635"/>
      <c r="W20" s="635"/>
      <c r="X20" s="635"/>
      <c r="Y20" s="635"/>
      <c r="Z20" s="635"/>
      <c r="AA20" s="635"/>
      <c r="AB20" s="635"/>
      <c r="AC20" s="635"/>
      <c r="AD20" s="635"/>
      <c r="AE20" s="635"/>
      <c r="AF20" s="635"/>
      <c r="AG20" s="635"/>
      <c r="AH20" s="635"/>
      <c r="AI20" s="635"/>
      <c r="AJ20" s="635"/>
    </row>
    <row r="21" spans="1:36" x14ac:dyDescent="0.25">
      <c r="A21" t="s">
        <v>422</v>
      </c>
      <c r="H21" s="459" t="s">
        <v>427</v>
      </c>
      <c r="I21" s="494" t="s">
        <v>436</v>
      </c>
      <c r="K21" s="549"/>
      <c r="L21" s="549">
        <f t="shared" ref="L21:AA22" si="5">Capacity*24*365</f>
        <v>7568640</v>
      </c>
      <c r="M21" s="549">
        <f t="shared" si="5"/>
        <v>7568640</v>
      </c>
      <c r="N21" s="549">
        <f t="shared" si="5"/>
        <v>7568640</v>
      </c>
      <c r="O21" s="549">
        <f t="shared" si="5"/>
        <v>7568640</v>
      </c>
      <c r="P21" s="549">
        <f t="shared" si="5"/>
        <v>7568640</v>
      </c>
      <c r="Q21" s="549">
        <f t="shared" si="5"/>
        <v>7568640</v>
      </c>
      <c r="R21" s="549">
        <f t="shared" si="5"/>
        <v>7568640</v>
      </c>
      <c r="S21" s="549">
        <f t="shared" si="5"/>
        <v>7568640</v>
      </c>
      <c r="T21" s="549">
        <f t="shared" si="5"/>
        <v>7568640</v>
      </c>
      <c r="U21" s="549">
        <f t="shared" si="5"/>
        <v>7568640</v>
      </c>
      <c r="V21" s="549">
        <f t="shared" si="5"/>
        <v>7568640</v>
      </c>
      <c r="W21" s="549">
        <f t="shared" si="5"/>
        <v>7568640</v>
      </c>
      <c r="X21" s="549">
        <f t="shared" si="5"/>
        <v>7568640</v>
      </c>
      <c r="Y21" s="549">
        <f t="shared" si="5"/>
        <v>7568640</v>
      </c>
      <c r="Z21" s="549">
        <f t="shared" si="5"/>
        <v>7568640</v>
      </c>
      <c r="AA21" s="549">
        <f t="shared" si="5"/>
        <v>7568640</v>
      </c>
      <c r="AB21" s="549">
        <f t="shared" ref="AA21:AJ22" si="6">Capacity*24*365</f>
        <v>7568640</v>
      </c>
      <c r="AC21" s="549">
        <f t="shared" si="6"/>
        <v>7568640</v>
      </c>
      <c r="AD21" s="549">
        <f t="shared" si="6"/>
        <v>7568640</v>
      </c>
      <c r="AE21" s="549">
        <f t="shared" si="6"/>
        <v>7568640</v>
      </c>
      <c r="AF21" s="549">
        <f t="shared" si="6"/>
        <v>7568640</v>
      </c>
      <c r="AG21" s="549">
        <f t="shared" si="6"/>
        <v>7568640</v>
      </c>
      <c r="AH21" s="549">
        <f t="shared" si="6"/>
        <v>7568640</v>
      </c>
      <c r="AI21" s="549">
        <f t="shared" si="6"/>
        <v>7568640</v>
      </c>
      <c r="AJ21" s="549">
        <f t="shared" si="6"/>
        <v>7568640</v>
      </c>
    </row>
    <row r="22" spans="1:36" x14ac:dyDescent="0.25">
      <c r="A22" t="s">
        <v>422</v>
      </c>
      <c r="H22" s="454" t="s">
        <v>427</v>
      </c>
      <c r="I22" s="497" t="s">
        <v>320</v>
      </c>
      <c r="K22" s="550"/>
      <c r="L22" s="550">
        <f t="shared" si="5"/>
        <v>7568640</v>
      </c>
      <c r="M22" s="550">
        <f t="shared" si="5"/>
        <v>7568640</v>
      </c>
      <c r="N22" s="550">
        <f t="shared" si="5"/>
        <v>7568640</v>
      </c>
      <c r="O22" s="550">
        <f t="shared" si="5"/>
        <v>7568640</v>
      </c>
      <c r="P22" s="550">
        <f t="shared" si="5"/>
        <v>7568640</v>
      </c>
      <c r="Q22" s="550">
        <f t="shared" si="5"/>
        <v>7568640</v>
      </c>
      <c r="R22" s="550">
        <f t="shared" si="5"/>
        <v>7568640</v>
      </c>
      <c r="S22" s="550">
        <f t="shared" si="5"/>
        <v>7568640</v>
      </c>
      <c r="T22" s="550">
        <f t="shared" si="5"/>
        <v>7568640</v>
      </c>
      <c r="U22" s="550">
        <f t="shared" si="5"/>
        <v>7568640</v>
      </c>
      <c r="V22" s="550">
        <f t="shared" si="5"/>
        <v>7568640</v>
      </c>
      <c r="W22" s="550">
        <f t="shared" si="5"/>
        <v>7568640</v>
      </c>
      <c r="X22" s="550">
        <f t="shared" si="5"/>
        <v>7568640</v>
      </c>
      <c r="Y22" s="550">
        <f t="shared" si="5"/>
        <v>7568640</v>
      </c>
      <c r="Z22" s="550">
        <f t="shared" si="5"/>
        <v>7568640</v>
      </c>
      <c r="AA22" s="550">
        <f t="shared" si="6"/>
        <v>7568640</v>
      </c>
      <c r="AB22" s="550">
        <f t="shared" si="6"/>
        <v>7568640</v>
      </c>
      <c r="AC22" s="550">
        <f t="shared" si="6"/>
        <v>7568640</v>
      </c>
      <c r="AD22" s="550">
        <f t="shared" si="6"/>
        <v>7568640</v>
      </c>
      <c r="AE22" s="550">
        <f t="shared" si="6"/>
        <v>7568640</v>
      </c>
      <c r="AF22" s="550">
        <f t="shared" si="6"/>
        <v>7568640</v>
      </c>
      <c r="AG22" s="550">
        <f t="shared" si="6"/>
        <v>7568640</v>
      </c>
      <c r="AH22" s="550">
        <f t="shared" si="6"/>
        <v>7568640</v>
      </c>
      <c r="AI22" s="550">
        <f t="shared" si="6"/>
        <v>7568640</v>
      </c>
      <c r="AJ22" s="550">
        <f t="shared" si="6"/>
        <v>7568640</v>
      </c>
    </row>
    <row r="23" spans="1:36" s="250" customFormat="1" x14ac:dyDescent="0.25">
      <c r="A23" s="250" t="s">
        <v>422</v>
      </c>
      <c r="H23" s="537" t="s">
        <v>460</v>
      </c>
      <c r="I23" s="548"/>
      <c r="K23" s="551"/>
      <c r="L23" s="552">
        <v>0.88</v>
      </c>
      <c r="M23" s="552">
        <v>0.88</v>
      </c>
      <c r="N23" s="552">
        <v>0.88</v>
      </c>
      <c r="O23" s="552">
        <v>0.88</v>
      </c>
      <c r="P23" s="552">
        <v>0.88</v>
      </c>
      <c r="Q23" s="552">
        <v>0.88</v>
      </c>
      <c r="R23" s="552">
        <v>0.88</v>
      </c>
      <c r="S23" s="552">
        <v>0.88</v>
      </c>
      <c r="T23" s="552">
        <v>0.88</v>
      </c>
      <c r="U23" s="552">
        <v>0.88</v>
      </c>
      <c r="V23" s="552">
        <v>0.88</v>
      </c>
      <c r="W23" s="552">
        <v>0.88</v>
      </c>
      <c r="X23" s="552">
        <v>0.88</v>
      </c>
      <c r="Y23" s="552">
        <v>0.88</v>
      </c>
      <c r="Z23" s="552">
        <v>0.88</v>
      </c>
      <c r="AA23" s="552">
        <v>0.88</v>
      </c>
      <c r="AB23" s="552">
        <v>0.88</v>
      </c>
      <c r="AC23" s="552">
        <v>0.88</v>
      </c>
      <c r="AD23" s="552">
        <v>0.88</v>
      </c>
      <c r="AE23" s="552">
        <v>0.88</v>
      </c>
      <c r="AF23" s="552">
        <v>0.88</v>
      </c>
      <c r="AG23" s="552">
        <v>0.88</v>
      </c>
      <c r="AH23" s="552">
        <v>0.88</v>
      </c>
      <c r="AI23" s="552">
        <v>0.88</v>
      </c>
      <c r="AJ23" s="552">
        <v>0.88</v>
      </c>
    </row>
    <row r="24" spans="1:36" s="250" customFormat="1" x14ac:dyDescent="0.25">
      <c r="A24" s="250" t="s">
        <v>422</v>
      </c>
      <c r="H24" s="537" t="s">
        <v>461</v>
      </c>
      <c r="I24" s="548"/>
      <c r="K24" s="551"/>
      <c r="L24" s="552">
        <v>0.5</v>
      </c>
      <c r="M24" s="552">
        <v>0.7</v>
      </c>
      <c r="N24" s="552">
        <v>1</v>
      </c>
      <c r="O24" s="552">
        <v>1</v>
      </c>
      <c r="P24" s="552">
        <v>1</v>
      </c>
      <c r="Q24" s="552">
        <v>1</v>
      </c>
      <c r="R24" s="552">
        <v>1</v>
      </c>
      <c r="S24" s="552">
        <v>1</v>
      </c>
      <c r="T24" s="552">
        <v>1</v>
      </c>
      <c r="U24" s="552">
        <v>1</v>
      </c>
      <c r="V24" s="552">
        <v>1</v>
      </c>
      <c r="W24" s="552">
        <v>1</v>
      </c>
      <c r="X24" s="552">
        <v>1</v>
      </c>
      <c r="Y24" s="552">
        <v>1</v>
      </c>
      <c r="Z24" s="552">
        <v>1</v>
      </c>
      <c r="AA24" s="552">
        <v>1</v>
      </c>
      <c r="AB24" s="552">
        <v>1</v>
      </c>
      <c r="AC24" s="552">
        <v>1</v>
      </c>
      <c r="AD24" s="552">
        <v>1</v>
      </c>
      <c r="AE24" s="552">
        <v>1</v>
      </c>
      <c r="AF24" s="552">
        <v>1</v>
      </c>
      <c r="AG24" s="552">
        <v>1</v>
      </c>
      <c r="AH24" s="552">
        <v>1</v>
      </c>
      <c r="AI24" s="552">
        <v>1</v>
      </c>
      <c r="AJ24" s="552">
        <v>1</v>
      </c>
    </row>
    <row r="25" spans="1:36" x14ac:dyDescent="0.25">
      <c r="A25" t="s">
        <v>422</v>
      </c>
      <c r="B25" t="s">
        <v>437</v>
      </c>
      <c r="H25" s="454" t="s">
        <v>70</v>
      </c>
      <c r="I25" s="497"/>
      <c r="K25" s="550"/>
      <c r="L25" s="553" cm="1">
        <f t="array" ref="L25">SUMPRODUCT('W2'!$M$12:$R$112*('W2'!$M$7:$R$7=$A25)*('W2'!$A$12:$A$112=$B25))</f>
        <v>7.0000000000000007E-2</v>
      </c>
      <c r="M25" s="553">
        <f>L25</f>
        <v>7.0000000000000007E-2</v>
      </c>
      <c r="N25" s="553">
        <f t="shared" ref="N25:Z25" si="7">M25</f>
        <v>7.0000000000000007E-2</v>
      </c>
      <c r="O25" s="553">
        <f t="shared" si="7"/>
        <v>7.0000000000000007E-2</v>
      </c>
      <c r="P25" s="553">
        <f t="shared" si="7"/>
        <v>7.0000000000000007E-2</v>
      </c>
      <c r="Q25" s="553">
        <f t="shared" si="7"/>
        <v>7.0000000000000007E-2</v>
      </c>
      <c r="R25" s="553">
        <f t="shared" si="7"/>
        <v>7.0000000000000007E-2</v>
      </c>
      <c r="S25" s="553">
        <f t="shared" si="7"/>
        <v>7.0000000000000007E-2</v>
      </c>
      <c r="T25" s="553">
        <f t="shared" si="7"/>
        <v>7.0000000000000007E-2</v>
      </c>
      <c r="U25" s="553">
        <f t="shared" si="7"/>
        <v>7.0000000000000007E-2</v>
      </c>
      <c r="V25" s="553">
        <f t="shared" si="7"/>
        <v>7.0000000000000007E-2</v>
      </c>
      <c r="W25" s="553">
        <f t="shared" si="7"/>
        <v>7.0000000000000007E-2</v>
      </c>
      <c r="X25" s="553">
        <f t="shared" si="7"/>
        <v>7.0000000000000007E-2</v>
      </c>
      <c r="Y25" s="553">
        <f t="shared" si="7"/>
        <v>7.0000000000000007E-2</v>
      </c>
      <c r="Z25" s="553">
        <f t="shared" si="7"/>
        <v>7.0000000000000007E-2</v>
      </c>
      <c r="AA25" s="553">
        <f t="shared" ref="AA25" si="8">Z25</f>
        <v>7.0000000000000007E-2</v>
      </c>
      <c r="AB25" s="553">
        <f t="shared" ref="AB25" si="9">AA25</f>
        <v>7.0000000000000007E-2</v>
      </c>
      <c r="AC25" s="553">
        <f t="shared" ref="AC25" si="10">AB25</f>
        <v>7.0000000000000007E-2</v>
      </c>
      <c r="AD25" s="553">
        <f t="shared" ref="AD25" si="11">AC25</f>
        <v>7.0000000000000007E-2</v>
      </c>
      <c r="AE25" s="553">
        <f t="shared" ref="AE25" si="12">AD25</f>
        <v>7.0000000000000007E-2</v>
      </c>
      <c r="AF25" s="553">
        <f t="shared" ref="AF25" si="13">AE25</f>
        <v>7.0000000000000007E-2</v>
      </c>
      <c r="AG25" s="553">
        <f t="shared" ref="AG25" si="14">AF25</f>
        <v>7.0000000000000007E-2</v>
      </c>
      <c r="AH25" s="553">
        <f t="shared" ref="AH25" si="15">AG25</f>
        <v>7.0000000000000007E-2</v>
      </c>
      <c r="AI25" s="553">
        <f t="shared" ref="AI25" si="16">AH25</f>
        <v>7.0000000000000007E-2</v>
      </c>
      <c r="AJ25" s="553">
        <f t="shared" ref="AJ25" si="17">AI25</f>
        <v>7.0000000000000007E-2</v>
      </c>
    </row>
    <row r="26" spans="1:36" x14ac:dyDescent="0.25">
      <c r="A26" t="s">
        <v>422</v>
      </c>
      <c r="H26" s="454" t="s">
        <v>59</v>
      </c>
      <c r="I26" s="497"/>
      <c r="K26" s="550"/>
      <c r="L26" s="550">
        <f>365*L23*L24</f>
        <v>160.6</v>
      </c>
      <c r="M26" s="550">
        <f t="shared" ref="M26:Z26" si="18">365*M23*M24</f>
        <v>224.83999999999997</v>
      </c>
      <c r="N26" s="550">
        <f t="shared" si="18"/>
        <v>321.2</v>
      </c>
      <c r="O26" s="550">
        <f t="shared" si="18"/>
        <v>321.2</v>
      </c>
      <c r="P26" s="550">
        <f t="shared" si="18"/>
        <v>321.2</v>
      </c>
      <c r="Q26" s="550">
        <f t="shared" si="18"/>
        <v>321.2</v>
      </c>
      <c r="R26" s="550">
        <f t="shared" si="18"/>
        <v>321.2</v>
      </c>
      <c r="S26" s="550">
        <f t="shared" si="18"/>
        <v>321.2</v>
      </c>
      <c r="T26" s="550">
        <f t="shared" si="18"/>
        <v>321.2</v>
      </c>
      <c r="U26" s="550">
        <f t="shared" si="18"/>
        <v>321.2</v>
      </c>
      <c r="V26" s="550">
        <f t="shared" si="18"/>
        <v>321.2</v>
      </c>
      <c r="W26" s="550">
        <f t="shared" si="18"/>
        <v>321.2</v>
      </c>
      <c r="X26" s="550">
        <f t="shared" si="18"/>
        <v>321.2</v>
      </c>
      <c r="Y26" s="550">
        <f t="shared" si="18"/>
        <v>321.2</v>
      </c>
      <c r="Z26" s="550">
        <f t="shared" si="18"/>
        <v>321.2</v>
      </c>
      <c r="AA26" s="550">
        <f t="shared" ref="AA26:AJ26" si="19">365*AA23*AA24</f>
        <v>321.2</v>
      </c>
      <c r="AB26" s="550">
        <f t="shared" si="19"/>
        <v>321.2</v>
      </c>
      <c r="AC26" s="550">
        <f t="shared" si="19"/>
        <v>321.2</v>
      </c>
      <c r="AD26" s="550">
        <f t="shared" si="19"/>
        <v>321.2</v>
      </c>
      <c r="AE26" s="550">
        <f t="shared" si="19"/>
        <v>321.2</v>
      </c>
      <c r="AF26" s="550">
        <f t="shared" si="19"/>
        <v>321.2</v>
      </c>
      <c r="AG26" s="550">
        <f t="shared" si="19"/>
        <v>321.2</v>
      </c>
      <c r="AH26" s="550">
        <f t="shared" si="19"/>
        <v>321.2</v>
      </c>
      <c r="AI26" s="550">
        <f t="shared" si="19"/>
        <v>321.2</v>
      </c>
      <c r="AJ26" s="550">
        <f t="shared" si="19"/>
        <v>321.2</v>
      </c>
    </row>
    <row r="27" spans="1:36" x14ac:dyDescent="0.25">
      <c r="A27" t="s">
        <v>422</v>
      </c>
      <c r="C27" t="s">
        <v>574</v>
      </c>
      <c r="H27" s="454" t="s">
        <v>202</v>
      </c>
      <c r="I27" s="497" t="s">
        <v>436</v>
      </c>
      <c r="K27" s="550"/>
      <c r="L27" s="550">
        <f>L21*L23*(1-L25)*L24</f>
        <v>3097087.4879999999</v>
      </c>
      <c r="M27" s="550">
        <f t="shared" ref="M27:Z27" si="20">M21*M23*(1-M25)*M24</f>
        <v>4335922.4831999997</v>
      </c>
      <c r="N27" s="550">
        <f t="shared" si="20"/>
        <v>6194174.9759999998</v>
      </c>
      <c r="O27" s="550">
        <f t="shared" si="20"/>
        <v>6194174.9759999998</v>
      </c>
      <c r="P27" s="550">
        <f t="shared" si="20"/>
        <v>6194174.9759999998</v>
      </c>
      <c r="Q27" s="550">
        <f t="shared" si="20"/>
        <v>6194174.9759999998</v>
      </c>
      <c r="R27" s="550">
        <f t="shared" si="20"/>
        <v>6194174.9759999998</v>
      </c>
      <c r="S27" s="550">
        <f t="shared" si="20"/>
        <v>6194174.9759999998</v>
      </c>
      <c r="T27" s="550">
        <f t="shared" si="20"/>
        <v>6194174.9759999998</v>
      </c>
      <c r="U27" s="550">
        <f t="shared" si="20"/>
        <v>6194174.9759999998</v>
      </c>
      <c r="V27" s="550">
        <f t="shared" si="20"/>
        <v>6194174.9759999998</v>
      </c>
      <c r="W27" s="550">
        <f t="shared" si="20"/>
        <v>6194174.9759999998</v>
      </c>
      <c r="X27" s="550">
        <f t="shared" si="20"/>
        <v>6194174.9759999998</v>
      </c>
      <c r="Y27" s="550">
        <f t="shared" si="20"/>
        <v>6194174.9759999998</v>
      </c>
      <c r="Z27" s="550">
        <f t="shared" si="20"/>
        <v>6194174.9759999998</v>
      </c>
      <c r="AA27" s="550">
        <f t="shared" ref="AA27:AJ27" si="21">AA21*AA23*(1-AA25)*AA24</f>
        <v>6194174.9759999998</v>
      </c>
      <c r="AB27" s="550">
        <f t="shared" si="21"/>
        <v>6194174.9759999998</v>
      </c>
      <c r="AC27" s="550">
        <f t="shared" si="21"/>
        <v>6194174.9759999998</v>
      </c>
      <c r="AD27" s="550">
        <f t="shared" si="21"/>
        <v>6194174.9759999998</v>
      </c>
      <c r="AE27" s="550">
        <f t="shared" si="21"/>
        <v>6194174.9759999998</v>
      </c>
      <c r="AF27" s="550">
        <f t="shared" si="21"/>
        <v>6194174.9759999998</v>
      </c>
      <c r="AG27" s="550">
        <f t="shared" si="21"/>
        <v>6194174.9759999998</v>
      </c>
      <c r="AH27" s="550">
        <f t="shared" si="21"/>
        <v>6194174.9759999998</v>
      </c>
      <c r="AI27" s="550">
        <f t="shared" si="21"/>
        <v>6194174.9759999998</v>
      </c>
      <c r="AJ27" s="550">
        <f t="shared" si="21"/>
        <v>6194174.9759999998</v>
      </c>
    </row>
    <row r="28" spans="1:36" x14ac:dyDescent="0.25">
      <c r="A28" t="s">
        <v>422</v>
      </c>
      <c r="C28" t="s">
        <v>575</v>
      </c>
      <c r="H28" s="454" t="s">
        <v>202</v>
      </c>
      <c r="I28" s="497" t="s">
        <v>320</v>
      </c>
      <c r="K28" s="550"/>
      <c r="L28" s="550">
        <f t="shared" ref="L28:Z28" si="22">L27*PHOI_KG</f>
        <v>206472499.20000002</v>
      </c>
      <c r="M28" s="550">
        <f t="shared" si="22"/>
        <v>289061498.88</v>
      </c>
      <c r="N28" s="550">
        <f t="shared" si="22"/>
        <v>412944998.40000004</v>
      </c>
      <c r="O28" s="550">
        <f t="shared" si="22"/>
        <v>412944998.40000004</v>
      </c>
      <c r="P28" s="550">
        <f t="shared" si="22"/>
        <v>412944998.40000004</v>
      </c>
      <c r="Q28" s="550">
        <f t="shared" si="22"/>
        <v>412944998.40000004</v>
      </c>
      <c r="R28" s="550">
        <f t="shared" si="22"/>
        <v>412944998.40000004</v>
      </c>
      <c r="S28" s="550">
        <f t="shared" si="22"/>
        <v>412944998.40000004</v>
      </c>
      <c r="T28" s="550">
        <f t="shared" si="22"/>
        <v>412944998.40000004</v>
      </c>
      <c r="U28" s="550">
        <f t="shared" si="22"/>
        <v>412944998.40000004</v>
      </c>
      <c r="V28" s="550">
        <f t="shared" si="22"/>
        <v>412944998.40000004</v>
      </c>
      <c r="W28" s="550">
        <f t="shared" si="22"/>
        <v>412944998.40000004</v>
      </c>
      <c r="X28" s="550">
        <f t="shared" si="22"/>
        <v>412944998.40000004</v>
      </c>
      <c r="Y28" s="550">
        <f t="shared" si="22"/>
        <v>412944998.40000004</v>
      </c>
      <c r="Z28" s="550">
        <f t="shared" si="22"/>
        <v>412944998.40000004</v>
      </c>
      <c r="AA28" s="550">
        <f t="shared" ref="AA28" si="23">AA27*PHOI_KG</f>
        <v>412944998.40000004</v>
      </c>
      <c r="AB28" s="550">
        <f t="shared" ref="AB28" si="24">AB27*PHOI_KG</f>
        <v>412944998.40000004</v>
      </c>
      <c r="AC28" s="550">
        <f t="shared" ref="AC28" si="25">AC27*PHOI_KG</f>
        <v>412944998.40000004</v>
      </c>
      <c r="AD28" s="550">
        <f t="shared" ref="AD28" si="26">AD27*PHOI_KG</f>
        <v>412944998.40000004</v>
      </c>
      <c r="AE28" s="550">
        <f t="shared" ref="AE28" si="27">AE27*PHOI_KG</f>
        <v>412944998.40000004</v>
      </c>
      <c r="AF28" s="550">
        <f t="shared" ref="AF28" si="28">AF27*PHOI_KG</f>
        <v>412944998.40000004</v>
      </c>
      <c r="AG28" s="550">
        <f t="shared" ref="AG28" si="29">AG27*PHOI_KG</f>
        <v>412944998.40000004</v>
      </c>
      <c r="AH28" s="550">
        <f t="shared" ref="AH28" si="30">AH27*PHOI_KG</f>
        <v>412944998.40000004</v>
      </c>
      <c r="AI28" s="550">
        <f t="shared" ref="AI28" si="31">AI27*PHOI_KG</f>
        <v>412944998.40000004</v>
      </c>
      <c r="AJ28" s="550">
        <f t="shared" ref="AJ28" si="32">AJ27*PHOI_KG</f>
        <v>412944998.40000004</v>
      </c>
    </row>
    <row r="29" spans="1:36" x14ac:dyDescent="0.25">
      <c r="A29" t="s">
        <v>422</v>
      </c>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row>
    <row r="30" spans="1:36" s="24" customFormat="1" ht="17.25" x14ac:dyDescent="0.3">
      <c r="A30" s="24" t="s">
        <v>422</v>
      </c>
      <c r="H30" s="24" t="s">
        <v>670</v>
      </c>
      <c r="K30" s="636"/>
      <c r="L30" s="636"/>
      <c r="M30" s="636"/>
      <c r="N30" s="636"/>
      <c r="O30" s="636"/>
      <c r="P30" s="636"/>
      <c r="Q30" s="636"/>
      <c r="R30" s="636"/>
      <c r="S30" s="636"/>
      <c r="T30" s="636"/>
      <c r="U30" s="636"/>
      <c r="V30" s="636"/>
      <c r="W30" s="636"/>
      <c r="X30" s="636"/>
      <c r="Y30" s="636"/>
      <c r="Z30" s="636"/>
      <c r="AA30" s="636"/>
      <c r="AB30" s="636"/>
      <c r="AC30" s="636"/>
      <c r="AD30" s="636"/>
      <c r="AE30" s="636"/>
      <c r="AF30" s="636"/>
      <c r="AG30" s="636"/>
      <c r="AH30" s="636"/>
      <c r="AI30" s="636"/>
      <c r="AJ30" s="636"/>
    </row>
    <row r="31" spans="1:36" s="250" customFormat="1" x14ac:dyDescent="0.25">
      <c r="A31" s="250" t="s">
        <v>422</v>
      </c>
      <c r="B31" s="250" t="s">
        <v>665</v>
      </c>
      <c r="H31" s="626" t="s">
        <v>663</v>
      </c>
      <c r="I31" s="627" t="s">
        <v>71</v>
      </c>
      <c r="K31" s="628"/>
      <c r="L31" s="631" cm="1">
        <f t="array" ref="L31">SUMPRODUCT('W2'!$M$12:$R$112*('W2'!$M$7:$R$7=$A31)*('W2'!$A$12:$A$112=$B31))</f>
        <v>2.0000000000000001E-4</v>
      </c>
      <c r="M31" s="630">
        <f>L31</f>
        <v>2.0000000000000001E-4</v>
      </c>
      <c r="N31" s="630">
        <f t="shared" ref="N31:AJ32" si="33">M31</f>
        <v>2.0000000000000001E-4</v>
      </c>
      <c r="O31" s="630">
        <f t="shared" si="33"/>
        <v>2.0000000000000001E-4</v>
      </c>
      <c r="P31" s="630">
        <f t="shared" si="33"/>
        <v>2.0000000000000001E-4</v>
      </c>
      <c r="Q31" s="630">
        <f t="shared" si="33"/>
        <v>2.0000000000000001E-4</v>
      </c>
      <c r="R31" s="630">
        <f t="shared" si="33"/>
        <v>2.0000000000000001E-4</v>
      </c>
      <c r="S31" s="630">
        <f t="shared" si="33"/>
        <v>2.0000000000000001E-4</v>
      </c>
      <c r="T31" s="630">
        <f t="shared" si="33"/>
        <v>2.0000000000000001E-4</v>
      </c>
      <c r="U31" s="630">
        <f t="shared" si="33"/>
        <v>2.0000000000000001E-4</v>
      </c>
      <c r="V31" s="630">
        <f t="shared" si="33"/>
        <v>2.0000000000000001E-4</v>
      </c>
      <c r="W31" s="630">
        <f t="shared" si="33"/>
        <v>2.0000000000000001E-4</v>
      </c>
      <c r="X31" s="630">
        <f t="shared" si="33"/>
        <v>2.0000000000000001E-4</v>
      </c>
      <c r="Y31" s="630">
        <f t="shared" si="33"/>
        <v>2.0000000000000001E-4</v>
      </c>
      <c r="Z31" s="630">
        <f t="shared" si="33"/>
        <v>2.0000000000000001E-4</v>
      </c>
      <c r="AA31" s="630">
        <f t="shared" si="33"/>
        <v>2.0000000000000001E-4</v>
      </c>
      <c r="AB31" s="630">
        <f t="shared" si="33"/>
        <v>2.0000000000000001E-4</v>
      </c>
      <c r="AC31" s="630">
        <f t="shared" si="33"/>
        <v>2.0000000000000001E-4</v>
      </c>
      <c r="AD31" s="630">
        <f t="shared" si="33"/>
        <v>2.0000000000000001E-4</v>
      </c>
      <c r="AE31" s="630">
        <f t="shared" si="33"/>
        <v>2.0000000000000001E-4</v>
      </c>
      <c r="AF31" s="630">
        <f t="shared" si="33"/>
        <v>2.0000000000000001E-4</v>
      </c>
      <c r="AG31" s="630">
        <f t="shared" si="33"/>
        <v>2.0000000000000001E-4</v>
      </c>
      <c r="AH31" s="630">
        <f t="shared" si="33"/>
        <v>2.0000000000000001E-4</v>
      </c>
      <c r="AI31" s="630">
        <f t="shared" si="33"/>
        <v>2.0000000000000001E-4</v>
      </c>
      <c r="AJ31" s="630">
        <f t="shared" si="33"/>
        <v>2.0000000000000001E-4</v>
      </c>
    </row>
    <row r="32" spans="1:36" s="250" customFormat="1" x14ac:dyDescent="0.25">
      <c r="A32" s="250" t="s">
        <v>422</v>
      </c>
      <c r="B32" s="250" t="s">
        <v>666</v>
      </c>
      <c r="H32" s="537" t="s">
        <v>664</v>
      </c>
      <c r="I32" s="548" t="s">
        <v>71</v>
      </c>
      <c r="K32" s="629"/>
      <c r="L32" s="631" cm="1">
        <f t="array" ref="L32">SUMPRODUCT('W2'!$M$12:$R$112*('W2'!$M$7:$R$7=$A32)*('W2'!$A$12:$A$112=$B32))</f>
        <v>0</v>
      </c>
      <c r="M32" s="630">
        <f>L32</f>
        <v>0</v>
      </c>
      <c r="N32" s="630">
        <f t="shared" si="33"/>
        <v>0</v>
      </c>
      <c r="O32" s="630">
        <f t="shared" si="33"/>
        <v>0</v>
      </c>
      <c r="P32" s="630">
        <f t="shared" si="33"/>
        <v>0</v>
      </c>
      <c r="Q32" s="630">
        <f t="shared" si="33"/>
        <v>0</v>
      </c>
      <c r="R32" s="630">
        <f t="shared" si="33"/>
        <v>0</v>
      </c>
      <c r="S32" s="630">
        <f t="shared" si="33"/>
        <v>0</v>
      </c>
      <c r="T32" s="630">
        <f t="shared" si="33"/>
        <v>0</v>
      </c>
      <c r="U32" s="630">
        <f t="shared" si="33"/>
        <v>0</v>
      </c>
      <c r="V32" s="630">
        <f t="shared" si="33"/>
        <v>0</v>
      </c>
      <c r="W32" s="630">
        <f t="shared" si="33"/>
        <v>0</v>
      </c>
      <c r="X32" s="630">
        <f t="shared" si="33"/>
        <v>0</v>
      </c>
      <c r="Y32" s="630">
        <f t="shared" si="33"/>
        <v>0</v>
      </c>
      <c r="Z32" s="630">
        <f t="shared" si="33"/>
        <v>0</v>
      </c>
      <c r="AA32" s="630">
        <f t="shared" si="33"/>
        <v>0</v>
      </c>
      <c r="AB32" s="630">
        <f t="shared" si="33"/>
        <v>0</v>
      </c>
      <c r="AC32" s="630">
        <f t="shared" si="33"/>
        <v>0</v>
      </c>
      <c r="AD32" s="630">
        <f t="shared" si="33"/>
        <v>0</v>
      </c>
      <c r="AE32" s="630">
        <f t="shared" si="33"/>
        <v>0</v>
      </c>
      <c r="AF32" s="630">
        <f t="shared" si="33"/>
        <v>0</v>
      </c>
      <c r="AG32" s="630">
        <f t="shared" si="33"/>
        <v>0</v>
      </c>
      <c r="AH32" s="630">
        <f t="shared" si="33"/>
        <v>0</v>
      </c>
      <c r="AI32" s="630">
        <f t="shared" si="33"/>
        <v>0</v>
      </c>
      <c r="AJ32" s="630">
        <f t="shared" si="33"/>
        <v>0</v>
      </c>
    </row>
    <row r="33" spans="1:36" x14ac:dyDescent="0.25">
      <c r="A33" t="s">
        <v>422</v>
      </c>
      <c r="H33" s="454" t="s">
        <v>671</v>
      </c>
      <c r="I33" s="497" t="s">
        <v>436</v>
      </c>
      <c r="K33" s="550"/>
      <c r="L33" s="550">
        <f>L31*L27/(1-L25)</f>
        <v>666.04032000000007</v>
      </c>
      <c r="M33" s="550">
        <f>M31*M27/(1-M25)</f>
        <v>932.45644800000014</v>
      </c>
      <c r="N33" s="550">
        <f t="shared" ref="N33:AJ33" si="34">N31*N27/(1-N25)</f>
        <v>1332.0806400000001</v>
      </c>
      <c r="O33" s="550">
        <f t="shared" si="34"/>
        <v>1332.0806400000001</v>
      </c>
      <c r="P33" s="550">
        <f t="shared" si="34"/>
        <v>1332.0806400000001</v>
      </c>
      <c r="Q33" s="550">
        <f t="shared" si="34"/>
        <v>1332.0806400000001</v>
      </c>
      <c r="R33" s="550">
        <f t="shared" si="34"/>
        <v>1332.0806400000001</v>
      </c>
      <c r="S33" s="550">
        <f t="shared" si="34"/>
        <v>1332.0806400000001</v>
      </c>
      <c r="T33" s="550">
        <f t="shared" si="34"/>
        <v>1332.0806400000001</v>
      </c>
      <c r="U33" s="550">
        <f t="shared" si="34"/>
        <v>1332.0806400000001</v>
      </c>
      <c r="V33" s="550">
        <f t="shared" si="34"/>
        <v>1332.0806400000001</v>
      </c>
      <c r="W33" s="550">
        <f t="shared" si="34"/>
        <v>1332.0806400000001</v>
      </c>
      <c r="X33" s="550">
        <f t="shared" si="34"/>
        <v>1332.0806400000001</v>
      </c>
      <c r="Y33" s="550">
        <f t="shared" si="34"/>
        <v>1332.0806400000001</v>
      </c>
      <c r="Z33" s="550">
        <f t="shared" si="34"/>
        <v>1332.0806400000001</v>
      </c>
      <c r="AA33" s="550">
        <f t="shared" si="34"/>
        <v>1332.0806400000001</v>
      </c>
      <c r="AB33" s="550">
        <f t="shared" si="34"/>
        <v>1332.0806400000001</v>
      </c>
      <c r="AC33" s="550">
        <f t="shared" si="34"/>
        <v>1332.0806400000001</v>
      </c>
      <c r="AD33" s="550">
        <f t="shared" si="34"/>
        <v>1332.0806400000001</v>
      </c>
      <c r="AE33" s="550">
        <f t="shared" si="34"/>
        <v>1332.0806400000001</v>
      </c>
      <c r="AF33" s="550">
        <f t="shared" si="34"/>
        <v>1332.0806400000001</v>
      </c>
      <c r="AG33" s="550">
        <f t="shared" si="34"/>
        <v>1332.0806400000001</v>
      </c>
      <c r="AH33" s="550">
        <f t="shared" si="34"/>
        <v>1332.0806400000001</v>
      </c>
      <c r="AI33" s="550">
        <f t="shared" si="34"/>
        <v>1332.0806400000001</v>
      </c>
      <c r="AJ33" s="550">
        <f t="shared" si="34"/>
        <v>1332.0806400000001</v>
      </c>
    </row>
    <row r="34" spans="1:36" x14ac:dyDescent="0.25">
      <c r="A34" t="s">
        <v>422</v>
      </c>
      <c r="H34" s="454" t="s">
        <v>675</v>
      </c>
      <c r="I34" s="497" t="s">
        <v>436</v>
      </c>
      <c r="K34" s="550"/>
      <c r="L34" s="550">
        <f>L32*L27/(1-L25)</f>
        <v>0</v>
      </c>
      <c r="M34" s="550">
        <f t="shared" ref="M34:AJ34" si="35">M32*M27/(1-M25)</f>
        <v>0</v>
      </c>
      <c r="N34" s="550">
        <f t="shared" si="35"/>
        <v>0</v>
      </c>
      <c r="O34" s="550">
        <f t="shared" si="35"/>
        <v>0</v>
      </c>
      <c r="P34" s="550">
        <f t="shared" si="35"/>
        <v>0</v>
      </c>
      <c r="Q34" s="550">
        <f t="shared" si="35"/>
        <v>0</v>
      </c>
      <c r="R34" s="550">
        <f t="shared" si="35"/>
        <v>0</v>
      </c>
      <c r="S34" s="550">
        <f t="shared" si="35"/>
        <v>0</v>
      </c>
      <c r="T34" s="550">
        <f t="shared" si="35"/>
        <v>0</v>
      </c>
      <c r="U34" s="550">
        <f t="shared" si="35"/>
        <v>0</v>
      </c>
      <c r="V34" s="550">
        <f t="shared" si="35"/>
        <v>0</v>
      </c>
      <c r="W34" s="550">
        <f t="shared" si="35"/>
        <v>0</v>
      </c>
      <c r="X34" s="550">
        <f t="shared" si="35"/>
        <v>0</v>
      </c>
      <c r="Y34" s="550">
        <f t="shared" si="35"/>
        <v>0</v>
      </c>
      <c r="Z34" s="550">
        <f t="shared" si="35"/>
        <v>0</v>
      </c>
      <c r="AA34" s="550">
        <f t="shared" si="35"/>
        <v>0</v>
      </c>
      <c r="AB34" s="550">
        <f t="shared" si="35"/>
        <v>0</v>
      </c>
      <c r="AC34" s="550">
        <f t="shared" si="35"/>
        <v>0</v>
      </c>
      <c r="AD34" s="550">
        <f t="shared" si="35"/>
        <v>0</v>
      </c>
      <c r="AE34" s="550">
        <f t="shared" si="35"/>
        <v>0</v>
      </c>
      <c r="AF34" s="550">
        <f t="shared" si="35"/>
        <v>0</v>
      </c>
      <c r="AG34" s="550">
        <f t="shared" si="35"/>
        <v>0</v>
      </c>
      <c r="AH34" s="550">
        <f t="shared" si="35"/>
        <v>0</v>
      </c>
      <c r="AI34" s="550">
        <f t="shared" si="35"/>
        <v>0</v>
      </c>
      <c r="AJ34" s="550">
        <f t="shared" si="35"/>
        <v>0</v>
      </c>
    </row>
    <row r="35" spans="1:36" x14ac:dyDescent="0.25">
      <c r="A35" t="s">
        <v>422</v>
      </c>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row>
    <row r="36" spans="1:36" x14ac:dyDescent="0.25">
      <c r="A36" t="s">
        <v>422</v>
      </c>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row>
    <row r="37" spans="1:36" x14ac:dyDescent="0.25">
      <c r="A37" t="s">
        <v>422</v>
      </c>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row>
    <row r="38" spans="1:36" s="1" customFormat="1" x14ac:dyDescent="0.25">
      <c r="A38" s="1" t="s">
        <v>422</v>
      </c>
      <c r="H38" s="266" t="s">
        <v>434</v>
      </c>
      <c r="I38" s="267" t="str">
        <f t="shared" ref="I38:I46" si="36">IF($H$9="USD","USD","tr. VND")</f>
        <v>tr. VND</v>
      </c>
      <c r="K38" s="268">
        <f t="shared" ref="K38" si="37">SUM(K39:K40,K43:K46,)</f>
        <v>0</v>
      </c>
      <c r="L38" s="268">
        <f>SUM(L39:L40,L43:L46,)</f>
        <v>-43649.936933333331</v>
      </c>
      <c r="M38" s="268">
        <f t="shared" ref="M38:AJ38" si="38">SUM(M39:M40,M43:M46,)</f>
        <v>-43649.936933333331</v>
      </c>
      <c r="N38" s="268">
        <f t="shared" si="38"/>
        <v>-44549.234633333333</v>
      </c>
      <c r="O38" s="268">
        <f t="shared" si="38"/>
        <v>-45493.497218333338</v>
      </c>
      <c r="P38" s="268">
        <f t="shared" si="38"/>
        <v>-46484.97293258334</v>
      </c>
      <c r="Q38" s="268">
        <f t="shared" si="38"/>
        <v>-47526.022432545833</v>
      </c>
      <c r="R38" s="268">
        <f t="shared" si="38"/>
        <v>-48619.124407506461</v>
      </c>
      <c r="S38" s="268">
        <f t="shared" si="38"/>
        <v>-49766.881481215125</v>
      </c>
      <c r="T38" s="268">
        <f t="shared" si="38"/>
        <v>-50972.026408609207</v>
      </c>
      <c r="U38" s="268">
        <f t="shared" si="38"/>
        <v>-52237.428582373002</v>
      </c>
      <c r="V38" s="268">
        <f t="shared" si="38"/>
        <v>-53566.100864824984</v>
      </c>
      <c r="W38" s="268">
        <f t="shared" si="38"/>
        <v>-54961.20676139956</v>
      </c>
      <c r="X38" s="268">
        <f t="shared" si="38"/>
        <v>-31363.584619469544</v>
      </c>
      <c r="Y38" s="268">
        <f t="shared" si="38"/>
        <v>-32901.688870443017</v>
      </c>
      <c r="Z38" s="268">
        <f t="shared" si="38"/>
        <v>-34516.698333965178</v>
      </c>
      <c r="AA38" s="268">
        <f t="shared" si="38"/>
        <v>-36212.458270663432</v>
      </c>
      <c r="AB38" s="268">
        <f t="shared" si="38"/>
        <v>-37993.006204196608</v>
      </c>
      <c r="AC38" s="268">
        <f t="shared" si="38"/>
        <v>-39862.581534406439</v>
      </c>
      <c r="AD38" s="268">
        <f t="shared" si="38"/>
        <v>-41825.635631126766</v>
      </c>
      <c r="AE38" s="268">
        <f t="shared" si="38"/>
        <v>-43886.842432683101</v>
      </c>
      <c r="AF38" s="268">
        <f t="shared" si="38"/>
        <v>-46051.109574317255</v>
      </c>
      <c r="AG38" s="268">
        <f t="shared" si="38"/>
        <v>-48323.59007303312</v>
      </c>
      <c r="AH38" s="268">
        <f t="shared" si="38"/>
        <v>-50709.694596684771</v>
      </c>
      <c r="AI38" s="268">
        <f t="shared" si="38"/>
        <v>-53215.104346519009</v>
      </c>
      <c r="AJ38" s="268">
        <f t="shared" si="38"/>
        <v>-55845.784583844965</v>
      </c>
    </row>
    <row r="39" spans="1:36" x14ac:dyDescent="0.25">
      <c r="A39" t="s">
        <v>422</v>
      </c>
      <c r="B39" t="s">
        <v>173</v>
      </c>
      <c r="H39" s="459" t="s">
        <v>190</v>
      </c>
      <c r="I39" s="494" t="str">
        <f t="shared" si="36"/>
        <v>tr. VND</v>
      </c>
      <c r="K39" s="493"/>
      <c r="L39" s="549" cm="1">
        <f t="array" ref="L39">-SUMPRODUCT('W1'!$AO$10:$HQ$60*('W1'!$AO$7:$HQ$7=$A39)*('W1'!$AO$8:$HQ$8=L$14)*('W1'!$A$10:$A$60=$B39))*$H$10</f>
        <v>-25062.483333333334</v>
      </c>
      <c r="M39" s="549" cm="1">
        <f t="array" ref="M39">-SUMPRODUCT('W1'!$AO$10:$HQ$60*('W1'!$AO$7:$HQ$7=$A39)*('W1'!$AO$8:$HQ$8=M$14)*('W1'!$A$10:$A$60=$B39))*$H$10</f>
        <v>-25062.483333333334</v>
      </c>
      <c r="N39" s="549" cm="1">
        <f t="array" ref="N39">-SUMPRODUCT('W1'!$AO$10:$HQ$60*('W1'!$AO$7:$HQ$7=$A39)*('W1'!$AO$8:$HQ$8=N$14)*('W1'!$A$10:$A$60=$B39))*$H$10</f>
        <v>-25062.483333333334</v>
      </c>
      <c r="O39" s="549" cm="1">
        <f t="array" ref="O39">-SUMPRODUCT('W1'!$AO$10:$HQ$60*('W1'!$AO$7:$HQ$7=$A39)*('W1'!$AO$8:$HQ$8=O$14)*('W1'!$A$10:$A$60=$B39))*$H$10</f>
        <v>-25062.483333333334</v>
      </c>
      <c r="P39" s="549" cm="1">
        <f t="array" ref="P39">-SUMPRODUCT('W1'!$AO$10:$HQ$60*('W1'!$AO$7:$HQ$7=$A39)*('W1'!$AO$8:$HQ$8=P$14)*('W1'!$A$10:$A$60=$B39))*$H$10</f>
        <v>-25062.483333333334</v>
      </c>
      <c r="Q39" s="549" cm="1">
        <f t="array" ref="Q39">-SUMPRODUCT('W1'!$AO$10:$HQ$60*('W1'!$AO$7:$HQ$7=$A39)*('W1'!$AO$8:$HQ$8=Q$14)*('W1'!$A$10:$A$60=$B39))*$H$10</f>
        <v>-25062.483333333334</v>
      </c>
      <c r="R39" s="549" cm="1">
        <f t="array" ref="R39">-SUMPRODUCT('W1'!$AO$10:$HQ$60*('W1'!$AO$7:$HQ$7=$A39)*('W1'!$AO$8:$HQ$8=R$14)*('W1'!$A$10:$A$60=$B39))*$H$10</f>
        <v>-25062.483333333334</v>
      </c>
      <c r="S39" s="549" cm="1">
        <f t="array" ref="S39">-SUMPRODUCT('W1'!$AO$10:$HQ$60*('W1'!$AO$7:$HQ$7=$A39)*('W1'!$AO$8:$HQ$8=S$14)*('W1'!$A$10:$A$60=$B39))*$H$10</f>
        <v>-25062.483333333334</v>
      </c>
      <c r="T39" s="549" cm="1">
        <f t="array" ref="T39">-SUMPRODUCT('W1'!$AO$10:$HQ$60*('W1'!$AO$7:$HQ$7=$A39)*('W1'!$AO$8:$HQ$8=T$14)*('W1'!$A$10:$A$60=$B39))*$H$10</f>
        <v>-25062.483333333334</v>
      </c>
      <c r="U39" s="549" cm="1">
        <f t="array" ref="U39">-SUMPRODUCT('W1'!$AO$10:$HQ$60*('W1'!$AO$7:$HQ$7=$A39)*('W1'!$AO$8:$HQ$8=U$14)*('W1'!$A$10:$A$60=$B39))*$H$10</f>
        <v>-25062.483333333334</v>
      </c>
      <c r="V39" s="549" cm="1">
        <f t="array" ref="V39">-SUMPRODUCT('W1'!$AO$10:$HQ$60*('W1'!$AO$7:$HQ$7=$A39)*('W1'!$AO$8:$HQ$8=V$14)*('W1'!$A$10:$A$60=$B39))*$H$10</f>
        <v>-25062.483333333334</v>
      </c>
      <c r="W39" s="549" cm="1">
        <f t="array" ref="W39">-SUMPRODUCT('W1'!$AO$10:$HQ$60*('W1'!$AO$7:$HQ$7=$A39)*('W1'!$AO$8:$HQ$8=W$14)*('W1'!$A$10:$A$60=$B39))*$H$10</f>
        <v>-25062.483333333334</v>
      </c>
      <c r="X39" s="549" cm="1">
        <f t="array" ref="X39">-SUMPRODUCT('W1'!$AO$10:$HQ$60*('W1'!$AO$7:$HQ$7=$A39)*('W1'!$AO$8:$HQ$8=X$14)*('W1'!$A$10:$A$60=$B39))*$H$10</f>
        <v>0</v>
      </c>
      <c r="Y39" s="549" cm="1">
        <f t="array" ref="Y39">-SUMPRODUCT('W1'!$AO$10:$HQ$60*('W1'!$AO$7:$HQ$7=$A39)*('W1'!$AO$8:$HQ$8=Y$14)*('W1'!$A$10:$A$60=$B39))*$H$10</f>
        <v>0</v>
      </c>
      <c r="Z39" s="549" cm="1">
        <f t="array" ref="Z39">-SUMPRODUCT('W1'!$AO$10:$HQ$60*('W1'!$AO$7:$HQ$7=$A39)*('W1'!$AO$8:$HQ$8=Z$14)*('W1'!$A$10:$A$60=$B39))*$H$10</f>
        <v>0</v>
      </c>
      <c r="AA39" s="549" cm="1">
        <f t="array" ref="AA39">-SUMPRODUCT('W1'!$AO$10:$HQ$60*('W1'!$AO$7:$HQ$7=$A39)*('W1'!$AO$8:$HQ$8=AA$14)*('W1'!$A$10:$A$60=$B39))*$H$10</f>
        <v>0</v>
      </c>
      <c r="AB39" s="549" cm="1">
        <f t="array" ref="AB39">-SUMPRODUCT('W1'!$AO$10:$HQ$60*('W1'!$AO$7:$HQ$7=$A39)*('W1'!$AO$8:$HQ$8=AB$14)*('W1'!$A$10:$A$60=$B39))*$H$10</f>
        <v>0</v>
      </c>
      <c r="AC39" s="549" cm="1">
        <f t="array" ref="AC39">-SUMPRODUCT('W1'!$AO$10:$HQ$60*('W1'!$AO$7:$HQ$7=$A39)*('W1'!$AO$8:$HQ$8=AC$14)*('W1'!$A$10:$A$60=$B39))*$H$10</f>
        <v>0</v>
      </c>
      <c r="AD39" s="549" cm="1">
        <f t="array" ref="AD39">-SUMPRODUCT('W1'!$AO$10:$HQ$60*('W1'!$AO$7:$HQ$7=$A39)*('W1'!$AO$8:$HQ$8=AD$14)*('W1'!$A$10:$A$60=$B39))*$H$10</f>
        <v>0</v>
      </c>
      <c r="AE39" s="549" cm="1">
        <f t="array" ref="AE39">-SUMPRODUCT('W1'!$AO$10:$HQ$60*('W1'!$AO$7:$HQ$7=$A39)*('W1'!$AO$8:$HQ$8=AE$14)*('W1'!$A$10:$A$60=$B39))*$H$10</f>
        <v>0</v>
      </c>
      <c r="AF39" s="549" cm="1">
        <f t="array" ref="AF39">-SUMPRODUCT('W1'!$AO$10:$HQ$60*('W1'!$AO$7:$HQ$7=$A39)*('W1'!$AO$8:$HQ$8=AF$14)*('W1'!$A$10:$A$60=$B39))*$H$10</f>
        <v>0</v>
      </c>
      <c r="AG39" s="549" cm="1">
        <f t="array" ref="AG39">-SUMPRODUCT('W1'!$AO$10:$HQ$60*('W1'!$AO$7:$HQ$7=$A39)*('W1'!$AO$8:$HQ$8=AG$14)*('W1'!$A$10:$A$60=$B39))*$H$10</f>
        <v>0</v>
      </c>
      <c r="AH39" s="549" cm="1">
        <f t="array" ref="AH39">-SUMPRODUCT('W1'!$AO$10:$HQ$60*('W1'!$AO$7:$HQ$7=$A39)*('W1'!$AO$8:$HQ$8=AH$14)*('W1'!$A$10:$A$60=$B39))*$H$10</f>
        <v>0</v>
      </c>
      <c r="AI39" s="549" cm="1">
        <f t="array" ref="AI39">-SUMPRODUCT('W1'!$AO$10:$HQ$60*('W1'!$AO$7:$HQ$7=$A39)*('W1'!$AO$8:$HQ$8=AI$14)*('W1'!$A$10:$A$60=$B39))*$H$10</f>
        <v>0</v>
      </c>
      <c r="AJ39" s="549" cm="1">
        <f t="array" ref="AJ39">-SUMPRODUCT('W1'!$AO$10:$HQ$60*('W1'!$AO$7:$HQ$7=$A39)*('W1'!$AO$8:$HQ$8=AJ$14)*('W1'!$A$10:$A$60=$B39))*$H$10</f>
        <v>0</v>
      </c>
    </row>
    <row r="40" spans="1:36" x14ac:dyDescent="0.25">
      <c r="A40" t="s">
        <v>422</v>
      </c>
      <c r="H40" s="454" t="s">
        <v>429</v>
      </c>
      <c r="I40" s="497" t="str">
        <f t="shared" si="36"/>
        <v>tr. VND</v>
      </c>
      <c r="K40" s="550">
        <f>SUM(K41:K42)</f>
        <v>0</v>
      </c>
      <c r="L40" s="550">
        <f t="shared" ref="L40:Z40" si="39">SUM(L41:L42)</f>
        <v>-6011.46</v>
      </c>
      <c r="M40" s="550">
        <f t="shared" si="39"/>
        <v>-6011.46</v>
      </c>
      <c r="N40" s="550">
        <f t="shared" si="39"/>
        <v>-6312.0329999999994</v>
      </c>
      <c r="O40" s="550">
        <f t="shared" si="39"/>
        <v>-6627.63465</v>
      </c>
      <c r="P40" s="550">
        <f t="shared" si="39"/>
        <v>-6959.0163825000009</v>
      </c>
      <c r="Q40" s="550">
        <f t="shared" si="39"/>
        <v>-7306.9672016249997</v>
      </c>
      <c r="R40" s="550">
        <f t="shared" si="39"/>
        <v>-7672.3155617062503</v>
      </c>
      <c r="S40" s="550">
        <f t="shared" si="39"/>
        <v>-8055.931339791563</v>
      </c>
      <c r="T40" s="550">
        <f t="shared" si="39"/>
        <v>-8458.7279067811414</v>
      </c>
      <c r="U40" s="550">
        <f t="shared" si="39"/>
        <v>-8881.664302120198</v>
      </c>
      <c r="V40" s="550">
        <f t="shared" si="39"/>
        <v>-9325.7475172262075</v>
      </c>
      <c r="W40" s="550">
        <f t="shared" si="39"/>
        <v>-9792.0348930875189</v>
      </c>
      <c r="X40" s="550">
        <f t="shared" si="39"/>
        <v>-10281.636637741896</v>
      </c>
      <c r="Y40" s="550">
        <f t="shared" si="39"/>
        <v>-10795.718469628988</v>
      </c>
      <c r="Z40" s="550">
        <f t="shared" si="39"/>
        <v>-11335.504393110441</v>
      </c>
      <c r="AA40" s="550">
        <f t="shared" ref="AA40:AJ40" si="40">SUM(AA41:AA42)</f>
        <v>-11902.27961276596</v>
      </c>
      <c r="AB40" s="550">
        <f t="shared" si="40"/>
        <v>-12497.39359340426</v>
      </c>
      <c r="AC40" s="550">
        <f t="shared" si="40"/>
        <v>-13122.263273074474</v>
      </c>
      <c r="AD40" s="550">
        <f t="shared" si="40"/>
        <v>-13778.376436728198</v>
      </c>
      <c r="AE40" s="550">
        <f t="shared" si="40"/>
        <v>-14467.295258564609</v>
      </c>
      <c r="AF40" s="550">
        <f t="shared" si="40"/>
        <v>-15190.660021492838</v>
      </c>
      <c r="AG40" s="550">
        <f t="shared" si="40"/>
        <v>-15950.193022567481</v>
      </c>
      <c r="AH40" s="550">
        <f t="shared" si="40"/>
        <v>-16747.702673695854</v>
      </c>
      <c r="AI40" s="550">
        <f t="shared" si="40"/>
        <v>-17585.087807380645</v>
      </c>
      <c r="AJ40" s="550">
        <f t="shared" si="40"/>
        <v>-18464.34219774968</v>
      </c>
    </row>
    <row r="41" spans="1:36" s="299" customFormat="1" x14ac:dyDescent="0.25">
      <c r="A41" s="299" t="s">
        <v>422</v>
      </c>
      <c r="B41" s="299" t="s">
        <v>449</v>
      </c>
      <c r="H41" s="554" t="s">
        <v>430</v>
      </c>
      <c r="I41" s="555" t="str">
        <f t="shared" si="36"/>
        <v>tr. VND</v>
      </c>
      <c r="K41" s="556"/>
      <c r="L41" s="556" cm="1">
        <f t="array" ref="L41">-SUMPRODUCT('W2'!$M$12:$R$112*('W2'!$M$7:$R$7=$A41)*('W2'!$A$12:$A$112=$B41))*$H$10*POWER(1+Inflation,L$11+1)</f>
        <v>-982.8</v>
      </c>
      <c r="M41" s="556" cm="1">
        <f t="array" ref="M41">-SUMPRODUCT('W2'!$M$12:$R$112*('W2'!$M$7:$R$7=$A41)*('W2'!$A$12:$A$112=$B41))*$H$10*POWER(1+Inflation,M$11+1)</f>
        <v>-982.8</v>
      </c>
      <c r="N41" s="556" cm="1">
        <f t="array" ref="N41">-SUMPRODUCT('W2'!$M$12:$R$112*('W2'!$M$7:$R$7=$A41)*('W2'!$A$12:$A$112=$B41))*$H$10*POWER(1+Inflation,N$11+1)</f>
        <v>-1031.94</v>
      </c>
      <c r="O41" s="556" cm="1">
        <f t="array" ref="O41">-SUMPRODUCT('W2'!$M$12:$R$112*('W2'!$M$7:$R$7=$A41)*('W2'!$A$12:$A$112=$B41))*$H$10*POWER(1+Inflation,O$11+1)</f>
        <v>-1083.537</v>
      </c>
      <c r="P41" s="556" cm="1">
        <f t="array" ref="P41">-SUMPRODUCT('W2'!$M$12:$R$112*('W2'!$M$7:$R$7=$A41)*('W2'!$A$12:$A$112=$B41))*$H$10*POWER(1+Inflation,P$11+1)</f>
        <v>-1137.7138500000001</v>
      </c>
      <c r="Q41" s="556" cm="1">
        <f t="array" ref="Q41">-SUMPRODUCT('W2'!$M$12:$R$112*('W2'!$M$7:$R$7=$A41)*('W2'!$A$12:$A$112=$B41))*$H$10*POWER(1+Inflation,Q$11+1)</f>
        <v>-1194.5995424999999</v>
      </c>
      <c r="R41" s="556" cm="1">
        <f t="array" ref="R41">-SUMPRODUCT('W2'!$M$12:$R$112*('W2'!$M$7:$R$7=$A41)*('W2'!$A$12:$A$112=$B41))*$H$10*POWER(1+Inflation,R$11+1)</f>
        <v>-1254.3295196250001</v>
      </c>
      <c r="S41" s="556" cm="1">
        <f t="array" ref="S41">-SUMPRODUCT('W2'!$M$12:$R$112*('W2'!$M$7:$R$7=$A41)*('W2'!$A$12:$A$112=$B41))*$H$10*POWER(1+Inflation,S$11+1)</f>
        <v>-1317.04599560625</v>
      </c>
      <c r="T41" s="556" cm="1">
        <f t="array" ref="T41">-SUMPRODUCT('W2'!$M$12:$R$112*('W2'!$M$7:$R$7=$A41)*('W2'!$A$12:$A$112=$B41))*$H$10*POWER(1+Inflation,T$11+1)</f>
        <v>-1382.8982953865627</v>
      </c>
      <c r="U41" s="556" cm="1">
        <f t="array" ref="U41">-SUMPRODUCT('W2'!$M$12:$R$112*('W2'!$M$7:$R$7=$A41)*('W2'!$A$12:$A$112=$B41))*$H$10*POWER(1+Inflation,U$11+1)</f>
        <v>-1452.0432101558906</v>
      </c>
      <c r="V41" s="556" cm="1">
        <f t="array" ref="V41">-SUMPRODUCT('W2'!$M$12:$R$112*('W2'!$M$7:$R$7=$A41)*('W2'!$A$12:$A$112=$B41))*$H$10*POWER(1+Inflation,V$11+1)</f>
        <v>-1524.6453706636853</v>
      </c>
      <c r="W41" s="556" cm="1">
        <f t="array" ref="W41">-SUMPRODUCT('W2'!$M$12:$R$112*('W2'!$M$7:$R$7=$A41)*('W2'!$A$12:$A$112=$B41))*$H$10*POWER(1+Inflation,W$11+1)</f>
        <v>-1600.8776391968695</v>
      </c>
      <c r="X41" s="556" cm="1">
        <f t="array" ref="X41">-SUMPRODUCT('W2'!$M$12:$R$112*('W2'!$M$7:$R$7=$A41)*('W2'!$A$12:$A$112=$B41))*$H$10*POWER(1+Inflation,X$11+1)</f>
        <v>-1680.9215211567132</v>
      </c>
      <c r="Y41" s="556" cm="1">
        <f t="array" ref="Y41">-SUMPRODUCT('W2'!$M$12:$R$112*('W2'!$M$7:$R$7=$A41)*('W2'!$A$12:$A$112=$B41))*$H$10*POWER(1+Inflation,Y$11+1)</f>
        <v>-1764.9675972145485</v>
      </c>
      <c r="Z41" s="556" cm="1">
        <f t="array" ref="Z41">-SUMPRODUCT('W2'!$M$12:$R$112*('W2'!$M$7:$R$7=$A41)*('W2'!$A$12:$A$112=$B41))*$H$10*POWER(1+Inflation,Z$11+1)</f>
        <v>-1853.2159770752762</v>
      </c>
      <c r="AA41" s="556" cm="1">
        <f t="array" ref="AA41">-SUMPRODUCT('W2'!$M$12:$R$112*('W2'!$M$7:$R$7=$A41)*('W2'!$A$12:$A$112=$B41))*$H$10*POWER(1+Inflation,AA$11+1)</f>
        <v>-1945.8767759290397</v>
      </c>
      <c r="AB41" s="556" cm="1">
        <f t="array" ref="AB41">-SUMPRODUCT('W2'!$M$12:$R$112*('W2'!$M$7:$R$7=$A41)*('W2'!$A$12:$A$112=$B41))*$H$10*POWER(1+Inflation,AB$11+1)</f>
        <v>-2043.1706147254922</v>
      </c>
      <c r="AC41" s="556" cm="1">
        <f t="array" ref="AC41">-SUMPRODUCT('W2'!$M$12:$R$112*('W2'!$M$7:$R$7=$A41)*('W2'!$A$12:$A$112=$B41))*$H$10*POWER(1+Inflation,AC$11+1)</f>
        <v>-2145.3291454617665</v>
      </c>
      <c r="AD41" s="556" cm="1">
        <f t="array" ref="AD41">-SUMPRODUCT('W2'!$M$12:$R$112*('W2'!$M$7:$R$7=$A41)*('W2'!$A$12:$A$112=$B41))*$H$10*POWER(1+Inflation,AD$11+1)</f>
        <v>-2252.5956027348552</v>
      </c>
      <c r="AE41" s="556" cm="1">
        <f t="array" ref="AE41">-SUMPRODUCT('W2'!$M$12:$R$112*('W2'!$M$7:$R$7=$A41)*('W2'!$A$12:$A$112=$B41))*$H$10*POWER(1+Inflation,AE$11+1)</f>
        <v>-2365.225382871598</v>
      </c>
      <c r="AF41" s="556" cm="1">
        <f t="array" ref="AF41">-SUMPRODUCT('W2'!$M$12:$R$112*('W2'!$M$7:$R$7=$A41)*('W2'!$A$12:$A$112=$B41))*$H$10*POWER(1+Inflation,AF$11+1)</f>
        <v>-2483.4866520151777</v>
      </c>
      <c r="AG41" s="556" cm="1">
        <f t="array" ref="AG41">-SUMPRODUCT('W2'!$M$12:$R$112*('W2'!$M$7:$R$7=$A41)*('W2'!$A$12:$A$112=$B41))*$H$10*POWER(1+Inflation,AG$11+1)</f>
        <v>-2607.6609846159367</v>
      </c>
      <c r="AH41" s="556" cm="1">
        <f t="array" ref="AH41">-SUMPRODUCT('W2'!$M$12:$R$112*('W2'!$M$7:$R$7=$A41)*('W2'!$A$12:$A$112=$B41))*$H$10*POWER(1+Inflation,AH$11+1)</f>
        <v>-2738.0440338467333</v>
      </c>
      <c r="AI41" s="556" cm="1">
        <f t="array" ref="AI41">-SUMPRODUCT('W2'!$M$12:$R$112*('W2'!$M$7:$R$7=$A41)*('W2'!$A$12:$A$112=$B41))*$H$10*POWER(1+Inflation,AI$11+1)</f>
        <v>-2874.9462355390701</v>
      </c>
      <c r="AJ41" s="556" cm="1">
        <f t="array" ref="AJ41">-SUMPRODUCT('W2'!$M$12:$R$112*('W2'!$M$7:$R$7=$A41)*('W2'!$A$12:$A$112=$B41))*$H$10*POWER(1+Inflation,AJ$11+1)</f>
        <v>-3018.6935473160243</v>
      </c>
    </row>
    <row r="42" spans="1:36" s="299" customFormat="1" x14ac:dyDescent="0.25">
      <c r="A42" s="299" t="s">
        <v>422</v>
      </c>
      <c r="B42" s="299" t="s">
        <v>450</v>
      </c>
      <c r="H42" s="554" t="s">
        <v>431</v>
      </c>
      <c r="I42" s="555" t="str">
        <f t="shared" si="36"/>
        <v>tr. VND</v>
      </c>
      <c r="K42" s="556"/>
      <c r="L42" s="556" cm="1">
        <f t="array" ref="L42">-SUMPRODUCT('W2'!$M$12:$R$112*('W2'!$M$7:$R$7=$A42)*('W2'!$A$12:$A$112=$B42))*$H$10*POWER(1+Inflation,L$11+1)</f>
        <v>-5028.66</v>
      </c>
      <c r="M42" s="556" cm="1">
        <f t="array" ref="M42">-SUMPRODUCT('W2'!$M$12:$R$112*('W2'!$M$7:$R$7=$A42)*('W2'!$A$12:$A$112=$B42))*$H$10*POWER(1+Inflation,M$11+1)</f>
        <v>-5028.66</v>
      </c>
      <c r="N42" s="556" cm="1">
        <f t="array" ref="N42">-SUMPRODUCT('W2'!$M$12:$R$112*('W2'!$M$7:$R$7=$A42)*('W2'!$A$12:$A$112=$B42))*$H$10*POWER(1+Inflation,N$11+1)</f>
        <v>-5280.0929999999998</v>
      </c>
      <c r="O42" s="556" cm="1">
        <f t="array" ref="O42">-SUMPRODUCT('W2'!$M$12:$R$112*('W2'!$M$7:$R$7=$A42)*('W2'!$A$12:$A$112=$B42))*$H$10*POWER(1+Inflation,O$11+1)</f>
        <v>-5544.0976499999997</v>
      </c>
      <c r="P42" s="556" cm="1">
        <f t="array" ref="P42">-SUMPRODUCT('W2'!$M$12:$R$112*('W2'!$M$7:$R$7=$A42)*('W2'!$A$12:$A$112=$B42))*$H$10*POWER(1+Inflation,P$11+1)</f>
        <v>-5821.3025325000008</v>
      </c>
      <c r="Q42" s="556" cm="1">
        <f t="array" ref="Q42">-SUMPRODUCT('W2'!$M$12:$R$112*('W2'!$M$7:$R$7=$A42)*('W2'!$A$12:$A$112=$B42))*$H$10*POWER(1+Inflation,Q$11+1)</f>
        <v>-6112.3676591249996</v>
      </c>
      <c r="R42" s="556" cm="1">
        <f t="array" ref="R42">-SUMPRODUCT('W2'!$M$12:$R$112*('W2'!$M$7:$R$7=$A42)*('W2'!$A$12:$A$112=$B42))*$H$10*POWER(1+Inflation,R$11+1)</f>
        <v>-6417.9860420812502</v>
      </c>
      <c r="S42" s="556" cm="1">
        <f t="array" ref="S42">-SUMPRODUCT('W2'!$M$12:$R$112*('W2'!$M$7:$R$7=$A42)*('W2'!$A$12:$A$112=$B42))*$H$10*POWER(1+Inflation,S$11+1)</f>
        <v>-6738.8853441853125</v>
      </c>
      <c r="T42" s="556" cm="1">
        <f t="array" ref="T42">-SUMPRODUCT('W2'!$M$12:$R$112*('W2'!$M$7:$R$7=$A42)*('W2'!$A$12:$A$112=$B42))*$H$10*POWER(1+Inflation,T$11+1)</f>
        <v>-7075.8296113945789</v>
      </c>
      <c r="U42" s="556" cm="1">
        <f t="array" ref="U42">-SUMPRODUCT('W2'!$M$12:$R$112*('W2'!$M$7:$R$7=$A42)*('W2'!$A$12:$A$112=$B42))*$H$10*POWER(1+Inflation,U$11+1)</f>
        <v>-7429.6210919643072</v>
      </c>
      <c r="V42" s="556" cm="1">
        <f t="array" ref="V42">-SUMPRODUCT('W2'!$M$12:$R$112*('W2'!$M$7:$R$7=$A42)*('W2'!$A$12:$A$112=$B42))*$H$10*POWER(1+Inflation,V$11+1)</f>
        <v>-7801.1021465625226</v>
      </c>
      <c r="W42" s="556" cm="1">
        <f t="array" ref="W42">-SUMPRODUCT('W2'!$M$12:$R$112*('W2'!$M$7:$R$7=$A42)*('W2'!$A$12:$A$112=$B42))*$H$10*POWER(1+Inflation,W$11+1)</f>
        <v>-8191.1572538906494</v>
      </c>
      <c r="X42" s="556" cm="1">
        <f t="array" ref="X42">-SUMPRODUCT('W2'!$M$12:$R$112*('W2'!$M$7:$R$7=$A42)*('W2'!$A$12:$A$112=$B42))*$H$10*POWER(1+Inflation,X$11+1)</f>
        <v>-8600.7151165851828</v>
      </c>
      <c r="Y42" s="556" cm="1">
        <f t="array" ref="Y42">-SUMPRODUCT('W2'!$M$12:$R$112*('W2'!$M$7:$R$7=$A42)*('W2'!$A$12:$A$112=$B42))*$H$10*POWER(1+Inflation,Y$11+1)</f>
        <v>-9030.7508724144391</v>
      </c>
      <c r="Z42" s="556" cm="1">
        <f t="array" ref="Z42">-SUMPRODUCT('W2'!$M$12:$R$112*('W2'!$M$7:$R$7=$A42)*('W2'!$A$12:$A$112=$B42))*$H$10*POWER(1+Inflation,Z$11+1)</f>
        <v>-9482.2884160351641</v>
      </c>
      <c r="AA42" s="556" cm="1">
        <f t="array" ref="AA42">-SUMPRODUCT('W2'!$M$12:$R$112*('W2'!$M$7:$R$7=$A42)*('W2'!$A$12:$A$112=$B42))*$H$10*POWER(1+Inflation,AA$11+1)</f>
        <v>-9956.40283683692</v>
      </c>
      <c r="AB42" s="556" cm="1">
        <f t="array" ref="AB42">-SUMPRODUCT('W2'!$M$12:$R$112*('W2'!$M$7:$R$7=$A42)*('W2'!$A$12:$A$112=$B42))*$H$10*POWER(1+Inflation,AB$11+1)</f>
        <v>-10454.222978678768</v>
      </c>
      <c r="AC42" s="556" cm="1">
        <f t="array" ref="AC42">-SUMPRODUCT('W2'!$M$12:$R$112*('W2'!$M$7:$R$7=$A42)*('W2'!$A$12:$A$112=$B42))*$H$10*POWER(1+Inflation,AC$11+1)</f>
        <v>-10976.934127612707</v>
      </c>
      <c r="AD42" s="556" cm="1">
        <f t="array" ref="AD42">-SUMPRODUCT('W2'!$M$12:$R$112*('W2'!$M$7:$R$7=$A42)*('W2'!$A$12:$A$112=$B42))*$H$10*POWER(1+Inflation,AD$11+1)</f>
        <v>-11525.780833993344</v>
      </c>
      <c r="AE42" s="556" cm="1">
        <f t="array" ref="AE42">-SUMPRODUCT('W2'!$M$12:$R$112*('W2'!$M$7:$R$7=$A42)*('W2'!$A$12:$A$112=$B42))*$H$10*POWER(1+Inflation,AE$11+1)</f>
        <v>-12102.069875693011</v>
      </c>
      <c r="AF42" s="556" cm="1">
        <f t="array" ref="AF42">-SUMPRODUCT('W2'!$M$12:$R$112*('W2'!$M$7:$R$7=$A42)*('W2'!$A$12:$A$112=$B42))*$H$10*POWER(1+Inflation,AF$11+1)</f>
        <v>-12707.173369477661</v>
      </c>
      <c r="AG42" s="556" cm="1">
        <f t="array" ref="AG42">-SUMPRODUCT('W2'!$M$12:$R$112*('W2'!$M$7:$R$7=$A42)*('W2'!$A$12:$A$112=$B42))*$H$10*POWER(1+Inflation,AG$11+1)</f>
        <v>-13342.532037951543</v>
      </c>
      <c r="AH42" s="556" cm="1">
        <f t="array" ref="AH42">-SUMPRODUCT('W2'!$M$12:$R$112*('W2'!$M$7:$R$7=$A42)*('W2'!$A$12:$A$112=$B42))*$H$10*POWER(1+Inflation,AH$11+1)</f>
        <v>-14009.65863984912</v>
      </c>
      <c r="AI42" s="556" cm="1">
        <f t="array" ref="AI42">-SUMPRODUCT('W2'!$M$12:$R$112*('W2'!$M$7:$R$7=$A42)*('W2'!$A$12:$A$112=$B42))*$H$10*POWER(1+Inflation,AI$11+1)</f>
        <v>-14710.141571841576</v>
      </c>
      <c r="AJ42" s="556" cm="1">
        <f t="array" ref="AJ42">-SUMPRODUCT('W2'!$M$12:$R$112*('W2'!$M$7:$R$7=$A42)*('W2'!$A$12:$A$112=$B42))*$H$10*POWER(1+Inflation,AJ$11+1)</f>
        <v>-15445.648650433657</v>
      </c>
    </row>
    <row r="43" spans="1:36" x14ac:dyDescent="0.25">
      <c r="A43" t="s">
        <v>422</v>
      </c>
      <c r="B43" t="s">
        <v>451</v>
      </c>
      <c r="H43" s="454" t="s">
        <v>656</v>
      </c>
      <c r="I43" s="497" t="str">
        <f t="shared" si="36"/>
        <v>tr. VND</v>
      </c>
      <c r="K43" s="550"/>
      <c r="L43" s="550" cm="1">
        <f t="array" ref="L43">-SUMPRODUCT('W2'!$M$12:$R$112*('W2'!$M$7:$R$7=$A43)*('W2'!$A$12:$A$112=$B43))*$H$10*POWER(1+Inflation,L$11+1)</f>
        <v>-2400</v>
      </c>
      <c r="M43" s="550" cm="1">
        <f t="array" ref="M43">-SUMPRODUCT('W2'!$M$12:$R$112*('W2'!$M$7:$R$7=$A43)*('W2'!$A$12:$A$112=$B43))*$H$10*POWER(1+Inflation,M$11+1)</f>
        <v>-2400</v>
      </c>
      <c r="N43" s="550" cm="1">
        <f t="array" ref="N43">-SUMPRODUCT('W2'!$M$12:$R$112*('W2'!$M$7:$R$7=$A43)*('W2'!$A$12:$A$112=$B43))*$H$10*POWER(1+Inflation,N$11+1)</f>
        <v>-2520</v>
      </c>
      <c r="O43" s="550" cm="1">
        <f t="array" ref="O43">-SUMPRODUCT('W2'!$M$12:$R$112*('W2'!$M$7:$R$7=$A43)*('W2'!$A$12:$A$112=$B43))*$H$10*POWER(1+Inflation,O$11+1)</f>
        <v>-2646</v>
      </c>
      <c r="P43" s="550" cm="1">
        <f t="array" ref="P43">-SUMPRODUCT('W2'!$M$12:$R$112*('W2'!$M$7:$R$7=$A43)*('W2'!$A$12:$A$112=$B43))*$H$10*POWER(1+Inflation,P$11+1)</f>
        <v>-2778.3</v>
      </c>
      <c r="Q43" s="550" cm="1">
        <f t="array" ref="Q43">-SUMPRODUCT('W2'!$M$12:$R$112*('W2'!$M$7:$R$7=$A43)*('W2'!$A$12:$A$112=$B43))*$H$10*POWER(1+Inflation,Q$11+1)</f>
        <v>-2917.2150000000001</v>
      </c>
      <c r="R43" s="550" cm="1">
        <f t="array" ref="R43">-SUMPRODUCT('W2'!$M$12:$R$112*('W2'!$M$7:$R$7=$A43)*('W2'!$A$12:$A$112=$B43))*$H$10*POWER(1+Inflation,R$11+1)</f>
        <v>-3063.0757500000004</v>
      </c>
      <c r="S43" s="550" cm="1">
        <f t="array" ref="S43">-SUMPRODUCT('W2'!$M$12:$R$112*('W2'!$M$7:$R$7=$A43)*('W2'!$A$12:$A$112=$B43))*$H$10*POWER(1+Inflation,S$11+1)</f>
        <v>-3216.2295374999999</v>
      </c>
      <c r="T43" s="550" cm="1">
        <f t="array" ref="T43">-SUMPRODUCT('W2'!$M$12:$R$112*('W2'!$M$7:$R$7=$A43)*('W2'!$A$12:$A$112=$B43))*$H$10*POWER(1+Inflation,T$11+1)</f>
        <v>-3377.0410143750005</v>
      </c>
      <c r="U43" s="550" cm="1">
        <f t="array" ref="U43">-SUMPRODUCT('W2'!$M$12:$R$112*('W2'!$M$7:$R$7=$A43)*('W2'!$A$12:$A$112=$B43))*$H$10*POWER(1+Inflation,U$11+1)</f>
        <v>-3545.89306509375</v>
      </c>
      <c r="V43" s="550" cm="1">
        <f t="array" ref="V43">-SUMPRODUCT('W2'!$M$12:$R$112*('W2'!$M$7:$R$7=$A43)*('W2'!$A$12:$A$112=$B43))*$H$10*POWER(1+Inflation,V$11+1)</f>
        <v>-3723.187718348438</v>
      </c>
      <c r="W43" s="550" cm="1">
        <f t="array" ref="W43">-SUMPRODUCT('W2'!$M$12:$R$112*('W2'!$M$7:$R$7=$A43)*('W2'!$A$12:$A$112=$B43))*$H$10*POWER(1+Inflation,W$11+1)</f>
        <v>-3909.3471042658598</v>
      </c>
      <c r="X43" s="550" cm="1">
        <f t="array" ref="X43">-SUMPRODUCT('W2'!$M$12:$R$112*('W2'!$M$7:$R$7=$A43)*('W2'!$A$12:$A$112=$B43))*$H$10*POWER(1+Inflation,X$11+1)</f>
        <v>-4104.8144594791529</v>
      </c>
      <c r="Y43" s="550" cm="1">
        <f t="array" ref="Y43">-SUMPRODUCT('W2'!$M$12:$R$112*('W2'!$M$7:$R$7=$A43)*('W2'!$A$12:$A$112=$B43))*$H$10*POWER(1+Inflation,Y$11+1)</f>
        <v>-4310.0551824531103</v>
      </c>
      <c r="Z43" s="550" cm="1">
        <f t="array" ref="Z43">-SUMPRODUCT('W2'!$M$12:$R$112*('W2'!$M$7:$R$7=$A43)*('W2'!$A$12:$A$112=$B43))*$H$10*POWER(1+Inflation,Z$11+1)</f>
        <v>-4525.5579415757666</v>
      </c>
      <c r="AA43" s="550" cm="1">
        <f t="array" ref="AA43">-SUMPRODUCT('W2'!$M$12:$R$112*('W2'!$M$7:$R$7=$A43)*('W2'!$A$12:$A$112=$B43))*$H$10*POWER(1+Inflation,AA$11+1)</f>
        <v>-4751.8358386545533</v>
      </c>
      <c r="AB43" s="550" cm="1">
        <f t="array" ref="AB43">-SUMPRODUCT('W2'!$M$12:$R$112*('W2'!$M$7:$R$7=$A43)*('W2'!$A$12:$A$112=$B43))*$H$10*POWER(1+Inflation,AB$11+1)</f>
        <v>-4989.4276305872827</v>
      </c>
      <c r="AC43" s="550" cm="1">
        <f t="array" ref="AC43">-SUMPRODUCT('W2'!$M$12:$R$112*('W2'!$M$7:$R$7=$A43)*('W2'!$A$12:$A$112=$B43))*$H$10*POWER(1+Inflation,AC$11+1)</f>
        <v>-5238.8990121166462</v>
      </c>
      <c r="AD43" s="550" cm="1">
        <f t="array" ref="AD43">-SUMPRODUCT('W2'!$M$12:$R$112*('W2'!$M$7:$R$7=$A43)*('W2'!$A$12:$A$112=$B43))*$H$10*POWER(1+Inflation,AD$11+1)</f>
        <v>-5500.8439627224798</v>
      </c>
      <c r="AE43" s="550" cm="1">
        <f t="array" ref="AE43">-SUMPRODUCT('W2'!$M$12:$R$112*('W2'!$M$7:$R$7=$A43)*('W2'!$A$12:$A$112=$B43))*$H$10*POWER(1+Inflation,AE$11+1)</f>
        <v>-5775.886160858603</v>
      </c>
      <c r="AF43" s="550" cm="1">
        <f t="array" ref="AF43">-SUMPRODUCT('W2'!$M$12:$R$112*('W2'!$M$7:$R$7=$A43)*('W2'!$A$12:$A$112=$B43))*$H$10*POWER(1+Inflation,AF$11+1)</f>
        <v>-6064.6804689015335</v>
      </c>
      <c r="AG43" s="550" cm="1">
        <f t="array" ref="AG43">-SUMPRODUCT('W2'!$M$12:$R$112*('W2'!$M$7:$R$7=$A43)*('W2'!$A$12:$A$112=$B43))*$H$10*POWER(1+Inflation,AG$11+1)</f>
        <v>-6367.9144923466101</v>
      </c>
      <c r="AH43" s="550" cm="1">
        <f t="array" ref="AH43">-SUMPRODUCT('W2'!$M$12:$R$112*('W2'!$M$7:$R$7=$A43)*('W2'!$A$12:$A$112=$B43))*$H$10*POWER(1+Inflation,AH$11+1)</f>
        <v>-6686.3102169639405</v>
      </c>
      <c r="AI43" s="550" cm="1">
        <f t="array" ref="AI43">-SUMPRODUCT('W2'!$M$12:$R$112*('W2'!$M$7:$R$7=$A43)*('W2'!$A$12:$A$112=$B43))*$H$10*POWER(1+Inflation,AI$11+1)</f>
        <v>-7020.6257278121375</v>
      </c>
      <c r="AJ43" s="550" cm="1">
        <f t="array" ref="AJ43">-SUMPRODUCT('W2'!$M$12:$R$112*('W2'!$M$7:$R$7=$A43)*('W2'!$A$12:$A$112=$B43))*$H$10*POWER(1+Inflation,AJ$11+1)</f>
        <v>-7371.6570142027458</v>
      </c>
    </row>
    <row r="44" spans="1:36" x14ac:dyDescent="0.25">
      <c r="A44" t="s">
        <v>422</v>
      </c>
      <c r="B44" t="s">
        <v>452</v>
      </c>
      <c r="H44" s="454" t="s">
        <v>432</v>
      </c>
      <c r="I44" s="497" t="str">
        <f t="shared" si="36"/>
        <v>tr. VND</v>
      </c>
      <c r="K44" s="550"/>
      <c r="L44" s="550" cm="1">
        <f t="array" ref="L44">-SUMPRODUCT('W2'!$M$12:$R$112*('W2'!$M$7:$R$7=$A44)*('W2'!$A$12:$A$112=$B44))*$H$10*POWER(1+Inflation,L$11+1)</f>
        <v>-9022.4939999999988</v>
      </c>
      <c r="M44" s="550" cm="1">
        <f t="array" ref="M44">-SUMPRODUCT('W2'!$M$12:$R$112*('W2'!$M$7:$R$7=$A44)*('W2'!$A$12:$A$112=$B44))*$H$10*POWER(1+Inflation,M$11+1)</f>
        <v>-9022.4939999999988</v>
      </c>
      <c r="N44" s="550" cm="1">
        <f t="array" ref="N44">-SUMPRODUCT('W2'!$M$12:$R$112*('W2'!$M$7:$R$7=$A44)*('W2'!$A$12:$A$112=$B44))*$H$10*POWER(1+Inflation,N$11+1)</f>
        <v>-9473.6186999999991</v>
      </c>
      <c r="O44" s="550" cm="1">
        <f t="array" ref="O44">-SUMPRODUCT('W2'!$M$12:$R$112*('W2'!$M$7:$R$7=$A44)*('W2'!$A$12:$A$112=$B44))*$H$10*POWER(1+Inflation,O$11+1)</f>
        <v>-9947.2996349999994</v>
      </c>
      <c r="P44" s="550" cm="1">
        <f t="array" ref="P44">-SUMPRODUCT('W2'!$M$12:$R$112*('W2'!$M$7:$R$7=$A44)*('W2'!$A$12:$A$112=$B44))*$H$10*POWER(1+Inflation,P$11+1)</f>
        <v>-10444.66461675</v>
      </c>
      <c r="Q44" s="550" cm="1">
        <f t="array" ref="Q44">-SUMPRODUCT('W2'!$M$12:$R$112*('W2'!$M$7:$R$7=$A44)*('W2'!$A$12:$A$112=$B44))*$H$10*POWER(1+Inflation,Q$11+1)</f>
        <v>-10966.897847587499</v>
      </c>
      <c r="R44" s="550" cm="1">
        <f t="array" ref="R44">-SUMPRODUCT('W2'!$M$12:$R$112*('W2'!$M$7:$R$7=$A44)*('W2'!$A$12:$A$112=$B44))*$H$10*POWER(1+Inflation,R$11+1)</f>
        <v>-11515.242739966874</v>
      </c>
      <c r="S44" s="550" cm="1">
        <f t="array" ref="S44">-SUMPRODUCT('W2'!$M$12:$R$112*('W2'!$M$7:$R$7=$A44)*('W2'!$A$12:$A$112=$B44))*$H$10*POWER(1+Inflation,S$11+1)</f>
        <v>-12091.004876965217</v>
      </c>
      <c r="T44" s="550" cm="1">
        <f t="array" ref="T44">-SUMPRODUCT('W2'!$M$12:$R$112*('W2'!$M$7:$R$7=$A44)*('W2'!$A$12:$A$112=$B44))*$H$10*POWER(1+Inflation,T$11+1)</f>
        <v>-12695.55512081348</v>
      </c>
      <c r="U44" s="550" cm="1">
        <f t="array" ref="U44">-SUMPRODUCT('W2'!$M$12:$R$112*('W2'!$M$7:$R$7=$A44)*('W2'!$A$12:$A$112=$B44))*$H$10*POWER(1+Inflation,U$11+1)</f>
        <v>-13330.332876854152</v>
      </c>
      <c r="V44" s="550" cm="1">
        <f t="array" ref="V44">-SUMPRODUCT('W2'!$M$12:$R$112*('W2'!$M$7:$R$7=$A44)*('W2'!$A$12:$A$112=$B44))*$H$10*POWER(1+Inflation,V$11+1)</f>
        <v>-13996.84952069686</v>
      </c>
      <c r="W44" s="550" cm="1">
        <f t="array" ref="W44">-SUMPRODUCT('W2'!$M$12:$R$112*('W2'!$M$7:$R$7=$A44)*('W2'!$A$12:$A$112=$B44))*$H$10*POWER(1+Inflation,W$11+1)</f>
        <v>-14696.691996731704</v>
      </c>
      <c r="X44" s="550" cm="1">
        <f t="array" ref="X44">-SUMPRODUCT('W2'!$M$12:$R$112*('W2'!$M$7:$R$7=$A44)*('W2'!$A$12:$A$112=$B44))*$H$10*POWER(1+Inflation,X$11+1)</f>
        <v>-15431.52659656829</v>
      </c>
      <c r="Y44" s="550" cm="1">
        <f t="array" ref="Y44">-SUMPRODUCT('W2'!$M$12:$R$112*('W2'!$M$7:$R$7=$A44)*('W2'!$A$12:$A$112=$B44))*$H$10*POWER(1+Inflation,Y$11+1)</f>
        <v>-16203.102926396703</v>
      </c>
      <c r="Z44" s="550" cm="1">
        <f t="array" ref="Z44">-SUMPRODUCT('W2'!$M$12:$R$112*('W2'!$M$7:$R$7=$A44)*('W2'!$A$12:$A$112=$B44))*$H$10*POWER(1+Inflation,Z$11+1)</f>
        <v>-17013.25807271654</v>
      </c>
      <c r="AA44" s="550" cm="1">
        <f t="array" ref="AA44">-SUMPRODUCT('W2'!$M$12:$R$112*('W2'!$M$7:$R$7=$A44)*('W2'!$A$12:$A$112=$B44))*$H$10*POWER(1+Inflation,AA$11+1)</f>
        <v>-17863.920976352365</v>
      </c>
      <c r="AB44" s="550" cm="1">
        <f t="array" ref="AB44">-SUMPRODUCT('W2'!$M$12:$R$112*('W2'!$M$7:$R$7=$A44)*('W2'!$A$12:$A$112=$B44))*$H$10*POWER(1+Inflation,AB$11+1)</f>
        <v>-18757.117025169988</v>
      </c>
      <c r="AC44" s="550" cm="1">
        <f t="array" ref="AC44">-SUMPRODUCT('W2'!$M$12:$R$112*('W2'!$M$7:$R$7=$A44)*('W2'!$A$12:$A$112=$B44))*$H$10*POWER(1+Inflation,AC$11+1)</f>
        <v>-19694.972876428485</v>
      </c>
      <c r="AD44" s="550" cm="1">
        <f t="array" ref="AD44">-SUMPRODUCT('W2'!$M$12:$R$112*('W2'!$M$7:$R$7=$A44)*('W2'!$A$12:$A$112=$B44))*$H$10*POWER(1+Inflation,AD$11+1)</f>
        <v>-20679.721520249914</v>
      </c>
      <c r="AE44" s="550" cm="1">
        <f t="array" ref="AE44">-SUMPRODUCT('W2'!$M$12:$R$112*('W2'!$M$7:$R$7=$A44)*('W2'!$A$12:$A$112=$B44))*$H$10*POWER(1+Inflation,AE$11+1)</f>
        <v>-21713.707596262408</v>
      </c>
      <c r="AF44" s="550" cm="1">
        <f t="array" ref="AF44">-SUMPRODUCT('W2'!$M$12:$R$112*('W2'!$M$7:$R$7=$A44)*('W2'!$A$12:$A$112=$B44))*$H$10*POWER(1+Inflation,AF$11+1)</f>
        <v>-22799.392976075527</v>
      </c>
      <c r="AG44" s="550" cm="1">
        <f t="array" ref="AG44">-SUMPRODUCT('W2'!$M$12:$R$112*('W2'!$M$7:$R$7=$A44)*('W2'!$A$12:$A$112=$B44))*$H$10*POWER(1+Inflation,AG$11+1)</f>
        <v>-23939.362624879304</v>
      </c>
      <c r="AH44" s="550" cm="1">
        <f t="array" ref="AH44">-SUMPRODUCT('W2'!$M$12:$R$112*('W2'!$M$7:$R$7=$A44)*('W2'!$A$12:$A$112=$B44))*$H$10*POWER(1+Inflation,AH$11+1)</f>
        <v>-25136.330756123269</v>
      </c>
      <c r="AI44" s="550" cm="1">
        <f t="array" ref="AI44">-SUMPRODUCT('W2'!$M$12:$R$112*('W2'!$M$7:$R$7=$A44)*('W2'!$A$12:$A$112=$B44))*$H$10*POWER(1+Inflation,AI$11+1)</f>
        <v>-26393.147293929429</v>
      </c>
      <c r="AJ44" s="550" cm="1">
        <f t="array" ref="AJ44">-SUMPRODUCT('W2'!$M$12:$R$112*('W2'!$M$7:$R$7=$A44)*('W2'!$A$12:$A$112=$B44))*$H$10*POWER(1+Inflation,AJ$11+1)</f>
        <v>-27712.804658625908</v>
      </c>
    </row>
    <row r="45" spans="1:36" x14ac:dyDescent="0.25">
      <c r="A45" t="s">
        <v>422</v>
      </c>
      <c r="B45" t="s">
        <v>453</v>
      </c>
      <c r="H45" s="454" t="s">
        <v>433</v>
      </c>
      <c r="I45" s="497" t="str">
        <f t="shared" si="36"/>
        <v>tr. VND</v>
      </c>
      <c r="K45" s="550"/>
      <c r="L45" s="550" cm="1">
        <f t="array" ref="L45">-SUMPRODUCT('W2'!$M$12:$R$112*('W2'!$M$7:$R$7=$A45)*('W2'!$A$12:$A$112=$B45))*$H$10*POWER(1+Inflation,L$11+1)</f>
        <v>-552</v>
      </c>
      <c r="M45" s="550" cm="1">
        <f t="array" ref="M45">-SUMPRODUCT('W2'!$M$12:$R$112*('W2'!$M$7:$R$7=$A45)*('W2'!$A$12:$A$112=$B45))*$H$10*POWER(1+Inflation,M$11+1)</f>
        <v>-552</v>
      </c>
      <c r="N45" s="550" cm="1">
        <f t="array" ref="N45">-SUMPRODUCT('W2'!$M$12:$R$112*('W2'!$M$7:$R$7=$A45)*('W2'!$A$12:$A$112=$B45))*$H$10*POWER(1+Inflation,N$11+1)</f>
        <v>-579.6</v>
      </c>
      <c r="O45" s="550" cm="1">
        <f t="array" ref="O45">-SUMPRODUCT('W2'!$M$12:$R$112*('W2'!$M$7:$R$7=$A45)*('W2'!$A$12:$A$112=$B45))*$H$10*POWER(1+Inflation,O$11+1)</f>
        <v>-608.58000000000004</v>
      </c>
      <c r="P45" s="550" cm="1">
        <f t="array" ref="P45">-SUMPRODUCT('W2'!$M$12:$R$112*('W2'!$M$7:$R$7=$A45)*('W2'!$A$12:$A$112=$B45))*$H$10*POWER(1+Inflation,P$11+1)</f>
        <v>-639.00900000000001</v>
      </c>
      <c r="Q45" s="550" cm="1">
        <f t="array" ref="Q45">-SUMPRODUCT('W2'!$M$12:$R$112*('W2'!$M$7:$R$7=$A45)*('W2'!$A$12:$A$112=$B45))*$H$10*POWER(1+Inflation,Q$11+1)</f>
        <v>-670.95945000000006</v>
      </c>
      <c r="R45" s="550" cm="1">
        <f t="array" ref="R45">-SUMPRODUCT('W2'!$M$12:$R$112*('W2'!$M$7:$R$7=$A45)*('W2'!$A$12:$A$112=$B45))*$H$10*POWER(1+Inflation,R$11+1)</f>
        <v>-704.50742250000008</v>
      </c>
      <c r="S45" s="550" cm="1">
        <f t="array" ref="S45">-SUMPRODUCT('W2'!$M$12:$R$112*('W2'!$M$7:$R$7=$A45)*('W2'!$A$12:$A$112=$B45))*$H$10*POWER(1+Inflation,S$11+1)</f>
        <v>-739.732793625</v>
      </c>
      <c r="T45" s="550" cm="1">
        <f t="array" ref="T45">-SUMPRODUCT('W2'!$M$12:$R$112*('W2'!$M$7:$R$7=$A45)*('W2'!$A$12:$A$112=$B45))*$H$10*POWER(1+Inflation,T$11+1)</f>
        <v>-776.71943330625015</v>
      </c>
      <c r="U45" s="550" cm="1">
        <f t="array" ref="U45">-SUMPRODUCT('W2'!$M$12:$R$112*('W2'!$M$7:$R$7=$A45)*('W2'!$A$12:$A$112=$B45))*$H$10*POWER(1+Inflation,U$11+1)</f>
        <v>-815.55540497156255</v>
      </c>
      <c r="V45" s="550" cm="1">
        <f t="array" ref="V45">-SUMPRODUCT('W2'!$M$12:$R$112*('W2'!$M$7:$R$7=$A45)*('W2'!$A$12:$A$112=$B45))*$H$10*POWER(1+Inflation,V$11+1)</f>
        <v>-856.33317522014067</v>
      </c>
      <c r="W45" s="550" cm="1">
        <f t="array" ref="W45">-SUMPRODUCT('W2'!$M$12:$R$112*('W2'!$M$7:$R$7=$A45)*('W2'!$A$12:$A$112=$B45))*$H$10*POWER(1+Inflation,W$11+1)</f>
        <v>-899.14983398114771</v>
      </c>
      <c r="X45" s="550" cm="1">
        <f t="array" ref="X45">-SUMPRODUCT('W2'!$M$12:$R$112*('W2'!$M$7:$R$7=$A45)*('W2'!$A$12:$A$112=$B45))*$H$10*POWER(1+Inflation,X$11+1)</f>
        <v>-944.10732568020524</v>
      </c>
      <c r="Y45" s="550" cm="1">
        <f t="array" ref="Y45">-SUMPRODUCT('W2'!$M$12:$R$112*('W2'!$M$7:$R$7=$A45)*('W2'!$A$12:$A$112=$B45))*$H$10*POWER(1+Inflation,Y$11+1)</f>
        <v>-991.31269196421533</v>
      </c>
      <c r="Z45" s="550" cm="1">
        <f t="array" ref="Z45">-SUMPRODUCT('W2'!$M$12:$R$112*('W2'!$M$7:$R$7=$A45)*('W2'!$A$12:$A$112=$B45))*$H$10*POWER(1+Inflation,Z$11+1)</f>
        <v>-1040.8783265624263</v>
      </c>
      <c r="AA45" s="550" cm="1">
        <f t="array" ref="AA45">-SUMPRODUCT('W2'!$M$12:$R$112*('W2'!$M$7:$R$7=$A45)*('W2'!$A$12:$A$112=$B45))*$H$10*POWER(1+Inflation,AA$11+1)</f>
        <v>-1092.9222428905473</v>
      </c>
      <c r="AB45" s="550" cm="1">
        <f t="array" ref="AB45">-SUMPRODUCT('W2'!$M$12:$R$112*('W2'!$M$7:$R$7=$A45)*('W2'!$A$12:$A$112=$B45))*$H$10*POWER(1+Inflation,AB$11+1)</f>
        <v>-1147.568355035075</v>
      </c>
      <c r="AC45" s="550" cm="1">
        <f t="array" ref="AC45">-SUMPRODUCT('W2'!$M$12:$R$112*('W2'!$M$7:$R$7=$A45)*('W2'!$A$12:$A$112=$B45))*$H$10*POWER(1+Inflation,AC$11+1)</f>
        <v>-1204.9467727868287</v>
      </c>
      <c r="AD45" s="550" cm="1">
        <f t="array" ref="AD45">-SUMPRODUCT('W2'!$M$12:$R$112*('W2'!$M$7:$R$7=$A45)*('W2'!$A$12:$A$112=$B45))*$H$10*POWER(1+Inflation,AD$11+1)</f>
        <v>-1265.1941114261704</v>
      </c>
      <c r="AE45" s="550" cm="1">
        <f t="array" ref="AE45">-SUMPRODUCT('W2'!$M$12:$R$112*('W2'!$M$7:$R$7=$A45)*('W2'!$A$12:$A$112=$B45))*$H$10*POWER(1+Inflation,AE$11+1)</f>
        <v>-1328.4538169974787</v>
      </c>
      <c r="AF45" s="550" cm="1">
        <f t="array" ref="AF45">-SUMPRODUCT('W2'!$M$12:$R$112*('W2'!$M$7:$R$7=$A45)*('W2'!$A$12:$A$112=$B45))*$H$10*POWER(1+Inflation,AF$11+1)</f>
        <v>-1394.8765078473527</v>
      </c>
      <c r="AG45" s="550" cm="1">
        <f t="array" ref="AG45">-SUMPRODUCT('W2'!$M$12:$R$112*('W2'!$M$7:$R$7=$A45)*('W2'!$A$12:$A$112=$B45))*$H$10*POWER(1+Inflation,AG$11+1)</f>
        <v>-1464.6203332397204</v>
      </c>
      <c r="AH45" s="550" cm="1">
        <f t="array" ref="AH45">-SUMPRODUCT('W2'!$M$12:$R$112*('W2'!$M$7:$R$7=$A45)*('W2'!$A$12:$A$112=$B45))*$H$10*POWER(1+Inflation,AH$11+1)</f>
        <v>-1537.8513499017063</v>
      </c>
      <c r="AI45" s="550" cm="1">
        <f t="array" ref="AI45">-SUMPRODUCT('W2'!$M$12:$R$112*('W2'!$M$7:$R$7=$A45)*('W2'!$A$12:$A$112=$B45))*$H$10*POWER(1+Inflation,AI$11+1)</f>
        <v>-1614.7439173967914</v>
      </c>
      <c r="AJ45" s="550" cm="1">
        <f t="array" ref="AJ45">-SUMPRODUCT('W2'!$M$12:$R$112*('W2'!$M$7:$R$7=$A45)*('W2'!$A$12:$A$112=$B45))*$H$10*POWER(1+Inflation,AJ$11+1)</f>
        <v>-1695.4811132666314</v>
      </c>
    </row>
    <row r="46" spans="1:36" x14ac:dyDescent="0.25">
      <c r="A46" t="s">
        <v>422</v>
      </c>
      <c r="B46" t="s">
        <v>521</v>
      </c>
      <c r="H46" s="454" t="s">
        <v>520</v>
      </c>
      <c r="I46" s="497" t="str">
        <f t="shared" si="36"/>
        <v>tr. VND</v>
      </c>
      <c r="K46" s="550"/>
      <c r="L46" s="550" cm="1">
        <f t="array" ref="L46">-SUMPRODUCT('W2'!$M$12:$R$112*('W2'!$M$7:$R$7=$A46)*('W2'!$A$12:$A$112=$B46))*$H$10</f>
        <v>-601.49959999999999</v>
      </c>
      <c r="M46" s="550" cm="1">
        <f t="array" ref="M46">-SUMPRODUCT('W2'!$M$12:$R$112*('W2'!$M$7:$R$7=$A46)*('W2'!$A$12:$A$112=$B46))*$H$10</f>
        <v>-601.49959999999999</v>
      </c>
      <c r="N46" s="550" cm="1">
        <f t="array" ref="N46">-SUMPRODUCT('W2'!$M$12:$R$112*('W2'!$M$7:$R$7=$A46)*('W2'!$A$12:$A$112=$B46))*$H$10</f>
        <v>-601.49959999999999</v>
      </c>
      <c r="O46" s="550" cm="1">
        <f t="array" ref="O46">-SUMPRODUCT('W2'!$M$12:$R$112*('W2'!$M$7:$R$7=$A46)*('W2'!$A$12:$A$112=$B46))*$H$10</f>
        <v>-601.49959999999999</v>
      </c>
      <c r="P46" s="550" cm="1">
        <f t="array" ref="P46">-SUMPRODUCT('W2'!$M$12:$R$112*('W2'!$M$7:$R$7=$A46)*('W2'!$A$12:$A$112=$B46))*$H$10</f>
        <v>-601.49959999999999</v>
      </c>
      <c r="Q46" s="550" cm="1">
        <f t="array" ref="Q46">-SUMPRODUCT('W2'!$M$12:$R$112*('W2'!$M$7:$R$7=$A46)*('W2'!$A$12:$A$112=$B46))*$H$10</f>
        <v>-601.49959999999999</v>
      </c>
      <c r="R46" s="550" cm="1">
        <f t="array" ref="R46">-SUMPRODUCT('W2'!$M$12:$R$112*('W2'!$M$7:$R$7=$A46)*('W2'!$A$12:$A$112=$B46))*$H$10</f>
        <v>-601.49959999999999</v>
      </c>
      <c r="S46" s="550" cm="1">
        <f t="array" ref="S46">-SUMPRODUCT('W2'!$M$12:$R$112*('W2'!$M$7:$R$7=$A46)*('W2'!$A$12:$A$112=$B46))*$H$10</f>
        <v>-601.49959999999999</v>
      </c>
      <c r="T46" s="550" cm="1">
        <f t="array" ref="T46">-SUMPRODUCT('W2'!$M$12:$R$112*('W2'!$M$7:$R$7=$A46)*('W2'!$A$12:$A$112=$B46))*$H$10</f>
        <v>-601.49959999999999</v>
      </c>
      <c r="U46" s="550" cm="1">
        <f t="array" ref="U46">-SUMPRODUCT('W2'!$M$12:$R$112*('W2'!$M$7:$R$7=$A46)*('W2'!$A$12:$A$112=$B46))*$H$10</f>
        <v>-601.49959999999999</v>
      </c>
      <c r="V46" s="550" cm="1">
        <f t="array" ref="V46">-SUMPRODUCT('W2'!$M$12:$R$112*('W2'!$M$7:$R$7=$A46)*('W2'!$A$12:$A$112=$B46))*$H$10</f>
        <v>-601.49959999999999</v>
      </c>
      <c r="W46" s="550" cm="1">
        <f t="array" ref="W46">-SUMPRODUCT('W2'!$M$12:$R$112*('W2'!$M$7:$R$7=$A46)*('W2'!$A$12:$A$112=$B46))*$H$10</f>
        <v>-601.49959999999999</v>
      </c>
      <c r="X46" s="550" cm="1">
        <f t="array" ref="X46">-SUMPRODUCT('W2'!$M$12:$R$112*('W2'!$M$7:$R$7=$A46)*('W2'!$A$12:$A$112=$B46))*$H$10</f>
        <v>-601.49959999999999</v>
      </c>
      <c r="Y46" s="550" cm="1">
        <f t="array" ref="Y46">-SUMPRODUCT('W2'!$M$12:$R$112*('W2'!$M$7:$R$7=$A46)*('W2'!$A$12:$A$112=$B46))*$H$10</f>
        <v>-601.49959999999999</v>
      </c>
      <c r="Z46" s="550" cm="1">
        <f t="array" ref="Z46">-SUMPRODUCT('W2'!$M$12:$R$112*('W2'!$M$7:$R$7=$A46)*('W2'!$A$12:$A$112=$B46))*$H$10</f>
        <v>-601.49959999999999</v>
      </c>
      <c r="AA46" s="550" cm="1">
        <f t="array" ref="AA46">-SUMPRODUCT('W2'!$M$12:$R$112*('W2'!$M$7:$R$7=$A46)*('W2'!$A$12:$A$112=$B46))*$H$10</f>
        <v>-601.49959999999999</v>
      </c>
      <c r="AB46" s="550" cm="1">
        <f t="array" ref="AB46">-SUMPRODUCT('W2'!$M$12:$R$112*('W2'!$M$7:$R$7=$A46)*('W2'!$A$12:$A$112=$B46))*$H$10</f>
        <v>-601.49959999999999</v>
      </c>
      <c r="AC46" s="550" cm="1">
        <f t="array" ref="AC46">-SUMPRODUCT('W2'!$M$12:$R$112*('W2'!$M$7:$R$7=$A46)*('W2'!$A$12:$A$112=$B46))*$H$10</f>
        <v>-601.49959999999999</v>
      </c>
      <c r="AD46" s="550" cm="1">
        <f t="array" ref="AD46">-SUMPRODUCT('W2'!$M$12:$R$112*('W2'!$M$7:$R$7=$A46)*('W2'!$A$12:$A$112=$B46))*$H$10</f>
        <v>-601.49959999999999</v>
      </c>
      <c r="AE46" s="550" cm="1">
        <f t="array" ref="AE46">-SUMPRODUCT('W2'!$M$12:$R$112*('W2'!$M$7:$R$7=$A46)*('W2'!$A$12:$A$112=$B46))*$H$10</f>
        <v>-601.49959999999999</v>
      </c>
      <c r="AF46" s="550" cm="1">
        <f t="array" ref="AF46">-SUMPRODUCT('W2'!$M$12:$R$112*('W2'!$M$7:$R$7=$A46)*('W2'!$A$12:$A$112=$B46))*$H$10</f>
        <v>-601.49959999999999</v>
      </c>
      <c r="AG46" s="550" cm="1">
        <f t="array" ref="AG46">-SUMPRODUCT('W2'!$M$12:$R$112*('W2'!$M$7:$R$7=$A46)*('W2'!$A$12:$A$112=$B46))*$H$10</f>
        <v>-601.49959999999999</v>
      </c>
      <c r="AH46" s="550" cm="1">
        <f t="array" ref="AH46">-SUMPRODUCT('W2'!$M$12:$R$112*('W2'!$M$7:$R$7=$A46)*('W2'!$A$12:$A$112=$B46))*$H$10</f>
        <v>-601.49959999999999</v>
      </c>
      <c r="AI46" s="550" cm="1">
        <f t="array" ref="AI46">-SUMPRODUCT('W2'!$M$12:$R$112*('W2'!$M$7:$R$7=$A46)*('W2'!$A$12:$A$112=$B46))*$H$10</f>
        <v>-601.49959999999999</v>
      </c>
      <c r="AJ46" s="550" cm="1">
        <f t="array" ref="AJ46">-SUMPRODUCT('W2'!$M$12:$R$112*('W2'!$M$7:$R$7=$A46)*('W2'!$A$12:$A$112=$B46))*$H$10</f>
        <v>-601.49959999999999</v>
      </c>
    </row>
    <row r="47" spans="1:36" x14ac:dyDescent="0.25">
      <c r="A47" t="s">
        <v>422</v>
      </c>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row>
    <row r="48" spans="1:36" s="1" customFormat="1" x14ac:dyDescent="0.25">
      <c r="A48" s="1" t="s">
        <v>422</v>
      </c>
      <c r="H48" s="266" t="s">
        <v>435</v>
      </c>
      <c r="I48" s="267" t="str">
        <f t="shared" ref="I48:I58" si="41">IF($H$9="USD","USD","tr. VND")</f>
        <v>tr. VND</v>
      </c>
      <c r="K48" s="269">
        <f>K49+K52+K55</f>
        <v>0</v>
      </c>
      <c r="L48" s="269">
        <f t="shared" ref="L48:AJ48" si="42">L49+L52+L55</f>
        <v>-92494.065303826777</v>
      </c>
      <c r="M48" s="269">
        <f t="shared" si="42"/>
        <v>-128793.29243442416</v>
      </c>
      <c r="N48" s="269">
        <f t="shared" si="42"/>
        <v>-187365.60190480959</v>
      </c>
      <c r="O48" s="269">
        <f t="shared" si="42"/>
        <v>-191595.4979197002</v>
      </c>
      <c r="P48" s="269">
        <f t="shared" si="42"/>
        <v>-195935.14761304564</v>
      </c>
      <c r="Q48" s="269">
        <f t="shared" si="42"/>
        <v>-200388.00384632294</v>
      </c>
      <c r="R48" s="269">
        <f t="shared" si="42"/>
        <v>-204957.65142763397</v>
      </c>
      <c r="S48" s="269">
        <f t="shared" si="42"/>
        <v>-209647.81289510772</v>
      </c>
      <c r="T48" s="269">
        <f t="shared" si="42"/>
        <v>-214462.35457319432</v>
      </c>
      <c r="U48" s="269">
        <f t="shared" si="42"/>
        <v>-219405.29291516927</v>
      </c>
      <c r="V48" s="269">
        <f t="shared" si="42"/>
        <v>-224480.80114582658</v>
      </c>
      <c r="W48" s="269">
        <f t="shared" si="42"/>
        <v>-229693.21621903207</v>
      </c>
      <c r="X48" s="269">
        <f t="shared" si="42"/>
        <v>-234044.54677220009</v>
      </c>
      <c r="Y48" s="269">
        <f t="shared" si="42"/>
        <v>-239544.47809385488</v>
      </c>
      <c r="Z48" s="269">
        <f t="shared" si="42"/>
        <v>-245195.38412123729</v>
      </c>
      <c r="AA48" s="269">
        <f t="shared" si="42"/>
        <v>-251002.33315242664</v>
      </c>
      <c r="AB48" s="269">
        <f t="shared" si="42"/>
        <v>-256970.59729166192</v>
      </c>
      <c r="AC48" s="269">
        <f t="shared" si="42"/>
        <v>-263105.66164747532</v>
      </c>
      <c r="AD48" s="269">
        <f t="shared" si="42"/>
        <v>-269413.23397088796</v>
      </c>
      <c r="AE48" s="269">
        <f t="shared" si="42"/>
        <v>-275899.25475527602</v>
      </c>
      <c r="AF48" s="269">
        <f t="shared" si="42"/>
        <v>-282569.90782058443</v>
      </c>
      <c r="AG48" s="269">
        <f t="shared" si="42"/>
        <v>-289431.63140569301</v>
      </c>
      <c r="AH48" s="269">
        <f t="shared" si="42"/>
        <v>-296491.12979392271</v>
      </c>
      <c r="AI48" s="269">
        <f t="shared" si="42"/>
        <v>-303755.38549790683</v>
      </c>
      <c r="AJ48" s="269">
        <f t="shared" si="42"/>
        <v>-311231.67203135975</v>
      </c>
    </row>
    <row r="49" spans="1:36" x14ac:dyDescent="0.25">
      <c r="A49" t="s">
        <v>422</v>
      </c>
      <c r="H49" s="637" t="s">
        <v>454</v>
      </c>
      <c r="I49" s="638" t="str">
        <f t="shared" si="41"/>
        <v>tr. VND</v>
      </c>
      <c r="K49" s="639">
        <f>SUM(K50:K51)</f>
        <v>0</v>
      </c>
      <c r="L49" s="639">
        <f t="shared" ref="L49:Z49" si="43">SUM(L50:L51)</f>
        <v>-83121.831936000002</v>
      </c>
      <c r="M49" s="639">
        <f t="shared" si="43"/>
        <v>-116370.56471040001</v>
      </c>
      <c r="N49" s="639">
        <f t="shared" si="43"/>
        <v>-169568.53714944003</v>
      </c>
      <c r="O49" s="639">
        <f t="shared" si="43"/>
        <v>-172959.90789242883</v>
      </c>
      <c r="P49" s="639">
        <f t="shared" si="43"/>
        <v>-176419.10605027739</v>
      </c>
      <c r="Q49" s="639">
        <f t="shared" si="43"/>
        <v>-179947.48817128292</v>
      </c>
      <c r="R49" s="639">
        <f t="shared" si="43"/>
        <v>-183546.43793470861</v>
      </c>
      <c r="S49" s="639">
        <f t="shared" si="43"/>
        <v>-187217.36669340279</v>
      </c>
      <c r="T49" s="639">
        <f t="shared" si="43"/>
        <v>-190961.71402727079</v>
      </c>
      <c r="U49" s="639">
        <f t="shared" si="43"/>
        <v>-194780.9483078162</v>
      </c>
      <c r="V49" s="639">
        <f t="shared" si="43"/>
        <v>-198676.56727397256</v>
      </c>
      <c r="W49" s="639">
        <f t="shared" si="43"/>
        <v>-202650.09861945201</v>
      </c>
      <c r="X49" s="639">
        <f t="shared" si="43"/>
        <v>-206703.10059184101</v>
      </c>
      <c r="Y49" s="639">
        <f t="shared" si="43"/>
        <v>-210837.16260367786</v>
      </c>
      <c r="Z49" s="639">
        <f t="shared" si="43"/>
        <v>-215053.90585575142</v>
      </c>
      <c r="AA49" s="639">
        <f t="shared" ref="AA49" si="44">SUM(AA50:AA51)</f>
        <v>-219354.98397286647</v>
      </c>
      <c r="AB49" s="639">
        <f t="shared" ref="AB49" si="45">SUM(AB50:AB51)</f>
        <v>-223742.08365232372</v>
      </c>
      <c r="AC49" s="639">
        <f t="shared" ref="AC49" si="46">SUM(AC50:AC51)</f>
        <v>-228216.92532537025</v>
      </c>
      <c r="AD49" s="639">
        <f t="shared" ref="AD49" si="47">SUM(AD50:AD51)</f>
        <v>-232781.26383187764</v>
      </c>
      <c r="AE49" s="639">
        <f t="shared" ref="AE49" si="48">SUM(AE50:AE51)</f>
        <v>-237436.88910851517</v>
      </c>
      <c r="AF49" s="639">
        <f t="shared" ref="AF49" si="49">SUM(AF50:AF51)</f>
        <v>-242185.6268906855</v>
      </c>
      <c r="AG49" s="639">
        <f t="shared" ref="AG49" si="50">SUM(AG50:AG51)</f>
        <v>-247029.3394284992</v>
      </c>
      <c r="AH49" s="639">
        <f t="shared" ref="AH49" si="51">SUM(AH50:AH51)</f>
        <v>-251969.92621706918</v>
      </c>
      <c r="AI49" s="639">
        <f t="shared" ref="AI49" si="52">SUM(AI50:AI51)</f>
        <v>-257009.32474141059</v>
      </c>
      <c r="AJ49" s="639">
        <f t="shared" ref="AJ49" si="53">SUM(AJ50:AJ51)</f>
        <v>-262149.51123623876</v>
      </c>
    </row>
    <row r="50" spans="1:36" s="299" customFormat="1" x14ac:dyDescent="0.25">
      <c r="A50" s="299" t="s">
        <v>422</v>
      </c>
      <c r="B50" s="299" t="s">
        <v>459</v>
      </c>
      <c r="H50" s="554" t="s">
        <v>167</v>
      </c>
      <c r="I50" s="555" t="str">
        <f t="shared" si="41"/>
        <v>tr. VND</v>
      </c>
      <c r="K50" s="556"/>
      <c r="L50" s="556" cm="1">
        <f t="array" ref="L50">-SUMPRODUCT('W2'!$M$12:$R$112*('W2'!$M$7:$R$7=$A50)*('W2'!$A$12:$A$112=$B50))*L27*$H$10*POWER(1+INDEX('Cover Page'!$H$8:$W$8,MATCH($A50,'Cover Page'!$H$5:$W$5,0)),1+L$13)</f>
        <v>-77303.303700479999</v>
      </c>
      <c r="M50" s="556" cm="1">
        <f t="array" ref="M50">-SUMPRODUCT('W2'!$M$12:$R$112*('W2'!$M$7:$R$7=$A50)*('W2'!$A$12:$A$112=$B50))*M27*$H$10*POWER(1+INDEX('Cover Page'!$H$8:$W$8,MATCH($A27,'Cover Page'!$H$5:$W$5,0)),1+M$13)</f>
        <v>-108224.625180672</v>
      </c>
      <c r="N50" s="556" cm="1">
        <f t="array" ref="N50">-SUMPRODUCT('W2'!$M$12:$R$112*('W2'!$M$7:$R$7=$A50)*('W2'!$A$12:$A$112=$B50))*N27*$H$10*POWER(1+INDEX('Cover Page'!$H$8:$W$8,MATCH($A27,'Cover Page'!$H$5:$W$5,0)),1+N$13)</f>
        <v>-157698.73954897921</v>
      </c>
      <c r="O50" s="556" cm="1">
        <f t="array" ref="O50">-SUMPRODUCT('W2'!$M$12:$R$112*('W2'!$M$7:$R$7=$A50)*('W2'!$A$12:$A$112=$B50))*O27*$H$10*POWER(1+INDEX('Cover Page'!$H$8:$W$8,MATCH($A27,'Cover Page'!$H$5:$W$5,0)),1+O$13)</f>
        <v>-160852.71433995879</v>
      </c>
      <c r="P50" s="556" cm="1">
        <f t="array" ref="P50">-SUMPRODUCT('W2'!$M$12:$R$112*('W2'!$M$7:$R$7=$A50)*('W2'!$A$12:$A$112=$B50))*P27*$H$10*POWER(1+INDEX('Cover Page'!$H$8:$W$8,MATCH($A27,'Cover Page'!$H$5:$W$5,0)),1+P$13)</f>
        <v>-164069.76862675796</v>
      </c>
      <c r="Q50" s="556" cm="1">
        <f t="array" ref="Q50">-SUMPRODUCT('W2'!$M$12:$R$112*('W2'!$M$7:$R$7=$A50)*('W2'!$A$12:$A$112=$B50))*Q27*$H$10*POWER(1+INDEX('Cover Page'!$H$8:$W$8,MATCH($A27,'Cover Page'!$H$5:$W$5,0)),1+Q$13)</f>
        <v>-167351.16399929312</v>
      </c>
      <c r="R50" s="556" cm="1">
        <f t="array" ref="R50">-SUMPRODUCT('W2'!$M$12:$R$112*('W2'!$M$7:$R$7=$A50)*('W2'!$A$12:$A$112=$B50))*R27*$H$10*POWER(1+INDEX('Cover Page'!$H$8:$W$8,MATCH($A27,'Cover Page'!$H$5:$W$5,0)),1+R$13)</f>
        <v>-170698.18727927899</v>
      </c>
      <c r="S50" s="556" cm="1">
        <f t="array" ref="S50">-SUMPRODUCT('W2'!$M$12:$R$112*('W2'!$M$7:$R$7=$A50)*('W2'!$A$12:$A$112=$B50))*S27*$H$10*POWER(1+INDEX('Cover Page'!$H$8:$W$8,MATCH($A27,'Cover Page'!$H$5:$W$5,0)),1+S$13)</f>
        <v>-174112.15102486458</v>
      </c>
      <c r="T50" s="556" cm="1">
        <f t="array" ref="T50">-SUMPRODUCT('W2'!$M$12:$R$112*('W2'!$M$7:$R$7=$A50)*('W2'!$A$12:$A$112=$B50))*T27*$H$10*POWER(1+INDEX('Cover Page'!$H$8:$W$8,MATCH($A27,'Cover Page'!$H$5:$W$5,0)),1+T$13)</f>
        <v>-177594.39404536181</v>
      </c>
      <c r="U50" s="556" cm="1">
        <f t="array" ref="U50">-SUMPRODUCT('W2'!$M$12:$R$112*('W2'!$M$7:$R$7=$A50)*('W2'!$A$12:$A$112=$B50))*U27*$H$10*POWER(1+INDEX('Cover Page'!$H$8:$W$8,MATCH($A27,'Cover Page'!$H$5:$W$5,0)),1+U$13)</f>
        <v>-181146.28192626906</v>
      </c>
      <c r="V50" s="556" cm="1">
        <f t="array" ref="V50">-SUMPRODUCT('W2'!$M$12:$R$112*('W2'!$M$7:$R$7=$A50)*('W2'!$A$12:$A$112=$B50))*V27*$H$10*POWER(1+INDEX('Cover Page'!$H$8:$W$8,MATCH($A27,'Cover Page'!$H$5:$W$5,0)),1+V$13)</f>
        <v>-184769.20756479446</v>
      </c>
      <c r="W50" s="556" cm="1">
        <f t="array" ref="W50">-SUMPRODUCT('W2'!$M$12:$R$112*('W2'!$M$7:$R$7=$A50)*('W2'!$A$12:$A$112=$B50))*W27*$H$10*POWER(1+INDEX('Cover Page'!$H$8:$W$8,MATCH($A27,'Cover Page'!$H$5:$W$5,0)),1+W$13)</f>
        <v>-188464.59171609036</v>
      </c>
      <c r="X50" s="556" cm="1">
        <f t="array" ref="X50">-SUMPRODUCT('W2'!$M$12:$R$112*('W2'!$M$7:$R$7=$A50)*('W2'!$A$12:$A$112=$B50))*X27*$H$10*POWER(1+INDEX('Cover Page'!$H$8:$W$8,MATCH($A27,'Cover Page'!$H$5:$W$5,0)),1+X$13)</f>
        <v>-192233.88355041214</v>
      </c>
      <c r="Y50" s="556" cm="1">
        <f t="array" ref="Y50">-SUMPRODUCT('W2'!$M$12:$R$112*('W2'!$M$7:$R$7=$A50)*('W2'!$A$12:$A$112=$B50))*Y27*$H$10*POWER(1+INDEX('Cover Page'!$H$8:$W$8,MATCH($A27,'Cover Page'!$H$5:$W$5,0)),1+Y$13)</f>
        <v>-196078.56122142039</v>
      </c>
      <c r="Z50" s="556" cm="1">
        <f t="array" ref="Z50">-SUMPRODUCT('W2'!$M$12:$R$112*('W2'!$M$7:$R$7=$A50)*('W2'!$A$12:$A$112=$B50))*Z27*$H$10*POWER(1+INDEX('Cover Page'!$H$8:$W$8,MATCH($A27,'Cover Page'!$H$5:$W$5,0)),1+Z$13)</f>
        <v>-200000.13244584881</v>
      </c>
      <c r="AA50" s="556" cm="1">
        <f t="array" ref="AA50">-SUMPRODUCT('W2'!$M$12:$R$112*('W2'!$M$7:$R$7=$A50)*('W2'!$A$12:$A$112=$B50))*AA27*$H$10*POWER(1+INDEX('Cover Page'!$H$8:$W$8,MATCH($A27,'Cover Page'!$H$5:$W$5,0)),1+AA$13)</f>
        <v>-204000.13509476581</v>
      </c>
      <c r="AB50" s="556" cm="1">
        <f t="array" ref="AB50">-SUMPRODUCT('W2'!$M$12:$R$112*('W2'!$M$7:$R$7=$A50)*('W2'!$A$12:$A$112=$B50))*AB27*$H$10*POWER(1+INDEX('Cover Page'!$H$8:$W$8,MATCH($A27,'Cover Page'!$H$5:$W$5,0)),1+AB$13)</f>
        <v>-208080.13779666106</v>
      </c>
      <c r="AC50" s="556" cm="1">
        <f t="array" ref="AC50">-SUMPRODUCT('W2'!$M$12:$R$112*('W2'!$M$7:$R$7=$A50)*('W2'!$A$12:$A$112=$B50))*AC27*$H$10*POWER(1+INDEX('Cover Page'!$H$8:$W$8,MATCH($A27,'Cover Page'!$H$5:$W$5,0)),1+AC$13)</f>
        <v>-212241.7405525943</v>
      </c>
      <c r="AD50" s="556" cm="1">
        <f t="array" ref="AD50">-SUMPRODUCT('W2'!$M$12:$R$112*('W2'!$M$7:$R$7=$A50)*('W2'!$A$12:$A$112=$B50))*AD27*$H$10*POWER(1+INDEX('Cover Page'!$H$8:$W$8,MATCH($A27,'Cover Page'!$H$5:$W$5,0)),1+AD$13)</f>
        <v>-216486.5753636462</v>
      </c>
      <c r="AE50" s="556" cm="1">
        <f t="array" ref="AE50">-SUMPRODUCT('W2'!$M$12:$R$112*('W2'!$M$7:$R$7=$A50)*('W2'!$A$12:$A$112=$B50))*AE27*$H$10*POWER(1+INDEX('Cover Page'!$H$8:$W$8,MATCH($A27,'Cover Page'!$H$5:$W$5,0)),1+AE$13)</f>
        <v>-220816.3068709191</v>
      </c>
      <c r="AF50" s="556" cm="1">
        <f t="array" ref="AF50">-SUMPRODUCT('W2'!$M$12:$R$112*('W2'!$M$7:$R$7=$A50)*('W2'!$A$12:$A$112=$B50))*AF27*$H$10*POWER(1+INDEX('Cover Page'!$H$8:$W$8,MATCH($A27,'Cover Page'!$H$5:$W$5,0)),1+AF$13)</f>
        <v>-225232.63300833749</v>
      </c>
      <c r="AG50" s="556" cm="1">
        <f t="array" ref="AG50">-SUMPRODUCT('W2'!$M$12:$R$112*('W2'!$M$7:$R$7=$A50)*('W2'!$A$12:$A$112=$B50))*AG27*$H$10*POWER(1+INDEX('Cover Page'!$H$8:$W$8,MATCH($A27,'Cover Page'!$H$5:$W$5,0)),1+AG$13)</f>
        <v>-229737.28566850425</v>
      </c>
      <c r="AH50" s="556" cm="1">
        <f t="array" ref="AH50">-SUMPRODUCT('W2'!$M$12:$R$112*('W2'!$M$7:$R$7=$A50)*('W2'!$A$12:$A$112=$B50))*AH27*$H$10*POWER(1+INDEX('Cover Page'!$H$8:$W$8,MATCH($A27,'Cover Page'!$H$5:$W$5,0)),1+AH$13)</f>
        <v>-234332.03138187432</v>
      </c>
      <c r="AI50" s="556" cm="1">
        <f t="array" ref="AI50">-SUMPRODUCT('W2'!$M$12:$R$112*('W2'!$M$7:$R$7=$A50)*('W2'!$A$12:$A$112=$B50))*AI27*$H$10*POWER(1+INDEX('Cover Page'!$H$8:$W$8,MATCH($A27,'Cover Page'!$H$5:$W$5,0)),1+AI$13)</f>
        <v>-239018.67200951182</v>
      </c>
      <c r="AJ50" s="556" cm="1">
        <f t="array" ref="AJ50">-SUMPRODUCT('W2'!$M$12:$R$112*('W2'!$M$7:$R$7=$A50)*('W2'!$A$12:$A$112=$B50))*AJ27*$H$10*POWER(1+INDEX('Cover Page'!$H$8:$W$8,MATCH($A27,'Cover Page'!$H$5:$W$5,0)),1+AJ$13)</f>
        <v>-243799.04544970201</v>
      </c>
    </row>
    <row r="51" spans="1:36" s="299" customFormat="1" x14ac:dyDescent="0.25">
      <c r="A51" s="299" t="s">
        <v>422</v>
      </c>
      <c r="H51" s="554" t="s">
        <v>203</v>
      </c>
      <c r="I51" s="555" t="str">
        <f t="shared" si="41"/>
        <v>tr. VND</v>
      </c>
      <c r="K51" s="640"/>
      <c r="L51" s="640">
        <f>L50/(1-L25)-L50</f>
        <v>-5818.5282355200034</v>
      </c>
      <c r="M51" s="640">
        <f t="shared" ref="M51:AJ51" si="54">M50/(1-M25)-M50</f>
        <v>-8145.9395297280134</v>
      </c>
      <c r="N51" s="640">
        <f t="shared" si="54"/>
        <v>-11869.797600460821</v>
      </c>
      <c r="O51" s="640">
        <f t="shared" si="54"/>
        <v>-12107.193552470038</v>
      </c>
      <c r="P51" s="640">
        <f t="shared" si="54"/>
        <v>-12349.337423519435</v>
      </c>
      <c r="Q51" s="640">
        <f t="shared" si="54"/>
        <v>-12596.324171989807</v>
      </c>
      <c r="R51" s="640">
        <f t="shared" si="54"/>
        <v>-12848.250655429612</v>
      </c>
      <c r="S51" s="640">
        <f t="shared" si="54"/>
        <v>-13105.215668538207</v>
      </c>
      <c r="T51" s="640">
        <f t="shared" si="54"/>
        <v>-13367.319981908979</v>
      </c>
      <c r="U51" s="640">
        <f t="shared" si="54"/>
        <v>-13634.66638154714</v>
      </c>
      <c r="V51" s="640">
        <f t="shared" si="54"/>
        <v>-13907.359709178098</v>
      </c>
      <c r="W51" s="640">
        <f t="shared" si="54"/>
        <v>-14185.506903361646</v>
      </c>
      <c r="X51" s="640">
        <f t="shared" si="54"/>
        <v>-14469.21704142887</v>
      </c>
      <c r="Y51" s="640">
        <f t="shared" si="54"/>
        <v>-14758.601382257475</v>
      </c>
      <c r="Z51" s="640">
        <f t="shared" si="54"/>
        <v>-15053.773409902613</v>
      </c>
      <c r="AA51" s="640">
        <f t="shared" si="54"/>
        <v>-15354.84887810066</v>
      </c>
      <c r="AB51" s="640">
        <f t="shared" si="54"/>
        <v>-15661.945855662663</v>
      </c>
      <c r="AC51" s="640">
        <f t="shared" si="54"/>
        <v>-15975.184772775945</v>
      </c>
      <c r="AD51" s="640">
        <f t="shared" si="54"/>
        <v>-16294.688468231441</v>
      </c>
      <c r="AE51" s="640">
        <f t="shared" si="54"/>
        <v>-16620.582237596071</v>
      </c>
      <c r="AF51" s="640">
        <f t="shared" si="54"/>
        <v>-16952.993882348004</v>
      </c>
      <c r="AG51" s="640">
        <f t="shared" si="54"/>
        <v>-17292.053759994946</v>
      </c>
      <c r="AH51" s="640">
        <f t="shared" si="54"/>
        <v>-17637.894835194864</v>
      </c>
      <c r="AI51" s="640">
        <f t="shared" si="54"/>
        <v>-17990.652731898765</v>
      </c>
      <c r="AJ51" s="640">
        <f t="shared" si="54"/>
        <v>-18350.465786536748</v>
      </c>
    </row>
    <row r="52" spans="1:36" x14ac:dyDescent="0.25">
      <c r="A52" t="s">
        <v>422</v>
      </c>
      <c r="H52" s="454" t="s">
        <v>676</v>
      </c>
      <c r="I52" s="497" t="s">
        <v>672</v>
      </c>
      <c r="K52" s="617">
        <f t="shared" ref="K52:AJ52" si="55">SUM(K53:K54)</f>
        <v>0</v>
      </c>
      <c r="L52" s="617">
        <f t="shared" si="55"/>
        <v>-632.43325753344004</v>
      </c>
      <c r="M52" s="617">
        <f t="shared" si="55"/>
        <v>-885.40656054681608</v>
      </c>
      <c r="N52" s="617">
        <f t="shared" si="55"/>
        <v>-1328.1098408202242</v>
      </c>
      <c r="O52" s="617">
        <f t="shared" si="55"/>
        <v>-1394.5153328612353</v>
      </c>
      <c r="P52" s="617">
        <f t="shared" si="55"/>
        <v>-1464.2410995042972</v>
      </c>
      <c r="Q52" s="617">
        <f t="shared" si="55"/>
        <v>-1537.453154479512</v>
      </c>
      <c r="R52" s="617">
        <f t="shared" si="55"/>
        <v>-1614.3258122034877</v>
      </c>
      <c r="S52" s="617">
        <f t="shared" si="55"/>
        <v>-1695.0421028136618</v>
      </c>
      <c r="T52" s="617">
        <f t="shared" si="55"/>
        <v>-1779.7942079543452</v>
      </c>
      <c r="U52" s="617">
        <f t="shared" si="55"/>
        <v>-1868.7839183520623</v>
      </c>
      <c r="V52" s="617">
        <f t="shared" si="55"/>
        <v>-1962.2231142696655</v>
      </c>
      <c r="W52" s="617">
        <f t="shared" si="55"/>
        <v>-2060.3342699831487</v>
      </c>
      <c r="X52" s="617">
        <f t="shared" si="55"/>
        <v>-2163.3509834823062</v>
      </c>
      <c r="Y52" s="617">
        <f t="shared" si="55"/>
        <v>-2271.5185326564215</v>
      </c>
      <c r="Z52" s="617">
        <f t="shared" si="55"/>
        <v>-2385.0944592892429</v>
      </c>
      <c r="AA52" s="617">
        <f t="shared" si="55"/>
        <v>-2504.3491822537044</v>
      </c>
      <c r="AB52" s="617">
        <f t="shared" si="55"/>
        <v>-2629.5666413663907</v>
      </c>
      <c r="AC52" s="617">
        <f t="shared" si="55"/>
        <v>-2761.0449734347098</v>
      </c>
      <c r="AD52" s="617">
        <f t="shared" si="55"/>
        <v>-2899.0972221064458</v>
      </c>
      <c r="AE52" s="617">
        <f t="shared" si="55"/>
        <v>-3044.0520832117677</v>
      </c>
      <c r="AF52" s="617">
        <f t="shared" si="55"/>
        <v>-3196.2546873723563</v>
      </c>
      <c r="AG52" s="617">
        <f t="shared" si="55"/>
        <v>-3356.0674217409742</v>
      </c>
      <c r="AH52" s="617">
        <f t="shared" si="55"/>
        <v>-3523.8707928280228</v>
      </c>
      <c r="AI52" s="617">
        <f t="shared" si="55"/>
        <v>-3700.0643324694233</v>
      </c>
      <c r="AJ52" s="617">
        <f t="shared" si="55"/>
        <v>-3885.0675490928957</v>
      </c>
    </row>
    <row r="53" spans="1:36" s="299" customFormat="1" x14ac:dyDescent="0.25">
      <c r="A53" s="299" t="s">
        <v>422</v>
      </c>
      <c r="B53" s="299" t="s">
        <v>667</v>
      </c>
      <c r="H53" s="554" t="s">
        <v>673</v>
      </c>
      <c r="I53" s="555" t="s">
        <v>672</v>
      </c>
      <c r="K53" s="556"/>
      <c r="L53" s="556" cm="1">
        <f t="array" ref="L53">-SUMPRODUCT('W2'!$M$12:$R$112*('W2'!$M$7:$R$7=$A53)*('W2'!$A$12:$A$112=$B53))*L33*$H$10*POWER(1+Inflation,L$11+1)</f>
        <v>-632.43325753344004</v>
      </c>
      <c r="M53" s="556" cm="1">
        <f t="array" ref="M53">-SUMPRODUCT('W2'!$M$12:$R$112*('W2'!$M$7:$R$7=$A53)*('W2'!$A$12:$A$112=$B53))*M33*$H$10*POWER(1+Inflation,M$11+1)</f>
        <v>-885.40656054681608</v>
      </c>
      <c r="N53" s="556" cm="1">
        <f t="array" ref="N53">-SUMPRODUCT('W2'!$M$12:$R$112*('W2'!$M$7:$R$7=$A53)*('W2'!$A$12:$A$112=$B53))*N33*$H$10*POWER(1+Inflation,N$11+1)</f>
        <v>-1328.1098408202242</v>
      </c>
      <c r="O53" s="556" cm="1">
        <f t="array" ref="O53">-SUMPRODUCT('W2'!$M$12:$R$112*('W2'!$M$7:$R$7=$A53)*('W2'!$A$12:$A$112=$B53))*O33*$H$10*POWER(1+Inflation,O$11+1)</f>
        <v>-1394.5153328612353</v>
      </c>
      <c r="P53" s="556" cm="1">
        <f t="array" ref="P53">-SUMPRODUCT('W2'!$M$12:$R$112*('W2'!$M$7:$R$7=$A53)*('W2'!$A$12:$A$112=$B53))*P33*$H$10*POWER(1+Inflation,P$11+1)</f>
        <v>-1464.2410995042972</v>
      </c>
      <c r="Q53" s="556" cm="1">
        <f t="array" ref="Q53">-SUMPRODUCT('W2'!$M$12:$R$112*('W2'!$M$7:$R$7=$A53)*('W2'!$A$12:$A$112=$B53))*Q33*$H$10*POWER(1+Inflation,Q$11+1)</f>
        <v>-1537.453154479512</v>
      </c>
      <c r="R53" s="556" cm="1">
        <f t="array" ref="R53">-SUMPRODUCT('W2'!$M$12:$R$112*('W2'!$M$7:$R$7=$A53)*('W2'!$A$12:$A$112=$B53))*R33*$H$10*POWER(1+Inflation,R$11+1)</f>
        <v>-1614.3258122034877</v>
      </c>
      <c r="S53" s="556" cm="1">
        <f t="array" ref="S53">-SUMPRODUCT('W2'!$M$12:$R$112*('W2'!$M$7:$R$7=$A53)*('W2'!$A$12:$A$112=$B53))*S33*$H$10*POWER(1+Inflation,S$11+1)</f>
        <v>-1695.0421028136618</v>
      </c>
      <c r="T53" s="556" cm="1">
        <f t="array" ref="T53">-SUMPRODUCT('W2'!$M$12:$R$112*('W2'!$M$7:$R$7=$A53)*('W2'!$A$12:$A$112=$B53))*T33*$H$10*POWER(1+Inflation,T$11+1)</f>
        <v>-1779.7942079543452</v>
      </c>
      <c r="U53" s="556" cm="1">
        <f t="array" ref="U53">-SUMPRODUCT('W2'!$M$12:$R$112*('W2'!$M$7:$R$7=$A53)*('W2'!$A$12:$A$112=$B53))*U33*$H$10*POWER(1+Inflation,U$11+1)</f>
        <v>-1868.7839183520623</v>
      </c>
      <c r="V53" s="556" cm="1">
        <f t="array" ref="V53">-SUMPRODUCT('W2'!$M$12:$R$112*('W2'!$M$7:$R$7=$A53)*('W2'!$A$12:$A$112=$B53))*V33*$H$10*POWER(1+Inflation,V$11+1)</f>
        <v>-1962.2231142696655</v>
      </c>
      <c r="W53" s="556" cm="1">
        <f t="array" ref="W53">-SUMPRODUCT('W2'!$M$12:$R$112*('W2'!$M$7:$R$7=$A53)*('W2'!$A$12:$A$112=$B53))*W33*$H$10*POWER(1+Inflation,W$11+1)</f>
        <v>-2060.3342699831487</v>
      </c>
      <c r="X53" s="556" cm="1">
        <f t="array" ref="X53">-SUMPRODUCT('W2'!$M$12:$R$112*('W2'!$M$7:$R$7=$A53)*('W2'!$A$12:$A$112=$B53))*X33*$H$10*POWER(1+Inflation,X$11+1)</f>
        <v>-2163.3509834823062</v>
      </c>
      <c r="Y53" s="556" cm="1">
        <f t="array" ref="Y53">-SUMPRODUCT('W2'!$M$12:$R$112*('W2'!$M$7:$R$7=$A53)*('W2'!$A$12:$A$112=$B53))*Y33*$H$10*POWER(1+Inflation,Y$11+1)</f>
        <v>-2271.5185326564215</v>
      </c>
      <c r="Z53" s="556" cm="1">
        <f t="array" ref="Z53">-SUMPRODUCT('W2'!$M$12:$R$112*('W2'!$M$7:$R$7=$A53)*('W2'!$A$12:$A$112=$B53))*Z33*$H$10*POWER(1+Inflation,Z$11+1)</f>
        <v>-2385.0944592892429</v>
      </c>
      <c r="AA53" s="556" cm="1">
        <f t="array" ref="AA53">-SUMPRODUCT('W2'!$M$12:$R$112*('W2'!$M$7:$R$7=$A53)*('W2'!$A$12:$A$112=$B53))*AA33*$H$10*POWER(1+Inflation,AA$11+1)</f>
        <v>-2504.3491822537044</v>
      </c>
      <c r="AB53" s="556" cm="1">
        <f t="array" ref="AB53">-SUMPRODUCT('W2'!$M$12:$R$112*('W2'!$M$7:$R$7=$A53)*('W2'!$A$12:$A$112=$B53))*AB33*$H$10*POWER(1+Inflation,AB$11+1)</f>
        <v>-2629.5666413663907</v>
      </c>
      <c r="AC53" s="556" cm="1">
        <f t="array" ref="AC53">-SUMPRODUCT('W2'!$M$12:$R$112*('W2'!$M$7:$R$7=$A53)*('W2'!$A$12:$A$112=$B53))*AC33*$H$10*POWER(1+Inflation,AC$11+1)</f>
        <v>-2761.0449734347098</v>
      </c>
      <c r="AD53" s="556" cm="1">
        <f t="array" ref="AD53">-SUMPRODUCT('W2'!$M$12:$R$112*('W2'!$M$7:$R$7=$A53)*('W2'!$A$12:$A$112=$B53))*AD33*$H$10*POWER(1+Inflation,AD$11+1)</f>
        <v>-2899.0972221064458</v>
      </c>
      <c r="AE53" s="556" cm="1">
        <f t="array" ref="AE53">-SUMPRODUCT('W2'!$M$12:$R$112*('W2'!$M$7:$R$7=$A53)*('W2'!$A$12:$A$112=$B53))*AE33*$H$10*POWER(1+Inflation,AE$11+1)</f>
        <v>-3044.0520832117677</v>
      </c>
      <c r="AF53" s="556" cm="1">
        <f t="array" ref="AF53">-SUMPRODUCT('W2'!$M$12:$R$112*('W2'!$M$7:$R$7=$A53)*('W2'!$A$12:$A$112=$B53))*AF33*$H$10*POWER(1+Inflation,AF$11+1)</f>
        <v>-3196.2546873723563</v>
      </c>
      <c r="AG53" s="556" cm="1">
        <f t="array" ref="AG53">-SUMPRODUCT('W2'!$M$12:$R$112*('W2'!$M$7:$R$7=$A53)*('W2'!$A$12:$A$112=$B53))*AG33*$H$10*POWER(1+Inflation,AG$11+1)</f>
        <v>-3356.0674217409742</v>
      </c>
      <c r="AH53" s="556" cm="1">
        <f t="array" ref="AH53">-SUMPRODUCT('W2'!$M$12:$R$112*('W2'!$M$7:$R$7=$A53)*('W2'!$A$12:$A$112=$B53))*AH33*$H$10*POWER(1+Inflation,AH$11+1)</f>
        <v>-3523.8707928280228</v>
      </c>
      <c r="AI53" s="556" cm="1">
        <f t="array" ref="AI53">-SUMPRODUCT('W2'!$M$12:$R$112*('W2'!$M$7:$R$7=$A53)*('W2'!$A$12:$A$112=$B53))*AI33*$H$10*POWER(1+Inflation,AI$11+1)</f>
        <v>-3700.0643324694233</v>
      </c>
      <c r="AJ53" s="556" cm="1">
        <f t="array" ref="AJ53">-SUMPRODUCT('W2'!$M$12:$R$112*('W2'!$M$7:$R$7=$A53)*('W2'!$A$12:$A$112=$B53))*AJ33*$H$10*POWER(1+Inflation,AJ$11+1)</f>
        <v>-3885.0675490928957</v>
      </c>
    </row>
    <row r="54" spans="1:36" s="299" customFormat="1" x14ac:dyDescent="0.25">
      <c r="A54" s="299" t="s">
        <v>422</v>
      </c>
      <c r="B54" s="299" t="s">
        <v>668</v>
      </c>
      <c r="H54" s="554" t="s">
        <v>674</v>
      </c>
      <c r="I54" s="555" t="s">
        <v>672</v>
      </c>
      <c r="K54" s="556"/>
      <c r="L54" s="556" cm="1">
        <f t="array" ref="L54">-SUMPRODUCT('W2'!$M$12:$R$112*('W2'!$M$7:$R$7=$A54)*('W2'!$A$12:$A$112=$B54))*L34*$H$10*POWER(1+Inflation,L$11+1)</f>
        <v>0</v>
      </c>
      <c r="M54" s="556" cm="1">
        <f t="array" ref="M54">-SUMPRODUCT('W2'!$M$12:$R$112*('W2'!$M$7:$R$7=$A54)*('W2'!$A$12:$A$112=$B54))*M34*$H$10*POWER(1+Inflation,M$11+1)</f>
        <v>0</v>
      </c>
      <c r="N54" s="556" cm="1">
        <f t="array" ref="N54">-SUMPRODUCT('W2'!$M$12:$R$112*('W2'!$M$7:$R$7=$A54)*('W2'!$A$12:$A$112=$B54))*N34*$H$10*POWER(1+Inflation,N$11+1)</f>
        <v>0</v>
      </c>
      <c r="O54" s="556" cm="1">
        <f t="array" ref="O54">-SUMPRODUCT('W2'!$M$12:$R$112*('W2'!$M$7:$R$7=$A54)*('W2'!$A$12:$A$112=$B54))*O34*$H$10*POWER(1+Inflation,O$11+1)</f>
        <v>0</v>
      </c>
      <c r="P54" s="556" cm="1">
        <f t="array" ref="P54">-SUMPRODUCT('W2'!$M$12:$R$112*('W2'!$M$7:$R$7=$A54)*('W2'!$A$12:$A$112=$B54))*P34*$H$10*POWER(1+Inflation,P$11+1)</f>
        <v>0</v>
      </c>
      <c r="Q54" s="556" cm="1">
        <f t="array" ref="Q54">-SUMPRODUCT('W2'!$M$12:$R$112*('W2'!$M$7:$R$7=$A54)*('W2'!$A$12:$A$112=$B54))*Q34*$H$10*POWER(1+Inflation,Q$11+1)</f>
        <v>0</v>
      </c>
      <c r="R54" s="556" cm="1">
        <f t="array" ref="R54">-SUMPRODUCT('W2'!$M$12:$R$112*('W2'!$M$7:$R$7=$A54)*('W2'!$A$12:$A$112=$B54))*R34*$H$10*POWER(1+Inflation,R$11+1)</f>
        <v>0</v>
      </c>
      <c r="S54" s="556" cm="1">
        <f t="array" ref="S54">-SUMPRODUCT('W2'!$M$12:$R$112*('W2'!$M$7:$R$7=$A54)*('W2'!$A$12:$A$112=$B54))*S34*$H$10*POWER(1+Inflation,S$11+1)</f>
        <v>0</v>
      </c>
      <c r="T54" s="556" cm="1">
        <f t="array" ref="T54">-SUMPRODUCT('W2'!$M$12:$R$112*('W2'!$M$7:$R$7=$A54)*('W2'!$A$12:$A$112=$B54))*T34*$H$10*POWER(1+Inflation,T$11+1)</f>
        <v>0</v>
      </c>
      <c r="U54" s="556" cm="1">
        <f t="array" ref="U54">-SUMPRODUCT('W2'!$M$12:$R$112*('W2'!$M$7:$R$7=$A54)*('W2'!$A$12:$A$112=$B54))*U34*$H$10*POWER(1+Inflation,U$11+1)</f>
        <v>0</v>
      </c>
      <c r="V54" s="556" cm="1">
        <f t="array" ref="V54">-SUMPRODUCT('W2'!$M$12:$R$112*('W2'!$M$7:$R$7=$A54)*('W2'!$A$12:$A$112=$B54))*V34*$H$10*POWER(1+Inflation,V$11+1)</f>
        <v>0</v>
      </c>
      <c r="W54" s="556" cm="1">
        <f t="array" ref="W54">-SUMPRODUCT('W2'!$M$12:$R$112*('W2'!$M$7:$R$7=$A54)*('W2'!$A$12:$A$112=$B54))*W34*$H$10*POWER(1+Inflation,W$11+1)</f>
        <v>0</v>
      </c>
      <c r="X54" s="556" cm="1">
        <f t="array" ref="X54">-SUMPRODUCT('W2'!$M$12:$R$112*('W2'!$M$7:$R$7=$A54)*('W2'!$A$12:$A$112=$B54))*X34*$H$10*POWER(1+Inflation,X$11+1)</f>
        <v>0</v>
      </c>
      <c r="Y54" s="556" cm="1">
        <f t="array" ref="Y54">-SUMPRODUCT('W2'!$M$12:$R$112*('W2'!$M$7:$R$7=$A54)*('W2'!$A$12:$A$112=$B54))*Y34*$H$10*POWER(1+Inflation,Y$11+1)</f>
        <v>0</v>
      </c>
      <c r="Z54" s="556" cm="1">
        <f t="array" ref="Z54">-SUMPRODUCT('W2'!$M$12:$R$112*('W2'!$M$7:$R$7=$A54)*('W2'!$A$12:$A$112=$B54))*Z34*$H$10*POWER(1+Inflation,Z$11+1)</f>
        <v>0</v>
      </c>
      <c r="AA54" s="556" cm="1">
        <f t="array" ref="AA54">-SUMPRODUCT('W2'!$M$12:$R$112*('W2'!$M$7:$R$7=$A54)*('W2'!$A$12:$A$112=$B54))*AA34*$H$10*POWER(1+Inflation,AA$11+1)</f>
        <v>0</v>
      </c>
      <c r="AB54" s="556" cm="1">
        <f t="array" ref="AB54">-SUMPRODUCT('W2'!$M$12:$R$112*('W2'!$M$7:$R$7=$A54)*('W2'!$A$12:$A$112=$B54))*AB34*$H$10*POWER(1+Inflation,AB$11+1)</f>
        <v>0</v>
      </c>
      <c r="AC54" s="556" cm="1">
        <f t="array" ref="AC54">-SUMPRODUCT('W2'!$M$12:$R$112*('W2'!$M$7:$R$7=$A54)*('W2'!$A$12:$A$112=$B54))*AC34*$H$10*POWER(1+Inflation,AC$11+1)</f>
        <v>0</v>
      </c>
      <c r="AD54" s="556" cm="1">
        <f t="array" ref="AD54">-SUMPRODUCT('W2'!$M$12:$R$112*('W2'!$M$7:$R$7=$A54)*('W2'!$A$12:$A$112=$B54))*AD34*$H$10*POWER(1+Inflation,AD$11+1)</f>
        <v>0</v>
      </c>
      <c r="AE54" s="556" cm="1">
        <f t="array" ref="AE54">-SUMPRODUCT('W2'!$M$12:$R$112*('W2'!$M$7:$R$7=$A54)*('W2'!$A$12:$A$112=$B54))*AE34*$H$10*POWER(1+Inflation,AE$11+1)</f>
        <v>0</v>
      </c>
      <c r="AF54" s="556" cm="1">
        <f t="array" ref="AF54">-SUMPRODUCT('W2'!$M$12:$R$112*('W2'!$M$7:$R$7=$A54)*('W2'!$A$12:$A$112=$B54))*AF34*$H$10*POWER(1+Inflation,AF$11+1)</f>
        <v>0</v>
      </c>
      <c r="AG54" s="556" cm="1">
        <f t="array" ref="AG54">-SUMPRODUCT('W2'!$M$12:$R$112*('W2'!$M$7:$R$7=$A54)*('W2'!$A$12:$A$112=$B54))*AG34*$H$10*POWER(1+Inflation,AG$11+1)</f>
        <v>0</v>
      </c>
      <c r="AH54" s="556" cm="1">
        <f t="array" ref="AH54">-SUMPRODUCT('W2'!$M$12:$R$112*('W2'!$M$7:$R$7=$A54)*('W2'!$A$12:$A$112=$B54))*AH34*$H$10*POWER(1+Inflation,AH$11+1)</f>
        <v>0</v>
      </c>
      <c r="AI54" s="556" cm="1">
        <f t="array" ref="AI54">-SUMPRODUCT('W2'!$M$12:$R$112*('W2'!$M$7:$R$7=$A54)*('W2'!$A$12:$A$112=$B54))*AI34*$H$10*POWER(1+Inflation,AI$11+1)</f>
        <v>0</v>
      </c>
      <c r="AJ54" s="556" cm="1">
        <f t="array" ref="AJ54">-SUMPRODUCT('W2'!$M$12:$R$112*('W2'!$M$7:$R$7=$A54)*('W2'!$A$12:$A$112=$B54))*AJ34*$H$10*POWER(1+Inflation,AJ$11+1)</f>
        <v>0</v>
      </c>
    </row>
    <row r="55" spans="1:36" x14ac:dyDescent="0.25">
      <c r="A55" t="s">
        <v>422</v>
      </c>
      <c r="H55" s="454" t="s">
        <v>180</v>
      </c>
      <c r="I55" s="497" t="str">
        <f t="shared" si="41"/>
        <v>tr. VND</v>
      </c>
      <c r="K55" s="617">
        <f>SUM(K56:K58)</f>
        <v>0</v>
      </c>
      <c r="L55" s="617">
        <f>SUM(L56:L58)</f>
        <v>-8739.800110293334</v>
      </c>
      <c r="M55" s="617">
        <f t="shared" ref="M55:Z55" si="56">SUM(M56:M58)</f>
        <v>-11537.321163477332</v>
      </c>
      <c r="N55" s="617">
        <f t="shared" si="56"/>
        <v>-16468.954914549333</v>
      </c>
      <c r="O55" s="617">
        <f t="shared" si="56"/>
        <v>-17241.074694410134</v>
      </c>
      <c r="P55" s="617">
        <f t="shared" si="56"/>
        <v>-18051.800463263975</v>
      </c>
      <c r="Q55" s="617">
        <f t="shared" si="56"/>
        <v>-18903.062520560507</v>
      </c>
      <c r="R55" s="617">
        <f t="shared" si="56"/>
        <v>-19796.887680721866</v>
      </c>
      <c r="S55" s="617">
        <f t="shared" si="56"/>
        <v>-20735.404098891289</v>
      </c>
      <c r="T55" s="617">
        <f t="shared" si="56"/>
        <v>-21720.846337969193</v>
      </c>
      <c r="U55" s="617">
        <f t="shared" si="56"/>
        <v>-22755.560689000984</v>
      </c>
      <c r="V55" s="617">
        <f t="shared" si="56"/>
        <v>-23842.010757584365</v>
      </c>
      <c r="W55" s="617">
        <f t="shared" si="56"/>
        <v>-24982.783329596918</v>
      </c>
      <c r="X55" s="617">
        <f t="shared" si="56"/>
        <v>-25178.095196876766</v>
      </c>
      <c r="Y55" s="617">
        <f t="shared" si="56"/>
        <v>-26435.796957520601</v>
      </c>
      <c r="Z55" s="617">
        <f t="shared" si="56"/>
        <v>-27756.383806196634</v>
      </c>
      <c r="AA55" s="617">
        <f t="shared" ref="AA55" si="57">SUM(AA56:AA58)</f>
        <v>-29142.999997306459</v>
      </c>
      <c r="AB55" s="617">
        <f t="shared" ref="AB55" si="58">SUM(AB56:AB58)</f>
        <v>-30598.946997971794</v>
      </c>
      <c r="AC55" s="617">
        <f t="shared" ref="AC55" si="59">SUM(AC56:AC58)</f>
        <v>-32127.691348670378</v>
      </c>
      <c r="AD55" s="617">
        <f t="shared" ref="AD55" si="60">SUM(AD56:AD58)</f>
        <v>-33732.8729169039</v>
      </c>
      <c r="AE55" s="617">
        <f t="shared" ref="AE55" si="61">SUM(AE56:AE58)</f>
        <v>-35418.313563549098</v>
      </c>
      <c r="AF55" s="617">
        <f t="shared" ref="AF55" si="62">SUM(AF56:AF58)</f>
        <v>-37188.026242526554</v>
      </c>
      <c r="AG55" s="617">
        <f t="shared" ref="AG55" si="63">SUM(AG56:AG58)</f>
        <v>-39046.224555452871</v>
      </c>
      <c r="AH55" s="617">
        <f t="shared" ref="AH55" si="64">SUM(AH56:AH58)</f>
        <v>-40997.332784025515</v>
      </c>
      <c r="AI55" s="617">
        <f t="shared" ref="AI55" si="65">SUM(AI56:AI58)</f>
        <v>-43045.996424026795</v>
      </c>
      <c r="AJ55" s="617">
        <f t="shared" ref="AJ55" si="66">SUM(AJ56:AJ58)</f>
        <v>-45197.093246028147</v>
      </c>
    </row>
    <row r="56" spans="1:36" s="299" customFormat="1" x14ac:dyDescent="0.25">
      <c r="A56" s="299" t="s">
        <v>422</v>
      </c>
      <c r="B56" s="299" t="s">
        <v>174</v>
      </c>
      <c r="H56" s="554" t="s">
        <v>73</v>
      </c>
      <c r="I56" s="555" t="str">
        <f t="shared" si="41"/>
        <v>tr. VND</v>
      </c>
      <c r="K56" s="556"/>
      <c r="L56" s="556" cm="1">
        <f t="array" ref="L56">-SUMPRODUCT('W2'!$M$12:$R$112*('W2'!$M$7:$R$7=$A56)*('W2'!$A$12:$A$112=$B56))*L26*24*$H$10*POWER(1+Inflation,L$11+1)</f>
        <v>-5749.8011999999999</v>
      </c>
      <c r="M56" s="556" cm="1">
        <f t="array" ref="M56">-SUMPRODUCT('W2'!$M$12:$R$112*('W2'!$M$7:$R$7=$A56)*('W2'!$A$12:$A$112=$B56))*M26*24*$H$10*POWER(1+Inflation,M$11+1)</f>
        <v>-8049.7216799999978</v>
      </c>
      <c r="N56" s="556" cm="1">
        <f t="array" ref="N56">-SUMPRODUCT('W2'!$M$12:$R$112*('W2'!$M$7:$R$7=$A56)*('W2'!$A$12:$A$112=$B56))*N26*24*$H$10*POWER(1+Inflation,N$11+1)</f>
        <v>-12074.58252</v>
      </c>
      <c r="O56" s="556" cm="1">
        <f t="array" ref="O56">-SUMPRODUCT('W2'!$M$12:$R$112*('W2'!$M$7:$R$7=$A56)*('W2'!$A$12:$A$112=$B56))*O26*24*$H$10*POWER(1+Inflation,O$11+1)</f>
        <v>-12678.311646</v>
      </c>
      <c r="P56" s="556" cm="1">
        <f t="array" ref="P56">-SUMPRODUCT('W2'!$M$12:$R$112*('W2'!$M$7:$R$7=$A56)*('W2'!$A$12:$A$112=$B56))*P26*24*$H$10*POWER(1+Inflation,P$11+1)</f>
        <v>-13312.227228300002</v>
      </c>
      <c r="Q56" s="556" cm="1">
        <f t="array" ref="Q56">-SUMPRODUCT('W2'!$M$12:$R$112*('W2'!$M$7:$R$7=$A56)*('W2'!$A$12:$A$112=$B56))*Q26*24*$H$10*POWER(1+Inflation,Q$11+1)</f>
        <v>-13977.838589715</v>
      </c>
      <c r="R56" s="556" cm="1">
        <f t="array" ref="R56">-SUMPRODUCT('W2'!$M$12:$R$112*('W2'!$M$7:$R$7=$A56)*('W2'!$A$12:$A$112=$B56))*R26*24*$H$10*POWER(1+Inflation,R$11+1)</f>
        <v>-14676.730519200752</v>
      </c>
      <c r="S56" s="556" cm="1">
        <f t="array" ref="S56">-SUMPRODUCT('W2'!$M$12:$R$112*('W2'!$M$7:$R$7=$A56)*('W2'!$A$12:$A$112=$B56))*S26*24*$H$10*POWER(1+Inflation,S$11+1)</f>
        <v>-15410.567045160788</v>
      </c>
      <c r="T56" s="556" cm="1">
        <f t="array" ref="T56">-SUMPRODUCT('W2'!$M$12:$R$112*('W2'!$M$7:$R$7=$A56)*('W2'!$A$12:$A$112=$B56))*T26*24*$H$10*POWER(1+Inflation,T$11+1)</f>
        <v>-16181.095397418829</v>
      </c>
      <c r="U56" s="556" cm="1">
        <f t="array" ref="U56">-SUMPRODUCT('W2'!$M$12:$R$112*('W2'!$M$7:$R$7=$A56)*('W2'!$A$12:$A$112=$B56))*U26*24*$H$10*POWER(1+Inflation,U$11+1)</f>
        <v>-16990.150167289768</v>
      </c>
      <c r="V56" s="556" cm="1">
        <f t="array" ref="V56">-SUMPRODUCT('W2'!$M$12:$R$112*('W2'!$M$7:$R$7=$A56)*('W2'!$A$12:$A$112=$B56))*V26*24*$H$10*POWER(1+Inflation,V$11+1)</f>
        <v>-17839.657675654256</v>
      </c>
      <c r="W56" s="556" cm="1">
        <f t="array" ref="W56">-SUMPRODUCT('W2'!$M$12:$R$112*('W2'!$M$7:$R$7=$A56)*('W2'!$A$12:$A$112=$B56))*W26*24*$H$10*POWER(1+Inflation,W$11+1)</f>
        <v>-18731.640559436972</v>
      </c>
      <c r="X56" s="556" cm="1">
        <f t="array" ref="X56">-SUMPRODUCT('W2'!$M$12:$R$112*('W2'!$M$7:$R$7=$A56)*('W2'!$A$12:$A$112=$B56))*X26*24*$H$10*POWER(1+Inflation,X$11+1)</f>
        <v>-19668.222587408822</v>
      </c>
      <c r="Y56" s="556" cm="1">
        <f t="array" ref="Y56">-SUMPRODUCT('W2'!$M$12:$R$112*('W2'!$M$7:$R$7=$A56)*('W2'!$A$12:$A$112=$B56))*Y26*24*$H$10*POWER(1+Inflation,Y$11+1)</f>
        <v>-20651.633716779259</v>
      </c>
      <c r="Z56" s="556" cm="1">
        <f t="array" ref="Z56">-SUMPRODUCT('W2'!$M$12:$R$112*('W2'!$M$7:$R$7=$A56)*('W2'!$A$12:$A$112=$B56))*Z26*24*$H$10*POWER(1+Inflation,Z$11+1)</f>
        <v>-21684.215402618225</v>
      </c>
      <c r="AA56" s="556" cm="1">
        <f t="array" ref="AA56">-SUMPRODUCT('W2'!$M$12:$R$112*('W2'!$M$7:$R$7=$A56)*('W2'!$A$12:$A$112=$B56))*AA26*24*$H$10*POWER(1+Inflation,AA$11+1)</f>
        <v>-22768.426172749132</v>
      </c>
      <c r="AB56" s="556" cm="1">
        <f t="array" ref="AB56">-SUMPRODUCT('W2'!$M$12:$R$112*('W2'!$M$7:$R$7=$A56)*('W2'!$A$12:$A$112=$B56))*AB26*24*$H$10*POWER(1+Inflation,AB$11+1)</f>
        <v>-23906.847481386598</v>
      </c>
      <c r="AC56" s="556" cm="1">
        <f t="array" ref="AC56">-SUMPRODUCT('W2'!$M$12:$R$112*('W2'!$M$7:$R$7=$A56)*('W2'!$A$12:$A$112=$B56))*AC26*24*$H$10*POWER(1+Inflation,AC$11+1)</f>
        <v>-25102.189855455923</v>
      </c>
      <c r="AD56" s="556" cm="1">
        <f t="array" ref="AD56">-SUMPRODUCT('W2'!$M$12:$R$112*('W2'!$M$7:$R$7=$A56)*('W2'!$A$12:$A$112=$B56))*AD26*24*$H$10*POWER(1+Inflation,AD$11+1)</f>
        <v>-26357.299348228724</v>
      </c>
      <c r="AE56" s="556" cm="1">
        <f t="array" ref="AE56">-SUMPRODUCT('W2'!$M$12:$R$112*('W2'!$M$7:$R$7=$A56)*('W2'!$A$12:$A$112=$B56))*AE26*24*$H$10*POWER(1+Inflation,AE$11+1)</f>
        <v>-27675.164315640159</v>
      </c>
      <c r="AF56" s="556" cm="1">
        <f t="array" ref="AF56">-SUMPRODUCT('W2'!$M$12:$R$112*('W2'!$M$7:$R$7=$A56)*('W2'!$A$12:$A$112=$B56))*AF26*24*$H$10*POWER(1+Inflation,AF$11+1)</f>
        <v>-29058.922531422166</v>
      </c>
      <c r="AG56" s="556" cm="1">
        <f t="array" ref="AG56">-SUMPRODUCT('W2'!$M$12:$R$112*('W2'!$M$7:$R$7=$A56)*('W2'!$A$12:$A$112=$B56))*AG26*24*$H$10*POWER(1+Inflation,AG$11+1)</f>
        <v>-30511.868657993273</v>
      </c>
      <c r="AH56" s="556" cm="1">
        <f t="array" ref="AH56">-SUMPRODUCT('W2'!$M$12:$R$112*('W2'!$M$7:$R$7=$A56)*('W2'!$A$12:$A$112=$B56))*AH26*24*$H$10*POWER(1+Inflation,AH$11+1)</f>
        <v>-32037.462090892936</v>
      </c>
      <c r="AI56" s="556" cm="1">
        <f t="array" ref="AI56">-SUMPRODUCT('W2'!$M$12:$R$112*('W2'!$M$7:$R$7=$A56)*('W2'!$A$12:$A$112=$B56))*AI26*24*$H$10*POWER(1+Inflation,AI$11+1)</f>
        <v>-33639.335195437583</v>
      </c>
      <c r="AJ56" s="556" cm="1">
        <f t="array" ref="AJ56">-SUMPRODUCT('W2'!$M$12:$R$112*('W2'!$M$7:$R$7=$A56)*('W2'!$A$12:$A$112=$B56))*AJ26*24*$H$10*POWER(1+Inflation,AJ$11+1)</f>
        <v>-35321.30195520947</v>
      </c>
    </row>
    <row r="57" spans="1:36" s="299" customFormat="1" x14ac:dyDescent="0.25">
      <c r="A57" s="299" t="s">
        <v>422</v>
      </c>
      <c r="B57" s="299" t="s">
        <v>462</v>
      </c>
      <c r="H57" s="554" t="s">
        <v>192</v>
      </c>
      <c r="I57" s="555" t="str">
        <f t="shared" si="41"/>
        <v>tr. VND</v>
      </c>
      <c r="K57" s="556"/>
      <c r="L57" s="556" cm="1">
        <f t="array" ref="L57">-SUMPRODUCT('W2'!$M$12:$R$112*('W2'!$M$7:$R$7=$A57)*('W2'!$A$12:$A$112=$B57))*L27*$H$10*POWER(1+Inflation,L$11+1)</f>
        <v>-975.00902399999995</v>
      </c>
      <c r="M57" s="556" cm="1">
        <f t="array" ref="M57">-SUMPRODUCT('W2'!$M$12:$R$112*('W2'!$M$7:$R$7=$A57)*('W2'!$A$12:$A$112=$B57))*M27*$H$10*POWER(1+Inflation,M$11+1)</f>
        <v>-1365.0126335999998</v>
      </c>
      <c r="N57" s="556" cm="1">
        <f t="array" ref="N57">-SUMPRODUCT('W2'!$M$12:$R$112*('W2'!$M$7:$R$7=$A57)*('W2'!$A$12:$A$112=$B57))*N27*$H$10*POWER(1+Inflation,N$11+1)</f>
        <v>-2047.5189504</v>
      </c>
      <c r="O57" s="556" cm="1">
        <f t="array" ref="O57">-SUMPRODUCT('W2'!$M$12:$R$112*('W2'!$M$7:$R$7=$A57)*('W2'!$A$12:$A$112=$B57))*O27*$H$10*POWER(1+Inflation,O$11+1)</f>
        <v>-2149.8948979199999</v>
      </c>
      <c r="P57" s="556" cm="1">
        <f t="array" ref="P57">-SUMPRODUCT('W2'!$M$12:$R$112*('W2'!$M$7:$R$7=$A57)*('W2'!$A$12:$A$112=$B57))*P27*$H$10*POWER(1+Inflation,P$11+1)</f>
        <v>-2257.3896428160001</v>
      </c>
      <c r="Q57" s="556" cm="1">
        <f t="array" ref="Q57">-SUMPRODUCT('W2'!$M$12:$R$112*('W2'!$M$7:$R$7=$A57)*('W2'!$A$12:$A$112=$B57))*Q27*$H$10*POWER(1+Inflation,Q$11+1)</f>
        <v>-2370.2591249568</v>
      </c>
      <c r="R57" s="556" cm="1">
        <f t="array" ref="R57">-SUMPRODUCT('W2'!$M$12:$R$112*('W2'!$M$7:$R$7=$A57)*('W2'!$A$12:$A$112=$B57))*R27*$H$10*POWER(1+Inflation,R$11+1)</f>
        <v>-2488.77208120464</v>
      </c>
      <c r="S57" s="556" cm="1">
        <f t="array" ref="S57">-SUMPRODUCT('W2'!$M$12:$R$112*('W2'!$M$7:$R$7=$A57)*('W2'!$A$12:$A$112=$B57))*S27*$H$10*POWER(1+Inflation,S$11+1)</f>
        <v>-2613.2106852648717</v>
      </c>
      <c r="T57" s="556" cm="1">
        <f t="array" ref="T57">-SUMPRODUCT('W2'!$M$12:$R$112*('W2'!$M$7:$R$7=$A57)*('W2'!$A$12:$A$112=$B57))*T27*$H$10*POWER(1+Inflation,T$11+1)</f>
        <v>-2743.8712195281159</v>
      </c>
      <c r="U57" s="556" cm="1">
        <f t="array" ref="U57">-SUMPRODUCT('W2'!$M$12:$R$112*('W2'!$M$7:$R$7=$A57)*('W2'!$A$12:$A$112=$B57))*U27*$H$10*POWER(1+Inflation,U$11+1)</f>
        <v>-2881.0647805045214</v>
      </c>
      <c r="V57" s="556" cm="1">
        <f t="array" ref="V57">-SUMPRODUCT('W2'!$M$12:$R$112*('W2'!$M$7:$R$7=$A57)*('W2'!$A$12:$A$112=$B57))*V27*$H$10*POWER(1+Inflation,V$11+1)</f>
        <v>-3025.1180195297475</v>
      </c>
      <c r="W57" s="556" cm="1">
        <f t="array" ref="W57">-SUMPRODUCT('W2'!$M$12:$R$112*('W2'!$M$7:$R$7=$A57)*('W2'!$A$12:$A$112=$B57))*W27*$H$10*POWER(1+Inflation,W$11+1)</f>
        <v>-3176.3739205062352</v>
      </c>
      <c r="X57" s="556" cm="1">
        <f t="array" ref="X57">-SUMPRODUCT('W2'!$M$12:$R$112*('W2'!$M$7:$R$7=$A57)*('W2'!$A$12:$A$112=$B57))*X27*$H$10*POWER(1+Inflation,X$11+1)</f>
        <v>-3335.1926165315472</v>
      </c>
      <c r="Y57" s="556" cm="1">
        <f t="array" ref="Y57">-SUMPRODUCT('W2'!$M$12:$R$112*('W2'!$M$7:$R$7=$A57)*('W2'!$A$12:$A$112=$B57))*Y27*$H$10*POWER(1+Inflation,Y$11+1)</f>
        <v>-3501.9522473581237</v>
      </c>
      <c r="Z57" s="556" cm="1">
        <f t="array" ref="Z57">-SUMPRODUCT('W2'!$M$12:$R$112*('W2'!$M$7:$R$7=$A57)*('W2'!$A$12:$A$112=$B57))*Z27*$H$10*POWER(1+Inflation,Z$11+1)</f>
        <v>-3677.0498597260307</v>
      </c>
      <c r="AA57" s="556" cm="1">
        <f t="array" ref="AA57">-SUMPRODUCT('W2'!$M$12:$R$112*('W2'!$M$7:$R$7=$A57)*('W2'!$A$12:$A$112=$B57))*AA27*$H$10*POWER(1+Inflation,AA$11+1)</f>
        <v>-3860.9023527123313</v>
      </c>
      <c r="AB57" s="556" cm="1">
        <f t="array" ref="AB57">-SUMPRODUCT('W2'!$M$12:$R$112*('W2'!$M$7:$R$7=$A57)*('W2'!$A$12:$A$112=$B57))*AB27*$H$10*POWER(1+Inflation,AB$11+1)</f>
        <v>-4053.9474703479491</v>
      </c>
      <c r="AC57" s="556" cm="1">
        <f t="array" ref="AC57">-SUMPRODUCT('W2'!$M$12:$R$112*('W2'!$M$7:$R$7=$A57)*('W2'!$A$12:$A$112=$B57))*AC27*$H$10*POWER(1+Inflation,AC$11+1)</f>
        <v>-4256.644843865346</v>
      </c>
      <c r="AD57" s="556" cm="1">
        <f t="array" ref="AD57">-SUMPRODUCT('W2'!$M$12:$R$112*('W2'!$M$7:$R$7=$A57)*('W2'!$A$12:$A$112=$B57))*AD27*$H$10*POWER(1+Inflation,AD$11+1)</f>
        <v>-4469.4770860586141</v>
      </c>
      <c r="AE57" s="556" cm="1">
        <f t="array" ref="AE57">-SUMPRODUCT('W2'!$M$12:$R$112*('W2'!$M$7:$R$7=$A57)*('W2'!$A$12:$A$112=$B57))*AE27*$H$10*POWER(1+Inflation,AE$11+1)</f>
        <v>-4692.9509403615448</v>
      </c>
      <c r="AF57" s="556" cm="1">
        <f t="array" ref="AF57">-SUMPRODUCT('W2'!$M$12:$R$112*('W2'!$M$7:$R$7=$A57)*('W2'!$A$12:$A$112=$B57))*AF27*$H$10*POWER(1+Inflation,AF$11+1)</f>
        <v>-4927.5984873796224</v>
      </c>
      <c r="AG57" s="556" cm="1">
        <f t="array" ref="AG57">-SUMPRODUCT('W2'!$M$12:$R$112*('W2'!$M$7:$R$7=$A57)*('W2'!$A$12:$A$112=$B57))*AG27*$H$10*POWER(1+Inflation,AG$11+1)</f>
        <v>-5173.9784117486033</v>
      </c>
      <c r="AH57" s="556" cm="1">
        <f t="array" ref="AH57">-SUMPRODUCT('W2'!$M$12:$R$112*('W2'!$M$7:$R$7=$A57)*('W2'!$A$12:$A$112=$B57))*AH27*$H$10*POWER(1+Inflation,AH$11+1)</f>
        <v>-5432.677332336033</v>
      </c>
      <c r="AI57" s="556" cm="1">
        <f t="array" ref="AI57">-SUMPRODUCT('W2'!$M$12:$R$112*('W2'!$M$7:$R$7=$A57)*('W2'!$A$12:$A$112=$B57))*AI27*$H$10*POWER(1+Inflation,AI$11+1)</f>
        <v>-5704.3111989528343</v>
      </c>
      <c r="AJ57" s="556" cm="1">
        <f t="array" ref="AJ57">-SUMPRODUCT('W2'!$M$12:$R$112*('W2'!$M$7:$R$7=$A57)*('W2'!$A$12:$A$112=$B57))*AJ27*$H$10*POWER(1+Inflation,AJ$11+1)</f>
        <v>-5989.526758900477</v>
      </c>
    </row>
    <row r="58" spans="1:36" s="299" customFormat="1" x14ac:dyDescent="0.25">
      <c r="A58" s="299" t="s">
        <v>422</v>
      </c>
      <c r="B58" s="299" t="s">
        <v>140</v>
      </c>
      <c r="H58" s="554" t="s">
        <v>175</v>
      </c>
      <c r="I58" s="555" t="str">
        <f t="shared" si="41"/>
        <v>tr. VND</v>
      </c>
      <c r="K58" s="556"/>
      <c r="L58" s="556" cm="1">
        <f t="array" ref="L58">SUMPRODUCT('W2'!$M$12:$R$112*('W2'!$M$7:$R$7=$A58)*('W2'!$A$12:$A$112=$B58))*(SUM(L38,L56:L57))</f>
        <v>-2014.9898862933333</v>
      </c>
      <c r="M58" s="556" cm="1">
        <f t="array" ref="M58">SUMPRODUCT('W2'!$M$12:$R$112*('W2'!$M$7:$R$7=$A58)*('W2'!$A$12:$A$112=$B58))*(SUM(M38,M56:M57))</f>
        <v>-2122.5868498773334</v>
      </c>
      <c r="N58" s="556" cm="1">
        <f t="array" ref="N58">SUMPRODUCT('W2'!$M$12:$R$112*('W2'!$M$7:$R$7=$A58)*('W2'!$A$12:$A$112=$B58))*(SUM(N38,N56:N57))</f>
        <v>-2346.8534441493334</v>
      </c>
      <c r="O58" s="556" cm="1">
        <f t="array" ref="O58">SUMPRODUCT('W2'!$M$12:$R$112*('W2'!$M$7:$R$7=$A58)*('W2'!$A$12:$A$112=$B58))*(SUM(O38,O56:O57))</f>
        <v>-2412.8681504901338</v>
      </c>
      <c r="P58" s="556" cm="1">
        <f t="array" ref="P58">SUMPRODUCT('W2'!$M$12:$R$112*('W2'!$M$7:$R$7=$A58)*('W2'!$A$12:$A$112=$B58))*(SUM(P38,P56:P57))</f>
        <v>-2482.1835921479737</v>
      </c>
      <c r="Q58" s="556" cm="1">
        <f t="array" ref="Q58">SUMPRODUCT('W2'!$M$12:$R$112*('W2'!$M$7:$R$7=$A58)*('W2'!$A$12:$A$112=$B58))*(SUM(Q38,Q56:Q57))</f>
        <v>-2554.9648058887055</v>
      </c>
      <c r="R58" s="556" cm="1">
        <f t="array" ref="R58">SUMPRODUCT('W2'!$M$12:$R$112*('W2'!$M$7:$R$7=$A58)*('W2'!$A$12:$A$112=$B58))*(SUM(R38,R56:R57))</f>
        <v>-2631.3850803164742</v>
      </c>
      <c r="S58" s="556" cm="1">
        <f t="array" ref="S58">SUMPRODUCT('W2'!$M$12:$R$112*('W2'!$M$7:$R$7=$A58)*('W2'!$A$12:$A$112=$B58))*(SUM(S38,S56:S57))</f>
        <v>-2711.6263684656315</v>
      </c>
      <c r="T58" s="556" cm="1">
        <f t="array" ref="T58">SUMPRODUCT('W2'!$M$12:$R$112*('W2'!$M$7:$R$7=$A58)*('W2'!$A$12:$A$112=$B58))*(SUM(T38,T56:T57))</f>
        <v>-2795.879721022246</v>
      </c>
      <c r="U58" s="556" cm="1">
        <f t="array" ref="U58">SUMPRODUCT('W2'!$M$12:$R$112*('W2'!$M$7:$R$7=$A58)*('W2'!$A$12:$A$112=$B58))*(SUM(U38,U56:U57))</f>
        <v>-2884.3457412066919</v>
      </c>
      <c r="V58" s="556" cm="1">
        <f t="array" ref="V58">SUMPRODUCT('W2'!$M$12:$R$112*('W2'!$M$7:$R$7=$A58)*('W2'!$A$12:$A$112=$B58))*(SUM(V38,V56:V57))</f>
        <v>-2977.2350624003593</v>
      </c>
      <c r="W58" s="556" cm="1">
        <f t="array" ref="W58">SUMPRODUCT('W2'!$M$12:$R$112*('W2'!$M$7:$R$7=$A58)*('W2'!$A$12:$A$112=$B58))*(SUM(W38,W56:W57))</f>
        <v>-3074.7688496537107</v>
      </c>
      <c r="X58" s="556" cm="1">
        <f t="array" ref="X58">SUMPRODUCT('W2'!$M$12:$R$112*('W2'!$M$7:$R$7=$A58)*('W2'!$A$12:$A$112=$B58))*(SUM(X38,X56:X57))</f>
        <v>-2174.6799929363965</v>
      </c>
      <c r="Y58" s="556" cm="1">
        <f t="array" ref="Y58">SUMPRODUCT('W2'!$M$12:$R$112*('W2'!$M$7:$R$7=$A58)*('W2'!$A$12:$A$112=$B58))*(SUM(Y38,Y56:Y57))</f>
        <v>-2282.2109933832162</v>
      </c>
      <c r="Z58" s="556" cm="1">
        <f t="array" ref="Z58">SUMPRODUCT('W2'!$M$12:$R$112*('W2'!$M$7:$R$7=$A58)*('W2'!$A$12:$A$112=$B58))*(SUM(Z38,Z56:Z57))</f>
        <v>-2395.1185438523776</v>
      </c>
      <c r="AA58" s="556" cm="1">
        <f t="array" ref="AA58">SUMPRODUCT('W2'!$M$12:$R$112*('W2'!$M$7:$R$7=$A58)*('W2'!$A$12:$A$112=$B58))*(SUM(AA38,AA56:AA57))</f>
        <v>-2513.6714718449957</v>
      </c>
      <c r="AB58" s="556" cm="1">
        <f t="array" ref="AB58">SUMPRODUCT('W2'!$M$12:$R$112*('W2'!$M$7:$R$7=$A58)*('W2'!$A$12:$A$112=$B58))*(SUM(AB38,AB56:AB57))</f>
        <v>-2638.1520462372464</v>
      </c>
      <c r="AC58" s="556" cm="1">
        <f t="array" ref="AC58">SUMPRODUCT('W2'!$M$12:$R$112*('W2'!$M$7:$R$7=$A58)*('W2'!$A$12:$A$112=$B58))*(SUM(AC38,AC56:AC57))</f>
        <v>-2768.8566493491085</v>
      </c>
      <c r="AD58" s="556" cm="1">
        <f t="array" ref="AD58">SUMPRODUCT('W2'!$M$12:$R$112*('W2'!$M$7:$R$7=$A58)*('W2'!$A$12:$A$112=$B58))*(SUM(AD38,AD56:AD57))</f>
        <v>-2906.0964826165641</v>
      </c>
      <c r="AE58" s="556" cm="1">
        <f t="array" ref="AE58">SUMPRODUCT('W2'!$M$12:$R$112*('W2'!$M$7:$R$7=$A58)*('W2'!$A$12:$A$112=$B58))*(SUM(AE38,AE56:AE57))</f>
        <v>-3050.1983075473922</v>
      </c>
      <c r="AF58" s="556" cm="1">
        <f t="array" ref="AF58">SUMPRODUCT('W2'!$M$12:$R$112*('W2'!$M$7:$R$7=$A58)*('W2'!$A$12:$A$112=$B58))*(SUM(AF38,AF56:AF57))</f>
        <v>-3201.5052237247619</v>
      </c>
      <c r="AG58" s="556" cm="1">
        <f t="array" ref="AG58">SUMPRODUCT('W2'!$M$12:$R$112*('W2'!$M$7:$R$7=$A58)*('W2'!$A$12:$A$112=$B58))*(SUM(AG38,AG56:AG57))</f>
        <v>-3360.3774857109997</v>
      </c>
      <c r="AH58" s="556" cm="1">
        <f t="array" ref="AH58">SUMPRODUCT('W2'!$M$12:$R$112*('W2'!$M$7:$R$7=$A58)*('W2'!$A$12:$A$112=$B58))*(SUM(AH38,AH56:AH57))</f>
        <v>-3527.1933607965498</v>
      </c>
      <c r="AI58" s="556" cm="1">
        <f t="array" ref="AI58">SUMPRODUCT('W2'!$M$12:$R$112*('W2'!$M$7:$R$7=$A58)*('W2'!$A$12:$A$112=$B58))*(SUM(AI38,AI56:AI57))</f>
        <v>-3702.3500296363773</v>
      </c>
      <c r="AJ58" s="556" cm="1">
        <f t="array" ref="AJ58">SUMPRODUCT('W2'!$M$12:$R$112*('W2'!$M$7:$R$7=$A58)*('W2'!$A$12:$A$112=$B58))*(SUM(AJ38,AJ56:AJ57))</f>
        <v>-3886.2645319181966</v>
      </c>
    </row>
    <row r="59" spans="1:36" x14ac:dyDescent="0.25">
      <c r="A59" t="s">
        <v>422</v>
      </c>
      <c r="K59" s="15"/>
      <c r="L59" s="263"/>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spans="1:36" s="300" customFormat="1" x14ac:dyDescent="0.25">
      <c r="A60" s="300" t="s">
        <v>422</v>
      </c>
      <c r="H60" s="301" t="s">
        <v>464</v>
      </c>
      <c r="I60" s="302" t="str">
        <f>IF($H$9="USD","USD","tr. VND")</f>
        <v>tr. VND</v>
      </c>
      <c r="K60" s="303">
        <f>K38+K48</f>
        <v>0</v>
      </c>
      <c r="L60" s="303">
        <f t="shared" ref="L60:Z60" si="67">L38+L48</f>
        <v>-136144.00223716011</v>
      </c>
      <c r="M60" s="303">
        <f t="shared" si="67"/>
        <v>-172443.22936775751</v>
      </c>
      <c r="N60" s="303">
        <f t="shared" si="67"/>
        <v>-231914.83653814293</v>
      </c>
      <c r="O60" s="303">
        <f t="shared" si="67"/>
        <v>-237088.99513803353</v>
      </c>
      <c r="P60" s="303">
        <f t="shared" si="67"/>
        <v>-242420.12054562898</v>
      </c>
      <c r="Q60" s="303">
        <f t="shared" si="67"/>
        <v>-247914.02627886878</v>
      </c>
      <c r="R60" s="303">
        <f t="shared" si="67"/>
        <v>-253576.77583514043</v>
      </c>
      <c r="S60" s="303">
        <f t="shared" si="67"/>
        <v>-259414.69437632285</v>
      </c>
      <c r="T60" s="303">
        <f t="shared" si="67"/>
        <v>-265434.38098180352</v>
      </c>
      <c r="U60" s="303">
        <f t="shared" si="67"/>
        <v>-271642.72149754228</v>
      </c>
      <c r="V60" s="303">
        <f t="shared" si="67"/>
        <v>-278046.90201065154</v>
      </c>
      <c r="W60" s="303">
        <f t="shared" si="67"/>
        <v>-284654.42298043164</v>
      </c>
      <c r="X60" s="303">
        <f t="shared" si="67"/>
        <v>-265408.13139166962</v>
      </c>
      <c r="Y60" s="303">
        <f t="shared" si="67"/>
        <v>-272446.16696429788</v>
      </c>
      <c r="Z60" s="303">
        <f t="shared" si="67"/>
        <v>-279712.08245520247</v>
      </c>
      <c r="AA60" s="303">
        <f t="shared" ref="AA60:AJ60" si="68">AA38+AA48</f>
        <v>-287214.79142309009</v>
      </c>
      <c r="AB60" s="303">
        <f t="shared" si="68"/>
        <v>-294963.60349585855</v>
      </c>
      <c r="AC60" s="303">
        <f t="shared" si="68"/>
        <v>-302968.24318188179</v>
      </c>
      <c r="AD60" s="303">
        <f t="shared" si="68"/>
        <v>-311238.86960201472</v>
      </c>
      <c r="AE60" s="303">
        <f t="shared" si="68"/>
        <v>-319786.09718795912</v>
      </c>
      <c r="AF60" s="303">
        <f t="shared" si="68"/>
        <v>-328621.01739490166</v>
      </c>
      <c r="AG60" s="303">
        <f t="shared" si="68"/>
        <v>-337755.22147872613</v>
      </c>
      <c r="AH60" s="303">
        <f t="shared" si="68"/>
        <v>-347200.82439060748</v>
      </c>
      <c r="AI60" s="303">
        <f t="shared" si="68"/>
        <v>-356970.48984442581</v>
      </c>
      <c r="AJ60" s="303">
        <f t="shared" si="68"/>
        <v>-367077.45661520469</v>
      </c>
    </row>
    <row r="61" spans="1:36" x14ac:dyDescent="0.25">
      <c r="A61" t="s">
        <v>422</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spans="1:36" x14ac:dyDescent="0.25">
      <c r="A62" t="s">
        <v>422</v>
      </c>
      <c r="B62" t="s">
        <v>622</v>
      </c>
      <c r="H62" s="459" t="s">
        <v>166</v>
      </c>
      <c r="I62" s="494" t="str">
        <f>IF($H$9="USD","USD","tr. VND")</f>
        <v>tr. VND</v>
      </c>
      <c r="K62" s="461"/>
      <c r="L62" s="461" cm="1">
        <f t="array" ref="L62">-SUMPRODUCT('W2'!$M$12:$R$112*('W2'!$M$7:$R$7=$A62)*('W2'!$A$12:$A$112=$B62))*L27*$H$10*POWER(1+Inflation,L$11+1)</f>
        <v>-2752.9666560000001</v>
      </c>
      <c r="M62" s="461" cm="1">
        <f t="array" ref="M62">-SUMPRODUCT('W2'!$M$12:$R$112*('W2'!$M$7:$R$7=$A62)*('W2'!$A$12:$A$112=$B62))*M27*$H$10*POWER(1+Inflation,M$11+1)</f>
        <v>-3854.1533183999995</v>
      </c>
      <c r="N62" s="461" cm="1">
        <f t="array" ref="N62">-SUMPRODUCT('W2'!$M$12:$R$112*('W2'!$M$7:$R$7=$A62)*('W2'!$A$12:$A$112=$B62))*N27*$H$10*POWER(1+Inflation,N$11+1)</f>
        <v>-5781.2299776</v>
      </c>
      <c r="O62" s="461" cm="1">
        <f t="array" ref="O62">-SUMPRODUCT('W2'!$M$12:$R$112*('W2'!$M$7:$R$7=$A62)*('W2'!$A$12:$A$112=$B62))*O27*$H$10*POWER(1+Inflation,O$11+1)</f>
        <v>-6070.2914764800007</v>
      </c>
      <c r="P62" s="461" cm="1">
        <f t="array" ref="P62">-SUMPRODUCT('W2'!$M$12:$R$112*('W2'!$M$7:$R$7=$A62)*('W2'!$A$12:$A$112=$B62))*P27*$H$10*POWER(1+Inflation,P$11+1)</f>
        <v>-6373.8060503040006</v>
      </c>
      <c r="Q62" s="461" cm="1">
        <f t="array" ref="Q62">-SUMPRODUCT('W2'!$M$12:$R$112*('W2'!$M$7:$R$7=$A62)*('W2'!$A$12:$A$112=$B62))*Q27*$H$10*POWER(1+Inflation,Q$11+1)</f>
        <v>-6692.4963528192002</v>
      </c>
      <c r="R62" s="461" cm="1">
        <f t="array" ref="R62">-SUMPRODUCT('W2'!$M$12:$R$112*('W2'!$M$7:$R$7=$A62)*('W2'!$A$12:$A$112=$B62))*R27*$H$10*POWER(1+Inflation,R$11+1)</f>
        <v>-7027.121170460161</v>
      </c>
      <c r="S62" s="461" cm="1">
        <f t="array" ref="S62">-SUMPRODUCT('W2'!$M$12:$R$112*('W2'!$M$7:$R$7=$A62)*('W2'!$A$12:$A$112=$B62))*S27*$H$10*POWER(1+Inflation,S$11+1)</f>
        <v>-7378.4772289831681</v>
      </c>
      <c r="T62" s="461" cm="1">
        <f t="array" ref="T62">-SUMPRODUCT('W2'!$M$12:$R$112*('W2'!$M$7:$R$7=$A62)*('W2'!$A$12:$A$112=$B62))*T27*$H$10*POWER(1+Inflation,T$11+1)</f>
        <v>-7747.4010904323277</v>
      </c>
      <c r="U62" s="461" cm="1">
        <f t="array" ref="U62">-SUMPRODUCT('W2'!$M$12:$R$112*('W2'!$M$7:$R$7=$A62)*('W2'!$A$12:$A$112=$B62))*U27*$H$10*POWER(1+Inflation,U$11+1)</f>
        <v>-8134.7711449539429</v>
      </c>
      <c r="V62" s="461" cm="1">
        <f t="array" ref="V62">-SUMPRODUCT('W2'!$M$12:$R$112*('W2'!$M$7:$R$7=$A62)*('W2'!$A$12:$A$112=$B62))*V27*$H$10*POWER(1+Inflation,V$11+1)</f>
        <v>-8541.5097022016416</v>
      </c>
      <c r="W62" s="461" cm="1">
        <f t="array" ref="W62">-SUMPRODUCT('W2'!$M$12:$R$112*('W2'!$M$7:$R$7=$A62)*('W2'!$A$12:$A$112=$B62))*W27*$H$10*POWER(1+Inflation,W$11+1)</f>
        <v>-8968.5851873117226</v>
      </c>
      <c r="X62" s="461" cm="1">
        <f t="array" ref="X62">-SUMPRODUCT('W2'!$M$12:$R$112*('W2'!$M$7:$R$7=$A62)*('W2'!$A$12:$A$112=$B62))*X27*$H$10*POWER(1+Inflation,X$11+1)</f>
        <v>-9417.014446677309</v>
      </c>
      <c r="Y62" s="461" cm="1">
        <f t="array" ref="Y62">-SUMPRODUCT('W2'!$M$12:$R$112*('W2'!$M$7:$R$7=$A62)*('W2'!$A$12:$A$112=$B62))*Y27*$H$10*POWER(1+Inflation,Y$11+1)</f>
        <v>-9887.8651690111747</v>
      </c>
      <c r="Z62" s="461" cm="1">
        <f t="array" ref="Z62">-SUMPRODUCT('W2'!$M$12:$R$112*('W2'!$M$7:$R$7=$A62)*('W2'!$A$12:$A$112=$B62))*Z27*$H$10*POWER(1+Inflation,Z$11+1)</f>
        <v>-10382.258427461735</v>
      </c>
      <c r="AA62" s="461" cm="1">
        <f t="array" ref="AA62">-SUMPRODUCT('W2'!$M$12:$R$112*('W2'!$M$7:$R$7=$A62)*('W2'!$A$12:$A$112=$B62))*AA27*$H$10*POWER(1+Inflation,AA$11+1)</f>
        <v>-10901.371348834818</v>
      </c>
      <c r="AB62" s="461" cm="1">
        <f t="array" ref="AB62">-SUMPRODUCT('W2'!$M$12:$R$112*('W2'!$M$7:$R$7=$A62)*('W2'!$A$12:$A$112=$B62))*AB27*$H$10*POWER(1+Inflation,AB$11+1)</f>
        <v>-11446.439916276564</v>
      </c>
      <c r="AC62" s="461" cm="1">
        <f t="array" ref="AC62">-SUMPRODUCT('W2'!$M$12:$R$112*('W2'!$M$7:$R$7=$A62)*('W2'!$A$12:$A$112=$B62))*AC27*$H$10*POWER(1+Inflation,AC$11+1)</f>
        <v>-12018.761912090391</v>
      </c>
      <c r="AD62" s="461" cm="1">
        <f t="array" ref="AD62">-SUMPRODUCT('W2'!$M$12:$R$112*('W2'!$M$7:$R$7=$A62)*('W2'!$A$12:$A$112=$B62))*AD27*$H$10*POWER(1+Inflation,AD$11+1)</f>
        <v>-12619.700007694912</v>
      </c>
      <c r="AE62" s="461" cm="1">
        <f t="array" ref="AE62">-SUMPRODUCT('W2'!$M$12:$R$112*('W2'!$M$7:$R$7=$A62)*('W2'!$A$12:$A$112=$B62))*AE27*$H$10*POWER(1+Inflation,AE$11+1)</f>
        <v>-13250.685008079656</v>
      </c>
      <c r="AF62" s="461" cm="1">
        <f t="array" ref="AF62">-SUMPRODUCT('W2'!$M$12:$R$112*('W2'!$M$7:$R$7=$A62)*('W2'!$A$12:$A$112=$B62))*AF27*$H$10*POWER(1+Inflation,AF$11+1)</f>
        <v>-13913.219258483639</v>
      </c>
      <c r="AG62" s="461" cm="1">
        <f t="array" ref="AG62">-SUMPRODUCT('W2'!$M$12:$R$112*('W2'!$M$7:$R$7=$A62)*('W2'!$A$12:$A$112=$B62))*AG27*$H$10*POWER(1+Inflation,AG$11+1)</f>
        <v>-14608.88022140782</v>
      </c>
      <c r="AH62" s="461" cm="1">
        <f t="array" ref="AH62">-SUMPRODUCT('W2'!$M$12:$R$112*('W2'!$M$7:$R$7=$A62)*('W2'!$A$12:$A$112=$B62))*AH27*$H$10*POWER(1+Inflation,AH$11+1)</f>
        <v>-15339.324232478211</v>
      </c>
      <c r="AI62" s="461" cm="1">
        <f t="array" ref="AI62">-SUMPRODUCT('W2'!$M$12:$R$112*('W2'!$M$7:$R$7=$A62)*('W2'!$A$12:$A$112=$B62))*AI27*$H$10*POWER(1+Inflation,AI$11+1)</f>
        <v>-16106.290444102122</v>
      </c>
      <c r="AJ62" s="461" cm="1">
        <f t="array" ref="AJ62">-SUMPRODUCT('W2'!$M$12:$R$112*('W2'!$M$7:$R$7=$A62)*('W2'!$A$12:$A$112=$B62))*AJ27*$H$10*POWER(1+Inflation,AJ$11+1)</f>
        <v>-16911.60496630723</v>
      </c>
    </row>
    <row r="63" spans="1:36" x14ac:dyDescent="0.25">
      <c r="A63" t="s">
        <v>422</v>
      </c>
      <c r="B63" t="s">
        <v>527</v>
      </c>
      <c r="H63" s="454" t="s">
        <v>469</v>
      </c>
      <c r="I63" s="497" t="str">
        <f>IF($H$9="USD","USD","tr. VND")</f>
        <v>tr. VND</v>
      </c>
      <c r="K63" s="457"/>
      <c r="L63" s="457" cm="1">
        <f t="array" ref="L63">-SUMPRODUCT('W2'!$M$12:$R$112*('W2'!$M$7:$R$7=$A63)*('W2'!$A$12:$A$112=$B63))*L27*$H$10*POWER(1+Inflation,L$11+1)</f>
        <v>0</v>
      </c>
      <c r="M63" s="457" cm="1">
        <f t="array" ref="M63">-SUMPRODUCT('W2'!$M$12:$R$112*('W2'!$M$7:$R$7=$A63)*('W2'!$A$12:$A$112=$B63))*M27*$H$10*POWER(1+Inflation,M$11+1)</f>
        <v>0</v>
      </c>
      <c r="N63" s="457" cm="1">
        <f t="array" ref="N63">-SUMPRODUCT('W2'!$M$12:$R$112*('W2'!$M$7:$R$7=$A63)*('W2'!$A$12:$A$112=$B63))*N27*$H$10*POWER(1+Inflation,N$11+1)</f>
        <v>0</v>
      </c>
      <c r="O63" s="457" cm="1">
        <f t="array" ref="O63">-SUMPRODUCT('W2'!$M$12:$R$112*('W2'!$M$7:$R$7=$A63)*('W2'!$A$12:$A$112=$B63))*O27*$H$10*POWER(1+Inflation,O$11+1)</f>
        <v>0</v>
      </c>
      <c r="P63" s="457" cm="1">
        <f t="array" ref="P63">-SUMPRODUCT('W2'!$M$12:$R$112*('W2'!$M$7:$R$7=$A63)*('W2'!$A$12:$A$112=$B63))*P27*$H$10*POWER(1+Inflation,P$11+1)</f>
        <v>0</v>
      </c>
      <c r="Q63" s="457" cm="1">
        <f t="array" ref="Q63">-SUMPRODUCT('W2'!$M$12:$R$112*('W2'!$M$7:$R$7=$A63)*('W2'!$A$12:$A$112=$B63))*Q27*$H$10*POWER(1+Inflation,Q$11+1)</f>
        <v>0</v>
      </c>
      <c r="R63" s="457" cm="1">
        <f t="array" ref="R63">-SUMPRODUCT('W2'!$M$12:$R$112*('W2'!$M$7:$R$7=$A63)*('W2'!$A$12:$A$112=$B63))*R27*$H$10*POWER(1+Inflation,R$11+1)</f>
        <v>0</v>
      </c>
      <c r="S63" s="457" cm="1">
        <f t="array" ref="S63">-SUMPRODUCT('W2'!$M$12:$R$112*('W2'!$M$7:$R$7=$A63)*('W2'!$A$12:$A$112=$B63))*S27*$H$10*POWER(1+Inflation,S$11+1)</f>
        <v>0</v>
      </c>
      <c r="T63" s="457" cm="1">
        <f t="array" ref="T63">-SUMPRODUCT('W2'!$M$12:$R$112*('W2'!$M$7:$R$7=$A63)*('W2'!$A$12:$A$112=$B63))*T27*$H$10*POWER(1+Inflation,T$11+1)</f>
        <v>0</v>
      </c>
      <c r="U63" s="457" cm="1">
        <f t="array" ref="U63">-SUMPRODUCT('W2'!$M$12:$R$112*('W2'!$M$7:$R$7=$A63)*('W2'!$A$12:$A$112=$B63))*U27*$H$10*POWER(1+Inflation,U$11+1)</f>
        <v>0</v>
      </c>
      <c r="V63" s="457" cm="1">
        <f t="array" ref="V63">-SUMPRODUCT('W2'!$M$12:$R$112*('W2'!$M$7:$R$7=$A63)*('W2'!$A$12:$A$112=$B63))*V27*$H$10*POWER(1+Inflation,V$11+1)</f>
        <v>0</v>
      </c>
      <c r="W63" s="457" cm="1">
        <f t="array" ref="W63">-SUMPRODUCT('W2'!$M$12:$R$112*('W2'!$M$7:$R$7=$A63)*('W2'!$A$12:$A$112=$B63))*W27*$H$10*POWER(1+Inflation,W$11+1)</f>
        <v>0</v>
      </c>
      <c r="X63" s="457" cm="1">
        <f t="array" ref="X63">-SUMPRODUCT('W2'!$M$12:$R$112*('W2'!$M$7:$R$7=$A63)*('W2'!$A$12:$A$112=$B63))*X27*$H$10*POWER(1+Inflation,X$11+1)</f>
        <v>0</v>
      </c>
      <c r="Y63" s="457" cm="1">
        <f t="array" ref="Y63">-SUMPRODUCT('W2'!$M$12:$R$112*('W2'!$M$7:$R$7=$A63)*('W2'!$A$12:$A$112=$B63))*Y27*$H$10*POWER(1+Inflation,Y$11+1)</f>
        <v>0</v>
      </c>
      <c r="Z63" s="457" cm="1">
        <f t="array" ref="Z63">-SUMPRODUCT('W2'!$M$12:$R$112*('W2'!$M$7:$R$7=$A63)*('W2'!$A$12:$A$112=$B63))*Z27*$H$10*POWER(1+Inflation,Z$11+1)</f>
        <v>0</v>
      </c>
      <c r="AA63" s="457" cm="1">
        <f t="array" ref="AA63">-SUMPRODUCT('W2'!$M$12:$R$112*('W2'!$M$7:$R$7=$A63)*('W2'!$A$12:$A$112=$B63))*AA27*$H$10*POWER(1+Inflation,AA$11+1)</f>
        <v>0</v>
      </c>
      <c r="AB63" s="457" cm="1">
        <f t="array" ref="AB63">-SUMPRODUCT('W2'!$M$12:$R$112*('W2'!$M$7:$R$7=$A63)*('W2'!$A$12:$A$112=$B63))*AB27*$H$10*POWER(1+Inflation,AB$11+1)</f>
        <v>0</v>
      </c>
      <c r="AC63" s="457" cm="1">
        <f t="array" ref="AC63">-SUMPRODUCT('W2'!$M$12:$R$112*('W2'!$M$7:$R$7=$A63)*('W2'!$A$12:$A$112=$B63))*AC27*$H$10*POWER(1+Inflation,AC$11+1)</f>
        <v>0</v>
      </c>
      <c r="AD63" s="457" cm="1">
        <f t="array" ref="AD63">-SUMPRODUCT('W2'!$M$12:$R$112*('W2'!$M$7:$R$7=$A63)*('W2'!$A$12:$A$112=$B63))*AD27*$H$10*POWER(1+Inflation,AD$11+1)</f>
        <v>0</v>
      </c>
      <c r="AE63" s="457" cm="1">
        <f t="array" ref="AE63">-SUMPRODUCT('W2'!$M$12:$R$112*('W2'!$M$7:$R$7=$A63)*('W2'!$A$12:$A$112=$B63))*AE27*$H$10*POWER(1+Inflation,AE$11+1)</f>
        <v>0</v>
      </c>
      <c r="AF63" s="457" cm="1">
        <f t="array" ref="AF63">-SUMPRODUCT('W2'!$M$12:$R$112*('W2'!$M$7:$R$7=$A63)*('W2'!$A$12:$A$112=$B63))*AF27*$H$10*POWER(1+Inflation,AF$11+1)</f>
        <v>0</v>
      </c>
      <c r="AG63" s="457" cm="1">
        <f t="array" ref="AG63">-SUMPRODUCT('W2'!$M$12:$R$112*('W2'!$M$7:$R$7=$A63)*('W2'!$A$12:$A$112=$B63))*AG27*$H$10*POWER(1+Inflation,AG$11+1)</f>
        <v>0</v>
      </c>
      <c r="AH63" s="457" cm="1">
        <f t="array" ref="AH63">-SUMPRODUCT('W2'!$M$12:$R$112*('W2'!$M$7:$R$7=$A63)*('W2'!$A$12:$A$112=$B63))*AH27*$H$10*POWER(1+Inflation,AH$11+1)</f>
        <v>0</v>
      </c>
      <c r="AI63" s="457" cm="1">
        <f t="array" ref="AI63">-SUMPRODUCT('W2'!$M$12:$R$112*('W2'!$M$7:$R$7=$A63)*('W2'!$A$12:$A$112=$B63))*AI27*$H$10*POWER(1+Inflation,AI$11+1)</f>
        <v>0</v>
      </c>
      <c r="AJ63" s="457" cm="1">
        <f t="array" ref="AJ63">-SUMPRODUCT('W2'!$M$12:$R$112*('W2'!$M$7:$R$7=$A63)*('W2'!$A$12:$A$112=$B63))*AJ27*$H$10*POWER(1+Inflation,AJ$11+1)</f>
        <v>0</v>
      </c>
    </row>
    <row r="64" spans="1:36" x14ac:dyDescent="0.25">
      <c r="A64" t="s">
        <v>422</v>
      </c>
      <c r="B64" t="s">
        <v>522</v>
      </c>
      <c r="H64" s="454" t="s">
        <v>468</v>
      </c>
      <c r="I64" s="497" t="str">
        <f>IF($H$9="USD","USD","tr. VND")</f>
        <v>tr. VND</v>
      </c>
      <c r="K64" s="454"/>
      <c r="L64" s="457" cm="1">
        <f t="array" ref="L64">-SUMPRODUCT('W2'!$M$12:$R$112*('W2'!$M$7:$R$7=$A64)*('W2'!$A$12:$A$112=$B64))*L27*$H$10*POWER(1+Inflation,L$11+1)</f>
        <v>0</v>
      </c>
      <c r="M64" s="457" cm="1">
        <f t="array" ref="M64">-SUMPRODUCT('W2'!$M$12:$R$112*('W2'!$M$7:$R$7=$A64)*('W2'!$A$12:$A$112=$B64))*M27*$H$10*POWER(1+Inflation,M$11+1)</f>
        <v>0</v>
      </c>
      <c r="N64" s="457" cm="1">
        <f t="array" ref="N64">-SUMPRODUCT('W2'!$M$12:$R$112*('W2'!$M$7:$R$7=$A64)*('W2'!$A$12:$A$112=$B64))*N27*$H$10*POWER(1+Inflation,N$11+1)</f>
        <v>0</v>
      </c>
      <c r="O64" s="457" cm="1">
        <f t="array" ref="O64">-SUMPRODUCT('W2'!$M$12:$R$112*('W2'!$M$7:$R$7=$A64)*('W2'!$A$12:$A$112=$B64))*O27*$H$10*POWER(1+Inflation,O$11+1)</f>
        <v>0</v>
      </c>
      <c r="P64" s="457" cm="1">
        <f t="array" ref="P64">-SUMPRODUCT('W2'!$M$12:$R$112*('W2'!$M$7:$R$7=$A64)*('W2'!$A$12:$A$112=$B64))*P27*$H$10*POWER(1+Inflation,P$11+1)</f>
        <v>0</v>
      </c>
      <c r="Q64" s="457" cm="1">
        <f t="array" ref="Q64">-SUMPRODUCT('W2'!$M$12:$R$112*('W2'!$M$7:$R$7=$A64)*('W2'!$A$12:$A$112=$B64))*Q27*$H$10*POWER(1+Inflation,Q$11+1)</f>
        <v>0</v>
      </c>
      <c r="R64" s="457" cm="1">
        <f t="array" ref="R64">-SUMPRODUCT('W2'!$M$12:$R$112*('W2'!$M$7:$R$7=$A64)*('W2'!$A$12:$A$112=$B64))*R27*$H$10*POWER(1+Inflation,R$11+1)</f>
        <v>0</v>
      </c>
      <c r="S64" s="457" cm="1">
        <f t="array" ref="S64">-SUMPRODUCT('W2'!$M$12:$R$112*('W2'!$M$7:$R$7=$A64)*('W2'!$A$12:$A$112=$B64))*S27*$H$10*POWER(1+Inflation,S$11+1)</f>
        <v>0</v>
      </c>
      <c r="T64" s="457" cm="1">
        <f t="array" ref="T64">-SUMPRODUCT('W2'!$M$12:$R$112*('W2'!$M$7:$R$7=$A64)*('W2'!$A$12:$A$112=$B64))*T27*$H$10*POWER(1+Inflation,T$11+1)</f>
        <v>0</v>
      </c>
      <c r="U64" s="457" cm="1">
        <f t="array" ref="U64">-SUMPRODUCT('W2'!$M$12:$R$112*('W2'!$M$7:$R$7=$A64)*('W2'!$A$12:$A$112=$B64))*U27*$H$10*POWER(1+Inflation,U$11+1)</f>
        <v>0</v>
      </c>
      <c r="V64" s="457" cm="1">
        <f t="array" ref="V64">-SUMPRODUCT('W2'!$M$12:$R$112*('W2'!$M$7:$R$7=$A64)*('W2'!$A$12:$A$112=$B64))*V27*$H$10*POWER(1+Inflation,V$11+1)</f>
        <v>0</v>
      </c>
      <c r="W64" s="457" cm="1">
        <f t="array" ref="W64">-SUMPRODUCT('W2'!$M$12:$R$112*('W2'!$M$7:$R$7=$A64)*('W2'!$A$12:$A$112=$B64))*W27*$H$10*POWER(1+Inflation,W$11+1)</f>
        <v>0</v>
      </c>
      <c r="X64" s="457" cm="1">
        <f t="array" ref="X64">-SUMPRODUCT('W2'!$M$12:$R$112*('W2'!$M$7:$R$7=$A64)*('W2'!$A$12:$A$112=$B64))*X27*$H$10*POWER(1+Inflation,X$11+1)</f>
        <v>0</v>
      </c>
      <c r="Y64" s="457" cm="1">
        <f t="array" ref="Y64">-SUMPRODUCT('W2'!$M$12:$R$112*('W2'!$M$7:$R$7=$A64)*('W2'!$A$12:$A$112=$B64))*Y27*$H$10*POWER(1+Inflation,Y$11+1)</f>
        <v>0</v>
      </c>
      <c r="Z64" s="457" cm="1">
        <f t="array" ref="Z64">-SUMPRODUCT('W2'!$M$12:$R$112*('W2'!$M$7:$R$7=$A64)*('W2'!$A$12:$A$112=$B64))*Z27*$H$10*POWER(1+Inflation,Z$11+1)</f>
        <v>0</v>
      </c>
      <c r="AA64" s="457" cm="1">
        <f t="array" ref="AA64">-SUMPRODUCT('W2'!$M$12:$R$112*('W2'!$M$7:$R$7=$A64)*('W2'!$A$12:$A$112=$B64))*AA27*$H$10*POWER(1+Inflation,AA$11+1)</f>
        <v>0</v>
      </c>
      <c r="AB64" s="457" cm="1">
        <f t="array" ref="AB64">-SUMPRODUCT('W2'!$M$12:$R$112*('W2'!$M$7:$R$7=$A64)*('W2'!$A$12:$A$112=$B64))*AB27*$H$10*POWER(1+Inflation,AB$11+1)</f>
        <v>0</v>
      </c>
      <c r="AC64" s="457" cm="1">
        <f t="array" ref="AC64">-SUMPRODUCT('W2'!$M$12:$R$112*('W2'!$M$7:$R$7=$A64)*('W2'!$A$12:$A$112=$B64))*AC27*$H$10*POWER(1+Inflation,AC$11+1)</f>
        <v>0</v>
      </c>
      <c r="AD64" s="457" cm="1">
        <f t="array" ref="AD64">-SUMPRODUCT('W2'!$M$12:$R$112*('W2'!$M$7:$R$7=$A64)*('W2'!$A$12:$A$112=$B64))*AD27*$H$10*POWER(1+Inflation,AD$11+1)</f>
        <v>0</v>
      </c>
      <c r="AE64" s="457" cm="1">
        <f t="array" ref="AE64">-SUMPRODUCT('W2'!$M$12:$R$112*('W2'!$M$7:$R$7=$A64)*('W2'!$A$12:$A$112=$B64))*AE27*$H$10*POWER(1+Inflation,AE$11+1)</f>
        <v>0</v>
      </c>
      <c r="AF64" s="457" cm="1">
        <f t="array" ref="AF64">-SUMPRODUCT('W2'!$M$12:$R$112*('W2'!$M$7:$R$7=$A64)*('W2'!$A$12:$A$112=$B64))*AF27*$H$10*POWER(1+Inflation,AF$11+1)</f>
        <v>0</v>
      </c>
      <c r="AG64" s="457" cm="1">
        <f t="array" ref="AG64">-SUMPRODUCT('W2'!$M$12:$R$112*('W2'!$M$7:$R$7=$A64)*('W2'!$A$12:$A$112=$B64))*AG27*$H$10*POWER(1+Inflation,AG$11+1)</f>
        <v>0</v>
      </c>
      <c r="AH64" s="457" cm="1">
        <f t="array" ref="AH64">-SUMPRODUCT('W2'!$M$12:$R$112*('W2'!$M$7:$R$7=$A64)*('W2'!$A$12:$A$112=$B64))*AH27*$H$10*POWER(1+Inflation,AH$11+1)</f>
        <v>0</v>
      </c>
      <c r="AI64" s="457" cm="1">
        <f t="array" ref="AI64">-SUMPRODUCT('W2'!$M$12:$R$112*('W2'!$M$7:$R$7=$A64)*('W2'!$A$12:$A$112=$B64))*AI27*$H$10*POWER(1+Inflation,AI$11+1)</f>
        <v>0</v>
      </c>
      <c r="AJ64" s="457" cm="1">
        <f t="array" ref="AJ64">-SUMPRODUCT('W2'!$M$12:$R$112*('W2'!$M$7:$R$7=$A64)*('W2'!$A$12:$A$112=$B64))*AJ27*$H$10*POWER(1+Inflation,AJ$11+1)</f>
        <v>0</v>
      </c>
    </row>
    <row r="65" spans="1:36" x14ac:dyDescent="0.25">
      <c r="A65" t="s">
        <v>422</v>
      </c>
      <c r="H65" s="454" t="s">
        <v>470</v>
      </c>
      <c r="I65" s="497" t="str">
        <f>IF($H$9="USD","USD","tr. VND")</f>
        <v>tr. VND</v>
      </c>
      <c r="K65" s="454"/>
      <c r="L65" s="457" cm="1">
        <f t="array" ref="L65">-SUMPRODUCT('Lãi vay'!$E$5:$AI$34*('Lãi vay'!$A$5:$A$34=$A65)*('Lãi vay'!$B$5:$B$34="Lãi vay")*('Lãi vay'!$E$3:$AI$3=L$14))*$H$10</f>
        <v>-14736.740200000002</v>
      </c>
      <c r="M65" s="457" cm="1">
        <f t="array" ref="M65">-SUMPRODUCT('Lãi vay'!$E$5:$AI$34*('Lãi vay'!$A$5:$A$34=$A65)*('Lãi vay'!$B$5:$B$34="Lãi vay")*('Lãi vay'!$E$3:$AI$3=M$14))*$H$10</f>
        <v>-14580.731121804387</v>
      </c>
      <c r="N65" s="457" cm="1">
        <f t="array" ref="N65">-SUMPRODUCT('Lãi vay'!$E$5:$AI$34*('Lãi vay'!$A$5:$A$34=$A65)*('Lãi vay'!$B$5:$B$34="Lãi vay")*('Lãi vay'!$E$3:$AI$3=N$14))*$H$10</f>
        <v>-14413.801408135079</v>
      </c>
      <c r="O65" s="457" cm="1">
        <f t="array" ref="O65">-SUMPRODUCT('Lãi vay'!$E$5:$AI$34*('Lãi vay'!$A$5:$A$34=$A65)*('Lãi vay'!$B$5:$B$34="Lãi vay")*('Lãi vay'!$E$3:$AI$3=O$14))*$H$10</f>
        <v>-14235.186614508921</v>
      </c>
      <c r="P65" s="457" cm="1">
        <f t="array" ref="P65">-SUMPRODUCT('Lãi vay'!$E$5:$AI$34*('Lãi vay'!$A$5:$A$34=$A65)*('Lãi vay'!$B$5:$B$34="Lãi vay")*('Lãi vay'!$E$3:$AI$3=P$14))*$H$10</f>
        <v>-14044.068785328929</v>
      </c>
      <c r="Q65" s="457" cm="1">
        <f t="array" ref="Q65">-SUMPRODUCT('Lãi vay'!$E$5:$AI$34*('Lãi vay'!$A$5:$A$34=$A65)*('Lãi vay'!$B$5:$B$34="Lãi vay")*('Lãi vay'!$E$3:$AI$3=Q$14))*$H$10</f>
        <v>-13839.57270810634</v>
      </c>
      <c r="R65" s="457" cm="1">
        <f t="array" ref="R65">-SUMPRODUCT('Lãi vay'!$E$5:$AI$34*('Lãi vay'!$A$5:$A$34=$A65)*('Lãi vay'!$B$5:$B$34="Lãi vay")*('Lãi vay'!$E$3:$AI$3=R$14))*$H$10</f>
        <v>-13620.761905478172</v>
      </c>
      <c r="S65" s="457" cm="1">
        <f t="array" ref="S65">-SUMPRODUCT('Lãi vay'!$E$5:$AI$34*('Lãi vay'!$A$5:$A$34=$A65)*('Lãi vay'!$B$5:$B$34="Lãi vay")*('Lãi vay'!$E$3:$AI$3=S$14))*$H$10</f>
        <v>-13386.634346666031</v>
      </c>
      <c r="T65" s="457" cm="1">
        <f t="array" ref="T65">-SUMPRODUCT('Lãi vay'!$E$5:$AI$34*('Lãi vay'!$A$5:$A$34=$A65)*('Lãi vay'!$B$5:$B$34="Lãi vay")*('Lãi vay'!$E$3:$AI$3=T$14))*$H$10</f>
        <v>-13136.117858737038</v>
      </c>
      <c r="U65" s="457" cm="1">
        <f t="array" ref="U65">-SUMPRODUCT('Lãi vay'!$E$5:$AI$34*('Lãi vay'!$A$5:$A$34=$A65)*('Lãi vay'!$B$5:$B$34="Lãi vay")*('Lãi vay'!$E$3:$AI$3=U$14))*$H$10</f>
        <v>-12868.065216653014</v>
      </c>
      <c r="V65" s="457" cm="1">
        <f t="array" ref="V65">-SUMPRODUCT('Lãi vay'!$E$5:$AI$34*('Lãi vay'!$A$5:$A$34=$A65)*('Lãi vay'!$B$5:$B$34="Lãi vay")*('Lãi vay'!$E$3:$AI$3=V$14))*$H$10</f>
        <v>-12581.248889623112</v>
      </c>
      <c r="W65" s="457" cm="1">
        <f t="array" ref="W65">-SUMPRODUCT('Lãi vay'!$E$5:$AI$34*('Lãi vay'!$A$5:$A$34=$A65)*('Lãi vay'!$B$5:$B$34="Lãi vay")*('Lãi vay'!$E$3:$AI$3=W$14))*$H$10</f>
        <v>-12274.355419701116</v>
      </c>
      <c r="X65" s="457" cm="1">
        <f t="array" ref="X65">-SUMPRODUCT('Lãi vay'!$E$5:$AI$34*('Lãi vay'!$A$5:$A$34=$A65)*('Lãi vay'!$B$5:$B$34="Lãi vay")*('Lãi vay'!$E$3:$AI$3=X$14))*$H$10</f>
        <v>-11945.97940688458</v>
      </c>
      <c r="Y65" s="457" cm="1">
        <f t="array" ref="Y65">-SUMPRODUCT('Lãi vay'!$E$5:$AI$34*('Lãi vay'!$A$5:$A$34=$A65)*('Lãi vay'!$B$5:$B$34="Lãi vay")*('Lãi vay'!$E$3:$AI$3=Y$14))*$H$10</f>
        <v>-11594.617073170886</v>
      </c>
      <c r="Z65" s="457" cm="1">
        <f t="array" ref="Z65">-SUMPRODUCT('Lãi vay'!$E$5:$AI$34*('Lãi vay'!$A$5:$A$34=$A65)*('Lãi vay'!$B$5:$B$34="Lãi vay")*('Lãi vay'!$E$3:$AI$3=Z$14))*$H$10</f>
        <v>-11218.659376097234</v>
      </c>
      <c r="AA65" s="457" cm="1">
        <f t="array" ref="AA65">-SUMPRODUCT('Lãi vay'!$E$5:$AI$34*('Lãi vay'!$A$5:$A$34=$A65)*('Lãi vay'!$B$5:$B$34="Lãi vay")*('Lãi vay'!$E$3:$AI$3=AA$14))*$H$10</f>
        <v>-10816.384640228427</v>
      </c>
      <c r="AB65" s="457" cm="1">
        <f t="array" ref="AB65">-SUMPRODUCT('Lãi vay'!$E$5:$AI$34*('Lãi vay'!$A$5:$A$34=$A65)*('Lãi vay'!$B$5:$B$34="Lãi vay")*('Lãi vay'!$E$3:$AI$3=AB$14))*$H$10</f>
        <v>-10385.950672848801</v>
      </c>
      <c r="AC65" s="457" cm="1">
        <f t="array" ref="AC65">-SUMPRODUCT('Lãi vay'!$E$5:$AI$34*('Lãi vay'!$A$5:$A$34=$A65)*('Lãi vay'!$B$5:$B$34="Lãi vay")*('Lãi vay'!$E$3:$AI$3=AC$14))*$H$10</f>
        <v>-9925.3863277526052</v>
      </c>
      <c r="AD65" s="457" cm="1">
        <f t="array" ref="AD65">-SUMPRODUCT('Lãi vay'!$E$5:$AI$34*('Lãi vay'!$A$5:$A$34=$A65)*('Lãi vay'!$B$5:$B$34="Lãi vay")*('Lãi vay'!$E$3:$AI$3=AD$14))*$H$10</f>
        <v>-9432.582478499673</v>
      </c>
      <c r="AE65" s="457" cm="1">
        <f t="array" ref="AE65">-SUMPRODUCT('Lãi vay'!$E$5:$AI$34*('Lãi vay'!$A$5:$A$34=$A65)*('Lãi vay'!$B$5:$B$34="Lãi vay")*('Lãi vay'!$E$3:$AI$3=AE$14))*$H$10</f>
        <v>-8905.2823597990355</v>
      </c>
      <c r="AF65" s="457" cm="1">
        <f t="array" ref="AF65">-SUMPRODUCT('Lãi vay'!$E$5:$AI$34*('Lãi vay'!$A$5:$A$34=$A65)*('Lãi vay'!$B$5:$B$34="Lãi vay")*('Lãi vay'!$E$3:$AI$3=AF$14))*$H$10</f>
        <v>-8341.0712327893543</v>
      </c>
      <c r="AG65" s="457" cm="1">
        <f t="array" ref="AG65">-SUMPRODUCT('Lãi vay'!$E$5:$AI$34*('Lãi vay'!$A$5:$A$34=$A65)*('Lãi vay'!$B$5:$B$34="Lãi vay")*('Lãi vay'!$E$3:$AI$3=AG$14))*$H$10</f>
        <v>-7737.3653268889948</v>
      </c>
      <c r="AH65" s="457" cm="1">
        <f t="array" ref="AH65">-SUMPRODUCT('Lãi vay'!$E$5:$AI$34*('Lãi vay'!$A$5:$A$34=$A65)*('Lãi vay'!$B$5:$B$34="Lãi vay")*('Lãi vay'!$E$3:$AI$3=AH$14))*$H$10</f>
        <v>-7091.4000075756112</v>
      </c>
      <c r="AI65" s="457" cm="1">
        <f t="array" ref="AI65">-SUMPRODUCT('Lãi vay'!$E$5:$AI$34*('Lãi vay'!$A$5:$A$34=$A65)*('Lãi vay'!$B$5:$B$34="Lãi vay")*('Lãi vay'!$E$3:$AI$3=AI$14))*$H$10</f>
        <v>-6400.2171159102882</v>
      </c>
      <c r="AJ65" s="457" cm="1">
        <f t="array" ref="AJ65">-SUMPRODUCT('Lãi vay'!$E$5:$AI$34*('Lãi vay'!$A$5:$A$34=$A65)*('Lãi vay'!$B$5:$B$34="Lãi vay")*('Lãi vay'!$E$3:$AI$3=AJ$14))*$H$10</f>
        <v>-5660.6514218283955</v>
      </c>
    </row>
    <row r="66" spans="1:36" x14ac:dyDescent="0.25">
      <c r="A66" t="s">
        <v>422</v>
      </c>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spans="1:36" s="16" customFormat="1" x14ac:dyDescent="0.25">
      <c r="A67" s="16" t="s">
        <v>422</v>
      </c>
      <c r="H67" s="270" t="s">
        <v>472</v>
      </c>
      <c r="I67" s="271" t="str">
        <f>IF($H$9="USD","USD","tr. VND")</f>
        <v>tr. VND</v>
      </c>
      <c r="K67" s="272">
        <f t="shared" ref="K67" si="69">K60+SUM(K62:K65)</f>
        <v>0</v>
      </c>
      <c r="L67" s="272">
        <f>L60+SUM(L62:L65)</f>
        <v>-153633.70909316011</v>
      </c>
      <c r="M67" s="272">
        <f t="shared" ref="M67:AJ67" si="70">M60+SUM(M62:M65)</f>
        <v>-190878.1138079619</v>
      </c>
      <c r="N67" s="272">
        <f t="shared" si="70"/>
        <v>-252109.86792387802</v>
      </c>
      <c r="O67" s="272">
        <f t="shared" si="70"/>
        <v>-257394.47322902246</v>
      </c>
      <c r="P67" s="272">
        <f t="shared" si="70"/>
        <v>-262837.99538126192</v>
      </c>
      <c r="Q67" s="272">
        <f t="shared" si="70"/>
        <v>-268446.09533979429</v>
      </c>
      <c r="R67" s="272">
        <f t="shared" si="70"/>
        <v>-274224.65891107876</v>
      </c>
      <c r="S67" s="272">
        <f t="shared" si="70"/>
        <v>-280179.80595197203</v>
      </c>
      <c r="T67" s="272">
        <f t="shared" si="70"/>
        <v>-286317.8999309729</v>
      </c>
      <c r="U67" s="272">
        <f t="shared" si="70"/>
        <v>-292645.55785914924</v>
      </c>
      <c r="V67" s="272">
        <f t="shared" si="70"/>
        <v>-299169.66060247627</v>
      </c>
      <c r="W67" s="272">
        <f t="shared" si="70"/>
        <v>-305897.36358744447</v>
      </c>
      <c r="X67" s="272">
        <f t="shared" si="70"/>
        <v>-286771.12524523149</v>
      </c>
      <c r="Y67" s="272">
        <f t="shared" si="70"/>
        <v>-293928.64920647995</v>
      </c>
      <c r="Z67" s="272">
        <f t="shared" si="70"/>
        <v>-301313.00025876146</v>
      </c>
      <c r="AA67" s="272">
        <f t="shared" si="70"/>
        <v>-308932.54741215333</v>
      </c>
      <c r="AB67" s="272">
        <f t="shared" si="70"/>
        <v>-316795.99408498395</v>
      </c>
      <c r="AC67" s="272">
        <f t="shared" si="70"/>
        <v>-324912.39142172481</v>
      </c>
      <c r="AD67" s="272">
        <f t="shared" si="70"/>
        <v>-333291.15208820929</v>
      </c>
      <c r="AE67" s="272">
        <f t="shared" si="70"/>
        <v>-341942.06455583783</v>
      </c>
      <c r="AF67" s="272">
        <f t="shared" si="70"/>
        <v>-350875.30788617465</v>
      </c>
      <c r="AG67" s="272">
        <f t="shared" si="70"/>
        <v>-360101.46702702297</v>
      </c>
      <c r="AH67" s="272">
        <f t="shared" si="70"/>
        <v>-369631.54863066133</v>
      </c>
      <c r="AI67" s="272">
        <f t="shared" si="70"/>
        <v>-379476.99740443821</v>
      </c>
      <c r="AJ67" s="272">
        <f t="shared" si="70"/>
        <v>-389649.71300334029</v>
      </c>
    </row>
    <row r="68" spans="1:36" x14ac:dyDescent="0.25">
      <c r="A68" t="s">
        <v>422</v>
      </c>
    </row>
    <row r="69" spans="1:36" s="24" customFormat="1" ht="17.25" x14ac:dyDescent="0.3">
      <c r="A69" s="24" t="s">
        <v>422</v>
      </c>
      <c r="H69" s="644" t="s">
        <v>473</v>
      </c>
      <c r="I69" s="644"/>
      <c r="K69" s="644"/>
      <c r="L69" s="644"/>
      <c r="M69" s="644"/>
      <c r="N69" s="644"/>
      <c r="O69" s="644"/>
      <c r="P69" s="644"/>
      <c r="Q69" s="644"/>
      <c r="R69" s="644"/>
      <c r="S69" s="644"/>
      <c r="T69" s="644"/>
      <c r="U69" s="644"/>
      <c r="V69" s="644"/>
      <c r="W69" s="644"/>
      <c r="X69" s="644"/>
      <c r="Y69" s="644"/>
      <c r="Z69" s="644"/>
      <c r="AA69" s="644"/>
      <c r="AB69" s="644"/>
      <c r="AC69" s="644"/>
      <c r="AD69" s="644"/>
      <c r="AE69" s="644"/>
      <c r="AF69" s="644"/>
      <c r="AG69" s="644"/>
      <c r="AH69" s="644"/>
      <c r="AI69" s="644"/>
      <c r="AJ69" s="644"/>
    </row>
    <row r="70" spans="1:36" s="1" customFormat="1" x14ac:dyDescent="0.25">
      <c r="A70" s="1" t="s">
        <v>422</v>
      </c>
      <c r="H70" s="273" t="s">
        <v>434</v>
      </c>
      <c r="I70" s="274" t="str">
        <f>IF($H$9="USD","USD/tấn","tr. VND/tấn")</f>
        <v>tr. VND/tấn</v>
      </c>
      <c r="K70" s="278">
        <f t="shared" ref="K70" si="71">SUM(K71:K72,K75:K78,)</f>
        <v>0</v>
      </c>
      <c r="L70" s="278">
        <f>SUM(L71:L72,L75:L78,)</f>
        <v>14.093866286457756</v>
      </c>
      <c r="M70" s="278">
        <f t="shared" ref="M70:AJ70" si="72">SUM(M71:M72,M75:M78,)</f>
        <v>10.067047347469824</v>
      </c>
      <c r="N70" s="278">
        <f t="shared" si="72"/>
        <v>7.1921175630239942</v>
      </c>
      <c r="O70" s="278">
        <f t="shared" si="72"/>
        <v>7.3445612038088699</v>
      </c>
      <c r="P70" s="278">
        <f t="shared" si="72"/>
        <v>7.5046270266329884</v>
      </c>
      <c r="Q70" s="278">
        <f t="shared" si="72"/>
        <v>7.672696140598311</v>
      </c>
      <c r="R70" s="278">
        <f t="shared" si="72"/>
        <v>7.8491687102619006</v>
      </c>
      <c r="S70" s="278">
        <f t="shared" si="72"/>
        <v>8.034464908408669</v>
      </c>
      <c r="T70" s="278">
        <f t="shared" si="72"/>
        <v>8.2290259164627795</v>
      </c>
      <c r="U70" s="278">
        <f t="shared" si="72"/>
        <v>8.4333149749195915</v>
      </c>
      <c r="V70" s="278">
        <f t="shared" si="72"/>
        <v>8.6478184862992435</v>
      </c>
      <c r="W70" s="278">
        <f t="shared" si="72"/>
        <v>8.8730471732478833</v>
      </c>
      <c r="X70" s="278">
        <f t="shared" si="72"/>
        <v>5.0633998459829019</v>
      </c>
      <c r="Y70" s="278">
        <f t="shared" si="72"/>
        <v>5.3117144733437733</v>
      </c>
      <c r="Z70" s="278">
        <f t="shared" si="72"/>
        <v>5.5724448320726889</v>
      </c>
      <c r="AA70" s="278">
        <f t="shared" si="72"/>
        <v>5.846211708738049</v>
      </c>
      <c r="AB70" s="278">
        <f t="shared" si="72"/>
        <v>6.1336669292366803</v>
      </c>
      <c r="AC70" s="278">
        <f t="shared" si="72"/>
        <v>6.4354949107602399</v>
      </c>
      <c r="AD70" s="278">
        <f t="shared" si="72"/>
        <v>6.7524142913599805</v>
      </c>
      <c r="AE70" s="278">
        <f t="shared" si="72"/>
        <v>7.0851796409897068</v>
      </c>
      <c r="AF70" s="278">
        <f t="shared" si="72"/>
        <v>7.4345832581009184</v>
      </c>
      <c r="AG70" s="278">
        <f t="shared" si="72"/>
        <v>7.801457056067691</v>
      </c>
      <c r="AH70" s="278">
        <f t="shared" si="72"/>
        <v>8.1866745439328028</v>
      </c>
      <c r="AI70" s="278">
        <f t="shared" si="72"/>
        <v>8.5911529061911693</v>
      </c>
      <c r="AJ70" s="278">
        <f t="shared" si="72"/>
        <v>9.0158551865624545</v>
      </c>
    </row>
    <row r="71" spans="1:36" x14ac:dyDescent="0.25">
      <c r="A71" t="s">
        <v>422</v>
      </c>
      <c r="C71" t="s">
        <v>367</v>
      </c>
      <c r="H71" s="557" t="s">
        <v>190</v>
      </c>
      <c r="I71" s="558" t="str">
        <f t="shared" ref="I71:I104" si="73">IF($H$9="USD","USD/tấn","tr. VND/tấn")</f>
        <v>tr. VND/tấn</v>
      </c>
      <c r="K71" s="563"/>
      <c r="L71" s="564">
        <f t="shared" ref="L71:AJ71" si="74">-IF($H$9="VND",L39/L27/$H$10/10^3,L39/L27/$H$10*10^3)</f>
        <v>8.0922748971220972</v>
      </c>
      <c r="M71" s="564">
        <f t="shared" si="74"/>
        <v>5.7801963550872131</v>
      </c>
      <c r="N71" s="564">
        <f t="shared" si="74"/>
        <v>4.0461374485610486</v>
      </c>
      <c r="O71" s="564">
        <f t="shared" si="74"/>
        <v>4.0461374485610486</v>
      </c>
      <c r="P71" s="564">
        <f t="shared" si="74"/>
        <v>4.0461374485610486</v>
      </c>
      <c r="Q71" s="564">
        <f t="shared" si="74"/>
        <v>4.0461374485610486</v>
      </c>
      <c r="R71" s="564">
        <f t="shared" si="74"/>
        <v>4.0461374485610486</v>
      </c>
      <c r="S71" s="564">
        <f t="shared" si="74"/>
        <v>4.0461374485610486</v>
      </c>
      <c r="T71" s="564">
        <f t="shared" si="74"/>
        <v>4.0461374485610486</v>
      </c>
      <c r="U71" s="564">
        <f t="shared" si="74"/>
        <v>4.0461374485610486</v>
      </c>
      <c r="V71" s="564">
        <f t="shared" si="74"/>
        <v>4.0461374485610486</v>
      </c>
      <c r="W71" s="564">
        <f t="shared" si="74"/>
        <v>4.0461374485610486</v>
      </c>
      <c r="X71" s="564">
        <f t="shared" si="74"/>
        <v>0</v>
      </c>
      <c r="Y71" s="564">
        <f t="shared" si="74"/>
        <v>0</v>
      </c>
      <c r="Z71" s="564">
        <f t="shared" si="74"/>
        <v>0</v>
      </c>
      <c r="AA71" s="564">
        <f t="shared" si="74"/>
        <v>0</v>
      </c>
      <c r="AB71" s="564">
        <f t="shared" si="74"/>
        <v>0</v>
      </c>
      <c r="AC71" s="564">
        <f t="shared" si="74"/>
        <v>0</v>
      </c>
      <c r="AD71" s="564">
        <f t="shared" si="74"/>
        <v>0</v>
      </c>
      <c r="AE71" s="564">
        <f t="shared" si="74"/>
        <v>0</v>
      </c>
      <c r="AF71" s="564">
        <f t="shared" si="74"/>
        <v>0</v>
      </c>
      <c r="AG71" s="564">
        <f t="shared" si="74"/>
        <v>0</v>
      </c>
      <c r="AH71" s="564">
        <f t="shared" si="74"/>
        <v>0</v>
      </c>
      <c r="AI71" s="564">
        <f t="shared" si="74"/>
        <v>0</v>
      </c>
      <c r="AJ71" s="564">
        <f t="shared" si="74"/>
        <v>0</v>
      </c>
    </row>
    <row r="72" spans="1:36" x14ac:dyDescent="0.25">
      <c r="A72" t="s">
        <v>422</v>
      </c>
      <c r="H72" s="559" t="s">
        <v>429</v>
      </c>
      <c r="I72" s="560" t="str">
        <f t="shared" si="73"/>
        <v>tr. VND/tấn</v>
      </c>
      <c r="K72" s="565">
        <f>SUM(K73:K74)</f>
        <v>0</v>
      </c>
      <c r="L72" s="565">
        <f t="shared" ref="L72:Z72" si="75">SUM(L73:L74)</f>
        <v>1.9410042574812794</v>
      </c>
      <c r="M72" s="565">
        <f t="shared" si="75"/>
        <v>1.3864316124866283</v>
      </c>
      <c r="N72" s="565">
        <f t="shared" si="75"/>
        <v>1.0190272351776717</v>
      </c>
      <c r="O72" s="565">
        <f t="shared" si="75"/>
        <v>1.0699785969365552</v>
      </c>
      <c r="P72" s="565">
        <f t="shared" si="75"/>
        <v>1.1234775267833832</v>
      </c>
      <c r="Q72" s="565">
        <f t="shared" si="75"/>
        <v>1.179651403122552</v>
      </c>
      <c r="R72" s="565">
        <f t="shared" si="75"/>
        <v>1.2386339732786797</v>
      </c>
      <c r="S72" s="565">
        <f t="shared" si="75"/>
        <v>1.3005656719426137</v>
      </c>
      <c r="T72" s="565">
        <f t="shared" si="75"/>
        <v>1.3655939555397447</v>
      </c>
      <c r="U72" s="565">
        <f t="shared" si="75"/>
        <v>1.4338736533167316</v>
      </c>
      <c r="V72" s="565">
        <f t="shared" si="75"/>
        <v>1.5055673359825681</v>
      </c>
      <c r="W72" s="565">
        <f t="shared" si="75"/>
        <v>1.5808457027816967</v>
      </c>
      <c r="X72" s="565">
        <f t="shared" si="75"/>
        <v>1.6598879879207817</v>
      </c>
      <c r="Y72" s="565">
        <f t="shared" si="75"/>
        <v>1.7428823873168202</v>
      </c>
      <c r="Z72" s="565">
        <f t="shared" si="75"/>
        <v>1.8300265066826618</v>
      </c>
      <c r="AA72" s="565">
        <f t="shared" ref="AA72:AJ72" si="76">SUM(AA73:AA74)</f>
        <v>1.9215278320167946</v>
      </c>
      <c r="AB72" s="565">
        <f t="shared" si="76"/>
        <v>2.0176042236176346</v>
      </c>
      <c r="AC72" s="565">
        <f t="shared" si="76"/>
        <v>2.1184844347985163</v>
      </c>
      <c r="AD72" s="565">
        <f t="shared" si="76"/>
        <v>2.2244086565384427</v>
      </c>
      <c r="AE72" s="565">
        <f t="shared" si="76"/>
        <v>2.3356290893653648</v>
      </c>
      <c r="AF72" s="565">
        <f t="shared" si="76"/>
        <v>2.4524105438336328</v>
      </c>
      <c r="AG72" s="565">
        <f t="shared" si="76"/>
        <v>2.5750310710253141</v>
      </c>
      <c r="AH72" s="565">
        <f t="shared" si="76"/>
        <v>2.7037826245765801</v>
      </c>
      <c r="AI72" s="565">
        <f t="shared" si="76"/>
        <v>2.8389717558054088</v>
      </c>
      <c r="AJ72" s="565">
        <f t="shared" si="76"/>
        <v>2.9809203435956801</v>
      </c>
    </row>
    <row r="73" spans="1:36" s="299" customFormat="1" x14ac:dyDescent="0.25">
      <c r="A73" s="299" t="s">
        <v>422</v>
      </c>
      <c r="C73" s="299" t="s">
        <v>367</v>
      </c>
      <c r="H73" s="561" t="s">
        <v>430</v>
      </c>
      <c r="I73" s="562" t="str">
        <f t="shared" si="73"/>
        <v>tr. VND/tấn</v>
      </c>
      <c r="K73" s="566"/>
      <c r="L73" s="566">
        <f t="shared" ref="L73:AJ73" si="77">-IF($H$9="VND",L41/L27/$H$10/10^3,L41/L27/$H$10*10^3)</f>
        <v>0.31733039631846527</v>
      </c>
      <c r="M73" s="566">
        <f t="shared" si="77"/>
        <v>0.22666456879890379</v>
      </c>
      <c r="N73" s="566">
        <f t="shared" si="77"/>
        <v>0.16659845806719425</v>
      </c>
      <c r="O73" s="566">
        <f t="shared" si="77"/>
        <v>0.17492838097055399</v>
      </c>
      <c r="P73" s="566">
        <f t="shared" si="77"/>
        <v>0.18367480001908168</v>
      </c>
      <c r="Q73" s="566">
        <f t="shared" si="77"/>
        <v>0.19285854002003575</v>
      </c>
      <c r="R73" s="566">
        <f t="shared" si="77"/>
        <v>0.20250146702103758</v>
      </c>
      <c r="S73" s="566">
        <f t="shared" si="77"/>
        <v>0.21262654037208945</v>
      </c>
      <c r="T73" s="566">
        <f t="shared" si="77"/>
        <v>0.22325786739069392</v>
      </c>
      <c r="U73" s="566">
        <f t="shared" si="77"/>
        <v>0.23442076076022861</v>
      </c>
      <c r="V73" s="566">
        <f t="shared" si="77"/>
        <v>0.24614179879824005</v>
      </c>
      <c r="W73" s="566">
        <f t="shared" si="77"/>
        <v>0.25844888873815203</v>
      </c>
      <c r="X73" s="566">
        <f t="shared" si="77"/>
        <v>0.27137133317505963</v>
      </c>
      <c r="Y73" s="566">
        <f t="shared" si="77"/>
        <v>0.28493989983381263</v>
      </c>
      <c r="Z73" s="566">
        <f t="shared" si="77"/>
        <v>0.29918689482550326</v>
      </c>
      <c r="AA73" s="566">
        <f t="shared" si="77"/>
        <v>0.3141462395667784</v>
      </c>
      <c r="AB73" s="566">
        <f t="shared" si="77"/>
        <v>0.32985355154511742</v>
      </c>
      <c r="AC73" s="566">
        <f t="shared" si="77"/>
        <v>0.34634622912237323</v>
      </c>
      <c r="AD73" s="566">
        <f t="shared" si="77"/>
        <v>0.36366354057849198</v>
      </c>
      <c r="AE73" s="566">
        <f t="shared" si="77"/>
        <v>0.38184671760741651</v>
      </c>
      <c r="AF73" s="566">
        <f t="shared" si="77"/>
        <v>0.40093905348778736</v>
      </c>
      <c r="AG73" s="566">
        <f t="shared" si="77"/>
        <v>0.42098600616217674</v>
      </c>
      <c r="AH73" s="566">
        <f t="shared" si="77"/>
        <v>0.44203530647028555</v>
      </c>
      <c r="AI73" s="566">
        <f t="shared" si="77"/>
        <v>0.46413707179379982</v>
      </c>
      <c r="AJ73" s="566">
        <f t="shared" si="77"/>
        <v>0.48734392538348992</v>
      </c>
    </row>
    <row r="74" spans="1:36" s="299" customFormat="1" x14ac:dyDescent="0.25">
      <c r="A74" s="299" t="s">
        <v>422</v>
      </c>
      <c r="C74" s="299" t="s">
        <v>367</v>
      </c>
      <c r="H74" s="561" t="s">
        <v>431</v>
      </c>
      <c r="I74" s="562" t="str">
        <f t="shared" si="73"/>
        <v>tr. VND/tấn</v>
      </c>
      <c r="K74" s="566"/>
      <c r="L74" s="566">
        <f t="shared" ref="L74:AJ74" si="78">-IF($H$9="VND",L42/L27/$H$10/10^3,L42/L27/$H$10*10^3)</f>
        <v>1.6236738611628141</v>
      </c>
      <c r="M74" s="566">
        <f t="shared" si="78"/>
        <v>1.1597670436877245</v>
      </c>
      <c r="N74" s="566">
        <f t="shared" si="78"/>
        <v>0.85242877711047738</v>
      </c>
      <c r="O74" s="566">
        <f t="shared" si="78"/>
        <v>0.89505021596600121</v>
      </c>
      <c r="P74" s="566">
        <f t="shared" si="78"/>
        <v>0.93980272676430154</v>
      </c>
      <c r="Q74" s="566">
        <f t="shared" si="78"/>
        <v>0.98679286310251635</v>
      </c>
      <c r="R74" s="566">
        <f t="shared" si="78"/>
        <v>1.0361325062576421</v>
      </c>
      <c r="S74" s="566">
        <f t="shared" si="78"/>
        <v>1.0879391315705242</v>
      </c>
      <c r="T74" s="566">
        <f t="shared" si="78"/>
        <v>1.1423360881490507</v>
      </c>
      <c r="U74" s="566">
        <f t="shared" si="78"/>
        <v>1.1994528925565029</v>
      </c>
      <c r="V74" s="566">
        <f t="shared" si="78"/>
        <v>1.2594255371843281</v>
      </c>
      <c r="W74" s="566">
        <f t="shared" si="78"/>
        <v>1.3223968140435447</v>
      </c>
      <c r="X74" s="566">
        <f t="shared" si="78"/>
        <v>1.3885166547457222</v>
      </c>
      <c r="Y74" s="566">
        <f t="shared" si="78"/>
        <v>1.4579424874830076</v>
      </c>
      <c r="Z74" s="566">
        <f t="shared" si="78"/>
        <v>1.5308396118571586</v>
      </c>
      <c r="AA74" s="566">
        <f t="shared" si="78"/>
        <v>1.6073815924500161</v>
      </c>
      <c r="AB74" s="566">
        <f t="shared" si="78"/>
        <v>1.6877506720725173</v>
      </c>
      <c r="AC74" s="566">
        <f t="shared" si="78"/>
        <v>1.7721382056761432</v>
      </c>
      <c r="AD74" s="566">
        <f t="shared" si="78"/>
        <v>1.8607451159599506</v>
      </c>
      <c r="AE74" s="566">
        <f t="shared" si="78"/>
        <v>1.9537823717579481</v>
      </c>
      <c r="AF74" s="566">
        <f t="shared" si="78"/>
        <v>2.0514714903458455</v>
      </c>
      <c r="AG74" s="566">
        <f t="shared" si="78"/>
        <v>2.1540450648631375</v>
      </c>
      <c r="AH74" s="566">
        <f t="shared" si="78"/>
        <v>2.2617473181062948</v>
      </c>
      <c r="AI74" s="566">
        <f t="shared" si="78"/>
        <v>2.374834684011609</v>
      </c>
      <c r="AJ74" s="566">
        <f t="shared" si="78"/>
        <v>2.4935764182121902</v>
      </c>
    </row>
    <row r="75" spans="1:36" x14ac:dyDescent="0.25">
      <c r="A75" t="s">
        <v>422</v>
      </c>
      <c r="C75" t="s">
        <v>367</v>
      </c>
      <c r="H75" s="559" t="s">
        <v>656</v>
      </c>
      <c r="I75" s="560" t="str">
        <f t="shared" si="73"/>
        <v>tr. VND/tấn</v>
      </c>
      <c r="K75" s="565"/>
      <c r="L75" s="565">
        <f t="shared" ref="L75:AJ75" si="79">-IF($H$9="VND",L43/L27/$H$10/10^3,L43/L27/$H$10*10^3)</f>
        <v>0.77492160273129496</v>
      </c>
      <c r="M75" s="565">
        <f t="shared" si="79"/>
        <v>0.55351543052235352</v>
      </c>
      <c r="N75" s="565">
        <f t="shared" si="79"/>
        <v>0.40683384143392981</v>
      </c>
      <c r="O75" s="565">
        <f t="shared" si="79"/>
        <v>0.42717553350562631</v>
      </c>
      <c r="P75" s="565">
        <f t="shared" si="79"/>
        <v>0.44853431018090767</v>
      </c>
      <c r="Q75" s="565">
        <f t="shared" si="79"/>
        <v>0.47096102568995302</v>
      </c>
      <c r="R75" s="565">
        <f t="shared" si="79"/>
        <v>0.49450907697445079</v>
      </c>
      <c r="S75" s="565">
        <f t="shared" si="79"/>
        <v>0.51923453082317328</v>
      </c>
      <c r="T75" s="565">
        <f t="shared" si="79"/>
        <v>0.54519625736433197</v>
      </c>
      <c r="U75" s="565">
        <f t="shared" si="79"/>
        <v>0.57245607023254841</v>
      </c>
      <c r="V75" s="565">
        <f t="shared" si="79"/>
        <v>0.60107887374417601</v>
      </c>
      <c r="W75" s="565">
        <f t="shared" si="79"/>
        <v>0.63113281743138472</v>
      </c>
      <c r="X75" s="565">
        <f t="shared" si="79"/>
        <v>0.662689458302954</v>
      </c>
      <c r="Y75" s="565">
        <f t="shared" si="79"/>
        <v>0.69582393121810171</v>
      </c>
      <c r="Z75" s="565">
        <f t="shared" si="79"/>
        <v>0.73061512777900695</v>
      </c>
      <c r="AA75" s="565">
        <f t="shared" si="79"/>
        <v>0.76714588416795693</v>
      </c>
      <c r="AB75" s="565">
        <f t="shared" si="79"/>
        <v>0.8055031783763551</v>
      </c>
      <c r="AC75" s="565">
        <f t="shared" si="79"/>
        <v>0.84577833729517282</v>
      </c>
      <c r="AD75" s="565">
        <f t="shared" si="79"/>
        <v>0.8880672541599316</v>
      </c>
      <c r="AE75" s="565">
        <f t="shared" si="79"/>
        <v>0.93247061686792809</v>
      </c>
      <c r="AF75" s="565">
        <f t="shared" si="79"/>
        <v>0.97909414771132464</v>
      </c>
      <c r="AG75" s="565">
        <f t="shared" si="79"/>
        <v>1.0280488550968905</v>
      </c>
      <c r="AH75" s="565">
        <f t="shared" si="79"/>
        <v>1.0794512978517352</v>
      </c>
      <c r="AI75" s="565">
        <f t="shared" si="79"/>
        <v>1.1334238627443218</v>
      </c>
      <c r="AJ75" s="565">
        <f t="shared" si="79"/>
        <v>1.1900950558815384</v>
      </c>
    </row>
    <row r="76" spans="1:36" x14ac:dyDescent="0.25">
      <c r="A76" t="s">
        <v>422</v>
      </c>
      <c r="C76" t="s">
        <v>367</v>
      </c>
      <c r="H76" s="559" t="s">
        <v>432</v>
      </c>
      <c r="I76" s="560" t="str">
        <f t="shared" si="73"/>
        <v>tr. VND/tấn</v>
      </c>
      <c r="K76" s="565"/>
      <c r="L76" s="565">
        <f t="shared" ref="L76:AJ76" si="80">-IF($H$9="VND",L44/L27/$H$10/10^3,L44/L27/$H$10*10^3)</f>
        <v>2.9132189629639549</v>
      </c>
      <c r="M76" s="565">
        <f t="shared" si="80"/>
        <v>2.0808706878313963</v>
      </c>
      <c r="N76" s="565">
        <f t="shared" si="80"/>
        <v>1.5294399555560763</v>
      </c>
      <c r="O76" s="565">
        <f t="shared" si="80"/>
        <v>1.6059119533338804</v>
      </c>
      <c r="P76" s="565">
        <f t="shared" si="80"/>
        <v>1.6862075510005743</v>
      </c>
      <c r="Q76" s="565">
        <f t="shared" si="80"/>
        <v>1.7705179285506027</v>
      </c>
      <c r="R76" s="565">
        <f t="shared" si="80"/>
        <v>1.8590438249781329</v>
      </c>
      <c r="S76" s="565">
        <f t="shared" si="80"/>
        <v>1.9519960162270396</v>
      </c>
      <c r="T76" s="565">
        <f t="shared" si="80"/>
        <v>2.0495958170383921</v>
      </c>
      <c r="U76" s="565">
        <f t="shared" si="80"/>
        <v>2.1520756078903109</v>
      </c>
      <c r="V76" s="565">
        <f t="shared" si="80"/>
        <v>2.2596793882848267</v>
      </c>
      <c r="W76" s="565">
        <f t="shared" si="80"/>
        <v>2.3726633576990679</v>
      </c>
      <c r="X76" s="565">
        <f t="shared" si="80"/>
        <v>2.4912965255840218</v>
      </c>
      <c r="Y76" s="565">
        <f t="shared" si="80"/>
        <v>2.6158613518632223</v>
      </c>
      <c r="Z76" s="565">
        <f t="shared" si="80"/>
        <v>2.7466544194563838</v>
      </c>
      <c r="AA76" s="565">
        <f t="shared" si="80"/>
        <v>2.8839871404292028</v>
      </c>
      <c r="AB76" s="565">
        <f t="shared" si="80"/>
        <v>3.028186497450664</v>
      </c>
      <c r="AC76" s="565">
        <f t="shared" si="80"/>
        <v>3.1795958223231966</v>
      </c>
      <c r="AD76" s="565">
        <f t="shared" si="80"/>
        <v>3.3385756134393567</v>
      </c>
      <c r="AE76" s="565">
        <f t="shared" si="80"/>
        <v>3.5055043941113251</v>
      </c>
      <c r="AF76" s="565">
        <f t="shared" si="80"/>
        <v>3.6807796138168904</v>
      </c>
      <c r="AG76" s="565">
        <f t="shared" si="80"/>
        <v>3.8648185945077356</v>
      </c>
      <c r="AH76" s="565">
        <f t="shared" si="80"/>
        <v>4.0580595242331228</v>
      </c>
      <c r="AI76" s="565">
        <f t="shared" si="80"/>
        <v>4.2609625004447782</v>
      </c>
      <c r="AJ76" s="565">
        <f t="shared" si="80"/>
        <v>4.4740106254670176</v>
      </c>
    </row>
    <row r="77" spans="1:36" x14ac:dyDescent="0.25">
      <c r="A77" t="s">
        <v>422</v>
      </c>
      <c r="C77" t="s">
        <v>367</v>
      </c>
      <c r="H77" s="559" t="s">
        <v>433</v>
      </c>
      <c r="I77" s="560" t="str">
        <f t="shared" si="73"/>
        <v>tr. VND/tấn</v>
      </c>
      <c r="K77" s="565"/>
      <c r="L77" s="565">
        <f t="shared" ref="L77:AJ77" si="81">-IF($H$9="VND",L45/L27/$H$10/10^3,L45/L27/$H$10*10^3)</f>
        <v>0.17823196862819785</v>
      </c>
      <c r="M77" s="565">
        <f t="shared" si="81"/>
        <v>0.12730854902014133</v>
      </c>
      <c r="N77" s="565">
        <f t="shared" si="81"/>
        <v>9.3571783529803873E-2</v>
      </c>
      <c r="O77" s="565">
        <f t="shared" si="81"/>
        <v>9.8250372706294054E-2</v>
      </c>
      <c r="P77" s="565">
        <f t="shared" si="81"/>
        <v>0.10316289134160876</v>
      </c>
      <c r="Q77" s="565">
        <f t="shared" si="81"/>
        <v>0.1083210359086892</v>
      </c>
      <c r="R77" s="565">
        <f t="shared" si="81"/>
        <v>0.11373708770412366</v>
      </c>
      <c r="S77" s="565">
        <f t="shared" si="81"/>
        <v>0.11942394208932984</v>
      </c>
      <c r="T77" s="565">
        <f t="shared" si="81"/>
        <v>0.12539513919379636</v>
      </c>
      <c r="U77" s="565">
        <f t="shared" si="81"/>
        <v>0.13166489615348614</v>
      </c>
      <c r="V77" s="565">
        <f t="shared" si="81"/>
        <v>0.13824814096116045</v>
      </c>
      <c r="W77" s="565">
        <f t="shared" si="81"/>
        <v>0.14516054800921852</v>
      </c>
      <c r="X77" s="565">
        <f t="shared" si="81"/>
        <v>0.15241857540967946</v>
      </c>
      <c r="Y77" s="565">
        <f t="shared" si="81"/>
        <v>0.16003950418016336</v>
      </c>
      <c r="Z77" s="565">
        <f t="shared" si="81"/>
        <v>0.16804147938917158</v>
      </c>
      <c r="AA77" s="565">
        <f t="shared" si="81"/>
        <v>0.1764435533586301</v>
      </c>
      <c r="AB77" s="565">
        <f t="shared" si="81"/>
        <v>0.18526573102656166</v>
      </c>
      <c r="AC77" s="565">
        <f t="shared" si="81"/>
        <v>0.19452901757788973</v>
      </c>
      <c r="AD77" s="565">
        <f t="shared" si="81"/>
        <v>0.20425546845678427</v>
      </c>
      <c r="AE77" s="565">
        <f t="shared" si="81"/>
        <v>0.21446824187962346</v>
      </c>
      <c r="AF77" s="565">
        <f t="shared" si="81"/>
        <v>0.22519165397360463</v>
      </c>
      <c r="AG77" s="565">
        <f t="shared" si="81"/>
        <v>0.2364512366722849</v>
      </c>
      <c r="AH77" s="565">
        <f t="shared" si="81"/>
        <v>0.24827379850589909</v>
      </c>
      <c r="AI77" s="565">
        <f t="shared" si="81"/>
        <v>0.26068748843119405</v>
      </c>
      <c r="AJ77" s="565">
        <f t="shared" si="81"/>
        <v>0.27372186285275374</v>
      </c>
    </row>
    <row r="78" spans="1:36" x14ac:dyDescent="0.25">
      <c r="A78" t="s">
        <v>422</v>
      </c>
      <c r="C78" t="s">
        <v>367</v>
      </c>
      <c r="H78" s="559" t="s">
        <v>520</v>
      </c>
      <c r="I78" s="560" t="str">
        <f t="shared" si="73"/>
        <v>tr. VND/tấn</v>
      </c>
      <c r="K78" s="565"/>
      <c r="L78" s="565">
        <f t="shared" ref="L78:AJ78" si="82">-IF($H$9="VND",L46/L27/$H$10/10^3,L46/L27/$H$10*10^3)</f>
        <v>0.19421459753093032</v>
      </c>
      <c r="M78" s="565">
        <f t="shared" si="82"/>
        <v>0.13872471252209312</v>
      </c>
      <c r="N78" s="565">
        <f t="shared" si="82"/>
        <v>9.7107298765465158E-2</v>
      </c>
      <c r="O78" s="565">
        <f t="shared" si="82"/>
        <v>9.7107298765465158E-2</v>
      </c>
      <c r="P78" s="565">
        <f t="shared" si="82"/>
        <v>9.7107298765465158E-2</v>
      </c>
      <c r="Q78" s="565">
        <f t="shared" si="82"/>
        <v>9.7107298765465158E-2</v>
      </c>
      <c r="R78" s="565">
        <f t="shared" si="82"/>
        <v>9.7107298765465158E-2</v>
      </c>
      <c r="S78" s="565">
        <f t="shared" si="82"/>
        <v>9.7107298765465158E-2</v>
      </c>
      <c r="T78" s="565">
        <f t="shared" si="82"/>
        <v>9.7107298765465158E-2</v>
      </c>
      <c r="U78" s="565">
        <f t="shared" si="82"/>
        <v>9.7107298765465158E-2</v>
      </c>
      <c r="V78" s="565">
        <f t="shared" si="82"/>
        <v>9.7107298765465158E-2</v>
      </c>
      <c r="W78" s="565">
        <f t="shared" si="82"/>
        <v>9.7107298765465158E-2</v>
      </c>
      <c r="X78" s="565">
        <f t="shared" si="82"/>
        <v>9.7107298765465158E-2</v>
      </c>
      <c r="Y78" s="565">
        <f t="shared" si="82"/>
        <v>9.7107298765465158E-2</v>
      </c>
      <c r="Z78" s="565">
        <f t="shared" si="82"/>
        <v>9.7107298765465158E-2</v>
      </c>
      <c r="AA78" s="565">
        <f t="shared" si="82"/>
        <v>9.7107298765465158E-2</v>
      </c>
      <c r="AB78" s="565">
        <f t="shared" si="82"/>
        <v>9.7107298765465158E-2</v>
      </c>
      <c r="AC78" s="565">
        <f t="shared" si="82"/>
        <v>9.7107298765465158E-2</v>
      </c>
      <c r="AD78" s="565">
        <f t="shared" si="82"/>
        <v>9.7107298765465158E-2</v>
      </c>
      <c r="AE78" s="565">
        <f t="shared" si="82"/>
        <v>9.7107298765465158E-2</v>
      </c>
      <c r="AF78" s="565">
        <f t="shared" si="82"/>
        <v>9.7107298765465158E-2</v>
      </c>
      <c r="AG78" s="565">
        <f t="shared" si="82"/>
        <v>9.7107298765465158E-2</v>
      </c>
      <c r="AH78" s="565">
        <f t="shared" si="82"/>
        <v>9.7107298765465158E-2</v>
      </c>
      <c r="AI78" s="565">
        <f t="shared" si="82"/>
        <v>9.7107298765465158E-2</v>
      </c>
      <c r="AJ78" s="565">
        <f t="shared" si="82"/>
        <v>9.7107298765465158E-2</v>
      </c>
    </row>
    <row r="79" spans="1:36" x14ac:dyDescent="0.25">
      <c r="A79" t="s">
        <v>422</v>
      </c>
      <c r="H79" s="247"/>
      <c r="I79" s="275"/>
      <c r="K79" s="279"/>
      <c r="L79" s="279"/>
      <c r="M79" s="279"/>
      <c r="N79" s="279"/>
      <c r="O79" s="279"/>
      <c r="P79" s="279"/>
      <c r="Q79" s="279"/>
      <c r="R79" s="279"/>
      <c r="S79" s="279"/>
      <c r="T79" s="279"/>
      <c r="U79" s="279"/>
      <c r="V79" s="279"/>
      <c r="W79" s="279"/>
      <c r="X79" s="279"/>
      <c r="Y79" s="279"/>
      <c r="Z79" s="279"/>
      <c r="AA79" s="279"/>
      <c r="AB79" s="279"/>
      <c r="AC79" s="279"/>
      <c r="AD79" s="279"/>
      <c r="AE79" s="279"/>
      <c r="AF79" s="279"/>
      <c r="AG79" s="279"/>
      <c r="AH79" s="279"/>
      <c r="AI79" s="279"/>
      <c r="AJ79" s="279"/>
    </row>
    <row r="80" spans="1:36" s="1" customFormat="1" x14ac:dyDescent="0.25">
      <c r="A80" s="1" t="s">
        <v>422</v>
      </c>
      <c r="H80" s="273" t="s">
        <v>435</v>
      </c>
      <c r="I80" s="274" t="str">
        <f t="shared" si="73"/>
        <v>tr. VND/tấn</v>
      </c>
      <c r="K80" s="280">
        <f>K81+K84+K87</f>
        <v>0</v>
      </c>
      <c r="L80" s="280">
        <f t="shared" ref="L80:AJ80" si="83">L81+L84+L87</f>
        <v>29.864853886822708</v>
      </c>
      <c r="M80" s="280">
        <f t="shared" si="83"/>
        <v>29.703781129263195</v>
      </c>
      <c r="N80" s="280">
        <f t="shared" si="83"/>
        <v>30.248677609330997</v>
      </c>
      <c r="O80" s="280">
        <f t="shared" si="83"/>
        <v>30.931560484173868</v>
      </c>
      <c r="P80" s="280">
        <f t="shared" si="83"/>
        <v>31.632162212436292</v>
      </c>
      <c r="Q80" s="280">
        <f t="shared" si="83"/>
        <v>32.351040230982811</v>
      </c>
      <c r="R80" s="280">
        <f t="shared" si="83"/>
        <v>33.088773278405036</v>
      </c>
      <c r="S80" s="280">
        <f t="shared" si="83"/>
        <v>33.845962328705731</v>
      </c>
      <c r="T80" s="280">
        <f t="shared" si="83"/>
        <v>34.623231569038957</v>
      </c>
      <c r="U80" s="280">
        <f t="shared" si="83"/>
        <v>35.421229423656705</v>
      </c>
      <c r="V80" s="280">
        <f t="shared" si="83"/>
        <v>36.240629626318551</v>
      </c>
      <c r="W80" s="280">
        <f t="shared" si="83"/>
        <v>37.082132343532962</v>
      </c>
      <c r="X80" s="280">
        <f t="shared" si="83"/>
        <v>37.784619853173496</v>
      </c>
      <c r="Y80" s="280">
        <f t="shared" si="83"/>
        <v>38.672539768733671</v>
      </c>
      <c r="Z80" s="280">
        <f t="shared" si="83"/>
        <v>39.584833342821817</v>
      </c>
      <c r="AA80" s="280">
        <f t="shared" si="83"/>
        <v>40.522318811619343</v>
      </c>
      <c r="AB80" s="280">
        <f t="shared" si="83"/>
        <v>41.485847314181832</v>
      </c>
      <c r="AC80" s="280">
        <f t="shared" si="83"/>
        <v>42.476304377404041</v>
      </c>
      <c r="AD80" s="280">
        <f t="shared" si="83"/>
        <v>43.494611472029554</v>
      </c>
      <c r="AE80" s="280">
        <f t="shared" si="83"/>
        <v>44.541727643193411</v>
      </c>
      <c r="AF80" s="280">
        <f t="shared" si="83"/>
        <v>45.61865121915865</v>
      </c>
      <c r="AG80" s="280">
        <f t="shared" si="83"/>
        <v>46.72642160209022</v>
      </c>
      <c r="AH80" s="280">
        <f t="shared" si="83"/>
        <v>47.866121144899779</v>
      </c>
      <c r="AI80" s="280">
        <f t="shared" si="83"/>
        <v>49.038877118395902</v>
      </c>
      <c r="AJ80" s="280">
        <f t="shared" si="83"/>
        <v>50.245863773183771</v>
      </c>
    </row>
    <row r="81" spans="1:36" x14ac:dyDescent="0.25">
      <c r="A81" t="s">
        <v>422</v>
      </c>
      <c r="H81" s="557" t="s">
        <v>454</v>
      </c>
      <c r="I81" s="558" t="str">
        <f t="shared" si="73"/>
        <v>tr. VND/tấn</v>
      </c>
      <c r="K81" s="567">
        <f>SUM(K82:K83)</f>
        <v>0</v>
      </c>
      <c r="L81" s="567">
        <f t="shared" ref="L81" si="84">SUM(L82:L83)</f>
        <v>26.838709677419356</v>
      </c>
      <c r="M81" s="567">
        <f t="shared" ref="M81" si="85">SUM(M82:M83)</f>
        <v>26.838709677419359</v>
      </c>
      <c r="N81" s="567">
        <f t="shared" ref="N81" si="86">SUM(N82:N83)</f>
        <v>27.375483870967745</v>
      </c>
      <c r="O81" s="567">
        <f t="shared" ref="O81" si="87">SUM(O82:O83)</f>
        <v>27.922993548387105</v>
      </c>
      <c r="P81" s="567">
        <f t="shared" ref="P81" si="88">SUM(P82:P83)</f>
        <v>28.481453419354843</v>
      </c>
      <c r="Q81" s="567">
        <f t="shared" ref="Q81" si="89">SUM(Q82:Q83)</f>
        <v>29.05108248774194</v>
      </c>
      <c r="R81" s="567">
        <f t="shared" ref="R81" si="90">SUM(R82:R83)</f>
        <v>29.632104137496778</v>
      </c>
      <c r="S81" s="567">
        <f t="shared" ref="S81" si="91">SUM(S82:S83)</f>
        <v>30.224746220246715</v>
      </c>
      <c r="T81" s="567">
        <f t="shared" ref="T81" si="92">SUM(T82:T83)</f>
        <v>30.829241144651643</v>
      </c>
      <c r="U81" s="567">
        <f t="shared" ref="U81" si="93">SUM(U82:U83)</f>
        <v>31.445825967544675</v>
      </c>
      <c r="V81" s="567">
        <f t="shared" ref="V81" si="94">SUM(V82:V83)</f>
        <v>32.074742486895573</v>
      </c>
      <c r="W81" s="567">
        <f t="shared" ref="W81" si="95">SUM(W82:W83)</f>
        <v>32.71623733663349</v>
      </c>
      <c r="X81" s="567">
        <f t="shared" ref="X81" si="96">SUM(X82:X83)</f>
        <v>33.370562083366146</v>
      </c>
      <c r="Y81" s="567">
        <f t="shared" ref="Y81" si="97">SUM(Y82:Y83)</f>
        <v>34.037973325033477</v>
      </c>
      <c r="Z81" s="567">
        <f t="shared" ref="Z81" si="98">SUM(Z82:Z83)</f>
        <v>34.718732791534151</v>
      </c>
      <c r="AA81" s="567">
        <f t="shared" ref="AA81" si="99">SUM(AA82:AA83)</f>
        <v>35.413107447364823</v>
      </c>
      <c r="AB81" s="567">
        <f t="shared" ref="AB81" si="100">SUM(AB82:AB83)</f>
        <v>36.121369596312114</v>
      </c>
      <c r="AC81" s="567">
        <f t="shared" ref="AC81" si="101">SUM(AC82:AC83)</f>
        <v>36.843796988238367</v>
      </c>
      <c r="AD81" s="567">
        <f t="shared" ref="AD81" si="102">SUM(AD82:AD83)</f>
        <v>37.580672928003132</v>
      </c>
      <c r="AE81" s="567">
        <f t="shared" ref="AE81" si="103">SUM(AE82:AE83)</f>
        <v>38.332286386563197</v>
      </c>
      <c r="AF81" s="567">
        <f t="shared" ref="AF81" si="104">SUM(AF82:AF83)</f>
        <v>39.098932114294456</v>
      </c>
      <c r="AG81" s="567">
        <f t="shared" ref="AG81" si="105">SUM(AG82:AG83)</f>
        <v>39.880910756580349</v>
      </c>
      <c r="AH81" s="567">
        <f t="shared" ref="AH81" si="106">SUM(AH82:AH83)</f>
        <v>40.678528971711948</v>
      </c>
      <c r="AI81" s="567">
        <f t="shared" ref="AI81" si="107">SUM(AI82:AI83)</f>
        <v>41.492099551146204</v>
      </c>
      <c r="AJ81" s="567">
        <f t="shared" ref="AJ81" si="108">SUM(AJ82:AJ83)</f>
        <v>42.321941542169114</v>
      </c>
    </row>
    <row r="82" spans="1:36" s="299" customFormat="1" x14ac:dyDescent="0.25">
      <c r="A82" s="299" t="s">
        <v>422</v>
      </c>
      <c r="C82" s="299" t="s">
        <v>504</v>
      </c>
      <c r="E82" s="331"/>
      <c r="F82" s="331"/>
      <c r="H82" s="561" t="s">
        <v>167</v>
      </c>
      <c r="I82" s="562" t="str">
        <f t="shared" si="73"/>
        <v>tr. VND/tấn</v>
      </c>
      <c r="K82" s="566"/>
      <c r="L82" s="566">
        <f t="shared" ref="L82:AJ82" si="109">-IF($H$9="VND",L50/L27/$H$10/10^3,L50/L27/$H$10*10^3)</f>
        <v>24.96</v>
      </c>
      <c r="M82" s="566">
        <f>-IF($H$9="VND",M50/M27/$H$10/10^3,M50/M27/$H$10*10^3)</f>
        <v>24.96</v>
      </c>
      <c r="N82" s="566">
        <f t="shared" si="109"/>
        <v>25.459199999999999</v>
      </c>
      <c r="O82" s="566">
        <f t="shared" si="109"/>
        <v>25.968384000000004</v>
      </c>
      <c r="P82" s="566">
        <f t="shared" si="109"/>
        <v>26.487751680000002</v>
      </c>
      <c r="Q82" s="566">
        <f t="shared" si="109"/>
        <v>27.017506713600003</v>
      </c>
      <c r="R82" s="566">
        <f t="shared" si="109"/>
        <v>27.557856847872003</v>
      </c>
      <c r="S82" s="566">
        <f t="shared" si="109"/>
        <v>28.109013984829442</v>
      </c>
      <c r="T82" s="566">
        <f t="shared" si="109"/>
        <v>28.671194264526026</v>
      </c>
      <c r="U82" s="566">
        <f t="shared" si="109"/>
        <v>29.244618149816546</v>
      </c>
      <c r="V82" s="566">
        <f t="shared" si="109"/>
        <v>29.829510512812881</v>
      </c>
      <c r="W82" s="566">
        <f t="shared" si="109"/>
        <v>30.426100723069144</v>
      </c>
      <c r="X82" s="566">
        <f t="shared" si="109"/>
        <v>31.034622737530515</v>
      </c>
      <c r="Y82" s="566">
        <f t="shared" si="109"/>
        <v>31.655315192281126</v>
      </c>
      <c r="Z82" s="566">
        <f t="shared" si="109"/>
        <v>32.288421496126759</v>
      </c>
      <c r="AA82" s="566">
        <f t="shared" si="109"/>
        <v>32.934189926049285</v>
      </c>
      <c r="AB82" s="566">
        <f t="shared" si="109"/>
        <v>33.592873724570268</v>
      </c>
      <c r="AC82" s="566">
        <f t="shared" si="109"/>
        <v>34.264731199061679</v>
      </c>
      <c r="AD82" s="566">
        <f t="shared" si="109"/>
        <v>34.950025823042914</v>
      </c>
      <c r="AE82" s="566">
        <f t="shared" si="109"/>
        <v>35.64902633950377</v>
      </c>
      <c r="AF82" s="566">
        <f t="shared" si="109"/>
        <v>36.362006866293839</v>
      </c>
      <c r="AG82" s="566">
        <f t="shared" si="109"/>
        <v>37.089247003619725</v>
      </c>
      <c r="AH82" s="566">
        <f t="shared" si="109"/>
        <v>37.831031943692111</v>
      </c>
      <c r="AI82" s="566">
        <f t="shared" si="109"/>
        <v>38.587652582565966</v>
      </c>
      <c r="AJ82" s="566">
        <f t="shared" si="109"/>
        <v>39.359405634217268</v>
      </c>
    </row>
    <row r="83" spans="1:36" s="299" customFormat="1" x14ac:dyDescent="0.25">
      <c r="A83" s="299" t="s">
        <v>422</v>
      </c>
      <c r="C83" s="299" t="s">
        <v>387</v>
      </c>
      <c r="E83" s="331"/>
      <c r="F83" s="331"/>
      <c r="H83" s="641" t="s">
        <v>203</v>
      </c>
      <c r="I83" s="642" t="str">
        <f t="shared" si="73"/>
        <v>tr. VND/tấn</v>
      </c>
      <c r="K83" s="643"/>
      <c r="L83" s="643">
        <f t="shared" ref="L83:AJ83" si="110">-IF($H$9="VND",L51/L27/$H$10/10^3,L51/L27/$H$10*10^3)</f>
        <v>1.8787096774193559</v>
      </c>
      <c r="M83" s="643">
        <f t="shared" si="110"/>
        <v>1.8787096774193583</v>
      </c>
      <c r="N83" s="643">
        <f t="shared" si="110"/>
        <v>1.9162838709677454</v>
      </c>
      <c r="O83" s="643">
        <f t="shared" si="110"/>
        <v>1.9546095483871007</v>
      </c>
      <c r="P83" s="643">
        <f t="shared" si="110"/>
        <v>1.9937017393548417</v>
      </c>
      <c r="Q83" s="643">
        <f t="shared" si="110"/>
        <v>2.0335757741419362</v>
      </c>
      <c r="R83" s="643">
        <f t="shared" si="110"/>
        <v>2.0742472896247759</v>
      </c>
      <c r="S83" s="643">
        <f t="shared" si="110"/>
        <v>2.1157322354172718</v>
      </c>
      <c r="T83" s="643">
        <f t="shared" si="110"/>
        <v>2.1580468801256183</v>
      </c>
      <c r="U83" s="643">
        <f t="shared" si="110"/>
        <v>2.2012078177281285</v>
      </c>
      <c r="V83" s="643">
        <f t="shared" si="110"/>
        <v>2.2452319740826931</v>
      </c>
      <c r="W83" s="643">
        <f t="shared" si="110"/>
        <v>2.2901366135643446</v>
      </c>
      <c r="X83" s="643">
        <f t="shared" si="110"/>
        <v>2.3359393458356301</v>
      </c>
      <c r="Y83" s="643">
        <f t="shared" si="110"/>
        <v>2.3826581327523475</v>
      </c>
      <c r="Z83" s="643">
        <f t="shared" si="110"/>
        <v>2.430311295407392</v>
      </c>
      <c r="AA83" s="643">
        <f t="shared" si="110"/>
        <v>2.4789175213155397</v>
      </c>
      <c r="AB83" s="643">
        <f t="shared" si="110"/>
        <v>2.5284958717418484</v>
      </c>
      <c r="AC83" s="643">
        <f t="shared" si="110"/>
        <v>2.5790657891766906</v>
      </c>
      <c r="AD83" s="643">
        <f t="shared" si="110"/>
        <v>2.6306471049602203</v>
      </c>
      <c r="AE83" s="643">
        <f t="shared" si="110"/>
        <v>2.6832600470594246</v>
      </c>
      <c r="AF83" s="643">
        <f t="shared" si="110"/>
        <v>2.7369252480006154</v>
      </c>
      <c r="AG83" s="643">
        <f t="shared" si="110"/>
        <v>2.7916637529606247</v>
      </c>
      <c r="AH83" s="643">
        <f t="shared" si="110"/>
        <v>2.8474970280198399</v>
      </c>
      <c r="AI83" s="643">
        <f t="shared" si="110"/>
        <v>2.9044469685802379</v>
      </c>
      <c r="AJ83" s="643">
        <f t="shared" si="110"/>
        <v>2.9625359079518438</v>
      </c>
    </row>
    <row r="84" spans="1:36" x14ac:dyDescent="0.25">
      <c r="A84" t="s">
        <v>422</v>
      </c>
      <c r="H84" s="559" t="s">
        <v>676</v>
      </c>
      <c r="I84" s="560" t="str">
        <f t="shared" si="73"/>
        <v>tr. VND/tấn</v>
      </c>
      <c r="K84" s="568">
        <f>SUM(K85:K86)</f>
        <v>0</v>
      </c>
      <c r="L84" s="568">
        <f t="shared" ref="L84:AJ84" si="111">SUM(L85:L86)</f>
        <v>0.20420258064516131</v>
      </c>
      <c r="M84" s="568">
        <f t="shared" si="111"/>
        <v>0.20420258064516134</v>
      </c>
      <c r="N84" s="568">
        <f t="shared" si="111"/>
        <v>0.21441270967741941</v>
      </c>
      <c r="O84" s="568">
        <f t="shared" si="111"/>
        <v>0.22513334516129035</v>
      </c>
      <c r="P84" s="568">
        <f t="shared" si="111"/>
        <v>0.23639001241935489</v>
      </c>
      <c r="Q84" s="568">
        <f t="shared" si="111"/>
        <v>0.24820951304032263</v>
      </c>
      <c r="R84" s="568">
        <f t="shared" si="111"/>
        <v>0.26061998869233877</v>
      </c>
      <c r="S84" s="568">
        <f t="shared" si="111"/>
        <v>0.27365098812695565</v>
      </c>
      <c r="T84" s="568">
        <f t="shared" si="111"/>
        <v>0.28733353753330354</v>
      </c>
      <c r="U84" s="568">
        <f t="shared" si="111"/>
        <v>0.30170021440996864</v>
      </c>
      <c r="V84" s="568">
        <f t="shared" si="111"/>
        <v>0.31678522513046709</v>
      </c>
      <c r="W84" s="568">
        <f t="shared" si="111"/>
        <v>0.33262448638699044</v>
      </c>
      <c r="X84" s="568">
        <f t="shared" si="111"/>
        <v>0.34925571070633998</v>
      </c>
      <c r="Y84" s="568">
        <f t="shared" si="111"/>
        <v>0.36671849624165698</v>
      </c>
      <c r="Z84" s="568">
        <f t="shared" si="111"/>
        <v>0.38505442105373988</v>
      </c>
      <c r="AA84" s="568">
        <f t="shared" si="111"/>
        <v>0.40430714210642676</v>
      </c>
      <c r="AB84" s="568">
        <f t="shared" si="111"/>
        <v>0.42452249921174823</v>
      </c>
      <c r="AC84" s="568">
        <f t="shared" si="111"/>
        <v>0.44574862417233563</v>
      </c>
      <c r="AD84" s="568">
        <f t="shared" si="111"/>
        <v>0.46803605538095244</v>
      </c>
      <c r="AE84" s="568">
        <f t="shared" si="111"/>
        <v>0.49143785815000002</v>
      </c>
      <c r="AF84" s="568">
        <f t="shared" si="111"/>
        <v>0.51600975105750013</v>
      </c>
      <c r="AG84" s="568">
        <f t="shared" si="111"/>
        <v>0.54181023861037514</v>
      </c>
      <c r="AH84" s="568">
        <f t="shared" si="111"/>
        <v>0.56890075054089384</v>
      </c>
      <c r="AI84" s="568">
        <f t="shared" si="111"/>
        <v>0.59734578806793848</v>
      </c>
      <c r="AJ84" s="568">
        <f t="shared" si="111"/>
        <v>0.62721307747133548</v>
      </c>
    </row>
    <row r="85" spans="1:36" s="299" customFormat="1" x14ac:dyDescent="0.25">
      <c r="A85" s="299" t="s">
        <v>422</v>
      </c>
      <c r="C85" s="299" t="s">
        <v>367</v>
      </c>
      <c r="E85" s="331"/>
      <c r="F85" s="331"/>
      <c r="H85" s="561" t="s">
        <v>673</v>
      </c>
      <c r="I85" s="562" t="str">
        <f t="shared" si="73"/>
        <v>tr. VND/tấn</v>
      </c>
      <c r="K85" s="566"/>
      <c r="L85" s="566">
        <f>-IF($H$9="VND",L53/L27/$H$10/10^3,L53/L27/$H$10*10^3)</f>
        <v>0.20420258064516131</v>
      </c>
      <c r="M85" s="566">
        <f t="shared" ref="M85:AJ85" si="112">-IF($H$9="VND",M53/M27/$H$10/10^3,M53/M27/$H$10*10^3)</f>
        <v>0.20420258064516134</v>
      </c>
      <c r="N85" s="566">
        <f t="shared" si="112"/>
        <v>0.21441270967741941</v>
      </c>
      <c r="O85" s="566">
        <f t="shared" si="112"/>
        <v>0.22513334516129035</v>
      </c>
      <c r="P85" s="566">
        <f t="shared" si="112"/>
        <v>0.23639001241935489</v>
      </c>
      <c r="Q85" s="566">
        <f t="shared" si="112"/>
        <v>0.24820951304032263</v>
      </c>
      <c r="R85" s="566">
        <f t="shared" si="112"/>
        <v>0.26061998869233877</v>
      </c>
      <c r="S85" s="566">
        <f t="shared" si="112"/>
        <v>0.27365098812695565</v>
      </c>
      <c r="T85" s="566">
        <f t="shared" si="112"/>
        <v>0.28733353753330354</v>
      </c>
      <c r="U85" s="566">
        <f t="shared" si="112"/>
        <v>0.30170021440996864</v>
      </c>
      <c r="V85" s="566">
        <f t="shared" si="112"/>
        <v>0.31678522513046709</v>
      </c>
      <c r="W85" s="566">
        <f t="shared" si="112"/>
        <v>0.33262448638699044</v>
      </c>
      <c r="X85" s="566">
        <f t="shared" si="112"/>
        <v>0.34925571070633998</v>
      </c>
      <c r="Y85" s="566">
        <f t="shared" si="112"/>
        <v>0.36671849624165698</v>
      </c>
      <c r="Z85" s="566">
        <f t="shared" si="112"/>
        <v>0.38505442105373988</v>
      </c>
      <c r="AA85" s="566">
        <f t="shared" si="112"/>
        <v>0.40430714210642676</v>
      </c>
      <c r="AB85" s="566">
        <f t="shared" si="112"/>
        <v>0.42452249921174823</v>
      </c>
      <c r="AC85" s="566">
        <f t="shared" si="112"/>
        <v>0.44574862417233563</v>
      </c>
      <c r="AD85" s="566">
        <f t="shared" si="112"/>
        <v>0.46803605538095244</v>
      </c>
      <c r="AE85" s="566">
        <f t="shared" si="112"/>
        <v>0.49143785815000002</v>
      </c>
      <c r="AF85" s="566">
        <f t="shared" si="112"/>
        <v>0.51600975105750013</v>
      </c>
      <c r="AG85" s="566">
        <f t="shared" si="112"/>
        <v>0.54181023861037514</v>
      </c>
      <c r="AH85" s="566">
        <f t="shared" si="112"/>
        <v>0.56890075054089384</v>
      </c>
      <c r="AI85" s="566">
        <f t="shared" si="112"/>
        <v>0.59734578806793848</v>
      </c>
      <c r="AJ85" s="566">
        <f t="shared" si="112"/>
        <v>0.62721307747133548</v>
      </c>
    </row>
    <row r="86" spans="1:36" s="299" customFormat="1" x14ac:dyDescent="0.25">
      <c r="A86" s="299" t="s">
        <v>422</v>
      </c>
      <c r="C86" s="299" t="s">
        <v>367</v>
      </c>
      <c r="E86" s="331"/>
      <c r="F86" s="331"/>
      <c r="H86" s="561" t="s">
        <v>674</v>
      </c>
      <c r="I86" s="562" t="str">
        <f t="shared" si="73"/>
        <v>tr. VND/tấn</v>
      </c>
      <c r="K86" s="566"/>
      <c r="L86" s="566">
        <f>-IF($H$9="VND",L54/L27/$H$10/10^3,L54/L27/$H$10*10^3)</f>
        <v>0</v>
      </c>
      <c r="M86" s="566">
        <f t="shared" ref="M86:AJ86" si="113">-IF($H$9="VND",M54/M27/$H$10/10^3,M54/M27/$H$10*10^3)</f>
        <v>0</v>
      </c>
      <c r="N86" s="566">
        <f t="shared" si="113"/>
        <v>0</v>
      </c>
      <c r="O86" s="566">
        <f t="shared" si="113"/>
        <v>0</v>
      </c>
      <c r="P86" s="566">
        <f t="shared" si="113"/>
        <v>0</v>
      </c>
      <c r="Q86" s="566">
        <f t="shared" si="113"/>
        <v>0</v>
      </c>
      <c r="R86" s="566">
        <f t="shared" si="113"/>
        <v>0</v>
      </c>
      <c r="S86" s="566">
        <f t="shared" si="113"/>
        <v>0</v>
      </c>
      <c r="T86" s="566">
        <f t="shared" si="113"/>
        <v>0</v>
      </c>
      <c r="U86" s="566">
        <f t="shared" si="113"/>
        <v>0</v>
      </c>
      <c r="V86" s="566">
        <f t="shared" si="113"/>
        <v>0</v>
      </c>
      <c r="W86" s="566">
        <f t="shared" si="113"/>
        <v>0</v>
      </c>
      <c r="X86" s="566">
        <f t="shared" si="113"/>
        <v>0</v>
      </c>
      <c r="Y86" s="566">
        <f t="shared" si="113"/>
        <v>0</v>
      </c>
      <c r="Z86" s="566">
        <f t="shared" si="113"/>
        <v>0</v>
      </c>
      <c r="AA86" s="566">
        <f t="shared" si="113"/>
        <v>0</v>
      </c>
      <c r="AB86" s="566">
        <f t="shared" si="113"/>
        <v>0</v>
      </c>
      <c r="AC86" s="566">
        <f t="shared" si="113"/>
        <v>0</v>
      </c>
      <c r="AD86" s="566">
        <f t="shared" si="113"/>
        <v>0</v>
      </c>
      <c r="AE86" s="566">
        <f t="shared" si="113"/>
        <v>0</v>
      </c>
      <c r="AF86" s="566">
        <f t="shared" si="113"/>
        <v>0</v>
      </c>
      <c r="AG86" s="566">
        <f t="shared" si="113"/>
        <v>0</v>
      </c>
      <c r="AH86" s="566">
        <f t="shared" si="113"/>
        <v>0</v>
      </c>
      <c r="AI86" s="566">
        <f t="shared" si="113"/>
        <v>0</v>
      </c>
      <c r="AJ86" s="566">
        <f t="shared" si="113"/>
        <v>0</v>
      </c>
    </row>
    <row r="87" spans="1:36" x14ac:dyDescent="0.25">
      <c r="A87" t="s">
        <v>422</v>
      </c>
      <c r="H87" s="559" t="s">
        <v>180</v>
      </c>
      <c r="I87" s="560" t="str">
        <f t="shared" si="73"/>
        <v>tr. VND/tấn</v>
      </c>
      <c r="K87" s="568">
        <f>SUM(K88:K90)</f>
        <v>0</v>
      </c>
      <c r="L87" s="568">
        <f>SUM(L88:L90)</f>
        <v>2.8219416287581907</v>
      </c>
      <c r="M87" s="568">
        <f t="shared" ref="M87" si="114">SUM(M88:M90)</f>
        <v>2.660868871198673</v>
      </c>
      <c r="N87" s="568">
        <f t="shared" ref="N87" si="115">SUM(N88:N90)</f>
        <v>2.6587810286858344</v>
      </c>
      <c r="O87" s="568">
        <f t="shared" ref="O87" si="116">SUM(O88:O90)</f>
        <v>2.7834335906254735</v>
      </c>
      <c r="P87" s="568">
        <f t="shared" ref="P87" si="117">SUM(P88:P90)</f>
        <v>2.9143187806620943</v>
      </c>
      <c r="Q87" s="568">
        <f t="shared" ref="Q87" si="118">SUM(Q88:Q90)</f>
        <v>3.0517482302005461</v>
      </c>
      <c r="R87" s="568">
        <f t="shared" ref="R87" si="119">SUM(R88:R90)</f>
        <v>3.1960491522159202</v>
      </c>
      <c r="S87" s="568">
        <f t="shared" ref="S87" si="120">SUM(S88:S90)</f>
        <v>3.3475651203320633</v>
      </c>
      <c r="T87" s="568">
        <f t="shared" ref="T87" si="121">SUM(T88:T90)</f>
        <v>3.5066568868540129</v>
      </c>
      <c r="U87" s="568">
        <f t="shared" ref="U87" si="122">SUM(U88:U90)</f>
        <v>3.6737032417020608</v>
      </c>
      <c r="V87" s="568">
        <f t="shared" ref="V87" si="123">SUM(V88:V90)</f>
        <v>3.8491019142925103</v>
      </c>
      <c r="W87" s="568">
        <f t="shared" ref="W87" si="124">SUM(W88:W90)</f>
        <v>4.0332705205124837</v>
      </c>
      <c r="X87" s="568">
        <f t="shared" ref="X87" si="125">SUM(X88:X90)</f>
        <v>4.0648020591010132</v>
      </c>
      <c r="Y87" s="568">
        <f t="shared" ref="Y87" si="126">SUM(Y88:Y90)</f>
        <v>4.2678479474585318</v>
      </c>
      <c r="Z87" s="568">
        <f t="shared" ref="Z87" si="127">SUM(Z88:Z90)</f>
        <v>4.4810461302339286</v>
      </c>
      <c r="AA87" s="568">
        <f t="shared" ref="AA87" si="128">SUM(AA88:AA90)</f>
        <v>4.7049042221480937</v>
      </c>
      <c r="AB87" s="568">
        <f t="shared" ref="AB87" si="129">SUM(AB88:AB90)</f>
        <v>4.9399552186579685</v>
      </c>
      <c r="AC87" s="568">
        <f t="shared" ref="AC87" si="130">SUM(AC88:AC90)</f>
        <v>5.1867587649933347</v>
      </c>
      <c r="AD87" s="568">
        <f t="shared" ref="AD87" si="131">SUM(AD88:AD90)</f>
        <v>5.4459024886454719</v>
      </c>
      <c r="AE87" s="568">
        <f t="shared" ref="AE87" si="132">SUM(AE88:AE90)</f>
        <v>5.7180033984802137</v>
      </c>
      <c r="AF87" s="568">
        <f t="shared" ref="AF87" si="133">SUM(AF88:AF90)</f>
        <v>6.0037093538066939</v>
      </c>
      <c r="AG87" s="568">
        <f t="shared" ref="AG87" si="134">SUM(AG88:AG90)</f>
        <v>6.3037006068994978</v>
      </c>
      <c r="AH87" s="568">
        <f t="shared" ref="AH87" si="135">SUM(AH88:AH90)</f>
        <v>6.6186914226469415</v>
      </c>
      <c r="AI87" s="568">
        <f t="shared" ref="AI87" si="136">SUM(AI88:AI90)</f>
        <v>6.9494317791817579</v>
      </c>
      <c r="AJ87" s="568">
        <f t="shared" ref="AJ87" si="137">SUM(AJ88:AJ90)</f>
        <v>7.2967091535433166</v>
      </c>
    </row>
    <row r="88" spans="1:36" s="299" customFormat="1" x14ac:dyDescent="0.25">
      <c r="A88" s="299" t="s">
        <v>422</v>
      </c>
      <c r="C88" s="299" t="s">
        <v>367</v>
      </c>
      <c r="H88" s="561" t="s">
        <v>73</v>
      </c>
      <c r="I88" s="562" t="str">
        <f t="shared" si="73"/>
        <v>tr. VND/tấn</v>
      </c>
      <c r="K88" s="566"/>
      <c r="L88" s="566">
        <f t="shared" ref="L88:AJ88" si="138">-IF($H$9="VND",L56/L27/$H$10/10^3,L56/L27/$H$10*10^3)</f>
        <v>1.8565188172043012</v>
      </c>
      <c r="M88" s="566">
        <f t="shared" si="138"/>
        <v>1.8565188172043008</v>
      </c>
      <c r="N88" s="566">
        <f t="shared" si="138"/>
        <v>1.949344758064516</v>
      </c>
      <c r="O88" s="566">
        <f t="shared" si="138"/>
        <v>2.046811995967742</v>
      </c>
      <c r="P88" s="566">
        <f t="shared" si="138"/>
        <v>2.1491525957661293</v>
      </c>
      <c r="Q88" s="566">
        <f t="shared" si="138"/>
        <v>2.2566102255544358</v>
      </c>
      <c r="R88" s="566">
        <f t="shared" si="138"/>
        <v>2.3694407368321579</v>
      </c>
      <c r="S88" s="566">
        <f t="shared" si="138"/>
        <v>2.4879127736737656</v>
      </c>
      <c r="T88" s="566">
        <f t="shared" si="138"/>
        <v>2.6123084123574536</v>
      </c>
      <c r="U88" s="566">
        <f t="shared" si="138"/>
        <v>2.7429238329753267</v>
      </c>
      <c r="V88" s="566">
        <f t="shared" si="138"/>
        <v>2.8800700246240925</v>
      </c>
      <c r="W88" s="566">
        <f t="shared" si="138"/>
        <v>3.0240735258552975</v>
      </c>
      <c r="X88" s="566">
        <f t="shared" si="138"/>
        <v>3.1752772021480626</v>
      </c>
      <c r="Y88" s="566">
        <f t="shared" si="138"/>
        <v>3.3340410622554648</v>
      </c>
      <c r="Z88" s="566">
        <f t="shared" si="138"/>
        <v>3.5007431153682393</v>
      </c>
      <c r="AA88" s="566">
        <f t="shared" si="138"/>
        <v>3.6757802711366505</v>
      </c>
      <c r="AB88" s="566">
        <f t="shared" si="138"/>
        <v>3.8595692846934839</v>
      </c>
      <c r="AC88" s="566">
        <f t="shared" si="138"/>
        <v>4.0525477489281574</v>
      </c>
      <c r="AD88" s="566">
        <f t="shared" si="138"/>
        <v>4.2551751363745662</v>
      </c>
      <c r="AE88" s="566">
        <f t="shared" si="138"/>
        <v>4.4679338931932939</v>
      </c>
      <c r="AF88" s="566">
        <f t="shared" si="138"/>
        <v>4.691330587852959</v>
      </c>
      <c r="AG88" s="566">
        <f t="shared" si="138"/>
        <v>4.925897117245607</v>
      </c>
      <c r="AH88" s="566">
        <f t="shared" si="138"/>
        <v>5.1721919731078874</v>
      </c>
      <c r="AI88" s="566">
        <f t="shared" si="138"/>
        <v>5.4308015717632818</v>
      </c>
      <c r="AJ88" s="566">
        <f t="shared" si="138"/>
        <v>5.702341650351447</v>
      </c>
    </row>
    <row r="89" spans="1:36" s="299" customFormat="1" x14ac:dyDescent="0.25">
      <c r="A89" s="299" t="s">
        <v>422</v>
      </c>
      <c r="C89" s="299" t="s">
        <v>370</v>
      </c>
      <c r="H89" s="561" t="s">
        <v>192</v>
      </c>
      <c r="I89" s="562" t="str">
        <f t="shared" si="73"/>
        <v>tr. VND/tấn</v>
      </c>
      <c r="K89" s="566"/>
      <c r="L89" s="566">
        <f t="shared" ref="L89:AJ89" si="139">-IF($H$9="VND",L57/L27/$H$10/10^3,L57/L27/$H$10*10^3)</f>
        <v>0.31481481481481483</v>
      </c>
      <c r="M89" s="566">
        <f t="shared" si="139"/>
        <v>0.31481481481481483</v>
      </c>
      <c r="N89" s="566">
        <f t="shared" si="139"/>
        <v>0.3305555555555556</v>
      </c>
      <c r="O89" s="566">
        <f t="shared" si="139"/>
        <v>0.34708333333333335</v>
      </c>
      <c r="P89" s="566">
        <f t="shared" si="139"/>
        <v>0.36443750000000008</v>
      </c>
      <c r="Q89" s="566">
        <f t="shared" si="139"/>
        <v>0.38265937500000002</v>
      </c>
      <c r="R89" s="566">
        <f t="shared" si="139"/>
        <v>0.40179234375000006</v>
      </c>
      <c r="S89" s="566">
        <f t="shared" si="139"/>
        <v>0.42188196093749997</v>
      </c>
      <c r="T89" s="566">
        <f t="shared" si="139"/>
        <v>0.44297605898437514</v>
      </c>
      <c r="U89" s="566">
        <f t="shared" si="139"/>
        <v>0.46512486193359376</v>
      </c>
      <c r="V89" s="566">
        <f t="shared" si="139"/>
        <v>0.48838110503027343</v>
      </c>
      <c r="W89" s="566">
        <f t="shared" si="139"/>
        <v>0.51280016028178721</v>
      </c>
      <c r="X89" s="566">
        <f t="shared" si="139"/>
        <v>0.5384401682958766</v>
      </c>
      <c r="Y89" s="566">
        <f t="shared" si="139"/>
        <v>0.56536217671067035</v>
      </c>
      <c r="Z89" s="566">
        <f t="shared" si="139"/>
        <v>0.5936302855462039</v>
      </c>
      <c r="AA89" s="566">
        <f t="shared" si="139"/>
        <v>0.62331179982351403</v>
      </c>
      <c r="AB89" s="566">
        <f t="shared" si="139"/>
        <v>0.65447738981468995</v>
      </c>
      <c r="AC89" s="566">
        <f t="shared" si="139"/>
        <v>0.68720125930542431</v>
      </c>
      <c r="AD89" s="566">
        <f t="shared" si="139"/>
        <v>0.72156132227069569</v>
      </c>
      <c r="AE89" s="566">
        <f t="shared" si="139"/>
        <v>0.75763938838423039</v>
      </c>
      <c r="AF89" s="566">
        <f t="shared" si="139"/>
        <v>0.79552135780344191</v>
      </c>
      <c r="AG89" s="566">
        <f t="shared" si="139"/>
        <v>0.83529742569361409</v>
      </c>
      <c r="AH89" s="566">
        <f t="shared" si="139"/>
        <v>0.87706229697829474</v>
      </c>
      <c r="AI89" s="566">
        <f t="shared" si="139"/>
        <v>0.92091541182720937</v>
      </c>
      <c r="AJ89" s="566">
        <f t="shared" si="139"/>
        <v>0.9669611824185701</v>
      </c>
    </row>
    <row r="90" spans="1:36" s="299" customFormat="1" x14ac:dyDescent="0.25">
      <c r="A90" s="299" t="s">
        <v>422</v>
      </c>
      <c r="C90" s="299" t="s">
        <v>367</v>
      </c>
      <c r="H90" s="561" t="s">
        <v>175</v>
      </c>
      <c r="I90" s="562" t="str">
        <f t="shared" si="73"/>
        <v>tr. VND/tấn</v>
      </c>
      <c r="K90" s="566"/>
      <c r="L90" s="566">
        <f>-IF($H$9="VND",L58/L27/$H$10/10^3,L58/L27/$H$10*10^3)</f>
        <v>0.65060799673907488</v>
      </c>
      <c r="M90" s="566">
        <f t="shared" ref="M90:AJ90" si="140">-IF($H$9="VND",M58/M27/$H$10/10^3,M58/M27/$H$10*10^3)</f>
        <v>0.48953523917955771</v>
      </c>
      <c r="N90" s="566">
        <f t="shared" si="140"/>
        <v>0.37888071506576265</v>
      </c>
      <c r="O90" s="566">
        <f t="shared" si="140"/>
        <v>0.38953826132439784</v>
      </c>
      <c r="P90" s="566">
        <f t="shared" si="140"/>
        <v>0.40072868489596469</v>
      </c>
      <c r="Q90" s="566">
        <f t="shared" si="140"/>
        <v>0.41247862964610993</v>
      </c>
      <c r="R90" s="566">
        <f t="shared" si="140"/>
        <v>0.42481607163376234</v>
      </c>
      <c r="S90" s="566">
        <f t="shared" si="140"/>
        <v>0.43777038572079757</v>
      </c>
      <c r="T90" s="566">
        <f t="shared" si="140"/>
        <v>0.45137241551218432</v>
      </c>
      <c r="U90" s="566">
        <f t="shared" si="140"/>
        <v>0.4656545467931405</v>
      </c>
      <c r="V90" s="566">
        <f t="shared" si="140"/>
        <v>0.48065078463814442</v>
      </c>
      <c r="W90" s="566">
        <f t="shared" si="140"/>
        <v>0.49639683437539861</v>
      </c>
      <c r="X90" s="566">
        <f t="shared" si="140"/>
        <v>0.35108468865707365</v>
      </c>
      <c r="Y90" s="566">
        <f t="shared" si="140"/>
        <v>0.36844470849239641</v>
      </c>
      <c r="Z90" s="566">
        <f t="shared" si="140"/>
        <v>0.38667272931948538</v>
      </c>
      <c r="AA90" s="566">
        <f t="shared" si="140"/>
        <v>0.40581215118792857</v>
      </c>
      <c r="AB90" s="566">
        <f t="shared" si="140"/>
        <v>0.42590854414979423</v>
      </c>
      <c r="AC90" s="566">
        <f t="shared" si="140"/>
        <v>0.44700975675975296</v>
      </c>
      <c r="AD90" s="566">
        <f t="shared" si="140"/>
        <v>0.46916603000020973</v>
      </c>
      <c r="AE90" s="566">
        <f t="shared" si="140"/>
        <v>0.49243011690268923</v>
      </c>
      <c r="AF90" s="566">
        <f t="shared" si="140"/>
        <v>0.5168574081502928</v>
      </c>
      <c r="AG90" s="566">
        <f t="shared" si="140"/>
        <v>0.54250606396027645</v>
      </c>
      <c r="AH90" s="566">
        <f t="shared" si="140"/>
        <v>0.56943715256075944</v>
      </c>
      <c r="AI90" s="566">
        <f t="shared" si="140"/>
        <v>0.5977147955912665</v>
      </c>
      <c r="AJ90" s="566">
        <f t="shared" si="140"/>
        <v>0.62740632077329883</v>
      </c>
    </row>
    <row r="91" spans="1:36" x14ac:dyDescent="0.25">
      <c r="A91" t="s">
        <v>422</v>
      </c>
      <c r="H91" s="247"/>
      <c r="I91" s="275"/>
      <c r="K91" s="281"/>
      <c r="L91" s="282"/>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row>
    <row r="92" spans="1:36" s="16" customFormat="1" x14ac:dyDescent="0.25">
      <c r="A92" s="16" t="s">
        <v>422</v>
      </c>
      <c r="H92" s="276" t="s">
        <v>464</v>
      </c>
      <c r="I92" s="277" t="str">
        <f t="shared" si="73"/>
        <v>tr. VND/tấn</v>
      </c>
      <c r="K92" s="283">
        <f>K70+K80</f>
        <v>0</v>
      </c>
      <c r="L92" s="283">
        <f t="shared" ref="L92:Z92" si="141">L70+L80</f>
        <v>43.958720173280462</v>
      </c>
      <c r="M92" s="283">
        <f t="shared" si="141"/>
        <v>39.770828476733016</v>
      </c>
      <c r="N92" s="283">
        <f t="shared" si="141"/>
        <v>37.440795172354989</v>
      </c>
      <c r="O92" s="283">
        <f t="shared" si="141"/>
        <v>38.276121687982737</v>
      </c>
      <c r="P92" s="283">
        <f t="shared" si="141"/>
        <v>39.13678923906928</v>
      </c>
      <c r="Q92" s="283">
        <f t="shared" si="141"/>
        <v>40.023736371581123</v>
      </c>
      <c r="R92" s="283">
        <f t="shared" si="141"/>
        <v>40.937941988666935</v>
      </c>
      <c r="S92" s="283">
        <f t="shared" si="141"/>
        <v>41.880427237114404</v>
      </c>
      <c r="T92" s="283">
        <f t="shared" si="141"/>
        <v>42.852257485501738</v>
      </c>
      <c r="U92" s="283">
        <f t="shared" si="141"/>
        <v>43.854544398576294</v>
      </c>
      <c r="V92" s="283">
        <f t="shared" si="141"/>
        <v>44.888448112617795</v>
      </c>
      <c r="W92" s="283">
        <f t="shared" si="141"/>
        <v>45.955179516780845</v>
      </c>
      <c r="X92" s="283">
        <f t="shared" si="141"/>
        <v>42.848019699156396</v>
      </c>
      <c r="Y92" s="283">
        <f t="shared" si="141"/>
        <v>43.984254242077441</v>
      </c>
      <c r="Z92" s="283">
        <f t="shared" si="141"/>
        <v>45.157278174894508</v>
      </c>
      <c r="AA92" s="283">
        <f t="shared" ref="AA92:AJ92" si="142">AA70+AA80</f>
        <v>46.368530520357389</v>
      </c>
      <c r="AB92" s="283">
        <f t="shared" si="142"/>
        <v>47.619514243418514</v>
      </c>
      <c r="AC92" s="283">
        <f t="shared" si="142"/>
        <v>48.911799288164282</v>
      </c>
      <c r="AD92" s="283">
        <f t="shared" si="142"/>
        <v>50.247025763389537</v>
      </c>
      <c r="AE92" s="283">
        <f t="shared" si="142"/>
        <v>51.626907284183119</v>
      </c>
      <c r="AF92" s="283">
        <f t="shared" si="142"/>
        <v>53.053234477259565</v>
      </c>
      <c r="AG92" s="283">
        <f t="shared" si="142"/>
        <v>54.52787865815791</v>
      </c>
      <c r="AH92" s="283">
        <f t="shared" si="142"/>
        <v>56.052795688832582</v>
      </c>
      <c r="AI92" s="283">
        <f t="shared" si="142"/>
        <v>57.630030024587072</v>
      </c>
      <c r="AJ92" s="283">
        <f t="shared" si="142"/>
        <v>59.261718959746226</v>
      </c>
    </row>
    <row r="93" spans="1:36" x14ac:dyDescent="0.25">
      <c r="A93" t="s">
        <v>422</v>
      </c>
      <c r="H93" s="247"/>
      <c r="I93" s="275"/>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row>
    <row r="94" spans="1:36" x14ac:dyDescent="0.25">
      <c r="A94" t="s">
        <v>422</v>
      </c>
      <c r="C94" t="s">
        <v>367</v>
      </c>
      <c r="H94" s="569" t="s">
        <v>166</v>
      </c>
      <c r="I94" s="570" t="str">
        <f t="shared" si="73"/>
        <v>tr. VND/tấn</v>
      </c>
      <c r="K94" s="571"/>
      <c r="L94" s="571">
        <f>-IF($H$9="VND",L62/L27/$H$10/10^3,L62/L27/$H$10*10^3)</f>
        <v>0.88888888888888906</v>
      </c>
      <c r="M94" s="571">
        <f t="shared" ref="M94:AJ94" si="143">-IF($H$9="VND",M62/M27/$H$10/10^3,M62/M27/$H$10*10^3)</f>
        <v>0.88888888888888895</v>
      </c>
      <c r="N94" s="571">
        <f t="shared" si="143"/>
        <v>0.93333333333333335</v>
      </c>
      <c r="O94" s="571">
        <f t="shared" si="143"/>
        <v>0.9800000000000002</v>
      </c>
      <c r="P94" s="571">
        <f t="shared" si="143"/>
        <v>1.0290000000000001</v>
      </c>
      <c r="Q94" s="571">
        <f t="shared" si="143"/>
        <v>1.0804500000000004</v>
      </c>
      <c r="R94" s="571">
        <f t="shared" si="143"/>
        <v>1.1344725000000002</v>
      </c>
      <c r="S94" s="571">
        <f t="shared" si="143"/>
        <v>1.1911961249999998</v>
      </c>
      <c r="T94" s="571">
        <f t="shared" si="143"/>
        <v>1.2507559312500003</v>
      </c>
      <c r="U94" s="571">
        <f t="shared" si="143"/>
        <v>1.3132937278125001</v>
      </c>
      <c r="V94" s="571">
        <f t="shared" si="143"/>
        <v>1.3789584142031253</v>
      </c>
      <c r="W94" s="571">
        <f t="shared" si="143"/>
        <v>1.4479063349132817</v>
      </c>
      <c r="X94" s="571">
        <f t="shared" si="143"/>
        <v>1.5203016516589456</v>
      </c>
      <c r="Y94" s="571">
        <f t="shared" si="143"/>
        <v>1.5963167342418931</v>
      </c>
      <c r="Z94" s="571">
        <f t="shared" si="143"/>
        <v>1.6761325709539878</v>
      </c>
      <c r="AA94" s="571">
        <f t="shared" si="143"/>
        <v>1.7599391995016864</v>
      </c>
      <c r="AB94" s="571">
        <f t="shared" si="143"/>
        <v>1.8479361594767718</v>
      </c>
      <c r="AC94" s="571">
        <f t="shared" si="143"/>
        <v>1.94033296745061</v>
      </c>
      <c r="AD94" s="571">
        <f t="shared" si="143"/>
        <v>2.0373496158231408</v>
      </c>
      <c r="AE94" s="571">
        <f t="shared" si="143"/>
        <v>2.1392170966142974</v>
      </c>
      <c r="AF94" s="571">
        <f t="shared" si="143"/>
        <v>2.2461779514450129</v>
      </c>
      <c r="AG94" s="571">
        <f t="shared" si="143"/>
        <v>2.3584868490172628</v>
      </c>
      <c r="AH94" s="571">
        <f t="shared" si="143"/>
        <v>2.4764111914681264</v>
      </c>
      <c r="AI94" s="571">
        <f t="shared" si="143"/>
        <v>2.6002317510415329</v>
      </c>
      <c r="AJ94" s="571">
        <f t="shared" si="143"/>
        <v>2.7302433385936098</v>
      </c>
    </row>
    <row r="95" spans="1:36" x14ac:dyDescent="0.25">
      <c r="A95" t="s">
        <v>422</v>
      </c>
      <c r="C95" t="s">
        <v>367</v>
      </c>
      <c r="H95" s="559" t="s">
        <v>469</v>
      </c>
      <c r="I95" s="560" t="str">
        <f t="shared" si="73"/>
        <v>tr. VND/tấn</v>
      </c>
      <c r="K95" s="572"/>
      <c r="L95" s="572">
        <f t="shared" ref="L95:AJ95" si="144">-IF($H$9="VND",L63/L27/$H$10/10^3,L63/L27/$H$10*10^3)</f>
        <v>0</v>
      </c>
      <c r="M95" s="572">
        <f t="shared" si="144"/>
        <v>0</v>
      </c>
      <c r="N95" s="572">
        <f t="shared" si="144"/>
        <v>0</v>
      </c>
      <c r="O95" s="572">
        <f t="shared" si="144"/>
        <v>0</v>
      </c>
      <c r="P95" s="572">
        <f t="shared" si="144"/>
        <v>0</v>
      </c>
      <c r="Q95" s="572">
        <f t="shared" si="144"/>
        <v>0</v>
      </c>
      <c r="R95" s="572">
        <f t="shared" si="144"/>
        <v>0</v>
      </c>
      <c r="S95" s="572">
        <f t="shared" si="144"/>
        <v>0</v>
      </c>
      <c r="T95" s="572">
        <f t="shared" si="144"/>
        <v>0</v>
      </c>
      <c r="U95" s="572">
        <f t="shared" si="144"/>
        <v>0</v>
      </c>
      <c r="V95" s="572">
        <f t="shared" si="144"/>
        <v>0</v>
      </c>
      <c r="W95" s="572">
        <f t="shared" si="144"/>
        <v>0</v>
      </c>
      <c r="X95" s="572">
        <f t="shared" si="144"/>
        <v>0</v>
      </c>
      <c r="Y95" s="572">
        <f t="shared" si="144"/>
        <v>0</v>
      </c>
      <c r="Z95" s="572">
        <f t="shared" si="144"/>
        <v>0</v>
      </c>
      <c r="AA95" s="572">
        <f t="shared" si="144"/>
        <v>0</v>
      </c>
      <c r="AB95" s="572">
        <f t="shared" si="144"/>
        <v>0</v>
      </c>
      <c r="AC95" s="572">
        <f t="shared" si="144"/>
        <v>0</v>
      </c>
      <c r="AD95" s="572">
        <f t="shared" si="144"/>
        <v>0</v>
      </c>
      <c r="AE95" s="572">
        <f t="shared" si="144"/>
        <v>0</v>
      </c>
      <c r="AF95" s="572">
        <f t="shared" si="144"/>
        <v>0</v>
      </c>
      <c r="AG95" s="572">
        <f t="shared" si="144"/>
        <v>0</v>
      </c>
      <c r="AH95" s="572">
        <f t="shared" si="144"/>
        <v>0</v>
      </c>
      <c r="AI95" s="572">
        <f t="shared" si="144"/>
        <v>0</v>
      </c>
      <c r="AJ95" s="572">
        <f t="shared" si="144"/>
        <v>0</v>
      </c>
    </row>
    <row r="96" spans="1:36" x14ac:dyDescent="0.25">
      <c r="A96" t="s">
        <v>422</v>
      </c>
      <c r="C96" t="s">
        <v>367</v>
      </c>
      <c r="H96" s="559" t="s">
        <v>468</v>
      </c>
      <c r="I96" s="560" t="str">
        <f t="shared" si="73"/>
        <v>tr. VND/tấn</v>
      </c>
      <c r="K96" s="559"/>
      <c r="L96" s="572">
        <f t="shared" ref="L96:AJ96" si="145">-IF($H$9="VND",L64/L27/$H$10/10^3,L64/L27/$H$10*10^3)</f>
        <v>0</v>
      </c>
      <c r="M96" s="572">
        <f t="shared" si="145"/>
        <v>0</v>
      </c>
      <c r="N96" s="572">
        <f t="shared" si="145"/>
        <v>0</v>
      </c>
      <c r="O96" s="572">
        <f t="shared" si="145"/>
        <v>0</v>
      </c>
      <c r="P96" s="572">
        <f t="shared" si="145"/>
        <v>0</v>
      </c>
      <c r="Q96" s="572">
        <f t="shared" si="145"/>
        <v>0</v>
      </c>
      <c r="R96" s="572">
        <f t="shared" si="145"/>
        <v>0</v>
      </c>
      <c r="S96" s="572">
        <f t="shared" si="145"/>
        <v>0</v>
      </c>
      <c r="T96" s="572">
        <f t="shared" si="145"/>
        <v>0</v>
      </c>
      <c r="U96" s="572">
        <f t="shared" si="145"/>
        <v>0</v>
      </c>
      <c r="V96" s="572">
        <f t="shared" si="145"/>
        <v>0</v>
      </c>
      <c r="W96" s="572">
        <f t="shared" si="145"/>
        <v>0</v>
      </c>
      <c r="X96" s="572">
        <f t="shared" si="145"/>
        <v>0</v>
      </c>
      <c r="Y96" s="572">
        <f t="shared" si="145"/>
        <v>0</v>
      </c>
      <c r="Z96" s="572">
        <f t="shared" si="145"/>
        <v>0</v>
      </c>
      <c r="AA96" s="572">
        <f t="shared" si="145"/>
        <v>0</v>
      </c>
      <c r="AB96" s="572">
        <f t="shared" si="145"/>
        <v>0</v>
      </c>
      <c r="AC96" s="572">
        <f t="shared" si="145"/>
        <v>0</v>
      </c>
      <c r="AD96" s="572">
        <f t="shared" si="145"/>
        <v>0</v>
      </c>
      <c r="AE96" s="572">
        <f t="shared" si="145"/>
        <v>0</v>
      </c>
      <c r="AF96" s="572">
        <f t="shared" si="145"/>
        <v>0</v>
      </c>
      <c r="AG96" s="572">
        <f t="shared" si="145"/>
        <v>0</v>
      </c>
      <c r="AH96" s="572">
        <f t="shared" si="145"/>
        <v>0</v>
      </c>
      <c r="AI96" s="572">
        <f t="shared" si="145"/>
        <v>0</v>
      </c>
      <c r="AJ96" s="572">
        <f t="shared" si="145"/>
        <v>0</v>
      </c>
    </row>
    <row r="97" spans="1:36" x14ac:dyDescent="0.25">
      <c r="A97" t="s">
        <v>422</v>
      </c>
      <c r="C97" t="s">
        <v>367</v>
      </c>
      <c r="H97" s="559" t="s">
        <v>470</v>
      </c>
      <c r="I97" s="560" t="str">
        <f t="shared" si="73"/>
        <v>tr. VND/tấn</v>
      </c>
      <c r="K97" s="559"/>
      <c r="L97" s="572">
        <f t="shared" ref="L97:AJ97" si="146">-IF($H$9="VND",L65/L27/$H$10/10^3,L65/L27/$H$10*10^3)</f>
        <v>4.7582576395077938</v>
      </c>
      <c r="M97" s="572">
        <f t="shared" si="146"/>
        <v>3.3627748600900977</v>
      </c>
      <c r="N97" s="572">
        <f t="shared" si="146"/>
        <v>2.3269929351338816</v>
      </c>
      <c r="O97" s="572">
        <f t="shared" si="146"/>
        <v>2.2981570055196521</v>
      </c>
      <c r="P97" s="572">
        <f t="shared" si="146"/>
        <v>2.2673025608324262</v>
      </c>
      <c r="Q97" s="572">
        <f t="shared" si="146"/>
        <v>2.2342883050170945</v>
      </c>
      <c r="R97" s="572">
        <f t="shared" si="146"/>
        <v>2.1989630512946903</v>
      </c>
      <c r="S97" s="572">
        <f t="shared" si="146"/>
        <v>2.1611650298117171</v>
      </c>
      <c r="T97" s="572">
        <f t="shared" si="146"/>
        <v>2.1207211468249358</v>
      </c>
      <c r="U97" s="572">
        <f t="shared" si="146"/>
        <v>2.0774461920290794</v>
      </c>
      <c r="V97" s="572">
        <f t="shared" si="146"/>
        <v>2.0311419903975136</v>
      </c>
      <c r="W97" s="572">
        <f t="shared" si="146"/>
        <v>1.9815964946517386</v>
      </c>
      <c r="X97" s="572">
        <f t="shared" si="146"/>
        <v>1.9285828142037589</v>
      </c>
      <c r="Y97" s="572">
        <f t="shared" si="146"/>
        <v>1.8718581761244206</v>
      </c>
      <c r="Z97" s="572">
        <f t="shared" si="146"/>
        <v>1.8111628133795286</v>
      </c>
      <c r="AA97" s="572">
        <f t="shared" si="146"/>
        <v>1.7462187752424945</v>
      </c>
      <c r="AB97" s="572">
        <f t="shared" si="146"/>
        <v>1.6767286544358675</v>
      </c>
      <c r="AC97" s="572">
        <f t="shared" si="146"/>
        <v>1.6023742251727773</v>
      </c>
      <c r="AD97" s="572">
        <f t="shared" si="146"/>
        <v>1.5228149858612703</v>
      </c>
      <c r="AE97" s="572">
        <f t="shared" si="146"/>
        <v>1.4376865997979578</v>
      </c>
      <c r="AF97" s="572">
        <f t="shared" si="146"/>
        <v>1.3465992267102134</v>
      </c>
      <c r="AG97" s="572">
        <f t="shared" si="146"/>
        <v>1.2491357375063272</v>
      </c>
      <c r="AH97" s="572">
        <f t="shared" si="146"/>
        <v>1.1448498040581687</v>
      </c>
      <c r="AI97" s="572">
        <f t="shared" si="146"/>
        <v>1.0332638552686391</v>
      </c>
      <c r="AJ97" s="572">
        <f t="shared" si="146"/>
        <v>0.91386689006384247</v>
      </c>
    </row>
    <row r="98" spans="1:36" x14ac:dyDescent="0.25">
      <c r="A98" t="s">
        <v>422</v>
      </c>
      <c r="H98" s="247"/>
      <c r="I98" s="275"/>
      <c r="K98" s="247"/>
      <c r="L98" s="247"/>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row>
    <row r="99" spans="1:36" s="16" customFormat="1" x14ac:dyDescent="0.25">
      <c r="A99" s="16" t="s">
        <v>422</v>
      </c>
      <c r="H99" s="276" t="s">
        <v>474</v>
      </c>
      <c r="I99" s="277" t="str">
        <f t="shared" si="73"/>
        <v>tr. VND/tấn</v>
      </c>
      <c r="K99" s="283">
        <f t="shared" ref="K99" si="147">K92+SUM(K94:K97)</f>
        <v>0</v>
      </c>
      <c r="L99" s="283">
        <f>L92+SUM(L94:L97)</f>
        <v>49.605866701677144</v>
      </c>
      <c r="M99" s="283">
        <f t="shared" ref="M99:AJ99" si="148">M92+SUM(M94:M97)</f>
        <v>44.022492225712</v>
      </c>
      <c r="N99" s="283">
        <f t="shared" si="148"/>
        <v>40.701121440822206</v>
      </c>
      <c r="O99" s="283">
        <f t="shared" si="148"/>
        <v>41.55427869350239</v>
      </c>
      <c r="P99" s="283">
        <f t="shared" si="148"/>
        <v>42.433091799901703</v>
      </c>
      <c r="Q99" s="283">
        <f t="shared" si="148"/>
        <v>43.338474676598217</v>
      </c>
      <c r="R99" s="283">
        <f t="shared" si="148"/>
        <v>44.271377539961627</v>
      </c>
      <c r="S99" s="283">
        <f t="shared" si="148"/>
        <v>45.232788391926121</v>
      </c>
      <c r="T99" s="283">
        <f t="shared" si="148"/>
        <v>46.223734563576677</v>
      </c>
      <c r="U99" s="283">
        <f t="shared" si="148"/>
        <v>47.245284318417873</v>
      </c>
      <c r="V99" s="283">
        <f t="shared" si="148"/>
        <v>48.298548517218435</v>
      </c>
      <c r="W99" s="283">
        <f t="shared" si="148"/>
        <v>49.384682346345869</v>
      </c>
      <c r="X99" s="283">
        <f t="shared" si="148"/>
        <v>46.2969041650191</v>
      </c>
      <c r="Y99" s="283">
        <f t="shared" si="148"/>
        <v>47.452429152443756</v>
      </c>
      <c r="Z99" s="283">
        <f t="shared" si="148"/>
        <v>48.644573559228022</v>
      </c>
      <c r="AA99" s="283">
        <f t="shared" si="148"/>
        <v>49.874688495101573</v>
      </c>
      <c r="AB99" s="283">
        <f t="shared" si="148"/>
        <v>51.144179057331151</v>
      </c>
      <c r="AC99" s="283">
        <f t="shared" si="148"/>
        <v>52.454506480787671</v>
      </c>
      <c r="AD99" s="283">
        <f t="shared" si="148"/>
        <v>53.80719036507395</v>
      </c>
      <c r="AE99" s="283">
        <f t="shared" si="148"/>
        <v>55.203810980595371</v>
      </c>
      <c r="AF99" s="283">
        <f t="shared" si="148"/>
        <v>56.646011655414789</v>
      </c>
      <c r="AG99" s="283">
        <f t="shared" si="148"/>
        <v>58.1355012446815</v>
      </c>
      <c r="AH99" s="283">
        <f t="shared" si="148"/>
        <v>59.674056684358874</v>
      </c>
      <c r="AI99" s="283">
        <f t="shared" si="148"/>
        <v>61.263525630897242</v>
      </c>
      <c r="AJ99" s="283">
        <f t="shared" si="148"/>
        <v>62.905829188403679</v>
      </c>
    </row>
    <row r="100" spans="1:36" x14ac:dyDescent="0.25">
      <c r="A100" t="s">
        <v>422</v>
      </c>
    </row>
    <row r="101" spans="1:36" x14ac:dyDescent="0.25">
      <c r="A101" t="s">
        <v>422</v>
      </c>
      <c r="H101" s="569" t="s">
        <v>361</v>
      </c>
      <c r="I101" s="570" t="str">
        <f t="shared" si="73"/>
        <v>tr. VND/tấn</v>
      </c>
      <c r="K101" s="569"/>
      <c r="L101" s="590">
        <f>INDEX('Cover Page'!$H$12:$W$12,MATCH($A101,'Cover Page'!$H$5:$W$5,0))</f>
        <v>6.6666666666666666E-2</v>
      </c>
      <c r="M101" s="590">
        <f>INDEX('Cover Page'!$H$12:$W$12,MATCH($A101,'Cover Page'!$H$5:$W$5,0))</f>
        <v>6.6666666666666666E-2</v>
      </c>
      <c r="N101" s="590">
        <f>INDEX('Cover Page'!$H$12:$W$12,MATCH($A101,'Cover Page'!$H$5:$W$5,0))</f>
        <v>6.6666666666666666E-2</v>
      </c>
      <c r="O101" s="590">
        <f>INDEX('Cover Page'!$H$12:$W$12,MATCH($A101,'Cover Page'!$H$5:$W$5,0))</f>
        <v>6.6666666666666666E-2</v>
      </c>
      <c r="P101" s="590">
        <f>INDEX('Cover Page'!$H$12:$W$12,MATCH($A101,'Cover Page'!$H$5:$W$5,0))</f>
        <v>6.6666666666666666E-2</v>
      </c>
      <c r="Q101" s="590">
        <f>INDEX('Cover Page'!$H$12:$W$12,MATCH($A101,'Cover Page'!$H$5:$W$5,0))</f>
        <v>6.6666666666666666E-2</v>
      </c>
      <c r="R101" s="590">
        <f>INDEX('Cover Page'!$H$12:$W$12,MATCH($A101,'Cover Page'!$H$5:$W$5,0))</f>
        <v>6.6666666666666666E-2</v>
      </c>
      <c r="S101" s="590">
        <f>INDEX('Cover Page'!$H$12:$W$12,MATCH($A101,'Cover Page'!$H$5:$W$5,0))</f>
        <v>6.6666666666666666E-2</v>
      </c>
      <c r="T101" s="590">
        <f>INDEX('Cover Page'!$H$12:$W$12,MATCH($A101,'Cover Page'!$H$5:$W$5,0))</f>
        <v>6.6666666666666666E-2</v>
      </c>
      <c r="U101" s="590">
        <f>INDEX('Cover Page'!$H$12:$W$12,MATCH($A101,'Cover Page'!$H$5:$W$5,0))</f>
        <v>6.6666666666666666E-2</v>
      </c>
      <c r="V101" s="590">
        <f>INDEX('Cover Page'!$H$12:$W$12,MATCH($A101,'Cover Page'!$H$5:$W$5,0))</f>
        <v>6.6666666666666666E-2</v>
      </c>
      <c r="W101" s="590">
        <f>INDEX('Cover Page'!$H$12:$W$12,MATCH($A101,'Cover Page'!$H$5:$W$5,0))</f>
        <v>6.6666666666666666E-2</v>
      </c>
      <c r="X101" s="590">
        <f>INDEX('Cover Page'!$H$12:$W$12,MATCH($A101,'Cover Page'!$H$5:$W$5,0))</f>
        <v>6.6666666666666666E-2</v>
      </c>
      <c r="Y101" s="590">
        <f>INDEX('Cover Page'!$H$12:$W$12,MATCH($A101,'Cover Page'!$H$5:$W$5,0))</f>
        <v>6.6666666666666666E-2</v>
      </c>
      <c r="Z101" s="590">
        <f>INDEX('Cover Page'!$H$12:$W$12,MATCH($A101,'Cover Page'!$H$5:$W$5,0))</f>
        <v>6.6666666666666666E-2</v>
      </c>
      <c r="AA101" s="590">
        <f>INDEX('Cover Page'!$H$12:$W$12,MATCH($A101,'Cover Page'!$H$5:$W$5,0))</f>
        <v>6.6666666666666666E-2</v>
      </c>
      <c r="AB101" s="590">
        <f>INDEX('Cover Page'!$H$12:$W$12,MATCH($A101,'Cover Page'!$H$5:$W$5,0))</f>
        <v>6.6666666666666666E-2</v>
      </c>
      <c r="AC101" s="590">
        <f>INDEX('Cover Page'!$H$12:$W$12,MATCH($A101,'Cover Page'!$H$5:$W$5,0))</f>
        <v>6.6666666666666666E-2</v>
      </c>
      <c r="AD101" s="590">
        <f>INDEX('Cover Page'!$H$12:$W$12,MATCH($A101,'Cover Page'!$H$5:$W$5,0))</f>
        <v>6.6666666666666666E-2</v>
      </c>
      <c r="AE101" s="590">
        <f>INDEX('Cover Page'!$H$12:$W$12,MATCH($A101,'Cover Page'!$H$5:$W$5,0))</f>
        <v>6.6666666666666666E-2</v>
      </c>
      <c r="AF101" s="590">
        <f>INDEX('Cover Page'!$H$12:$W$12,MATCH($A101,'Cover Page'!$H$5:$W$5,0))</f>
        <v>6.6666666666666666E-2</v>
      </c>
      <c r="AG101" s="590">
        <f>INDEX('Cover Page'!$H$12:$W$12,MATCH($A101,'Cover Page'!$H$5:$W$5,0))</f>
        <v>6.6666666666666666E-2</v>
      </c>
      <c r="AH101" s="590">
        <f>INDEX('Cover Page'!$H$12:$W$12,MATCH($A101,'Cover Page'!$H$5:$W$5,0))</f>
        <v>6.6666666666666666E-2</v>
      </c>
      <c r="AI101" s="590">
        <f>INDEX('Cover Page'!$H$12:$W$12,MATCH($A101,'Cover Page'!$H$5:$W$5,0))</f>
        <v>6.6666666666666666E-2</v>
      </c>
      <c r="AJ101" s="590">
        <f>INDEX('Cover Page'!$H$12:$W$12,MATCH($A101,'Cover Page'!$H$5:$W$5,0))</f>
        <v>6.6666666666666666E-2</v>
      </c>
    </row>
    <row r="102" spans="1:36" s="1" customFormat="1" x14ac:dyDescent="0.25">
      <c r="A102" s="1" t="s">
        <v>422</v>
      </c>
      <c r="H102" s="586" t="s">
        <v>490</v>
      </c>
      <c r="I102" s="587" t="str">
        <f t="shared" si="73"/>
        <v>tr. VND/tấn</v>
      </c>
      <c r="K102" s="586"/>
      <c r="L102" s="591">
        <f t="shared" ref="L102:Z102" si="149">L99*(1+L101)</f>
        <v>52.912924481788956</v>
      </c>
      <c r="M102" s="591">
        <f t="shared" si="149"/>
        <v>46.957325040759464</v>
      </c>
      <c r="N102" s="591">
        <f t="shared" si="149"/>
        <v>43.414529536877019</v>
      </c>
      <c r="O102" s="591">
        <f t="shared" si="149"/>
        <v>44.324563939735881</v>
      </c>
      <c r="P102" s="591">
        <f t="shared" si="149"/>
        <v>45.261964586561817</v>
      </c>
      <c r="Q102" s="591">
        <f t="shared" si="149"/>
        <v>46.227706321704765</v>
      </c>
      <c r="R102" s="591">
        <f t="shared" si="149"/>
        <v>47.222802709292402</v>
      </c>
      <c r="S102" s="591">
        <f t="shared" si="149"/>
        <v>48.248307618054525</v>
      </c>
      <c r="T102" s="591">
        <f t="shared" si="149"/>
        <v>49.305316867815122</v>
      </c>
      <c r="U102" s="591">
        <f t="shared" si="149"/>
        <v>50.394969939645733</v>
      </c>
      <c r="V102" s="591">
        <f t="shared" si="149"/>
        <v>51.518451751699665</v>
      </c>
      <c r="W102" s="591">
        <f t="shared" si="149"/>
        <v>52.676994502768927</v>
      </c>
      <c r="X102" s="591">
        <f t="shared" si="149"/>
        <v>49.383364442687039</v>
      </c>
      <c r="Y102" s="591">
        <f t="shared" si="149"/>
        <v>50.615924429273342</v>
      </c>
      <c r="Z102" s="591">
        <f t="shared" si="149"/>
        <v>51.887545129843225</v>
      </c>
      <c r="AA102" s="591">
        <f t="shared" ref="AA102:AJ102" si="150">AA99*(1+AA101)</f>
        <v>53.199667728108345</v>
      </c>
      <c r="AB102" s="591">
        <f t="shared" si="150"/>
        <v>54.553790994486562</v>
      </c>
      <c r="AC102" s="591">
        <f t="shared" si="150"/>
        <v>55.951473579506846</v>
      </c>
      <c r="AD102" s="591">
        <f t="shared" si="150"/>
        <v>57.39433638941221</v>
      </c>
      <c r="AE102" s="591">
        <f t="shared" si="150"/>
        <v>58.884065045968391</v>
      </c>
      <c r="AF102" s="591">
        <f t="shared" si="150"/>
        <v>60.422412432442442</v>
      </c>
      <c r="AG102" s="591">
        <f t="shared" si="150"/>
        <v>62.011201327660267</v>
      </c>
      <c r="AH102" s="591">
        <f t="shared" si="150"/>
        <v>63.652327129982801</v>
      </c>
      <c r="AI102" s="591">
        <f t="shared" si="150"/>
        <v>65.347760672957051</v>
      </c>
      <c r="AJ102" s="591">
        <f t="shared" si="150"/>
        <v>67.099551134297258</v>
      </c>
    </row>
    <row r="103" spans="1:36" x14ac:dyDescent="0.25">
      <c r="A103" t="s">
        <v>422</v>
      </c>
      <c r="H103" s="559" t="s">
        <v>292</v>
      </c>
      <c r="I103" s="560" t="str">
        <f t="shared" si="73"/>
        <v>tr. VND/tấn</v>
      </c>
      <c r="K103" s="559"/>
      <c r="L103" s="592">
        <f t="shared" ref="L103:AJ103" si="151">Tax_rate</f>
        <v>0.2</v>
      </c>
      <c r="M103" s="592">
        <f t="shared" si="151"/>
        <v>0.2</v>
      </c>
      <c r="N103" s="592">
        <f t="shared" si="151"/>
        <v>0.2</v>
      </c>
      <c r="O103" s="592">
        <f t="shared" si="151"/>
        <v>0.2</v>
      </c>
      <c r="P103" s="592">
        <f t="shared" si="151"/>
        <v>0.2</v>
      </c>
      <c r="Q103" s="592">
        <f t="shared" si="151"/>
        <v>0.2</v>
      </c>
      <c r="R103" s="592">
        <f t="shared" si="151"/>
        <v>0.2</v>
      </c>
      <c r="S103" s="592">
        <f t="shared" si="151"/>
        <v>0.2</v>
      </c>
      <c r="T103" s="592">
        <f t="shared" si="151"/>
        <v>0.2</v>
      </c>
      <c r="U103" s="592">
        <f t="shared" si="151"/>
        <v>0.2</v>
      </c>
      <c r="V103" s="592">
        <f t="shared" si="151"/>
        <v>0.2</v>
      </c>
      <c r="W103" s="592">
        <f t="shared" si="151"/>
        <v>0.2</v>
      </c>
      <c r="X103" s="592">
        <f t="shared" si="151"/>
        <v>0.2</v>
      </c>
      <c r="Y103" s="592">
        <f t="shared" si="151"/>
        <v>0.2</v>
      </c>
      <c r="Z103" s="592">
        <f t="shared" si="151"/>
        <v>0.2</v>
      </c>
      <c r="AA103" s="592">
        <f t="shared" si="151"/>
        <v>0.2</v>
      </c>
      <c r="AB103" s="592">
        <f t="shared" si="151"/>
        <v>0.2</v>
      </c>
      <c r="AC103" s="592">
        <f t="shared" si="151"/>
        <v>0.2</v>
      </c>
      <c r="AD103" s="592">
        <f t="shared" si="151"/>
        <v>0.2</v>
      </c>
      <c r="AE103" s="592">
        <f t="shared" si="151"/>
        <v>0.2</v>
      </c>
      <c r="AF103" s="592">
        <f t="shared" si="151"/>
        <v>0.2</v>
      </c>
      <c r="AG103" s="592">
        <f t="shared" si="151"/>
        <v>0.2</v>
      </c>
      <c r="AH103" s="592">
        <f t="shared" si="151"/>
        <v>0.2</v>
      </c>
      <c r="AI103" s="592">
        <f t="shared" si="151"/>
        <v>0.2</v>
      </c>
      <c r="AJ103" s="592">
        <f t="shared" si="151"/>
        <v>0.2</v>
      </c>
    </row>
    <row r="104" spans="1:36" s="1" customFormat="1" x14ac:dyDescent="0.25">
      <c r="A104" s="1" t="s">
        <v>422</v>
      </c>
      <c r="H104" s="586" t="s">
        <v>491</v>
      </c>
      <c r="I104" s="587" t="str">
        <f t="shared" si="73"/>
        <v>tr. VND/tấn</v>
      </c>
      <c r="K104" s="586"/>
      <c r="L104" s="591">
        <f>(L102-L99)*(1-L103)</f>
        <v>2.6456462240894498</v>
      </c>
      <c r="M104" s="591">
        <f t="shared" ref="M104:Z104" si="152">(M102-M99)*(1-M103)</f>
        <v>2.3478662520379716</v>
      </c>
      <c r="N104" s="591">
        <f t="shared" si="152"/>
        <v>2.1707264768438508</v>
      </c>
      <c r="O104" s="591">
        <f t="shared" si="152"/>
        <v>2.2162281969867936</v>
      </c>
      <c r="P104" s="591">
        <f t="shared" si="152"/>
        <v>2.263098229328091</v>
      </c>
      <c r="Q104" s="591">
        <f t="shared" si="152"/>
        <v>2.3113853160852389</v>
      </c>
      <c r="R104" s="591">
        <f t="shared" si="152"/>
        <v>2.3611401354646206</v>
      </c>
      <c r="S104" s="591">
        <f t="shared" si="152"/>
        <v>2.4124153809027238</v>
      </c>
      <c r="T104" s="591">
        <f t="shared" si="152"/>
        <v>2.4652658433907564</v>
      </c>
      <c r="U104" s="591">
        <f t="shared" si="152"/>
        <v>2.5197484969822881</v>
      </c>
      <c r="V104" s="591">
        <f t="shared" si="152"/>
        <v>2.5759225875849836</v>
      </c>
      <c r="W104" s="591">
        <f t="shared" si="152"/>
        <v>2.6338497251384467</v>
      </c>
      <c r="X104" s="591">
        <f t="shared" si="152"/>
        <v>2.4691682221343516</v>
      </c>
      <c r="Y104" s="591">
        <f t="shared" si="152"/>
        <v>2.5307962214636692</v>
      </c>
      <c r="Z104" s="591">
        <f t="shared" si="152"/>
        <v>2.5943772564921632</v>
      </c>
      <c r="AA104" s="591">
        <f t="shared" ref="AA104" si="153">(AA102-AA99)*(1-AA103)</f>
        <v>2.6599833864054179</v>
      </c>
      <c r="AB104" s="591">
        <f t="shared" ref="AB104" si="154">(AB102-AB99)*(1-AB103)</f>
        <v>2.727689549724329</v>
      </c>
      <c r="AC104" s="591">
        <f t="shared" ref="AC104" si="155">(AC102-AC99)*(1-AC103)</f>
        <v>2.7975736789753398</v>
      </c>
      <c r="AD104" s="591">
        <f t="shared" ref="AD104" si="156">(AD102-AD99)*(1-AD103)</f>
        <v>2.8697168194706082</v>
      </c>
      <c r="AE104" s="591">
        <f t="shared" ref="AE104" si="157">(AE102-AE99)*(1-AE103)</f>
        <v>2.9442032522984167</v>
      </c>
      <c r="AF104" s="591">
        <f t="shared" ref="AF104" si="158">(AF102-AF99)*(1-AF103)</f>
        <v>3.0211206216221229</v>
      </c>
      <c r="AG104" s="591">
        <f t="shared" ref="AG104" si="159">(AG102-AG99)*(1-AG103)</f>
        <v>3.100560066383014</v>
      </c>
      <c r="AH104" s="591">
        <f t="shared" ref="AH104" si="160">(AH102-AH99)*(1-AH103)</f>
        <v>3.1826163564991421</v>
      </c>
      <c r="AI104" s="591">
        <f t="shared" ref="AI104" si="161">(AI102-AI99)*(1-AI103)</f>
        <v>3.2673880336478476</v>
      </c>
      <c r="AJ104" s="591">
        <f t="shared" ref="AJ104" si="162">(AJ102-AJ99)*(1-AJ103)</f>
        <v>3.354977556714863</v>
      </c>
    </row>
    <row r="105" spans="1:36" s="146" customFormat="1" x14ac:dyDescent="0.25">
      <c r="A105" s="146" t="s">
        <v>422</v>
      </c>
      <c r="H105" s="588" t="s">
        <v>492</v>
      </c>
      <c r="I105" s="589"/>
      <c r="K105" s="588"/>
      <c r="L105" s="593">
        <f>IFERROR(L104/L102,0)</f>
        <v>5.0000000000000037E-2</v>
      </c>
      <c r="M105" s="593">
        <f>IFERROR(M104/M102,0)</f>
        <v>4.9999999999999968E-2</v>
      </c>
      <c r="N105" s="593">
        <f t="shared" ref="N105:Z105" si="163">IFERROR(N104/N102,0)</f>
        <v>4.9999999999999996E-2</v>
      </c>
      <c r="O105" s="593">
        <f t="shared" si="163"/>
        <v>4.9999999999999989E-2</v>
      </c>
      <c r="P105" s="593">
        <f t="shared" si="163"/>
        <v>0.05</v>
      </c>
      <c r="Q105" s="593">
        <f t="shared" si="163"/>
        <v>5.0000000000000017E-2</v>
      </c>
      <c r="R105" s="593">
        <f t="shared" si="163"/>
        <v>5.000000000000001E-2</v>
      </c>
      <c r="S105" s="593">
        <f t="shared" si="163"/>
        <v>4.9999999999999947E-2</v>
      </c>
      <c r="T105" s="593">
        <f t="shared" si="163"/>
        <v>0.05</v>
      </c>
      <c r="U105" s="593">
        <f t="shared" si="163"/>
        <v>5.0000000000000031E-2</v>
      </c>
      <c r="V105" s="593">
        <f t="shared" si="163"/>
        <v>5.000000000000001E-2</v>
      </c>
      <c r="W105" s="593">
        <f t="shared" si="163"/>
        <v>5.000000000000001E-2</v>
      </c>
      <c r="X105" s="593">
        <f t="shared" si="163"/>
        <v>4.9999999999999996E-2</v>
      </c>
      <c r="Y105" s="593">
        <f t="shared" si="163"/>
        <v>5.0000000000000044E-2</v>
      </c>
      <c r="Z105" s="593">
        <f t="shared" si="163"/>
        <v>5.0000000000000037E-2</v>
      </c>
      <c r="AA105" s="593">
        <f t="shared" ref="AA105" si="164">IFERROR(AA104/AA102,0)</f>
        <v>5.000000000000001E-2</v>
      </c>
      <c r="AB105" s="593">
        <f t="shared" ref="AB105" si="165">IFERROR(AB104/AB102,0)</f>
        <v>5.0000000000000017E-2</v>
      </c>
      <c r="AC105" s="593">
        <f t="shared" ref="AC105" si="166">IFERROR(AC104/AC102,0)</f>
        <v>4.9999999999999954E-2</v>
      </c>
      <c r="AD105" s="593">
        <f t="shared" ref="AD105" si="167">IFERROR(AD104/AD102,0)</f>
        <v>4.9999999999999961E-2</v>
      </c>
      <c r="AE105" s="593">
        <f t="shared" ref="AE105" si="168">IFERROR(AE104/AE102,0)</f>
        <v>4.9999999999999954E-2</v>
      </c>
      <c r="AF105" s="593">
        <f t="shared" ref="AF105" si="169">IFERROR(AF104/AF102,0)</f>
        <v>5.0000000000000017E-2</v>
      </c>
      <c r="AG105" s="593">
        <f t="shared" ref="AG105" si="170">IFERROR(AG104/AG102,0)</f>
        <v>5.000000000000001E-2</v>
      </c>
      <c r="AH105" s="593">
        <f t="shared" ref="AH105" si="171">IFERROR(AH104/AH102,0)</f>
        <v>5.0000000000000031E-2</v>
      </c>
      <c r="AI105" s="593">
        <f t="shared" ref="AI105" si="172">IFERROR(AI104/AI102,0)</f>
        <v>4.9999999999999926E-2</v>
      </c>
      <c r="AJ105" s="593">
        <f t="shared" ref="AJ105" si="173">IFERROR(AJ104/AJ102,0)</f>
        <v>0.05</v>
      </c>
    </row>
    <row r="106" spans="1:36" x14ac:dyDescent="0.25">
      <c r="A106" t="s">
        <v>422</v>
      </c>
    </row>
    <row r="107" spans="1:36" s="24" customFormat="1" ht="17.25" x14ac:dyDescent="0.3">
      <c r="A107" s="24" t="s">
        <v>422</v>
      </c>
      <c r="H107" s="645" t="s">
        <v>476</v>
      </c>
      <c r="I107" s="645"/>
      <c r="K107" s="645"/>
      <c r="L107" s="645"/>
      <c r="M107" s="645"/>
      <c r="N107" s="645"/>
      <c r="O107" s="645"/>
      <c r="P107" s="645"/>
      <c r="Q107" s="645"/>
      <c r="R107" s="645"/>
      <c r="S107" s="645"/>
      <c r="T107" s="645"/>
      <c r="U107" s="645"/>
      <c r="V107" s="645"/>
      <c r="W107" s="645"/>
      <c r="X107" s="645"/>
      <c r="Y107" s="645"/>
      <c r="Z107" s="645"/>
      <c r="AA107" s="645"/>
      <c r="AB107" s="645"/>
      <c r="AC107" s="645"/>
      <c r="AD107" s="645"/>
      <c r="AE107" s="645"/>
      <c r="AF107" s="645"/>
      <c r="AG107" s="645"/>
      <c r="AH107" s="645"/>
      <c r="AI107" s="645"/>
      <c r="AJ107" s="645"/>
    </row>
    <row r="108" spans="1:36" s="1" customFormat="1" x14ac:dyDescent="0.25">
      <c r="A108" s="1" t="s">
        <v>422</v>
      </c>
      <c r="H108" s="287" t="s">
        <v>434</v>
      </c>
      <c r="I108" s="288" t="str">
        <f>IF($H$9="USD","USD/1.000 phôi","VND/phôi")</f>
        <v>VND/phôi</v>
      </c>
      <c r="K108" s="293">
        <f t="shared" ref="K108" si="174">SUM(K109:K110,K113:K116,)</f>
        <v>0</v>
      </c>
      <c r="L108" s="293">
        <f>SUM(L109:L110,L113:L116,)</f>
        <v>211.40799429686629</v>
      </c>
      <c r="M108" s="293">
        <f t="shared" ref="M108:AJ108" si="175">SUM(M109:M110,M113:M116,)</f>
        <v>151.00571021204738</v>
      </c>
      <c r="N108" s="293">
        <f t="shared" si="175"/>
        <v>107.88176344535992</v>
      </c>
      <c r="O108" s="293">
        <f t="shared" si="175"/>
        <v>110.16841805713301</v>
      </c>
      <c r="P108" s="293">
        <f t="shared" si="175"/>
        <v>112.5694053994948</v>
      </c>
      <c r="Q108" s="293">
        <f t="shared" si="175"/>
        <v>115.09044210897466</v>
      </c>
      <c r="R108" s="293">
        <f t="shared" si="175"/>
        <v>117.7375306539285</v>
      </c>
      <c r="S108" s="293">
        <f t="shared" si="175"/>
        <v>120.51697362613004</v>
      </c>
      <c r="T108" s="293">
        <f t="shared" si="175"/>
        <v>123.43538874694165</v>
      </c>
      <c r="U108" s="293">
        <f t="shared" si="175"/>
        <v>126.49972462379385</v>
      </c>
      <c r="V108" s="293">
        <f t="shared" si="175"/>
        <v>129.71727729448867</v>
      </c>
      <c r="W108" s="293">
        <f t="shared" si="175"/>
        <v>133.09570759871826</v>
      </c>
      <c r="X108" s="293">
        <f t="shared" si="175"/>
        <v>75.950997689743517</v>
      </c>
      <c r="Y108" s="293">
        <f t="shared" si="175"/>
        <v>79.675717100156589</v>
      </c>
      <c r="Z108" s="293">
        <f t="shared" si="175"/>
        <v>83.586672481090332</v>
      </c>
      <c r="AA108" s="293">
        <f t="shared" si="175"/>
        <v>87.69317563107073</v>
      </c>
      <c r="AB108" s="293">
        <f t="shared" si="175"/>
        <v>92.005003938550189</v>
      </c>
      <c r="AC108" s="293">
        <f t="shared" si="175"/>
        <v>96.532423661403598</v>
      </c>
      <c r="AD108" s="293">
        <f t="shared" si="175"/>
        <v>101.2862143703997</v>
      </c>
      <c r="AE108" s="293">
        <f t="shared" si="175"/>
        <v>106.27769461484559</v>
      </c>
      <c r="AF108" s="293">
        <f t="shared" si="175"/>
        <v>111.51874887151375</v>
      </c>
      <c r="AG108" s="293">
        <f t="shared" si="175"/>
        <v>117.02185584101534</v>
      </c>
      <c r="AH108" s="293">
        <f t="shared" si="175"/>
        <v>122.80011815899201</v>
      </c>
      <c r="AI108" s="293">
        <f t="shared" si="175"/>
        <v>128.8672935928675</v>
      </c>
      <c r="AJ108" s="293">
        <f t="shared" si="175"/>
        <v>135.23782779843683</v>
      </c>
    </row>
    <row r="109" spans="1:36" x14ac:dyDescent="0.25">
      <c r="A109" t="s">
        <v>422</v>
      </c>
      <c r="E109" t="s">
        <v>173</v>
      </c>
      <c r="H109" s="573" t="s">
        <v>190</v>
      </c>
      <c r="I109" s="574" t="str">
        <f t="shared" ref="I109:I116" si="176">IF($H$9="USD","USD/1.000 phôi","VND/phôi")</f>
        <v>VND/phôi</v>
      </c>
      <c r="K109" s="579"/>
      <c r="L109" s="580">
        <f t="shared" ref="L109:AJ109" si="177">-IF($H$9="USD",L39/L28/$H$10*10^3,L39/L28/$H$10)</f>
        <v>121.38412345683145</v>
      </c>
      <c r="M109" s="580">
        <f t="shared" si="177"/>
        <v>86.702945326308182</v>
      </c>
      <c r="N109" s="580">
        <f t="shared" si="177"/>
        <v>60.692061728415723</v>
      </c>
      <c r="O109" s="580">
        <f t="shared" si="177"/>
        <v>60.692061728415723</v>
      </c>
      <c r="P109" s="580">
        <f t="shared" si="177"/>
        <v>60.692061728415723</v>
      </c>
      <c r="Q109" s="580">
        <f t="shared" si="177"/>
        <v>60.692061728415723</v>
      </c>
      <c r="R109" s="580">
        <f t="shared" si="177"/>
        <v>60.692061728415723</v>
      </c>
      <c r="S109" s="580">
        <f t="shared" si="177"/>
        <v>60.692061728415723</v>
      </c>
      <c r="T109" s="580">
        <f t="shared" si="177"/>
        <v>60.692061728415723</v>
      </c>
      <c r="U109" s="580">
        <f t="shared" si="177"/>
        <v>60.692061728415723</v>
      </c>
      <c r="V109" s="580">
        <f t="shared" si="177"/>
        <v>60.692061728415723</v>
      </c>
      <c r="W109" s="580">
        <f t="shared" si="177"/>
        <v>60.692061728415723</v>
      </c>
      <c r="X109" s="580">
        <f t="shared" si="177"/>
        <v>0</v>
      </c>
      <c r="Y109" s="580">
        <f t="shared" si="177"/>
        <v>0</v>
      </c>
      <c r="Z109" s="580">
        <f t="shared" si="177"/>
        <v>0</v>
      </c>
      <c r="AA109" s="580">
        <f t="shared" si="177"/>
        <v>0</v>
      </c>
      <c r="AB109" s="580">
        <f t="shared" si="177"/>
        <v>0</v>
      </c>
      <c r="AC109" s="580">
        <f t="shared" si="177"/>
        <v>0</v>
      </c>
      <c r="AD109" s="580">
        <f t="shared" si="177"/>
        <v>0</v>
      </c>
      <c r="AE109" s="580">
        <f t="shared" si="177"/>
        <v>0</v>
      </c>
      <c r="AF109" s="580">
        <f t="shared" si="177"/>
        <v>0</v>
      </c>
      <c r="AG109" s="580">
        <f t="shared" si="177"/>
        <v>0</v>
      </c>
      <c r="AH109" s="580">
        <f t="shared" si="177"/>
        <v>0</v>
      </c>
      <c r="AI109" s="580">
        <f t="shared" si="177"/>
        <v>0</v>
      </c>
      <c r="AJ109" s="580">
        <f t="shared" si="177"/>
        <v>0</v>
      </c>
    </row>
    <row r="110" spans="1:36" x14ac:dyDescent="0.25">
      <c r="A110" t="s">
        <v>422</v>
      </c>
      <c r="H110" s="575" t="s">
        <v>429</v>
      </c>
      <c r="I110" s="576" t="str">
        <f t="shared" si="176"/>
        <v>VND/phôi</v>
      </c>
      <c r="K110" s="581">
        <f>SUM(K111:K112)</f>
        <v>0</v>
      </c>
      <c r="L110" s="581">
        <f t="shared" ref="L110:Z110" si="178">SUM(L111:L112)</f>
        <v>29.115063862219181</v>
      </c>
      <c r="M110" s="581">
        <f t="shared" si="178"/>
        <v>20.79647418729942</v>
      </c>
      <c r="N110" s="581">
        <f t="shared" si="178"/>
        <v>15.285408527665071</v>
      </c>
      <c r="O110" s="581">
        <f t="shared" si="178"/>
        <v>16.049678954048325</v>
      </c>
      <c r="P110" s="581">
        <f t="shared" si="178"/>
        <v>16.852162901750745</v>
      </c>
      <c r="Q110" s="581">
        <f t="shared" si="178"/>
        <v>17.69477104683828</v>
      </c>
      <c r="R110" s="581">
        <f t="shared" si="178"/>
        <v>18.579509599180195</v>
      </c>
      <c r="S110" s="581">
        <f t="shared" si="178"/>
        <v>19.508485079139202</v>
      </c>
      <c r="T110" s="581">
        <f t="shared" si="178"/>
        <v>20.483909333096165</v>
      </c>
      <c r="U110" s="581">
        <f t="shared" si="178"/>
        <v>21.508104799750974</v>
      </c>
      <c r="V110" s="581">
        <f t="shared" si="178"/>
        <v>22.58351003973852</v>
      </c>
      <c r="W110" s="581">
        <f t="shared" si="178"/>
        <v>23.712685541725449</v>
      </c>
      <c r="X110" s="581">
        <f t="shared" si="178"/>
        <v>24.898319818811725</v>
      </c>
      <c r="Y110" s="581">
        <f t="shared" si="178"/>
        <v>26.143235809752301</v>
      </c>
      <c r="Z110" s="581">
        <f t="shared" si="178"/>
        <v>27.450397600239924</v>
      </c>
      <c r="AA110" s="581">
        <f t="shared" ref="AA110:AJ110" si="179">SUM(AA111:AA112)</f>
        <v>28.822917480251917</v>
      </c>
      <c r="AB110" s="581">
        <f t="shared" si="179"/>
        <v>30.264063354264518</v>
      </c>
      <c r="AC110" s="581">
        <f t="shared" si="179"/>
        <v>31.777266521977747</v>
      </c>
      <c r="AD110" s="581">
        <f t="shared" si="179"/>
        <v>33.366129848076632</v>
      </c>
      <c r="AE110" s="581">
        <f t="shared" si="179"/>
        <v>35.034436340480468</v>
      </c>
      <c r="AF110" s="581">
        <f t="shared" si="179"/>
        <v>36.786158157504488</v>
      </c>
      <c r="AG110" s="581">
        <f t="shared" si="179"/>
        <v>38.625466065379712</v>
      </c>
      <c r="AH110" s="581">
        <f t="shared" si="179"/>
        <v>40.556739368648692</v>
      </c>
      <c r="AI110" s="581">
        <f t="shared" si="179"/>
        <v>42.584576337081131</v>
      </c>
      <c r="AJ110" s="581">
        <f t="shared" si="179"/>
        <v>44.713805153935191</v>
      </c>
    </row>
    <row r="111" spans="1:36" s="299" customFormat="1" x14ac:dyDescent="0.25">
      <c r="A111" s="299" t="s">
        <v>422</v>
      </c>
      <c r="E111" s="299" t="s">
        <v>171</v>
      </c>
      <c r="H111" s="577" t="s">
        <v>430</v>
      </c>
      <c r="I111" s="578" t="str">
        <f t="shared" si="176"/>
        <v>VND/phôi</v>
      </c>
      <c r="K111" s="582"/>
      <c r="L111" s="582">
        <f t="shared" ref="L111:AJ111" si="180">-IF($H$9="USD",L41/L28/$H$10*10^3,L41/L28/$H$10)</f>
        <v>4.7599559447769781</v>
      </c>
      <c r="M111" s="582">
        <f t="shared" si="180"/>
        <v>3.3999685319835566</v>
      </c>
      <c r="N111" s="582">
        <f t="shared" si="180"/>
        <v>2.4989768710079137</v>
      </c>
      <c r="O111" s="582">
        <f t="shared" si="180"/>
        <v>2.6239257145583097</v>
      </c>
      <c r="P111" s="582">
        <f t="shared" si="180"/>
        <v>2.7551220002862253</v>
      </c>
      <c r="Q111" s="582">
        <f t="shared" si="180"/>
        <v>2.8928781003005359</v>
      </c>
      <c r="R111" s="582">
        <f t="shared" si="180"/>
        <v>3.0375220053155632</v>
      </c>
      <c r="S111" s="582">
        <f t="shared" si="180"/>
        <v>3.1893981055813412</v>
      </c>
      <c r="T111" s="582">
        <f t="shared" si="180"/>
        <v>3.3488680108604085</v>
      </c>
      <c r="U111" s="582">
        <f t="shared" si="180"/>
        <v>3.5163114114034286</v>
      </c>
      <c r="V111" s="582">
        <f t="shared" si="180"/>
        <v>3.6921269819736002</v>
      </c>
      <c r="W111" s="582">
        <f t="shared" si="180"/>
        <v>3.8767333310722805</v>
      </c>
      <c r="X111" s="582">
        <f t="shared" si="180"/>
        <v>4.0705699976258947</v>
      </c>
      <c r="Y111" s="582">
        <f t="shared" si="180"/>
        <v>4.2740984975071887</v>
      </c>
      <c r="Z111" s="582">
        <f t="shared" si="180"/>
        <v>4.4878034223825489</v>
      </c>
      <c r="AA111" s="582">
        <f t="shared" si="180"/>
        <v>4.7121935935016754</v>
      </c>
      <c r="AB111" s="582">
        <f t="shared" si="180"/>
        <v>4.9478032731767607</v>
      </c>
      <c r="AC111" s="582">
        <f t="shared" si="180"/>
        <v>5.1951934368355976</v>
      </c>
      <c r="AD111" s="582">
        <f t="shared" si="180"/>
        <v>5.4549531086773788</v>
      </c>
      <c r="AE111" s="582">
        <f t="shared" si="180"/>
        <v>5.7277007641112467</v>
      </c>
      <c r="AF111" s="582">
        <f t="shared" si="180"/>
        <v>6.01408580231681</v>
      </c>
      <c r="AG111" s="582">
        <f t="shared" si="180"/>
        <v>6.3147900924326503</v>
      </c>
      <c r="AH111" s="582">
        <f t="shared" si="180"/>
        <v>6.6305295970542826</v>
      </c>
      <c r="AI111" s="582">
        <f t="shared" si="180"/>
        <v>6.9620560769069968</v>
      </c>
      <c r="AJ111" s="582">
        <f t="shared" si="180"/>
        <v>7.3101588807523488</v>
      </c>
    </row>
    <row r="112" spans="1:36" s="299" customFormat="1" x14ac:dyDescent="0.25">
      <c r="A112" s="299" t="s">
        <v>422</v>
      </c>
      <c r="E112" s="299" t="s">
        <v>171</v>
      </c>
      <c r="H112" s="577" t="s">
        <v>431</v>
      </c>
      <c r="I112" s="578" t="str">
        <f t="shared" si="176"/>
        <v>VND/phôi</v>
      </c>
      <c r="K112" s="582"/>
      <c r="L112" s="582">
        <f t="shared" ref="L112:AJ112" si="181">-IF($H$9="USD",L42/L28/$H$10*10^3,L42/L28/$H$10)</f>
        <v>24.355107917442204</v>
      </c>
      <c r="M112" s="582">
        <f t="shared" si="181"/>
        <v>17.396505655315863</v>
      </c>
      <c r="N112" s="582">
        <f t="shared" si="181"/>
        <v>12.786431656657157</v>
      </c>
      <c r="O112" s="582">
        <f t="shared" si="181"/>
        <v>13.425753239490016</v>
      </c>
      <c r="P112" s="582">
        <f t="shared" si="181"/>
        <v>14.097040901464521</v>
      </c>
      <c r="Q112" s="582">
        <f t="shared" si="181"/>
        <v>14.801892946537743</v>
      </c>
      <c r="R112" s="582">
        <f t="shared" si="181"/>
        <v>15.541987593864631</v>
      </c>
      <c r="S112" s="582">
        <f t="shared" si="181"/>
        <v>16.319086973557862</v>
      </c>
      <c r="T112" s="582">
        <f t="shared" si="181"/>
        <v>17.135041322235757</v>
      </c>
      <c r="U112" s="582">
        <f t="shared" si="181"/>
        <v>17.991793388347546</v>
      </c>
      <c r="V112" s="582">
        <f t="shared" si="181"/>
        <v>18.891383057764919</v>
      </c>
      <c r="W112" s="582">
        <f t="shared" si="181"/>
        <v>19.835952210653168</v>
      </c>
      <c r="X112" s="582">
        <f t="shared" si="181"/>
        <v>20.827749821185829</v>
      </c>
      <c r="Y112" s="582">
        <f t="shared" si="181"/>
        <v>21.869137312245112</v>
      </c>
      <c r="Z112" s="582">
        <f t="shared" si="181"/>
        <v>22.962594177857376</v>
      </c>
      <c r="AA112" s="582">
        <f t="shared" si="181"/>
        <v>24.11072388675024</v>
      </c>
      <c r="AB112" s="582">
        <f t="shared" si="181"/>
        <v>25.316260081087758</v>
      </c>
      <c r="AC112" s="582">
        <f t="shared" si="181"/>
        <v>26.582073085142149</v>
      </c>
      <c r="AD112" s="582">
        <f t="shared" si="181"/>
        <v>27.911176739399256</v>
      </c>
      <c r="AE112" s="582">
        <f t="shared" si="181"/>
        <v>29.306735576369221</v>
      </c>
      <c r="AF112" s="582">
        <f t="shared" si="181"/>
        <v>30.772072355187682</v>
      </c>
      <c r="AG112" s="582">
        <f t="shared" si="181"/>
        <v>32.31067597294706</v>
      </c>
      <c r="AH112" s="582">
        <f t="shared" si="181"/>
        <v>33.926209771594408</v>
      </c>
      <c r="AI112" s="582">
        <f t="shared" si="181"/>
        <v>35.622520260174134</v>
      </c>
      <c r="AJ112" s="582">
        <f t="shared" si="181"/>
        <v>37.403646273182844</v>
      </c>
    </row>
    <row r="113" spans="1:36" x14ac:dyDescent="0.25">
      <c r="A113" t="s">
        <v>422</v>
      </c>
      <c r="E113" t="s">
        <v>172</v>
      </c>
      <c r="H113" s="575" t="s">
        <v>656</v>
      </c>
      <c r="I113" s="576" t="str">
        <f t="shared" si="176"/>
        <v>VND/phôi</v>
      </c>
      <c r="K113" s="581"/>
      <c r="L113" s="581">
        <f t="shared" ref="L113:AJ113" si="182">-IF($H$9="USD",L43/L28/$H$10*10^3,L43/L28/$H$10)</f>
        <v>11.623824040969422</v>
      </c>
      <c r="M113" s="581">
        <f t="shared" si="182"/>
        <v>8.3027314578353018</v>
      </c>
      <c r="N113" s="581">
        <f t="shared" si="182"/>
        <v>6.1025076215089467</v>
      </c>
      <c r="O113" s="581">
        <f t="shared" si="182"/>
        <v>6.4076330025843937</v>
      </c>
      <c r="P113" s="581">
        <f t="shared" si="182"/>
        <v>6.7280146527136147</v>
      </c>
      <c r="Q113" s="581">
        <f t="shared" si="182"/>
        <v>7.064415385349295</v>
      </c>
      <c r="R113" s="581">
        <f t="shared" si="182"/>
        <v>7.4176361546167602</v>
      </c>
      <c r="S113" s="581">
        <f t="shared" si="182"/>
        <v>7.7885179623475977</v>
      </c>
      <c r="T113" s="581">
        <f t="shared" si="182"/>
        <v>8.1779438604649783</v>
      </c>
      <c r="U113" s="581">
        <f t="shared" si="182"/>
        <v>8.5868410534882269</v>
      </c>
      <c r="V113" s="581">
        <f t="shared" si="182"/>
        <v>9.0161831061626376</v>
      </c>
      <c r="W113" s="581">
        <f t="shared" si="182"/>
        <v>9.4669922614707716</v>
      </c>
      <c r="X113" s="581">
        <f t="shared" si="182"/>
        <v>9.9403418745443091</v>
      </c>
      <c r="Y113" s="581">
        <f t="shared" si="182"/>
        <v>10.437358968271525</v>
      </c>
      <c r="Z113" s="581">
        <f t="shared" si="182"/>
        <v>10.959226916685102</v>
      </c>
      <c r="AA113" s="581">
        <f t="shared" si="182"/>
        <v>11.507188262519353</v>
      </c>
      <c r="AB113" s="581">
        <f t="shared" si="182"/>
        <v>12.082547675645325</v>
      </c>
      <c r="AC113" s="581">
        <f t="shared" si="182"/>
        <v>12.686675059427589</v>
      </c>
      <c r="AD113" s="581">
        <f t="shared" si="182"/>
        <v>13.321008812398972</v>
      </c>
      <c r="AE113" s="581">
        <f t="shared" si="182"/>
        <v>13.98705925301892</v>
      </c>
      <c r="AF113" s="581">
        <f t="shared" si="182"/>
        <v>14.686412215669867</v>
      </c>
      <c r="AG113" s="581">
        <f t="shared" si="182"/>
        <v>15.420732826453358</v>
      </c>
      <c r="AH113" s="581">
        <f t="shared" si="182"/>
        <v>16.191769467776027</v>
      </c>
      <c r="AI113" s="581">
        <f t="shared" si="182"/>
        <v>17.00135794116483</v>
      </c>
      <c r="AJ113" s="581">
        <f t="shared" si="182"/>
        <v>17.851425838223072</v>
      </c>
    </row>
    <row r="114" spans="1:36" x14ac:dyDescent="0.25">
      <c r="A114" t="s">
        <v>422</v>
      </c>
      <c r="E114" t="s">
        <v>172</v>
      </c>
      <c r="H114" s="575" t="s">
        <v>432</v>
      </c>
      <c r="I114" s="576" t="str">
        <f t="shared" si="176"/>
        <v>VND/phôi</v>
      </c>
      <c r="K114" s="581"/>
      <c r="L114" s="581">
        <f t="shared" ref="L114:AJ114" si="183">-IF($H$9="USD",L44/L28/$H$10*10^3,L44/L28/$H$10)</f>
        <v>43.698284444459318</v>
      </c>
      <c r="M114" s="581">
        <f t="shared" si="183"/>
        <v>31.213060317470944</v>
      </c>
      <c r="N114" s="581">
        <f t="shared" si="183"/>
        <v>22.941599333341141</v>
      </c>
      <c r="O114" s="581">
        <f t="shared" si="183"/>
        <v>24.088679300008199</v>
      </c>
      <c r="P114" s="581">
        <f t="shared" si="183"/>
        <v>25.293113265008611</v>
      </c>
      <c r="Q114" s="581">
        <f t="shared" si="183"/>
        <v>26.557768928259037</v>
      </c>
      <c r="R114" s="581">
        <f t="shared" si="183"/>
        <v>27.88565737467199</v>
      </c>
      <c r="S114" s="581">
        <f t="shared" si="183"/>
        <v>29.279940243405587</v>
      </c>
      <c r="T114" s="581">
        <f t="shared" si="183"/>
        <v>30.743937255575872</v>
      </c>
      <c r="U114" s="581">
        <f t="shared" si="183"/>
        <v>32.281134118354665</v>
      </c>
      <c r="V114" s="581">
        <f t="shared" si="183"/>
        <v>33.895190824272397</v>
      </c>
      <c r="W114" s="581">
        <f t="shared" si="183"/>
        <v>35.589950365486018</v>
      </c>
      <c r="X114" s="581">
        <f t="shared" si="183"/>
        <v>37.369447883760323</v>
      </c>
      <c r="Y114" s="581">
        <f t="shared" si="183"/>
        <v>39.237920277948334</v>
      </c>
      <c r="Z114" s="581">
        <f t="shared" si="183"/>
        <v>41.199816291845757</v>
      </c>
      <c r="AA114" s="581">
        <f t="shared" si="183"/>
        <v>43.259807106438032</v>
      </c>
      <c r="AB114" s="581">
        <f t="shared" si="183"/>
        <v>45.422797461759956</v>
      </c>
      <c r="AC114" s="581">
        <f t="shared" si="183"/>
        <v>47.693937334847945</v>
      </c>
      <c r="AD114" s="581">
        <f t="shared" si="183"/>
        <v>50.078634201590354</v>
      </c>
      <c r="AE114" s="581">
        <f t="shared" si="183"/>
        <v>52.58256591166986</v>
      </c>
      <c r="AF114" s="581">
        <f t="shared" si="183"/>
        <v>55.211694207253352</v>
      </c>
      <c r="AG114" s="581">
        <f t="shared" si="183"/>
        <v>57.972278917616023</v>
      </c>
      <c r="AH114" s="581">
        <f t="shared" si="183"/>
        <v>60.87089286349682</v>
      </c>
      <c r="AI114" s="581">
        <f t="shared" si="183"/>
        <v>63.914437506671653</v>
      </c>
      <c r="AJ114" s="581">
        <f t="shared" si="183"/>
        <v>67.110159382005264</v>
      </c>
    </row>
    <row r="115" spans="1:36" x14ac:dyDescent="0.25">
      <c r="A115" t="s">
        <v>422</v>
      </c>
      <c r="E115" t="s">
        <v>172</v>
      </c>
      <c r="H115" s="575" t="s">
        <v>433</v>
      </c>
      <c r="I115" s="576" t="str">
        <f t="shared" si="176"/>
        <v>VND/phôi</v>
      </c>
      <c r="K115" s="581"/>
      <c r="L115" s="581">
        <f t="shared" ref="L115:AJ115" si="184">-IF($H$9="USD",L45/L28/$H$10*10^3,L45/L28/$H$10)</f>
        <v>2.6734795294229672</v>
      </c>
      <c r="M115" s="581">
        <f t="shared" si="184"/>
        <v>1.9096282353021197</v>
      </c>
      <c r="N115" s="581">
        <f t="shared" si="184"/>
        <v>1.4035767529470577</v>
      </c>
      <c r="O115" s="581">
        <f t="shared" si="184"/>
        <v>1.4737555905944109</v>
      </c>
      <c r="P115" s="581">
        <f t="shared" si="184"/>
        <v>1.5474433701241312</v>
      </c>
      <c r="Q115" s="581">
        <f t="shared" si="184"/>
        <v>1.624815538630338</v>
      </c>
      <c r="R115" s="581">
        <f t="shared" si="184"/>
        <v>1.7060563155618549</v>
      </c>
      <c r="S115" s="581">
        <f t="shared" si="184"/>
        <v>1.7913591313399475</v>
      </c>
      <c r="T115" s="581">
        <f t="shared" si="184"/>
        <v>1.8809270879069451</v>
      </c>
      <c r="U115" s="581">
        <f t="shared" si="184"/>
        <v>1.9749734423022924</v>
      </c>
      <c r="V115" s="581">
        <f t="shared" si="184"/>
        <v>2.0737221144174067</v>
      </c>
      <c r="W115" s="581">
        <f t="shared" si="184"/>
        <v>2.1774082201382772</v>
      </c>
      <c r="X115" s="581">
        <f t="shared" si="184"/>
        <v>2.2862786311451915</v>
      </c>
      <c r="Y115" s="581">
        <f t="shared" si="184"/>
        <v>2.4005925627024505</v>
      </c>
      <c r="Z115" s="581">
        <f t="shared" si="184"/>
        <v>2.5206221908375732</v>
      </c>
      <c r="AA115" s="581">
        <f t="shared" si="184"/>
        <v>2.6466533003794512</v>
      </c>
      <c r="AB115" s="581">
        <f t="shared" si="184"/>
        <v>2.7789859653984248</v>
      </c>
      <c r="AC115" s="581">
        <f t="shared" si="184"/>
        <v>2.9179352636683458</v>
      </c>
      <c r="AD115" s="581">
        <f t="shared" si="184"/>
        <v>3.063832026851764</v>
      </c>
      <c r="AE115" s="581">
        <f t="shared" si="184"/>
        <v>3.2170236281943514</v>
      </c>
      <c r="AF115" s="581">
        <f t="shared" si="184"/>
        <v>3.3778748096040694</v>
      </c>
      <c r="AG115" s="581">
        <f t="shared" si="184"/>
        <v>3.5467685500842729</v>
      </c>
      <c r="AH115" s="581">
        <f t="shared" si="184"/>
        <v>3.7241069775884861</v>
      </c>
      <c r="AI115" s="581">
        <f t="shared" si="184"/>
        <v>3.9103123264679103</v>
      </c>
      <c r="AJ115" s="581">
        <f t="shared" si="184"/>
        <v>4.1058279427913069</v>
      </c>
    </row>
    <row r="116" spans="1:36" x14ac:dyDescent="0.25">
      <c r="A116" t="s">
        <v>422</v>
      </c>
      <c r="E116" t="s">
        <v>172</v>
      </c>
      <c r="H116" s="575" t="s">
        <v>520</v>
      </c>
      <c r="I116" s="576" t="str">
        <f t="shared" si="176"/>
        <v>VND/phôi</v>
      </c>
      <c r="K116" s="581"/>
      <c r="L116" s="581">
        <f t="shared" ref="L116:AJ116" si="185">-IF($H$9="USD",L46/L28/$H$10*10^3,L46/L28/$H$10)</f>
        <v>2.9132189629639549</v>
      </c>
      <c r="M116" s="581">
        <f t="shared" si="185"/>
        <v>2.0808706878313963</v>
      </c>
      <c r="N116" s="581">
        <f t="shared" si="185"/>
        <v>1.4566094814819774</v>
      </c>
      <c r="O116" s="581">
        <f t="shared" si="185"/>
        <v>1.4566094814819774</v>
      </c>
      <c r="P116" s="581">
        <f t="shared" si="185"/>
        <v>1.4566094814819774</v>
      </c>
      <c r="Q116" s="581">
        <f t="shared" si="185"/>
        <v>1.4566094814819774</v>
      </c>
      <c r="R116" s="581">
        <f t="shared" si="185"/>
        <v>1.4566094814819774</v>
      </c>
      <c r="S116" s="581">
        <f t="shared" si="185"/>
        <v>1.4566094814819774</v>
      </c>
      <c r="T116" s="581">
        <f t="shared" si="185"/>
        <v>1.4566094814819774</v>
      </c>
      <c r="U116" s="581">
        <f t="shared" si="185"/>
        <v>1.4566094814819774</v>
      </c>
      <c r="V116" s="581">
        <f t="shared" si="185"/>
        <v>1.4566094814819774</v>
      </c>
      <c r="W116" s="581">
        <f t="shared" si="185"/>
        <v>1.4566094814819774</v>
      </c>
      <c r="X116" s="581">
        <f t="shared" si="185"/>
        <v>1.4566094814819774</v>
      </c>
      <c r="Y116" s="581">
        <f t="shared" si="185"/>
        <v>1.4566094814819774</v>
      </c>
      <c r="Z116" s="581">
        <f t="shared" si="185"/>
        <v>1.4566094814819774</v>
      </c>
      <c r="AA116" s="581">
        <f t="shared" si="185"/>
        <v>1.4566094814819774</v>
      </c>
      <c r="AB116" s="581">
        <f t="shared" si="185"/>
        <v>1.4566094814819774</v>
      </c>
      <c r="AC116" s="581">
        <f t="shared" si="185"/>
        <v>1.4566094814819774</v>
      </c>
      <c r="AD116" s="581">
        <f t="shared" si="185"/>
        <v>1.4566094814819774</v>
      </c>
      <c r="AE116" s="581">
        <f t="shared" si="185"/>
        <v>1.4566094814819774</v>
      </c>
      <c r="AF116" s="581">
        <f t="shared" si="185"/>
        <v>1.4566094814819774</v>
      </c>
      <c r="AG116" s="581">
        <f t="shared" si="185"/>
        <v>1.4566094814819774</v>
      </c>
      <c r="AH116" s="581">
        <f t="shared" si="185"/>
        <v>1.4566094814819774</v>
      </c>
      <c r="AI116" s="581">
        <f t="shared" si="185"/>
        <v>1.4566094814819774</v>
      </c>
      <c r="AJ116" s="581">
        <f t="shared" si="185"/>
        <v>1.4566094814819774</v>
      </c>
    </row>
    <row r="117" spans="1:36" x14ac:dyDescent="0.25">
      <c r="A117" t="s">
        <v>422</v>
      </c>
      <c r="H117" s="289"/>
      <c r="I117" s="290"/>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c r="AJ117" s="294"/>
    </row>
    <row r="118" spans="1:36" s="1" customFormat="1" x14ac:dyDescent="0.25">
      <c r="A118" s="1" t="s">
        <v>422</v>
      </c>
      <c r="H118" s="287" t="s">
        <v>435</v>
      </c>
      <c r="I118" s="288" t="str">
        <f t="shared" ref="I118:I142" si="186">IF($H$9="USD","USD/1.000 phôi","VND/phôi")</f>
        <v>VND/phôi</v>
      </c>
      <c r="K118" s="295">
        <f>K119+K122+K125</f>
        <v>0</v>
      </c>
      <c r="L118" s="295">
        <f t="shared" ref="L118:AJ118" si="187">L119+L122+L125</f>
        <v>447.97280830234058</v>
      </c>
      <c r="M118" s="295">
        <f t="shared" si="187"/>
        <v>445.55671693894794</v>
      </c>
      <c r="N118" s="295">
        <f t="shared" si="187"/>
        <v>453.73016413996498</v>
      </c>
      <c r="O118" s="295">
        <f t="shared" si="187"/>
        <v>463.97340726260791</v>
      </c>
      <c r="P118" s="295">
        <f t="shared" si="187"/>
        <v>474.48243318654426</v>
      </c>
      <c r="Q118" s="295">
        <f t="shared" si="187"/>
        <v>485.26560346474207</v>
      </c>
      <c r="R118" s="295">
        <f t="shared" si="187"/>
        <v>496.33159917607549</v>
      </c>
      <c r="S118" s="295">
        <f t="shared" si="187"/>
        <v>507.68943493058595</v>
      </c>
      <c r="T118" s="295">
        <f t="shared" si="187"/>
        <v>519.34847353558439</v>
      </c>
      <c r="U118" s="295">
        <f t="shared" si="187"/>
        <v>531.31844135485039</v>
      </c>
      <c r="V118" s="295">
        <f t="shared" si="187"/>
        <v>543.60944439477828</v>
      </c>
      <c r="W118" s="295">
        <f t="shared" si="187"/>
        <v>556.2319851529943</v>
      </c>
      <c r="X118" s="295">
        <f t="shared" si="187"/>
        <v>566.76929779760246</v>
      </c>
      <c r="Y118" s="295">
        <f t="shared" si="187"/>
        <v>580.08809653100502</v>
      </c>
      <c r="Z118" s="295">
        <f t="shared" si="187"/>
        <v>593.77250014232709</v>
      </c>
      <c r="AA118" s="295">
        <f t="shared" si="187"/>
        <v>607.83478217429024</v>
      </c>
      <c r="AB118" s="295">
        <f t="shared" si="187"/>
        <v>622.28770971272741</v>
      </c>
      <c r="AC118" s="295">
        <f t="shared" si="187"/>
        <v>637.1445656610606</v>
      </c>
      <c r="AD118" s="295">
        <f t="shared" si="187"/>
        <v>652.41917208044322</v>
      </c>
      <c r="AE118" s="295">
        <f t="shared" si="187"/>
        <v>668.12591464790103</v>
      </c>
      <c r="AF118" s="295">
        <f t="shared" si="187"/>
        <v>684.27976828737962</v>
      </c>
      <c r="AG118" s="295">
        <f t="shared" si="187"/>
        <v>700.89632403135329</v>
      </c>
      <c r="AH118" s="295">
        <f t="shared" si="187"/>
        <v>717.99181717349666</v>
      </c>
      <c r="AI118" s="295">
        <f t="shared" si="187"/>
        <v>735.58315677593839</v>
      </c>
      <c r="AJ118" s="295">
        <f t="shared" si="187"/>
        <v>753.6879565977564</v>
      </c>
    </row>
    <row r="119" spans="1:36" x14ac:dyDescent="0.25">
      <c r="A119" t="s">
        <v>422</v>
      </c>
      <c r="H119" s="573" t="s">
        <v>454</v>
      </c>
      <c r="I119" s="574" t="str">
        <f t="shared" si="186"/>
        <v>VND/phôi</v>
      </c>
      <c r="K119" s="583">
        <f>SUM(K120:K121)</f>
        <v>0</v>
      </c>
      <c r="L119" s="583">
        <f t="shared" ref="L119" si="188">SUM(L120:L121)</f>
        <v>402.58064516129031</v>
      </c>
      <c r="M119" s="583">
        <f t="shared" ref="M119" si="189">SUM(M120:M121)</f>
        <v>402.58064516129042</v>
      </c>
      <c r="N119" s="583">
        <f t="shared" ref="N119" si="190">SUM(N120:N121)</f>
        <v>410.63225806451618</v>
      </c>
      <c r="O119" s="583">
        <f t="shared" ref="O119" si="191">SUM(O120:O121)</f>
        <v>418.84490322580649</v>
      </c>
      <c r="P119" s="583">
        <f t="shared" ref="P119" si="192">SUM(P120:P121)</f>
        <v>427.22180129032256</v>
      </c>
      <c r="Q119" s="583">
        <f t="shared" ref="Q119" si="193">SUM(Q120:Q121)</f>
        <v>435.76623731612904</v>
      </c>
      <c r="R119" s="583">
        <f t="shared" ref="R119" si="194">SUM(R120:R121)</f>
        <v>444.48156206245164</v>
      </c>
      <c r="S119" s="583">
        <f t="shared" ref="S119" si="195">SUM(S120:S121)</f>
        <v>453.37119330370069</v>
      </c>
      <c r="T119" s="583">
        <f t="shared" ref="T119" si="196">SUM(T120:T121)</f>
        <v>462.4386171697746</v>
      </c>
      <c r="U119" s="583">
        <f t="shared" ref="U119" si="197">SUM(U120:U121)</f>
        <v>471.68738951317005</v>
      </c>
      <c r="V119" s="583">
        <f t="shared" ref="V119" si="198">SUM(V120:V121)</f>
        <v>481.12113730343356</v>
      </c>
      <c r="W119" s="583">
        <f t="shared" ref="W119" si="199">SUM(W120:W121)</f>
        <v>490.74356004950221</v>
      </c>
      <c r="X119" s="583">
        <f t="shared" ref="X119" si="200">SUM(X120:X121)</f>
        <v>500.55843125049216</v>
      </c>
      <c r="Y119" s="583">
        <f t="shared" ref="Y119" si="201">SUM(Y120:Y121)</f>
        <v>510.56959987550215</v>
      </c>
      <c r="Z119" s="583">
        <f t="shared" ref="Z119" si="202">SUM(Z120:Z121)</f>
        <v>520.78099187301211</v>
      </c>
      <c r="AA119" s="583">
        <f t="shared" ref="AA119" si="203">SUM(AA120:AA121)</f>
        <v>531.19661171047244</v>
      </c>
      <c r="AB119" s="583">
        <f t="shared" ref="AB119" si="204">SUM(AB120:AB121)</f>
        <v>541.82054394468173</v>
      </c>
      <c r="AC119" s="583">
        <f t="shared" ref="AC119" si="205">SUM(AC120:AC121)</f>
        <v>552.65695482357557</v>
      </c>
      <c r="AD119" s="583">
        <f t="shared" ref="AD119" si="206">SUM(AD120:AD121)</f>
        <v>563.71009392004692</v>
      </c>
      <c r="AE119" s="583">
        <f t="shared" ref="AE119" si="207">SUM(AE120:AE121)</f>
        <v>574.98429579844776</v>
      </c>
      <c r="AF119" s="583">
        <f t="shared" ref="AF119" si="208">SUM(AF120:AF121)</f>
        <v>586.48398171441681</v>
      </c>
      <c r="AG119" s="583">
        <f t="shared" ref="AG119" si="209">SUM(AG120:AG121)</f>
        <v>598.21366134870516</v>
      </c>
      <c r="AH119" s="583">
        <f t="shared" ref="AH119" si="210">SUM(AH120:AH121)</f>
        <v>610.17793457567916</v>
      </c>
      <c r="AI119" s="583">
        <f t="shared" ref="AI119" si="211">SUM(AI120:AI121)</f>
        <v>622.38149326719292</v>
      </c>
      <c r="AJ119" s="583">
        <f t="shared" ref="AJ119" si="212">SUM(AJ120:AJ121)</f>
        <v>634.82912313253667</v>
      </c>
    </row>
    <row r="120" spans="1:36" s="299" customFormat="1" x14ac:dyDescent="0.25">
      <c r="A120" s="299" t="s">
        <v>422</v>
      </c>
      <c r="E120" s="299" t="s">
        <v>536</v>
      </c>
      <c r="H120" s="577" t="s">
        <v>167</v>
      </c>
      <c r="I120" s="578" t="str">
        <f t="shared" si="186"/>
        <v>VND/phôi</v>
      </c>
      <c r="K120" s="582"/>
      <c r="L120" s="582">
        <f>-IF($H$9="USD",L50/L28/$H$10*10^3,L50/L28/$H$10)</f>
        <v>374.4</v>
      </c>
      <c r="M120" s="582">
        <f t="shared" ref="M120:AJ120" si="213">-IF($H$9="USD",M50/M28/$H$10*10^3,M50/M28/$H$10)</f>
        <v>374.40000000000003</v>
      </c>
      <c r="N120" s="582">
        <f t="shared" si="213"/>
        <v>381.88799999999998</v>
      </c>
      <c r="O120" s="582">
        <f t="shared" si="213"/>
        <v>389.52575999999999</v>
      </c>
      <c r="P120" s="582">
        <f t="shared" si="213"/>
        <v>397.31627519999995</v>
      </c>
      <c r="Q120" s="582">
        <f t="shared" si="213"/>
        <v>405.26260070400002</v>
      </c>
      <c r="R120" s="582">
        <f t="shared" si="213"/>
        <v>413.36785271808003</v>
      </c>
      <c r="S120" s="582">
        <f t="shared" si="213"/>
        <v>421.63520977244161</v>
      </c>
      <c r="T120" s="582">
        <f t="shared" si="213"/>
        <v>430.06791396789032</v>
      </c>
      <c r="U120" s="582">
        <f t="shared" si="213"/>
        <v>438.66927224724816</v>
      </c>
      <c r="V120" s="582">
        <f t="shared" si="213"/>
        <v>447.44265769219317</v>
      </c>
      <c r="W120" s="582">
        <f t="shared" si="213"/>
        <v>456.39151084603702</v>
      </c>
      <c r="X120" s="582">
        <f t="shared" si="213"/>
        <v>465.51934106295772</v>
      </c>
      <c r="Y120" s="582">
        <f t="shared" si="213"/>
        <v>474.82972788421694</v>
      </c>
      <c r="Z120" s="582">
        <f t="shared" si="213"/>
        <v>484.32632244190125</v>
      </c>
      <c r="AA120" s="582">
        <f t="shared" si="213"/>
        <v>494.01284889073935</v>
      </c>
      <c r="AB120" s="582">
        <f t="shared" si="213"/>
        <v>503.89310586855402</v>
      </c>
      <c r="AC120" s="582">
        <f t="shared" si="213"/>
        <v>513.9709679859252</v>
      </c>
      <c r="AD120" s="582">
        <f t="shared" si="213"/>
        <v>524.25038734564362</v>
      </c>
      <c r="AE120" s="582">
        <f t="shared" si="213"/>
        <v>534.73539509255636</v>
      </c>
      <c r="AF120" s="582">
        <f t="shared" si="213"/>
        <v>545.43010299440755</v>
      </c>
      <c r="AG120" s="582">
        <f t="shared" si="213"/>
        <v>556.33870505429581</v>
      </c>
      <c r="AH120" s="582">
        <f t="shared" si="213"/>
        <v>567.46547915538156</v>
      </c>
      <c r="AI120" s="582">
        <f t="shared" si="213"/>
        <v>578.81478873848937</v>
      </c>
      <c r="AJ120" s="582">
        <f t="shared" si="213"/>
        <v>590.39108451325899</v>
      </c>
    </row>
    <row r="121" spans="1:36" s="299" customFormat="1" x14ac:dyDescent="0.25">
      <c r="A121" s="299" t="s">
        <v>422</v>
      </c>
      <c r="E121" s="299" t="s">
        <v>537</v>
      </c>
      <c r="H121" s="646" t="s">
        <v>203</v>
      </c>
      <c r="I121" s="647" t="str">
        <f t="shared" si="186"/>
        <v>VND/phôi</v>
      </c>
      <c r="K121" s="648"/>
      <c r="L121" s="648">
        <f>-IF($H$9="USD",L51/L28/$H$10*10^3,L51/L28/$H$10)</f>
        <v>28.180645161290336</v>
      </c>
      <c r="M121" s="648">
        <f t="shared" ref="M121:AJ121" si="214">-IF($H$9="USD",M51/M28/$H$10*10^3,M51/M28/$H$10)</f>
        <v>28.180645161290371</v>
      </c>
      <c r="N121" s="648">
        <f t="shared" si="214"/>
        <v>28.744258064516178</v>
      </c>
      <c r="O121" s="648">
        <f t="shared" si="214"/>
        <v>29.319143225806506</v>
      </c>
      <c r="P121" s="648">
        <f t="shared" si="214"/>
        <v>29.905526090322624</v>
      </c>
      <c r="Q121" s="648">
        <f t="shared" si="214"/>
        <v>30.503636612129036</v>
      </c>
      <c r="R121" s="648">
        <f t="shared" si="214"/>
        <v>31.113709344371639</v>
      </c>
      <c r="S121" s="648">
        <f t="shared" si="214"/>
        <v>31.735983531259077</v>
      </c>
      <c r="T121" s="648">
        <f t="shared" si="214"/>
        <v>32.370703201884282</v>
      </c>
      <c r="U121" s="648">
        <f t="shared" si="214"/>
        <v>33.018117265921916</v>
      </c>
      <c r="V121" s="648">
        <f t="shared" si="214"/>
        <v>33.678479611240391</v>
      </c>
      <c r="W121" s="648">
        <f t="shared" si="214"/>
        <v>34.352049203465171</v>
      </c>
      <c r="X121" s="648">
        <f t="shared" si="214"/>
        <v>35.039090187534455</v>
      </c>
      <c r="Y121" s="648">
        <f t="shared" si="214"/>
        <v>35.739871991285206</v>
      </c>
      <c r="Z121" s="648">
        <f t="shared" si="214"/>
        <v>36.454669431110879</v>
      </c>
      <c r="AA121" s="648">
        <f t="shared" si="214"/>
        <v>37.18376281973309</v>
      </c>
      <c r="AB121" s="648">
        <f t="shared" si="214"/>
        <v>37.927438076127729</v>
      </c>
      <c r="AC121" s="648">
        <f t="shared" si="214"/>
        <v>38.685986837650347</v>
      </c>
      <c r="AD121" s="648">
        <f t="shared" si="214"/>
        <v>39.459706574403299</v>
      </c>
      <c r="AE121" s="648">
        <f t="shared" si="214"/>
        <v>40.248900705891366</v>
      </c>
      <c r="AF121" s="648">
        <f t="shared" si="214"/>
        <v>41.05387872000923</v>
      </c>
      <c r="AG121" s="648">
        <f t="shared" si="214"/>
        <v>41.874956294409365</v>
      </c>
      <c r="AH121" s="648">
        <f t="shared" si="214"/>
        <v>42.712455420297601</v>
      </c>
      <c r="AI121" s="648">
        <f t="shared" si="214"/>
        <v>43.566704528703553</v>
      </c>
      <c r="AJ121" s="648">
        <f t="shared" si="214"/>
        <v>44.438038619277648</v>
      </c>
    </row>
    <row r="122" spans="1:36" x14ac:dyDescent="0.25">
      <c r="A122" t="s">
        <v>422</v>
      </c>
      <c r="E122" t="s">
        <v>177</v>
      </c>
      <c r="H122" s="575" t="s">
        <v>676</v>
      </c>
      <c r="I122" s="576" t="str">
        <f t="shared" si="186"/>
        <v>VND/phôi</v>
      </c>
      <c r="K122" s="584">
        <f>SUM(K123:K124)</f>
        <v>0</v>
      </c>
      <c r="L122" s="584">
        <f t="shared" ref="L122:AJ122" si="215">SUM(L123:L124)</f>
        <v>3.0630387096774192</v>
      </c>
      <c r="M122" s="584">
        <f t="shared" si="215"/>
        <v>3.0630387096774196</v>
      </c>
      <c r="N122" s="584">
        <f t="shared" si="215"/>
        <v>3.2161906451612912</v>
      </c>
      <c r="O122" s="584">
        <f t="shared" si="215"/>
        <v>3.377000177419355</v>
      </c>
      <c r="P122" s="584">
        <f t="shared" si="215"/>
        <v>3.5458501862903229</v>
      </c>
      <c r="Q122" s="584">
        <f t="shared" si="215"/>
        <v>3.7231426956048392</v>
      </c>
      <c r="R122" s="584">
        <f t="shared" si="215"/>
        <v>3.9092998303850814</v>
      </c>
      <c r="S122" s="584">
        <f t="shared" si="215"/>
        <v>4.1047648219043342</v>
      </c>
      <c r="T122" s="584">
        <f t="shared" si="215"/>
        <v>4.3100030629995523</v>
      </c>
      <c r="U122" s="584">
        <f t="shared" si="215"/>
        <v>4.525503216149529</v>
      </c>
      <c r="V122" s="584">
        <f t="shared" si="215"/>
        <v>4.7517783769570059</v>
      </c>
      <c r="W122" s="584">
        <f t="shared" si="215"/>
        <v>4.9893672958048558</v>
      </c>
      <c r="X122" s="584">
        <f t="shared" si="215"/>
        <v>5.2388356605950994</v>
      </c>
      <c r="Y122" s="584">
        <f t="shared" si="215"/>
        <v>5.5007774436248544</v>
      </c>
      <c r="Z122" s="584">
        <f t="shared" si="215"/>
        <v>5.7758163158060976</v>
      </c>
      <c r="AA122" s="584">
        <f t="shared" si="215"/>
        <v>6.0646071315964001</v>
      </c>
      <c r="AB122" s="584">
        <f t="shared" si="215"/>
        <v>6.3678374881762236</v>
      </c>
      <c r="AC122" s="584">
        <f t="shared" si="215"/>
        <v>6.6862293625850331</v>
      </c>
      <c r="AD122" s="584">
        <f t="shared" si="215"/>
        <v>7.0205408307142863</v>
      </c>
      <c r="AE122" s="584">
        <f t="shared" si="215"/>
        <v>7.37156787225</v>
      </c>
      <c r="AF122" s="584">
        <f t="shared" si="215"/>
        <v>7.7401462658625002</v>
      </c>
      <c r="AG122" s="584">
        <f t="shared" si="215"/>
        <v>8.1271535791556264</v>
      </c>
      <c r="AH122" s="584">
        <f t="shared" si="215"/>
        <v>8.5335112581134069</v>
      </c>
      <c r="AI122" s="584">
        <f t="shared" si="215"/>
        <v>8.9601868210190769</v>
      </c>
      <c r="AJ122" s="584">
        <f t="shared" si="215"/>
        <v>9.4081961620700323</v>
      </c>
    </row>
    <row r="123" spans="1:36" s="299" customFormat="1" x14ac:dyDescent="0.25">
      <c r="A123" s="299" t="s">
        <v>422</v>
      </c>
      <c r="H123" s="577" t="s">
        <v>673</v>
      </c>
      <c r="I123" s="578" t="str">
        <f t="shared" si="186"/>
        <v>VND/phôi</v>
      </c>
      <c r="K123" s="582"/>
      <c r="L123" s="582">
        <f>-IF($H$9="USD",L53/L28/$H$10*10^3,L53/L28/$H$10)</f>
        <v>3.0630387096774192</v>
      </c>
      <c r="M123" s="582">
        <f t="shared" ref="M123:AJ123" si="216">-IF($H$9="USD",M53/M28/$H$10*10^3,M53/M28/$H$10)</f>
        <v>3.0630387096774196</v>
      </c>
      <c r="N123" s="582">
        <f t="shared" si="216"/>
        <v>3.2161906451612912</v>
      </c>
      <c r="O123" s="582">
        <f t="shared" si="216"/>
        <v>3.377000177419355</v>
      </c>
      <c r="P123" s="582">
        <f t="shared" si="216"/>
        <v>3.5458501862903229</v>
      </c>
      <c r="Q123" s="582">
        <f t="shared" si="216"/>
        <v>3.7231426956048392</v>
      </c>
      <c r="R123" s="582">
        <f t="shared" si="216"/>
        <v>3.9092998303850814</v>
      </c>
      <c r="S123" s="582">
        <f t="shared" si="216"/>
        <v>4.1047648219043342</v>
      </c>
      <c r="T123" s="582">
        <f t="shared" si="216"/>
        <v>4.3100030629995523</v>
      </c>
      <c r="U123" s="582">
        <f t="shared" si="216"/>
        <v>4.525503216149529</v>
      </c>
      <c r="V123" s="582">
        <f t="shared" si="216"/>
        <v>4.7517783769570059</v>
      </c>
      <c r="W123" s="582">
        <f t="shared" si="216"/>
        <v>4.9893672958048558</v>
      </c>
      <c r="X123" s="582">
        <f t="shared" si="216"/>
        <v>5.2388356605950994</v>
      </c>
      <c r="Y123" s="582">
        <f t="shared" si="216"/>
        <v>5.5007774436248544</v>
      </c>
      <c r="Z123" s="582">
        <f t="shared" si="216"/>
        <v>5.7758163158060976</v>
      </c>
      <c r="AA123" s="582">
        <f t="shared" si="216"/>
        <v>6.0646071315964001</v>
      </c>
      <c r="AB123" s="582">
        <f t="shared" si="216"/>
        <v>6.3678374881762236</v>
      </c>
      <c r="AC123" s="582">
        <f t="shared" si="216"/>
        <v>6.6862293625850331</v>
      </c>
      <c r="AD123" s="582">
        <f t="shared" si="216"/>
        <v>7.0205408307142863</v>
      </c>
      <c r="AE123" s="582">
        <f t="shared" si="216"/>
        <v>7.37156787225</v>
      </c>
      <c r="AF123" s="582">
        <f t="shared" si="216"/>
        <v>7.7401462658625002</v>
      </c>
      <c r="AG123" s="582">
        <f t="shared" si="216"/>
        <v>8.1271535791556264</v>
      </c>
      <c r="AH123" s="582">
        <f t="shared" si="216"/>
        <v>8.5335112581134069</v>
      </c>
      <c r="AI123" s="582">
        <f t="shared" si="216"/>
        <v>8.9601868210190769</v>
      </c>
      <c r="AJ123" s="582">
        <f t="shared" si="216"/>
        <v>9.4081961620700323</v>
      </c>
    </row>
    <row r="124" spans="1:36" s="299" customFormat="1" x14ac:dyDescent="0.25">
      <c r="A124" s="299" t="s">
        <v>422</v>
      </c>
      <c r="H124" s="577" t="s">
        <v>674</v>
      </c>
      <c r="I124" s="578" t="str">
        <f t="shared" si="186"/>
        <v>VND/phôi</v>
      </c>
      <c r="K124" s="582"/>
      <c r="L124" s="582">
        <f>-IF($H$9="USD",L54/L28/$H$10*10^3,L54/L28/$H$10)</f>
        <v>0</v>
      </c>
      <c r="M124" s="582">
        <f t="shared" ref="M124:AJ124" si="217">-IF($H$9="USD",M54/M28/$H$10*10^3,M54/M28/$H$10)</f>
        <v>0</v>
      </c>
      <c r="N124" s="582">
        <f t="shared" si="217"/>
        <v>0</v>
      </c>
      <c r="O124" s="582">
        <f t="shared" si="217"/>
        <v>0</v>
      </c>
      <c r="P124" s="582">
        <f t="shared" si="217"/>
        <v>0</v>
      </c>
      <c r="Q124" s="582">
        <f t="shared" si="217"/>
        <v>0</v>
      </c>
      <c r="R124" s="582">
        <f t="shared" si="217"/>
        <v>0</v>
      </c>
      <c r="S124" s="582">
        <f t="shared" si="217"/>
        <v>0</v>
      </c>
      <c r="T124" s="582">
        <f t="shared" si="217"/>
        <v>0</v>
      </c>
      <c r="U124" s="582">
        <f t="shared" si="217"/>
        <v>0</v>
      </c>
      <c r="V124" s="582">
        <f t="shared" si="217"/>
        <v>0</v>
      </c>
      <c r="W124" s="582">
        <f t="shared" si="217"/>
        <v>0</v>
      </c>
      <c r="X124" s="582">
        <f t="shared" si="217"/>
        <v>0</v>
      </c>
      <c r="Y124" s="582">
        <f t="shared" si="217"/>
        <v>0</v>
      </c>
      <c r="Z124" s="582">
        <f t="shared" si="217"/>
        <v>0</v>
      </c>
      <c r="AA124" s="582">
        <f t="shared" si="217"/>
        <v>0</v>
      </c>
      <c r="AB124" s="582">
        <f t="shared" si="217"/>
        <v>0</v>
      </c>
      <c r="AC124" s="582">
        <f t="shared" si="217"/>
        <v>0</v>
      </c>
      <c r="AD124" s="582">
        <f t="shared" si="217"/>
        <v>0</v>
      </c>
      <c r="AE124" s="582">
        <f t="shared" si="217"/>
        <v>0</v>
      </c>
      <c r="AF124" s="582">
        <f t="shared" si="217"/>
        <v>0</v>
      </c>
      <c r="AG124" s="582">
        <f t="shared" si="217"/>
        <v>0</v>
      </c>
      <c r="AH124" s="582">
        <f t="shared" si="217"/>
        <v>0</v>
      </c>
      <c r="AI124" s="582">
        <f t="shared" si="217"/>
        <v>0</v>
      </c>
      <c r="AJ124" s="582">
        <f t="shared" si="217"/>
        <v>0</v>
      </c>
    </row>
    <row r="125" spans="1:36" x14ac:dyDescent="0.25">
      <c r="A125" t="s">
        <v>422</v>
      </c>
      <c r="H125" s="575" t="s">
        <v>180</v>
      </c>
      <c r="I125" s="576" t="str">
        <f t="shared" si="186"/>
        <v>VND/phôi</v>
      </c>
      <c r="K125" s="584">
        <f>SUM(K126:K128)</f>
        <v>0</v>
      </c>
      <c r="L125" s="584">
        <f>SUM(L126:L128)</f>
        <v>42.329124431372861</v>
      </c>
      <c r="M125" s="584">
        <f t="shared" ref="M125" si="218">SUM(M126:M128)</f>
        <v>39.913033067980095</v>
      </c>
      <c r="N125" s="584">
        <f t="shared" ref="N125" si="219">SUM(N126:N128)</f>
        <v>39.881715430287514</v>
      </c>
      <c r="O125" s="584">
        <f t="shared" ref="O125" si="220">SUM(O126:O128)</f>
        <v>41.75150385938209</v>
      </c>
      <c r="P125" s="584">
        <f t="shared" ref="P125" si="221">SUM(P126:P128)</f>
        <v>43.714781709931408</v>
      </c>
      <c r="Q125" s="584">
        <f t="shared" ref="Q125" si="222">SUM(Q126:Q128)</f>
        <v>45.776223453008171</v>
      </c>
      <c r="R125" s="584">
        <f t="shared" ref="R125" si="223">SUM(R126:R128)</f>
        <v>47.940737283238796</v>
      </c>
      <c r="S125" s="584">
        <f t="shared" ref="S125" si="224">SUM(S126:S128)</f>
        <v>50.213476804980935</v>
      </c>
      <c r="T125" s="584">
        <f t="shared" ref="T125" si="225">SUM(T126:T128)</f>
        <v>52.599853302810196</v>
      </c>
      <c r="U125" s="584">
        <f t="shared" ref="U125" si="226">SUM(U126:U128)</f>
        <v>55.105548625530901</v>
      </c>
      <c r="V125" s="584">
        <f t="shared" ref="V125" si="227">SUM(V126:V128)</f>
        <v>57.736528714387653</v>
      </c>
      <c r="W125" s="584">
        <f t="shared" ref="W125" si="228">SUM(W126:W128)</f>
        <v>60.499057807687244</v>
      </c>
      <c r="X125" s="584">
        <f t="shared" ref="X125" si="229">SUM(X126:X128)</f>
        <v>60.972030886515178</v>
      </c>
      <c r="Y125" s="584">
        <f t="shared" ref="Y125" si="230">SUM(Y126:Y128)</f>
        <v>64.01771921187796</v>
      </c>
      <c r="Z125" s="584">
        <f t="shared" ref="Z125" si="231">SUM(Z126:Z128)</f>
        <v>67.215691953508923</v>
      </c>
      <c r="AA125" s="584">
        <f t="shared" ref="AA125" si="232">SUM(AA126:AA128)</f>
        <v>70.573563332221383</v>
      </c>
      <c r="AB125" s="584">
        <f t="shared" ref="AB125" si="233">SUM(AB126:AB128)</f>
        <v>74.099328279869525</v>
      </c>
      <c r="AC125" s="584">
        <f t="shared" ref="AC125" si="234">SUM(AC126:AC128)</f>
        <v>77.801381474900026</v>
      </c>
      <c r="AD125" s="584">
        <f t="shared" ref="AD125" si="235">SUM(AD126:AD128)</f>
        <v>81.688537329682063</v>
      </c>
      <c r="AE125" s="584">
        <f t="shared" ref="AE125" si="236">SUM(AE126:AE128)</f>
        <v>85.770050977203212</v>
      </c>
      <c r="AF125" s="584">
        <f t="shared" ref="AF125" si="237">SUM(AF126:AF128)</f>
        <v>90.05564030710039</v>
      </c>
      <c r="AG125" s="584">
        <f t="shared" ref="AG125" si="238">SUM(AG126:AG128)</f>
        <v>94.555509103492454</v>
      </c>
      <c r="AH125" s="584">
        <f t="shared" ref="AH125" si="239">SUM(AH126:AH128)</f>
        <v>99.280371339704104</v>
      </c>
      <c r="AI125" s="584">
        <f t="shared" ref="AI125" si="240">SUM(AI126:AI128)</f>
        <v>104.24147668772635</v>
      </c>
      <c r="AJ125" s="584">
        <f t="shared" ref="AJ125" si="241">SUM(AJ126:AJ128)</f>
        <v>109.45063730314972</v>
      </c>
    </row>
    <row r="126" spans="1:36" s="299" customFormat="1" x14ac:dyDescent="0.25">
      <c r="A126" s="299" t="s">
        <v>422</v>
      </c>
      <c r="E126" s="299" t="s">
        <v>174</v>
      </c>
      <c r="H126" s="577" t="s">
        <v>73</v>
      </c>
      <c r="I126" s="578" t="str">
        <f t="shared" si="186"/>
        <v>VND/phôi</v>
      </c>
      <c r="K126" s="582"/>
      <c r="L126" s="582">
        <f t="shared" ref="L126:AJ126" si="242">-IF($H$9="USD",L56/L28/$H$10*10^3,L56/L28/$H$10)</f>
        <v>27.847782258064516</v>
      </c>
      <c r="M126" s="582">
        <f t="shared" si="242"/>
        <v>27.847782258064512</v>
      </c>
      <c r="N126" s="582">
        <f t="shared" si="242"/>
        <v>29.24017137096774</v>
      </c>
      <c r="O126" s="582">
        <f t="shared" si="242"/>
        <v>30.702179939516128</v>
      </c>
      <c r="P126" s="582">
        <f t="shared" si="242"/>
        <v>32.237288936491936</v>
      </c>
      <c r="Q126" s="582">
        <f t="shared" si="242"/>
        <v>33.849153383316526</v>
      </c>
      <c r="R126" s="582">
        <f t="shared" si="242"/>
        <v>35.541611052482359</v>
      </c>
      <c r="S126" s="582">
        <f t="shared" si="242"/>
        <v>37.318691605106473</v>
      </c>
      <c r="T126" s="582">
        <f t="shared" si="242"/>
        <v>39.1846261853618</v>
      </c>
      <c r="U126" s="582">
        <f t="shared" si="242"/>
        <v>41.143857494629891</v>
      </c>
      <c r="V126" s="582">
        <f t="shared" si="242"/>
        <v>43.201050369361383</v>
      </c>
      <c r="W126" s="582">
        <f t="shared" si="242"/>
        <v>45.36110288782946</v>
      </c>
      <c r="X126" s="582">
        <f t="shared" si="242"/>
        <v>47.629158032220928</v>
      </c>
      <c r="Y126" s="582">
        <f t="shared" si="242"/>
        <v>50.010615933831971</v>
      </c>
      <c r="Z126" s="582">
        <f t="shared" si="242"/>
        <v>52.511146730523578</v>
      </c>
      <c r="AA126" s="582">
        <f t="shared" si="242"/>
        <v>55.136704067049749</v>
      </c>
      <c r="AB126" s="582">
        <f t="shared" si="242"/>
        <v>57.893539270402258</v>
      </c>
      <c r="AC126" s="582">
        <f t="shared" si="242"/>
        <v>60.788216233922363</v>
      </c>
      <c r="AD126" s="582">
        <f t="shared" si="242"/>
        <v>63.827627045618485</v>
      </c>
      <c r="AE126" s="582">
        <f t="shared" si="242"/>
        <v>67.019008397899412</v>
      </c>
      <c r="AF126" s="582">
        <f t="shared" si="242"/>
        <v>70.36995881779437</v>
      </c>
      <c r="AG126" s="582">
        <f t="shared" si="242"/>
        <v>73.8884567586841</v>
      </c>
      <c r="AH126" s="582">
        <f t="shared" si="242"/>
        <v>77.582879596618298</v>
      </c>
      <c r="AI126" s="582">
        <f t="shared" si="242"/>
        <v>81.462023576449212</v>
      </c>
      <c r="AJ126" s="582">
        <f t="shared" si="242"/>
        <v>85.535124755271696</v>
      </c>
    </row>
    <row r="127" spans="1:36" s="299" customFormat="1" x14ac:dyDescent="0.25">
      <c r="A127" s="299" t="s">
        <v>422</v>
      </c>
      <c r="E127" s="299" t="s">
        <v>306</v>
      </c>
      <c r="H127" s="577" t="s">
        <v>192</v>
      </c>
      <c r="I127" s="578" t="str">
        <f t="shared" si="186"/>
        <v>VND/phôi</v>
      </c>
      <c r="K127" s="582"/>
      <c r="L127" s="582">
        <f t="shared" ref="L127:AJ127" si="243">-IF($H$9="USD",L57/L28/$H$10*10^3,L57/L28/$H$10)</f>
        <v>4.7222222222222214</v>
      </c>
      <c r="M127" s="582">
        <f t="shared" si="243"/>
        <v>4.7222222222222214</v>
      </c>
      <c r="N127" s="582">
        <f t="shared" si="243"/>
        <v>4.958333333333333</v>
      </c>
      <c r="O127" s="582">
        <f t="shared" si="243"/>
        <v>5.2062499999999998</v>
      </c>
      <c r="P127" s="582">
        <f t="shared" si="243"/>
        <v>5.4665624999999993</v>
      </c>
      <c r="Q127" s="582">
        <f t="shared" si="243"/>
        <v>5.7398906249999992</v>
      </c>
      <c r="R127" s="582">
        <f t="shared" si="243"/>
        <v>6.0268851562500005</v>
      </c>
      <c r="S127" s="582">
        <f t="shared" si="243"/>
        <v>6.3282294140624984</v>
      </c>
      <c r="T127" s="582">
        <f t="shared" si="243"/>
        <v>6.6446408847656251</v>
      </c>
      <c r="U127" s="582">
        <f t="shared" si="243"/>
        <v>6.976872929003906</v>
      </c>
      <c r="V127" s="582">
        <f t="shared" si="243"/>
        <v>7.3257165754541012</v>
      </c>
      <c r="W127" s="582">
        <f t="shared" si="243"/>
        <v>7.6920024042268071</v>
      </c>
      <c r="X127" s="582">
        <f t="shared" si="243"/>
        <v>8.0766025244381474</v>
      </c>
      <c r="Y127" s="582">
        <f t="shared" si="243"/>
        <v>8.4804326506600525</v>
      </c>
      <c r="Z127" s="582">
        <f t="shared" si="243"/>
        <v>8.9044542831930595</v>
      </c>
      <c r="AA127" s="582">
        <f t="shared" si="243"/>
        <v>9.3496769973527094</v>
      </c>
      <c r="AB127" s="582">
        <f t="shared" si="243"/>
        <v>9.8171608472203467</v>
      </c>
      <c r="AC127" s="582">
        <f t="shared" si="243"/>
        <v>10.308018889581364</v>
      </c>
      <c r="AD127" s="582">
        <f t="shared" si="243"/>
        <v>10.823419834060434</v>
      </c>
      <c r="AE127" s="582">
        <f t="shared" si="243"/>
        <v>11.364590825763454</v>
      </c>
      <c r="AF127" s="582">
        <f t="shared" si="243"/>
        <v>11.932820367051628</v>
      </c>
      <c r="AG127" s="582">
        <f t="shared" si="243"/>
        <v>12.529461385404209</v>
      </c>
      <c r="AH127" s="582">
        <f t="shared" si="243"/>
        <v>13.155934454674419</v>
      </c>
      <c r="AI127" s="582">
        <f t="shared" si="243"/>
        <v>13.813731177408139</v>
      </c>
      <c r="AJ127" s="582">
        <f t="shared" si="243"/>
        <v>14.504417736278548</v>
      </c>
    </row>
    <row r="128" spans="1:36" s="299" customFormat="1" x14ac:dyDescent="0.25">
      <c r="A128" s="299" t="s">
        <v>422</v>
      </c>
      <c r="E128" s="299" t="s">
        <v>172</v>
      </c>
      <c r="H128" s="577" t="s">
        <v>175</v>
      </c>
      <c r="I128" s="578" t="str">
        <f t="shared" si="186"/>
        <v>VND/phôi</v>
      </c>
      <c r="K128" s="582"/>
      <c r="L128" s="582">
        <f t="shared" ref="L128:AJ128" si="244">-IF($H$9="USD",L58/L28/$H$10*10^3,L58/L28/$H$10)</f>
        <v>9.7591199510861202</v>
      </c>
      <c r="M128" s="582">
        <f t="shared" si="244"/>
        <v>7.3430285876933645</v>
      </c>
      <c r="N128" s="582">
        <f t="shared" si="244"/>
        <v>5.6832107259864406</v>
      </c>
      <c r="O128" s="582">
        <f t="shared" si="244"/>
        <v>5.8430739198659678</v>
      </c>
      <c r="P128" s="582">
        <f t="shared" si="244"/>
        <v>6.0109302734394703</v>
      </c>
      <c r="Q128" s="582">
        <f t="shared" si="244"/>
        <v>6.1871794446916475</v>
      </c>
      <c r="R128" s="582">
        <f t="shared" si="244"/>
        <v>6.3722410745064346</v>
      </c>
      <c r="S128" s="582">
        <f t="shared" si="244"/>
        <v>6.5665557858119614</v>
      </c>
      <c r="T128" s="582">
        <f t="shared" si="244"/>
        <v>6.7705862326827644</v>
      </c>
      <c r="U128" s="582">
        <f t="shared" si="244"/>
        <v>6.9848182018971068</v>
      </c>
      <c r="V128" s="582">
        <f t="shared" si="244"/>
        <v>7.2097617695721654</v>
      </c>
      <c r="W128" s="582">
        <f t="shared" si="244"/>
        <v>7.4459525156309789</v>
      </c>
      <c r="X128" s="582">
        <f t="shared" si="244"/>
        <v>5.2662703298561038</v>
      </c>
      <c r="Y128" s="582">
        <f t="shared" si="244"/>
        <v>5.5266706273859452</v>
      </c>
      <c r="Z128" s="582">
        <f t="shared" si="244"/>
        <v>5.8000909397922804</v>
      </c>
      <c r="AA128" s="582">
        <f t="shared" si="244"/>
        <v>6.0871822678189282</v>
      </c>
      <c r="AB128" s="582">
        <f t="shared" si="244"/>
        <v>6.3886281622469125</v>
      </c>
      <c r="AC128" s="582">
        <f t="shared" si="244"/>
        <v>6.7051463513962934</v>
      </c>
      <c r="AD128" s="582">
        <f t="shared" si="244"/>
        <v>7.037490450003145</v>
      </c>
      <c r="AE128" s="582">
        <f t="shared" si="244"/>
        <v>7.3864517535403378</v>
      </c>
      <c r="AF128" s="582">
        <f t="shared" si="244"/>
        <v>7.7528611222543917</v>
      </c>
      <c r="AG128" s="582">
        <f t="shared" si="244"/>
        <v>8.1375909594041449</v>
      </c>
      <c r="AH128" s="582">
        <f t="shared" si="244"/>
        <v>8.5415572884113882</v>
      </c>
      <c r="AI128" s="582">
        <f t="shared" si="244"/>
        <v>8.9657219338689949</v>
      </c>
      <c r="AJ128" s="582">
        <f t="shared" si="244"/>
        <v>9.4110948115994812</v>
      </c>
    </row>
    <row r="129" spans="1:36" x14ac:dyDescent="0.25">
      <c r="A129" t="s">
        <v>422</v>
      </c>
      <c r="H129" s="289"/>
      <c r="I129" s="290"/>
      <c r="K129" s="296"/>
      <c r="L129" s="297"/>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row>
    <row r="130" spans="1:36" s="16" customFormat="1" x14ac:dyDescent="0.25">
      <c r="A130" s="16" t="s">
        <v>422</v>
      </c>
      <c r="H130" s="291" t="s">
        <v>464</v>
      </c>
      <c r="I130" s="292" t="str">
        <f t="shared" si="186"/>
        <v>VND/phôi</v>
      </c>
      <c r="K130" s="298">
        <f>K108+K118</f>
        <v>0</v>
      </c>
      <c r="L130" s="298">
        <f t="shared" ref="L130:Z130" si="245">L108+L118</f>
        <v>659.38080259920685</v>
      </c>
      <c r="M130" s="298">
        <f t="shared" si="245"/>
        <v>596.56242715099529</v>
      </c>
      <c r="N130" s="298">
        <f t="shared" si="245"/>
        <v>561.61192758532491</v>
      </c>
      <c r="O130" s="298">
        <f t="shared" si="245"/>
        <v>574.14182531974097</v>
      </c>
      <c r="P130" s="298">
        <f t="shared" si="245"/>
        <v>587.05183858603903</v>
      </c>
      <c r="Q130" s="298">
        <f t="shared" si="245"/>
        <v>600.35604557371676</v>
      </c>
      <c r="R130" s="298">
        <f t="shared" si="245"/>
        <v>614.06912983000393</v>
      </c>
      <c r="S130" s="298">
        <f t="shared" si="245"/>
        <v>628.20640855671604</v>
      </c>
      <c r="T130" s="298">
        <f t="shared" si="245"/>
        <v>642.783862282526</v>
      </c>
      <c r="U130" s="298">
        <f t="shared" si="245"/>
        <v>657.81816597864429</v>
      </c>
      <c r="V130" s="298">
        <f t="shared" si="245"/>
        <v>673.32672168926695</v>
      </c>
      <c r="W130" s="298">
        <f t="shared" si="245"/>
        <v>689.32769275171256</v>
      </c>
      <c r="X130" s="298">
        <f t="shared" si="245"/>
        <v>642.72029548734599</v>
      </c>
      <c r="Y130" s="298">
        <f t="shared" si="245"/>
        <v>659.76381363116161</v>
      </c>
      <c r="Z130" s="298">
        <f t="shared" si="245"/>
        <v>677.35917262341741</v>
      </c>
      <c r="AA130" s="298">
        <f t="shared" ref="AA130:AJ130" si="246">AA108+AA118</f>
        <v>695.52795780536098</v>
      </c>
      <c r="AB130" s="298">
        <f t="shared" si="246"/>
        <v>714.29271365127761</v>
      </c>
      <c r="AC130" s="298">
        <f t="shared" si="246"/>
        <v>733.67698932246424</v>
      </c>
      <c r="AD130" s="298">
        <f t="shared" si="246"/>
        <v>753.70538645084298</v>
      </c>
      <c r="AE130" s="298">
        <f t="shared" si="246"/>
        <v>774.40360926274661</v>
      </c>
      <c r="AF130" s="298">
        <f t="shared" si="246"/>
        <v>795.79851715889333</v>
      </c>
      <c r="AG130" s="298">
        <f t="shared" si="246"/>
        <v>817.91817987236868</v>
      </c>
      <c r="AH130" s="298">
        <f t="shared" si="246"/>
        <v>840.79193533248872</v>
      </c>
      <c r="AI130" s="298">
        <f t="shared" si="246"/>
        <v>864.45045036880583</v>
      </c>
      <c r="AJ130" s="298">
        <f t="shared" si="246"/>
        <v>888.92578439619319</v>
      </c>
    </row>
    <row r="131" spans="1:36" x14ac:dyDescent="0.25">
      <c r="A131" t="s">
        <v>422</v>
      </c>
      <c r="H131" s="289"/>
      <c r="I131" s="290"/>
      <c r="K131" s="296"/>
      <c r="L131" s="296"/>
      <c r="M131" s="296"/>
      <c r="N131" s="296"/>
      <c r="O131" s="296"/>
      <c r="P131" s="296"/>
      <c r="Q131" s="296"/>
      <c r="R131" s="296"/>
      <c r="S131" s="296"/>
      <c r="T131" s="296"/>
      <c r="U131" s="296"/>
      <c r="V131" s="296"/>
      <c r="W131" s="296"/>
      <c r="X131" s="296"/>
      <c r="Y131" s="296"/>
      <c r="Z131" s="296"/>
      <c r="AA131" s="296"/>
      <c r="AB131" s="296"/>
      <c r="AC131" s="296"/>
      <c r="AD131" s="296"/>
      <c r="AE131" s="296"/>
      <c r="AF131" s="296"/>
      <c r="AG131" s="296"/>
      <c r="AH131" s="296"/>
      <c r="AI131" s="296"/>
      <c r="AJ131" s="296"/>
    </row>
    <row r="132" spans="1:36" x14ac:dyDescent="0.25">
      <c r="A132" t="s">
        <v>422</v>
      </c>
      <c r="E132" t="s">
        <v>172</v>
      </c>
      <c r="H132" s="594" t="s">
        <v>166</v>
      </c>
      <c r="I132" s="595" t="str">
        <f t="shared" si="186"/>
        <v>VND/phôi</v>
      </c>
      <c r="K132" s="605"/>
      <c r="L132" s="605">
        <f>-IF($H$9="USD",L62/L28/$H$10*10^3,L62/L28/$H$10)</f>
        <v>13.333333333333334</v>
      </c>
      <c r="M132" s="605">
        <f t="shared" ref="M132:AJ132" si="247">-IF($H$9="USD",M62/M28/$H$10*10^3,M62/M28/$H$10)</f>
        <v>13.333333333333332</v>
      </c>
      <c r="N132" s="605">
        <f t="shared" si="247"/>
        <v>13.999999999999998</v>
      </c>
      <c r="O132" s="605">
        <f t="shared" si="247"/>
        <v>14.700000000000001</v>
      </c>
      <c r="P132" s="605">
        <f t="shared" si="247"/>
        <v>15.435</v>
      </c>
      <c r="Q132" s="605">
        <f t="shared" si="247"/>
        <v>16.20675</v>
      </c>
      <c r="R132" s="605">
        <f t="shared" si="247"/>
        <v>17.017087500000002</v>
      </c>
      <c r="S132" s="605">
        <f t="shared" si="247"/>
        <v>17.867941875</v>
      </c>
      <c r="T132" s="605">
        <f t="shared" si="247"/>
        <v>18.761338968750003</v>
      </c>
      <c r="U132" s="605">
        <f t="shared" si="247"/>
        <v>19.699405917187502</v>
      </c>
      <c r="V132" s="605">
        <f t="shared" si="247"/>
        <v>20.684376213046878</v>
      </c>
      <c r="W132" s="605">
        <f t="shared" si="247"/>
        <v>21.718595023699219</v>
      </c>
      <c r="X132" s="605">
        <f t="shared" si="247"/>
        <v>22.804524774884179</v>
      </c>
      <c r="Y132" s="605">
        <f t="shared" si="247"/>
        <v>23.944751013628391</v>
      </c>
      <c r="Z132" s="605">
        <f t="shared" si="247"/>
        <v>25.141988564309816</v>
      </c>
      <c r="AA132" s="605">
        <f t="shared" si="247"/>
        <v>26.399087992525299</v>
      </c>
      <c r="AB132" s="605">
        <f t="shared" si="247"/>
        <v>27.719042392151572</v>
      </c>
      <c r="AC132" s="605">
        <f t="shared" si="247"/>
        <v>29.104994511759148</v>
      </c>
      <c r="AD132" s="605">
        <f t="shared" si="247"/>
        <v>30.56024423734711</v>
      </c>
      <c r="AE132" s="605">
        <f t="shared" si="247"/>
        <v>32.088256449214462</v>
      </c>
      <c r="AF132" s="605">
        <f t="shared" si="247"/>
        <v>33.692669271675186</v>
      </c>
      <c r="AG132" s="605">
        <f t="shared" si="247"/>
        <v>35.377302735258944</v>
      </c>
      <c r="AH132" s="605">
        <f t="shared" si="247"/>
        <v>37.146167872021891</v>
      </c>
      <c r="AI132" s="605">
        <f t="shared" si="247"/>
        <v>39.003476265622986</v>
      </c>
      <c r="AJ132" s="605">
        <f t="shared" si="247"/>
        <v>40.95365007890414</v>
      </c>
    </row>
    <row r="133" spans="1:36" x14ac:dyDescent="0.25">
      <c r="A133" t="s">
        <v>422</v>
      </c>
      <c r="E133" t="s">
        <v>171</v>
      </c>
      <c r="H133" s="575" t="s">
        <v>469</v>
      </c>
      <c r="I133" s="576" t="str">
        <f t="shared" si="186"/>
        <v>VND/phôi</v>
      </c>
      <c r="K133" s="585"/>
      <c r="L133" s="585">
        <f t="shared" ref="L133:AJ133" si="248">-IF($H$9="USD",L63/L28/$H$10*10^3,L63/L28/$H$10)</f>
        <v>0</v>
      </c>
      <c r="M133" s="585">
        <f t="shared" si="248"/>
        <v>0</v>
      </c>
      <c r="N133" s="585">
        <f t="shared" si="248"/>
        <v>0</v>
      </c>
      <c r="O133" s="585">
        <f t="shared" si="248"/>
        <v>0</v>
      </c>
      <c r="P133" s="585">
        <f t="shared" si="248"/>
        <v>0</v>
      </c>
      <c r="Q133" s="585">
        <f t="shared" si="248"/>
        <v>0</v>
      </c>
      <c r="R133" s="585">
        <f t="shared" si="248"/>
        <v>0</v>
      </c>
      <c r="S133" s="585">
        <f t="shared" si="248"/>
        <v>0</v>
      </c>
      <c r="T133" s="585">
        <f t="shared" si="248"/>
        <v>0</v>
      </c>
      <c r="U133" s="585">
        <f t="shared" si="248"/>
        <v>0</v>
      </c>
      <c r="V133" s="585">
        <f t="shared" si="248"/>
        <v>0</v>
      </c>
      <c r="W133" s="585">
        <f t="shared" si="248"/>
        <v>0</v>
      </c>
      <c r="X133" s="585">
        <f t="shared" si="248"/>
        <v>0</v>
      </c>
      <c r="Y133" s="585">
        <f t="shared" si="248"/>
        <v>0</v>
      </c>
      <c r="Z133" s="585">
        <f t="shared" si="248"/>
        <v>0</v>
      </c>
      <c r="AA133" s="585">
        <f t="shared" si="248"/>
        <v>0</v>
      </c>
      <c r="AB133" s="585">
        <f t="shared" si="248"/>
        <v>0</v>
      </c>
      <c r="AC133" s="585">
        <f t="shared" si="248"/>
        <v>0</v>
      </c>
      <c r="AD133" s="585">
        <f t="shared" si="248"/>
        <v>0</v>
      </c>
      <c r="AE133" s="585">
        <f t="shared" si="248"/>
        <v>0</v>
      </c>
      <c r="AF133" s="585">
        <f t="shared" si="248"/>
        <v>0</v>
      </c>
      <c r="AG133" s="585">
        <f t="shared" si="248"/>
        <v>0</v>
      </c>
      <c r="AH133" s="585">
        <f t="shared" si="248"/>
        <v>0</v>
      </c>
      <c r="AI133" s="585">
        <f t="shared" si="248"/>
        <v>0</v>
      </c>
      <c r="AJ133" s="585">
        <f t="shared" si="248"/>
        <v>0</v>
      </c>
    </row>
    <row r="134" spans="1:36" x14ac:dyDescent="0.25">
      <c r="A134" t="s">
        <v>422</v>
      </c>
      <c r="E134" t="s">
        <v>182</v>
      </c>
      <c r="H134" s="575" t="s">
        <v>468</v>
      </c>
      <c r="I134" s="576" t="str">
        <f t="shared" si="186"/>
        <v>VND/phôi</v>
      </c>
      <c r="K134" s="575"/>
      <c r="L134" s="585">
        <f t="shared" ref="L134:AJ134" si="249">-IF($H$9="USD",L64/L28/$H$10*10^3,L64/L28/$H$10)</f>
        <v>0</v>
      </c>
      <c r="M134" s="585">
        <f t="shared" si="249"/>
        <v>0</v>
      </c>
      <c r="N134" s="585">
        <f t="shared" si="249"/>
        <v>0</v>
      </c>
      <c r="O134" s="585">
        <f t="shared" si="249"/>
        <v>0</v>
      </c>
      <c r="P134" s="585">
        <f t="shared" si="249"/>
        <v>0</v>
      </c>
      <c r="Q134" s="585">
        <f t="shared" si="249"/>
        <v>0</v>
      </c>
      <c r="R134" s="585">
        <f t="shared" si="249"/>
        <v>0</v>
      </c>
      <c r="S134" s="585">
        <f t="shared" si="249"/>
        <v>0</v>
      </c>
      <c r="T134" s="585">
        <f t="shared" si="249"/>
        <v>0</v>
      </c>
      <c r="U134" s="585">
        <f t="shared" si="249"/>
        <v>0</v>
      </c>
      <c r="V134" s="585">
        <f t="shared" si="249"/>
        <v>0</v>
      </c>
      <c r="W134" s="585">
        <f t="shared" si="249"/>
        <v>0</v>
      </c>
      <c r="X134" s="585">
        <f t="shared" si="249"/>
        <v>0</v>
      </c>
      <c r="Y134" s="585">
        <f t="shared" si="249"/>
        <v>0</v>
      </c>
      <c r="Z134" s="585">
        <f t="shared" si="249"/>
        <v>0</v>
      </c>
      <c r="AA134" s="585">
        <f t="shared" si="249"/>
        <v>0</v>
      </c>
      <c r="AB134" s="585">
        <f t="shared" si="249"/>
        <v>0</v>
      </c>
      <c r="AC134" s="585">
        <f t="shared" si="249"/>
        <v>0</v>
      </c>
      <c r="AD134" s="585">
        <f t="shared" si="249"/>
        <v>0</v>
      </c>
      <c r="AE134" s="585">
        <f t="shared" si="249"/>
        <v>0</v>
      </c>
      <c r="AF134" s="585">
        <f t="shared" si="249"/>
        <v>0</v>
      </c>
      <c r="AG134" s="585">
        <f t="shared" si="249"/>
        <v>0</v>
      </c>
      <c r="AH134" s="585">
        <f t="shared" si="249"/>
        <v>0</v>
      </c>
      <c r="AI134" s="585">
        <f t="shared" si="249"/>
        <v>0</v>
      </c>
      <c r="AJ134" s="585">
        <f t="shared" si="249"/>
        <v>0</v>
      </c>
    </row>
    <row r="135" spans="1:36" x14ac:dyDescent="0.25">
      <c r="A135" t="s">
        <v>422</v>
      </c>
      <c r="E135" t="s">
        <v>182</v>
      </c>
      <c r="H135" s="575" t="s">
        <v>470</v>
      </c>
      <c r="I135" s="576" t="str">
        <f t="shared" si="186"/>
        <v>VND/phôi</v>
      </c>
      <c r="K135" s="575"/>
      <c r="L135" s="585">
        <f>-IF($H$9="USD",L65/L28/$H$10*10^3,L65/L28/$H$10)</f>
        <v>71.373864592616897</v>
      </c>
      <c r="M135" s="585">
        <f t="shared" ref="M135:AJ135" si="250">-IF($H$9="USD",M65/M28/$H$10*10^3,M65/M28/$H$10)</f>
        <v>50.441622901351458</v>
      </c>
      <c r="N135" s="585">
        <f t="shared" si="250"/>
        <v>34.904894027008218</v>
      </c>
      <c r="O135" s="585">
        <f t="shared" si="250"/>
        <v>34.472355082794778</v>
      </c>
      <c r="P135" s="585">
        <f t="shared" si="250"/>
        <v>34.009538412486386</v>
      </c>
      <c r="Q135" s="585">
        <f t="shared" si="250"/>
        <v>33.51432457525641</v>
      </c>
      <c r="R135" s="585">
        <f t="shared" si="250"/>
        <v>32.98444576942034</v>
      </c>
      <c r="S135" s="585">
        <f t="shared" si="250"/>
        <v>32.417475447175747</v>
      </c>
      <c r="T135" s="585">
        <f t="shared" si="250"/>
        <v>31.810817202374032</v>
      </c>
      <c r="U135" s="585">
        <f t="shared" si="250"/>
        <v>31.161692880436188</v>
      </c>
      <c r="V135" s="585">
        <f t="shared" si="250"/>
        <v>30.467129855962703</v>
      </c>
      <c r="W135" s="585">
        <f t="shared" si="250"/>
        <v>29.723947419776078</v>
      </c>
      <c r="X135" s="585">
        <f t="shared" si="250"/>
        <v>28.928742213056381</v>
      </c>
      <c r="Y135" s="585">
        <f t="shared" si="250"/>
        <v>28.077872641866307</v>
      </c>
      <c r="Z135" s="585">
        <f t="shared" si="250"/>
        <v>27.167442200692928</v>
      </c>
      <c r="AA135" s="585">
        <f t="shared" si="250"/>
        <v>26.193281628637415</v>
      </c>
      <c r="AB135" s="585">
        <f t="shared" si="250"/>
        <v>25.15092981653801</v>
      </c>
      <c r="AC135" s="585">
        <f t="shared" si="250"/>
        <v>24.035613377591655</v>
      </c>
      <c r="AD135" s="585">
        <f t="shared" si="250"/>
        <v>22.842224787919051</v>
      </c>
      <c r="AE135" s="585">
        <f t="shared" si="250"/>
        <v>21.565298996969364</v>
      </c>
      <c r="AF135" s="585">
        <f t="shared" si="250"/>
        <v>20.198988400653199</v>
      </c>
      <c r="AG135" s="585">
        <f t="shared" si="250"/>
        <v>18.737036062594903</v>
      </c>
      <c r="AH135" s="585">
        <f t="shared" si="250"/>
        <v>17.172747060872528</v>
      </c>
      <c r="AI135" s="585">
        <f t="shared" si="250"/>
        <v>15.498957829029582</v>
      </c>
      <c r="AJ135" s="585">
        <f t="shared" si="250"/>
        <v>13.708003350957634</v>
      </c>
    </row>
    <row r="136" spans="1:36" x14ac:dyDescent="0.25">
      <c r="A136" t="s">
        <v>422</v>
      </c>
      <c r="H136" s="289"/>
      <c r="I136" s="290"/>
      <c r="K136" s="289"/>
      <c r="L136" s="289"/>
      <c r="M136" s="289"/>
      <c r="N136" s="289"/>
      <c r="O136" s="289"/>
      <c r="P136" s="289"/>
      <c r="Q136" s="289"/>
      <c r="R136" s="289"/>
      <c r="S136" s="289"/>
      <c r="T136" s="289"/>
      <c r="U136" s="289"/>
      <c r="V136" s="289"/>
      <c r="W136" s="289"/>
      <c r="X136" s="289"/>
      <c r="Y136" s="289"/>
      <c r="Z136" s="289"/>
      <c r="AA136" s="289"/>
      <c r="AB136" s="289"/>
      <c r="AC136" s="289"/>
      <c r="AD136" s="289"/>
      <c r="AE136" s="289"/>
      <c r="AF136" s="289"/>
      <c r="AG136" s="289"/>
      <c r="AH136" s="289"/>
      <c r="AI136" s="289"/>
      <c r="AJ136" s="289"/>
    </row>
    <row r="137" spans="1:36" s="16" customFormat="1" x14ac:dyDescent="0.25">
      <c r="A137" s="16" t="s">
        <v>422</v>
      </c>
      <c r="H137" s="291" t="s">
        <v>487</v>
      </c>
      <c r="I137" s="292" t="str">
        <f t="shared" si="186"/>
        <v>VND/phôi</v>
      </c>
      <c r="K137" s="298">
        <f>K130+SUM(K132:K135)</f>
        <v>0</v>
      </c>
      <c r="L137" s="298">
        <f t="shared" ref="L137:AJ137" si="251">L130+SUM(L132:L135)</f>
        <v>744.0880005251571</v>
      </c>
      <c r="M137" s="298">
        <f t="shared" si="251"/>
        <v>660.33738338568014</v>
      </c>
      <c r="N137" s="298">
        <f t="shared" si="251"/>
        <v>610.51682161233316</v>
      </c>
      <c r="O137" s="298">
        <f t="shared" si="251"/>
        <v>623.31418040253573</v>
      </c>
      <c r="P137" s="298">
        <f t="shared" si="251"/>
        <v>636.49637699852542</v>
      </c>
      <c r="Q137" s="298">
        <f t="shared" si="251"/>
        <v>650.07712014897311</v>
      </c>
      <c r="R137" s="298">
        <f t="shared" si="251"/>
        <v>664.07066309942422</v>
      </c>
      <c r="S137" s="298">
        <f t="shared" si="251"/>
        <v>678.49182587889175</v>
      </c>
      <c r="T137" s="298">
        <f t="shared" si="251"/>
        <v>693.35601845364999</v>
      </c>
      <c r="U137" s="298">
        <f t="shared" si="251"/>
        <v>708.67926477626793</v>
      </c>
      <c r="V137" s="298">
        <f t="shared" si="251"/>
        <v>724.47822775827649</v>
      </c>
      <c r="W137" s="298">
        <f t="shared" si="251"/>
        <v>740.77023519518787</v>
      </c>
      <c r="X137" s="298">
        <f t="shared" si="251"/>
        <v>694.4535624752865</v>
      </c>
      <c r="Y137" s="298">
        <f t="shared" si="251"/>
        <v>711.78643728665634</v>
      </c>
      <c r="Z137" s="298">
        <f t="shared" si="251"/>
        <v>729.66860338842014</v>
      </c>
      <c r="AA137" s="298">
        <f t="shared" si="251"/>
        <v>748.12032742652366</v>
      </c>
      <c r="AB137" s="298">
        <f t="shared" si="251"/>
        <v>767.16268585996716</v>
      </c>
      <c r="AC137" s="298">
        <f t="shared" si="251"/>
        <v>786.81759721181504</v>
      </c>
      <c r="AD137" s="298">
        <f t="shared" si="251"/>
        <v>807.10785547610908</v>
      </c>
      <c r="AE137" s="298">
        <f t="shared" si="251"/>
        <v>828.05716470893049</v>
      </c>
      <c r="AF137" s="298">
        <f t="shared" si="251"/>
        <v>849.69017483122173</v>
      </c>
      <c r="AG137" s="298">
        <f t="shared" si="251"/>
        <v>872.03251867022254</v>
      </c>
      <c r="AH137" s="298">
        <f t="shared" si="251"/>
        <v>895.11085026538308</v>
      </c>
      <c r="AI137" s="298">
        <f t="shared" si="251"/>
        <v>918.95288446345842</v>
      </c>
      <c r="AJ137" s="298">
        <f t="shared" si="251"/>
        <v>943.58743782605495</v>
      </c>
    </row>
    <row r="138" spans="1:36" x14ac:dyDescent="0.25">
      <c r="A138" t="s">
        <v>422</v>
      </c>
    </row>
    <row r="139" spans="1:36" x14ac:dyDescent="0.25">
      <c r="A139" t="s">
        <v>422</v>
      </c>
      <c r="H139" s="594" t="s">
        <v>361</v>
      </c>
      <c r="I139" s="595" t="str">
        <f t="shared" si="186"/>
        <v>VND/phôi</v>
      </c>
      <c r="K139" s="594"/>
      <c r="L139" s="600">
        <f>INDEX('Cover Page'!$H$12:$W$12,MATCH($A139,'Cover Page'!$H$5:$W$5,0))</f>
        <v>6.6666666666666666E-2</v>
      </c>
      <c r="M139" s="600">
        <f>INDEX('Cover Page'!$H$12:$W$12,MATCH($A139,'Cover Page'!$H$5:$W$5,0))</f>
        <v>6.6666666666666666E-2</v>
      </c>
      <c r="N139" s="600">
        <f>INDEX('Cover Page'!$H$12:$W$12,MATCH($A139,'Cover Page'!$H$5:$W$5,0))</f>
        <v>6.6666666666666666E-2</v>
      </c>
      <c r="O139" s="600">
        <f>INDEX('Cover Page'!$H$12:$W$12,MATCH($A139,'Cover Page'!$H$5:$W$5,0))</f>
        <v>6.6666666666666666E-2</v>
      </c>
      <c r="P139" s="600">
        <f>INDEX('Cover Page'!$H$12:$W$12,MATCH($A139,'Cover Page'!$H$5:$W$5,0))</f>
        <v>6.6666666666666666E-2</v>
      </c>
      <c r="Q139" s="600">
        <f>INDEX('Cover Page'!$H$12:$W$12,MATCH($A139,'Cover Page'!$H$5:$W$5,0))</f>
        <v>6.6666666666666666E-2</v>
      </c>
      <c r="R139" s="600">
        <f>INDEX('Cover Page'!$H$12:$W$12,MATCH($A139,'Cover Page'!$H$5:$W$5,0))</f>
        <v>6.6666666666666666E-2</v>
      </c>
      <c r="S139" s="600">
        <f>INDEX('Cover Page'!$H$12:$W$12,MATCH($A139,'Cover Page'!$H$5:$W$5,0))</f>
        <v>6.6666666666666666E-2</v>
      </c>
      <c r="T139" s="600">
        <f>INDEX('Cover Page'!$H$12:$W$12,MATCH($A139,'Cover Page'!$H$5:$W$5,0))</f>
        <v>6.6666666666666666E-2</v>
      </c>
      <c r="U139" s="600">
        <f>INDEX('Cover Page'!$H$12:$W$12,MATCH($A139,'Cover Page'!$H$5:$W$5,0))</f>
        <v>6.6666666666666666E-2</v>
      </c>
      <c r="V139" s="600">
        <f>INDEX('Cover Page'!$H$12:$W$12,MATCH($A139,'Cover Page'!$H$5:$W$5,0))</f>
        <v>6.6666666666666666E-2</v>
      </c>
      <c r="W139" s="600">
        <f>INDEX('Cover Page'!$H$12:$W$12,MATCH($A139,'Cover Page'!$H$5:$W$5,0))</f>
        <v>6.6666666666666666E-2</v>
      </c>
      <c r="X139" s="600">
        <f>INDEX('Cover Page'!$H$12:$W$12,MATCH($A139,'Cover Page'!$H$5:$W$5,0))</f>
        <v>6.6666666666666666E-2</v>
      </c>
      <c r="Y139" s="600">
        <f>INDEX('Cover Page'!$H$12:$W$12,MATCH($A139,'Cover Page'!$H$5:$W$5,0))</f>
        <v>6.6666666666666666E-2</v>
      </c>
      <c r="Z139" s="600">
        <f>INDEX('Cover Page'!$H$12:$W$12,MATCH($A139,'Cover Page'!$H$5:$W$5,0))</f>
        <v>6.6666666666666666E-2</v>
      </c>
      <c r="AA139" s="600">
        <f>INDEX('Cover Page'!$H$12:$W$12,MATCH($A139,'Cover Page'!$H$5:$W$5,0))</f>
        <v>6.6666666666666666E-2</v>
      </c>
      <c r="AB139" s="600">
        <f>INDEX('Cover Page'!$H$12:$W$12,MATCH($A139,'Cover Page'!$H$5:$W$5,0))</f>
        <v>6.6666666666666666E-2</v>
      </c>
      <c r="AC139" s="600">
        <f>INDEX('Cover Page'!$H$12:$W$12,MATCH($A139,'Cover Page'!$H$5:$W$5,0))</f>
        <v>6.6666666666666666E-2</v>
      </c>
      <c r="AD139" s="600">
        <f>INDEX('Cover Page'!$H$12:$W$12,MATCH($A139,'Cover Page'!$H$5:$W$5,0))</f>
        <v>6.6666666666666666E-2</v>
      </c>
      <c r="AE139" s="600">
        <f>INDEX('Cover Page'!$H$12:$W$12,MATCH($A139,'Cover Page'!$H$5:$W$5,0))</f>
        <v>6.6666666666666666E-2</v>
      </c>
      <c r="AF139" s="600">
        <f>INDEX('Cover Page'!$H$12:$W$12,MATCH($A139,'Cover Page'!$H$5:$W$5,0))</f>
        <v>6.6666666666666666E-2</v>
      </c>
      <c r="AG139" s="600">
        <f>INDEX('Cover Page'!$H$12:$W$12,MATCH($A139,'Cover Page'!$H$5:$W$5,0))</f>
        <v>6.6666666666666666E-2</v>
      </c>
      <c r="AH139" s="600">
        <f>INDEX('Cover Page'!$H$12:$W$12,MATCH($A139,'Cover Page'!$H$5:$W$5,0))</f>
        <v>6.6666666666666666E-2</v>
      </c>
      <c r="AI139" s="600">
        <f>INDEX('Cover Page'!$H$12:$W$12,MATCH($A139,'Cover Page'!$H$5:$W$5,0))</f>
        <v>6.6666666666666666E-2</v>
      </c>
      <c r="AJ139" s="600">
        <f>INDEX('Cover Page'!$H$12:$W$12,MATCH($A139,'Cover Page'!$H$5:$W$5,0))</f>
        <v>6.6666666666666666E-2</v>
      </c>
    </row>
    <row r="140" spans="1:36" s="1" customFormat="1" x14ac:dyDescent="0.25">
      <c r="A140" s="1" t="s">
        <v>422</v>
      </c>
      <c r="H140" s="596" t="s">
        <v>490</v>
      </c>
      <c r="I140" s="597" t="str">
        <f t="shared" si="186"/>
        <v>VND/phôi</v>
      </c>
      <c r="K140" s="596"/>
      <c r="L140" s="601">
        <f>L137*(1+L139)</f>
        <v>793.69386722683419</v>
      </c>
      <c r="M140" s="601">
        <f t="shared" ref="M140:Z140" si="252">M137*(1+M139)</f>
        <v>704.35987561139211</v>
      </c>
      <c r="N140" s="601">
        <f t="shared" si="252"/>
        <v>651.21794305315541</v>
      </c>
      <c r="O140" s="601">
        <f t="shared" si="252"/>
        <v>664.86845909603812</v>
      </c>
      <c r="P140" s="601">
        <f t="shared" si="252"/>
        <v>678.92946879842714</v>
      </c>
      <c r="Q140" s="601">
        <f t="shared" si="252"/>
        <v>693.41559482557136</v>
      </c>
      <c r="R140" s="601">
        <f t="shared" si="252"/>
        <v>708.3420406393858</v>
      </c>
      <c r="S140" s="601">
        <f t="shared" si="252"/>
        <v>723.72461427081782</v>
      </c>
      <c r="T140" s="601">
        <f t="shared" si="252"/>
        <v>739.57975301722661</v>
      </c>
      <c r="U140" s="601">
        <f t="shared" si="252"/>
        <v>755.92454909468574</v>
      </c>
      <c r="V140" s="601">
        <f t="shared" si="252"/>
        <v>772.77677627549497</v>
      </c>
      <c r="W140" s="601">
        <f t="shared" si="252"/>
        <v>790.15491754153368</v>
      </c>
      <c r="X140" s="601">
        <f t="shared" si="252"/>
        <v>740.7504666403056</v>
      </c>
      <c r="Y140" s="601">
        <f t="shared" si="252"/>
        <v>759.23886643910009</v>
      </c>
      <c r="Z140" s="601">
        <f t="shared" si="252"/>
        <v>778.31317694764812</v>
      </c>
      <c r="AA140" s="601">
        <f t="shared" ref="AA140:AJ140" si="253">AA137*(1+AA139)</f>
        <v>797.99501592162528</v>
      </c>
      <c r="AB140" s="601">
        <f t="shared" si="253"/>
        <v>818.3068649172983</v>
      </c>
      <c r="AC140" s="601">
        <f t="shared" si="253"/>
        <v>839.27210369260274</v>
      </c>
      <c r="AD140" s="601">
        <f t="shared" si="253"/>
        <v>860.91504584118297</v>
      </c>
      <c r="AE140" s="601">
        <f t="shared" si="253"/>
        <v>883.26097568952582</v>
      </c>
      <c r="AF140" s="601">
        <f t="shared" si="253"/>
        <v>906.33618648663651</v>
      </c>
      <c r="AG140" s="601">
        <f t="shared" si="253"/>
        <v>930.16801991490399</v>
      </c>
      <c r="AH140" s="601">
        <f t="shared" si="253"/>
        <v>954.78490694974198</v>
      </c>
      <c r="AI140" s="601">
        <f t="shared" si="253"/>
        <v>980.21641009435564</v>
      </c>
      <c r="AJ140" s="601">
        <f t="shared" si="253"/>
        <v>1006.4932670144586</v>
      </c>
    </row>
    <row r="141" spans="1:36" x14ac:dyDescent="0.25">
      <c r="A141" t="s">
        <v>422</v>
      </c>
      <c r="H141" s="575" t="s">
        <v>292</v>
      </c>
      <c r="I141" s="576" t="str">
        <f t="shared" si="186"/>
        <v>VND/phôi</v>
      </c>
      <c r="K141" s="575"/>
      <c r="L141" s="602">
        <f t="shared" ref="L141:AJ141" si="254">Tax_rate</f>
        <v>0.2</v>
      </c>
      <c r="M141" s="602">
        <f t="shared" si="254"/>
        <v>0.2</v>
      </c>
      <c r="N141" s="602">
        <f t="shared" si="254"/>
        <v>0.2</v>
      </c>
      <c r="O141" s="602">
        <f t="shared" si="254"/>
        <v>0.2</v>
      </c>
      <c r="P141" s="602">
        <f t="shared" si="254"/>
        <v>0.2</v>
      </c>
      <c r="Q141" s="602">
        <f t="shared" si="254"/>
        <v>0.2</v>
      </c>
      <c r="R141" s="602">
        <f t="shared" si="254"/>
        <v>0.2</v>
      </c>
      <c r="S141" s="602">
        <f t="shared" si="254"/>
        <v>0.2</v>
      </c>
      <c r="T141" s="602">
        <f t="shared" si="254"/>
        <v>0.2</v>
      </c>
      <c r="U141" s="602">
        <f t="shared" si="254"/>
        <v>0.2</v>
      </c>
      <c r="V141" s="602">
        <f t="shared" si="254"/>
        <v>0.2</v>
      </c>
      <c r="W141" s="602">
        <f t="shared" si="254"/>
        <v>0.2</v>
      </c>
      <c r="X141" s="602">
        <f t="shared" si="254"/>
        <v>0.2</v>
      </c>
      <c r="Y141" s="602">
        <f t="shared" si="254"/>
        <v>0.2</v>
      </c>
      <c r="Z141" s="602">
        <f t="shared" si="254"/>
        <v>0.2</v>
      </c>
      <c r="AA141" s="602">
        <f t="shared" si="254"/>
        <v>0.2</v>
      </c>
      <c r="AB141" s="602">
        <f t="shared" si="254"/>
        <v>0.2</v>
      </c>
      <c r="AC141" s="602">
        <f t="shared" si="254"/>
        <v>0.2</v>
      </c>
      <c r="AD141" s="602">
        <f t="shared" si="254"/>
        <v>0.2</v>
      </c>
      <c r="AE141" s="602">
        <f t="shared" si="254"/>
        <v>0.2</v>
      </c>
      <c r="AF141" s="602">
        <f t="shared" si="254"/>
        <v>0.2</v>
      </c>
      <c r="AG141" s="602">
        <f t="shared" si="254"/>
        <v>0.2</v>
      </c>
      <c r="AH141" s="602">
        <f t="shared" si="254"/>
        <v>0.2</v>
      </c>
      <c r="AI141" s="602">
        <f t="shared" si="254"/>
        <v>0.2</v>
      </c>
      <c r="AJ141" s="602">
        <f t="shared" si="254"/>
        <v>0.2</v>
      </c>
    </row>
    <row r="142" spans="1:36" s="1" customFormat="1" x14ac:dyDescent="0.25">
      <c r="A142" s="1" t="s">
        <v>422</v>
      </c>
      <c r="H142" s="596" t="s">
        <v>491</v>
      </c>
      <c r="I142" s="597" t="str">
        <f t="shared" si="186"/>
        <v>VND/phôi</v>
      </c>
      <c r="K142" s="596"/>
      <c r="L142" s="601">
        <f>(L140-L137)*(1-L141)</f>
        <v>39.684693361341672</v>
      </c>
      <c r="M142" s="601">
        <f t="shared" ref="M142" si="255">(M140-M137)*(1-M141)</f>
        <v>35.217993780569579</v>
      </c>
      <c r="N142" s="601">
        <f t="shared" ref="N142" si="256">(N140-N137)*(1-N141)</f>
        <v>32.560897152657802</v>
      </c>
      <c r="O142" s="601">
        <f t="shared" ref="O142" si="257">(O140-O137)*(1-O141)</f>
        <v>33.243422954801922</v>
      </c>
      <c r="P142" s="601">
        <f t="shared" ref="P142" si="258">(P140-P137)*(1-P141)</f>
        <v>33.946473439921377</v>
      </c>
      <c r="Q142" s="601">
        <f t="shared" ref="Q142" si="259">(Q140-Q137)*(1-Q141)</f>
        <v>34.670779741278601</v>
      </c>
      <c r="R142" s="601">
        <f t="shared" ref="R142" si="260">(R140-R137)*(1-R141)</f>
        <v>35.417102031969264</v>
      </c>
      <c r="S142" s="601">
        <f t="shared" ref="S142" si="261">(S140-S137)*(1-S141)</f>
        <v>36.186230713540866</v>
      </c>
      <c r="T142" s="601">
        <f t="shared" ref="T142" si="262">(T140-T137)*(1-T141)</f>
        <v>36.978987650861292</v>
      </c>
      <c r="U142" s="601">
        <f t="shared" ref="U142" si="263">(U140-U137)*(1-U141)</f>
        <v>37.796227454734257</v>
      </c>
      <c r="V142" s="601">
        <f t="shared" ref="V142" si="264">(V140-V137)*(1-V141)</f>
        <v>38.638838813774782</v>
      </c>
      <c r="W142" s="601">
        <f t="shared" ref="W142" si="265">(W140-W137)*(1-W141)</f>
        <v>39.507745877076651</v>
      </c>
      <c r="X142" s="601">
        <f t="shared" ref="X142" si="266">(X140-X137)*(1-X141)</f>
        <v>37.037523332015283</v>
      </c>
      <c r="Y142" s="601">
        <f t="shared" ref="Y142" si="267">(Y140-Y137)*(1-Y141)</f>
        <v>37.961943321955005</v>
      </c>
      <c r="Z142" s="601">
        <f t="shared" ref="Z142" si="268">(Z140-Z137)*(1-Z141)</f>
        <v>38.915658847382389</v>
      </c>
      <c r="AA142" s="601">
        <f t="shared" ref="AA142" si="269">(AA140-AA137)*(1-AA141)</f>
        <v>39.8997507960813</v>
      </c>
      <c r="AB142" s="601">
        <f t="shared" ref="AB142" si="270">(AB140-AB137)*(1-AB141)</f>
        <v>40.915343245864918</v>
      </c>
      <c r="AC142" s="601">
        <f t="shared" ref="AC142" si="271">(AC140-AC137)*(1-AC141)</f>
        <v>41.963605184630161</v>
      </c>
      <c r="AD142" s="601">
        <f t="shared" ref="AD142" si="272">(AD140-AD137)*(1-AD141)</f>
        <v>43.04575229205912</v>
      </c>
      <c r="AE142" s="601">
        <f t="shared" ref="AE142" si="273">(AE140-AE137)*(1-AE141)</f>
        <v>44.163048784476274</v>
      </c>
      <c r="AF142" s="601">
        <f t="shared" ref="AF142" si="274">(AF140-AF137)*(1-AF141)</f>
        <v>45.316809324331828</v>
      </c>
      <c r="AG142" s="601">
        <f t="shared" ref="AG142" si="275">(AG140-AG137)*(1-AG141)</f>
        <v>46.508400995745163</v>
      </c>
      <c r="AH142" s="601">
        <f t="shared" ref="AH142" si="276">(AH140-AH137)*(1-AH141)</f>
        <v>47.739245347487127</v>
      </c>
      <c r="AI142" s="601">
        <f t="shared" ref="AI142" si="277">(AI140-AI137)*(1-AI141)</f>
        <v>49.010820504717778</v>
      </c>
      <c r="AJ142" s="601">
        <f t="shared" ref="AJ142" si="278">(AJ140-AJ137)*(1-AJ141)</f>
        <v>50.32466335072295</v>
      </c>
    </row>
    <row r="143" spans="1:36" s="146" customFormat="1" x14ac:dyDescent="0.25">
      <c r="A143" s="146" t="s">
        <v>422</v>
      </c>
      <c r="H143" s="598" t="s">
        <v>492</v>
      </c>
      <c r="I143" s="599"/>
      <c r="K143" s="598"/>
      <c r="L143" s="603">
        <f>IFERROR(L142/L140,0)</f>
        <v>4.9999999999999954E-2</v>
      </c>
      <c r="M143" s="603">
        <f>IFERROR(M142/M140,0)</f>
        <v>4.9999999999999961E-2</v>
      </c>
      <c r="N143" s="603">
        <f t="shared" ref="N143" si="279">IFERROR(N142/N140,0)</f>
        <v>5.0000000000000051E-2</v>
      </c>
      <c r="O143" s="603">
        <f t="shared" ref="O143" si="280">IFERROR(O142/O140,0)</f>
        <v>5.0000000000000024E-2</v>
      </c>
      <c r="P143" s="603">
        <f t="shared" ref="P143" si="281">IFERROR(P142/P140,0)</f>
        <v>5.0000000000000031E-2</v>
      </c>
      <c r="Q143" s="603">
        <f t="shared" ref="Q143" si="282">IFERROR(Q142/Q140,0)</f>
        <v>5.0000000000000044E-2</v>
      </c>
      <c r="R143" s="603">
        <f t="shared" ref="R143" si="283">IFERROR(R142/R140,0)</f>
        <v>4.9999999999999961E-2</v>
      </c>
      <c r="S143" s="603">
        <f t="shared" ref="S143" si="284">IFERROR(S142/S140,0)</f>
        <v>4.9999999999999968E-2</v>
      </c>
      <c r="T143" s="603">
        <f t="shared" ref="T143" si="285">IFERROR(T142/T140,0)</f>
        <v>4.9999999999999947E-2</v>
      </c>
      <c r="U143" s="603">
        <f t="shared" ref="U143" si="286">IFERROR(U142/U140,0)</f>
        <v>4.9999999999999961E-2</v>
      </c>
      <c r="V143" s="603">
        <f t="shared" ref="V143" si="287">IFERROR(V142/V140,0)</f>
        <v>5.0000000000000044E-2</v>
      </c>
      <c r="W143" s="603">
        <f t="shared" ref="W143" si="288">IFERROR(W142/W140,0)</f>
        <v>4.9999999999999961E-2</v>
      </c>
      <c r="X143" s="603">
        <f t="shared" ref="X143" si="289">IFERROR(X142/X140,0)</f>
        <v>0.05</v>
      </c>
      <c r="Y143" s="603">
        <f t="shared" ref="Y143" si="290">IFERROR(Y142/Y140,0)</f>
        <v>0.05</v>
      </c>
      <c r="Z143" s="603">
        <f t="shared" ref="Z143" si="291">IFERROR(Z142/Z140,0)</f>
        <v>4.9999999999999975E-2</v>
      </c>
      <c r="AA143" s="603">
        <f t="shared" ref="AA143" si="292">IFERROR(AA142/AA140,0)</f>
        <v>5.0000000000000044E-2</v>
      </c>
      <c r="AB143" s="603">
        <f t="shared" ref="AB143" si="293">IFERROR(AB142/AB140,0)</f>
        <v>0.05</v>
      </c>
      <c r="AC143" s="603">
        <f t="shared" ref="AC143" si="294">IFERROR(AC142/AC140,0)</f>
        <v>5.0000000000000031E-2</v>
      </c>
      <c r="AD143" s="603">
        <f t="shared" ref="AD143" si="295">IFERROR(AD142/AD140,0)</f>
        <v>4.9999999999999968E-2</v>
      </c>
      <c r="AE143" s="603">
        <f t="shared" ref="AE143" si="296">IFERROR(AE142/AE140,0)</f>
        <v>4.9999999999999982E-2</v>
      </c>
      <c r="AF143" s="603">
        <f t="shared" ref="AF143" si="297">IFERROR(AF142/AF140,0)</f>
        <v>0.05</v>
      </c>
      <c r="AG143" s="603">
        <f t="shared" ref="AG143" si="298">IFERROR(AG142/AG140,0)</f>
        <v>4.9999999999999961E-2</v>
      </c>
      <c r="AH143" s="603">
        <f t="shared" ref="AH143" si="299">IFERROR(AH142/AH140,0)</f>
        <v>5.0000000000000031E-2</v>
      </c>
      <c r="AI143" s="603">
        <f t="shared" ref="AI143" si="300">IFERROR(AI142/AI140,0)</f>
        <v>4.9999999999999996E-2</v>
      </c>
      <c r="AJ143" s="603">
        <f t="shared" ref="AJ143" si="301">IFERROR(AJ142/AJ140,0)</f>
        <v>5.0000000000000017E-2</v>
      </c>
    </row>
    <row r="144" spans="1:36" x14ac:dyDescent="0.25">
      <c r="A144" t="s">
        <v>422</v>
      </c>
      <c r="L144" s="64"/>
    </row>
    <row r="145" spans="1:36" x14ac:dyDescent="0.25">
      <c r="A145" t="s">
        <v>422</v>
      </c>
      <c r="H145" s="1" t="s">
        <v>493</v>
      </c>
    </row>
    <row r="146" spans="1:36" x14ac:dyDescent="0.25">
      <c r="A146" t="s">
        <v>422</v>
      </c>
      <c r="H146" t="s">
        <v>493</v>
      </c>
      <c r="I146" s="65" t="s">
        <v>475</v>
      </c>
      <c r="K146" s="15"/>
      <c r="L146" s="15">
        <f t="shared" ref="L146:AJ146" si="302">L147*PHOI_KG*10^3/10^6</f>
        <v>45.333333333333336</v>
      </c>
      <c r="M146" s="15">
        <f t="shared" si="302"/>
        <v>46.240000000000009</v>
      </c>
      <c r="N146" s="15">
        <f t="shared" si="302"/>
        <v>47.1648</v>
      </c>
      <c r="O146" s="15">
        <f t="shared" si="302"/>
        <v>48.10809600000001</v>
      </c>
      <c r="P146" s="15">
        <f t="shared" si="302"/>
        <v>49.070257920000003</v>
      </c>
      <c r="Q146" s="15">
        <f t="shared" si="302"/>
        <v>50.051663078400004</v>
      </c>
      <c r="R146" s="15">
        <f t="shared" si="302"/>
        <v>51.052696339968008</v>
      </c>
      <c r="S146" s="15">
        <f t="shared" si="302"/>
        <v>52.073750266767355</v>
      </c>
      <c r="T146" s="15">
        <f t="shared" si="302"/>
        <v>53.115225272102705</v>
      </c>
      <c r="U146" s="15">
        <f t="shared" si="302"/>
        <v>54.177529777544763</v>
      </c>
      <c r="V146" s="15">
        <f t="shared" si="302"/>
        <v>55.261080373095652</v>
      </c>
      <c r="W146" s="15">
        <f t="shared" si="302"/>
        <v>56.366301980557566</v>
      </c>
      <c r="X146" s="15">
        <f t="shared" si="302"/>
        <v>57.493628020168721</v>
      </c>
      <c r="Y146" s="15">
        <f t="shared" si="302"/>
        <v>58.643500580572088</v>
      </c>
      <c r="Z146" s="15">
        <f t="shared" si="302"/>
        <v>59.816370592183539</v>
      </c>
      <c r="AA146" s="15">
        <f t="shared" si="302"/>
        <v>61.012698004027193</v>
      </c>
      <c r="AB146" s="15">
        <f t="shared" si="302"/>
        <v>62.232951964107755</v>
      </c>
      <c r="AC146" s="15">
        <f t="shared" si="302"/>
        <v>63.47761100338991</v>
      </c>
      <c r="AD146" s="15">
        <f t="shared" si="302"/>
        <v>64.74716322345769</v>
      </c>
      <c r="AE146" s="15">
        <f t="shared" si="302"/>
        <v>66.042106487926858</v>
      </c>
      <c r="AF146" s="15">
        <f t="shared" si="302"/>
        <v>67.36294861768539</v>
      </c>
      <c r="AG146" s="15">
        <f t="shared" si="302"/>
        <v>68.71020759003909</v>
      </c>
      <c r="AH146" s="15">
        <f t="shared" si="302"/>
        <v>70.084411741839887</v>
      </c>
      <c r="AI146" s="15">
        <f t="shared" si="302"/>
        <v>71.486099976676655</v>
      </c>
      <c r="AJ146" s="15">
        <f t="shared" si="302"/>
        <v>72.915821976210211</v>
      </c>
    </row>
    <row r="147" spans="1:36" x14ac:dyDescent="0.25">
      <c r="A147" t="s">
        <v>422</v>
      </c>
      <c r="F147" t="s">
        <v>570</v>
      </c>
      <c r="H147" t="s">
        <v>493</v>
      </c>
      <c r="I147" s="65" t="s">
        <v>368</v>
      </c>
      <c r="K147" s="27"/>
      <c r="L147" s="27">
        <f>INDEX('Cover Page'!$H$14:$W$14,MATCH($A147,'Cover Page'!$H$5:$W$5,0))</f>
        <v>680</v>
      </c>
      <c r="M147" s="27">
        <f>$L147*POWER(1+INDEX('Cover Page'!$H$17:$W$17,MATCH($A147,'Cover Page'!$H$5:$W$5,0)),M$12+1)</f>
        <v>693.6</v>
      </c>
      <c r="N147" s="27">
        <f>$L147*POWER(1+INDEX('Cover Page'!$H$17:$W$17,MATCH($A147,'Cover Page'!$H$5:$W$5,0)),N$12+1)</f>
        <v>707.47199999999998</v>
      </c>
      <c r="O147" s="27">
        <f>$L147*POWER(1+INDEX('Cover Page'!$H$17:$W$17,MATCH($A147,'Cover Page'!$H$5:$W$5,0)),O$12+1)</f>
        <v>721.62144000000001</v>
      </c>
      <c r="P147" s="27">
        <f>$L147*POWER(1+INDEX('Cover Page'!$H$17:$W$17,MATCH($A147,'Cover Page'!$H$5:$W$5,0)),P$12+1)</f>
        <v>736.05386880000003</v>
      </c>
      <c r="Q147" s="27">
        <f>$L147*POWER(1+INDEX('Cover Page'!$H$17:$W$17,MATCH($A147,'Cover Page'!$H$5:$W$5,0)),Q$12+1)</f>
        <v>750.77494617599996</v>
      </c>
      <c r="R147" s="27">
        <f>$L147*POWER(1+INDEX('Cover Page'!$H$17:$W$17,MATCH($A147,'Cover Page'!$H$5:$W$5,0)),R$12+1)</f>
        <v>765.79044509952007</v>
      </c>
      <c r="S147" s="27">
        <f>$L147*POWER(1+INDEX('Cover Page'!$H$17:$W$17,MATCH($A147,'Cover Page'!$H$5:$W$5,0)),S$12+1)</f>
        <v>781.10625400151025</v>
      </c>
      <c r="T147" s="27">
        <f>$L147*POWER(1+INDEX('Cover Page'!$H$17:$W$17,MATCH($A147,'Cover Page'!$H$5:$W$5,0)),T$12+1)</f>
        <v>796.72837908154054</v>
      </c>
      <c r="U147" s="27">
        <f>$L147*POWER(1+INDEX('Cover Page'!$H$17:$W$17,MATCH($A147,'Cover Page'!$H$5:$W$5,0)),U$12+1)</f>
        <v>812.6629466631714</v>
      </c>
      <c r="V147" s="27">
        <f>$L147*POWER(1+INDEX('Cover Page'!$H$17:$W$17,MATCH($A147,'Cover Page'!$H$5:$W$5,0)),V$12+1)</f>
        <v>828.91620559643479</v>
      </c>
      <c r="W147" s="27">
        <f>$L147*POWER(1+INDEX('Cover Page'!$H$17:$W$17,MATCH($A147,'Cover Page'!$H$5:$W$5,0)),W$12+1)</f>
        <v>845.49452970836342</v>
      </c>
      <c r="X147" s="27">
        <f>$L147*POWER(1+INDEX('Cover Page'!$H$17:$W$17,MATCH($A147,'Cover Page'!$H$5:$W$5,0)),X$12+1)</f>
        <v>862.40442030253075</v>
      </c>
      <c r="Y147" s="27">
        <f>$L147*POWER(1+INDEX('Cover Page'!$H$17:$W$17,MATCH($A147,'Cover Page'!$H$5:$W$5,0)),Y$12+1)</f>
        <v>879.65250870858131</v>
      </c>
      <c r="Z147" s="27">
        <f>$L147*POWER(1+INDEX('Cover Page'!$H$17:$W$17,MATCH($A147,'Cover Page'!$H$5:$W$5,0)),Z$12+1)</f>
        <v>897.24555888275302</v>
      </c>
      <c r="AA147" s="27">
        <f>$L147*POWER(1+INDEX('Cover Page'!$H$17:$W$17,MATCH($A147,'Cover Page'!$H$5:$W$5,0)),AA$12+1)</f>
        <v>915.19047006040785</v>
      </c>
      <c r="AB147" s="27">
        <f>$L147*POWER(1+INDEX('Cover Page'!$H$17:$W$17,MATCH($A147,'Cover Page'!$H$5:$W$5,0)),AB$12+1)</f>
        <v>933.4942794616162</v>
      </c>
      <c r="AC147" s="27">
        <f>$L147*POWER(1+INDEX('Cover Page'!$H$17:$W$17,MATCH($A147,'Cover Page'!$H$5:$W$5,0)),AC$12+1)</f>
        <v>952.16416505084862</v>
      </c>
      <c r="AD147" s="27">
        <f>$L147*POWER(1+INDEX('Cover Page'!$H$17:$W$17,MATCH($A147,'Cover Page'!$H$5:$W$5,0)),AD$12+1)</f>
        <v>971.20744835186542</v>
      </c>
      <c r="AE147" s="27">
        <f>$L147*POWER(1+INDEX('Cover Page'!$H$17:$W$17,MATCH($A147,'Cover Page'!$H$5:$W$5,0)),AE$12+1)</f>
        <v>990.63159731890278</v>
      </c>
      <c r="AF147" s="27">
        <f>$L147*POWER(1+INDEX('Cover Page'!$H$17:$W$17,MATCH($A147,'Cover Page'!$H$5:$W$5,0)),AF$12+1)</f>
        <v>1010.4442292652809</v>
      </c>
      <c r="AG147" s="27">
        <f>$L147*POWER(1+INDEX('Cover Page'!$H$17:$W$17,MATCH($A147,'Cover Page'!$H$5:$W$5,0)),AG$12+1)</f>
        <v>1030.6531138505864</v>
      </c>
      <c r="AH147" s="27">
        <f>$L147*POWER(1+INDEX('Cover Page'!$H$17:$W$17,MATCH($A147,'Cover Page'!$H$5:$W$5,0)),AH$12+1)</f>
        <v>1051.2661761275981</v>
      </c>
      <c r="AI147" s="27">
        <f>$L147*POWER(1+INDEX('Cover Page'!$H$17:$W$17,MATCH($A147,'Cover Page'!$H$5:$W$5,0)),AI$12+1)</f>
        <v>1072.2914996501499</v>
      </c>
      <c r="AJ147" s="27">
        <f>$L147*POWER(1+INDEX('Cover Page'!$H$17:$W$17,MATCH($A147,'Cover Page'!$H$5:$W$5,0)),AJ$12+1)</f>
        <v>1093.7373296431531</v>
      </c>
    </row>
    <row r="148" spans="1:36" x14ac:dyDescent="0.25">
      <c r="A148" t="s">
        <v>422</v>
      </c>
      <c r="H148" t="s">
        <v>493</v>
      </c>
      <c r="I148" s="65" t="s">
        <v>369</v>
      </c>
      <c r="K148" s="15"/>
      <c r="L148" s="15">
        <f t="shared" ref="L148:AJ148" si="303">L146/EXR*10^6</f>
        <v>1743.5897435897436</v>
      </c>
      <c r="M148" s="15">
        <f t="shared" si="303"/>
        <v>1778.4615384615388</v>
      </c>
      <c r="N148" s="15">
        <f t="shared" si="303"/>
        <v>1814.0307692307692</v>
      </c>
      <c r="O148" s="15">
        <f t="shared" si="303"/>
        <v>1850.3113846153849</v>
      </c>
      <c r="P148" s="15">
        <f t="shared" si="303"/>
        <v>1887.3176123076926</v>
      </c>
      <c r="Q148" s="15">
        <f t="shared" si="303"/>
        <v>1925.0639645538463</v>
      </c>
      <c r="R148" s="15">
        <f t="shared" si="303"/>
        <v>1963.5652438449235</v>
      </c>
      <c r="S148" s="15">
        <f t="shared" si="303"/>
        <v>2002.8365487218214</v>
      </c>
      <c r="T148" s="15">
        <f t="shared" si="303"/>
        <v>2042.8932796962579</v>
      </c>
      <c r="U148" s="15">
        <f t="shared" si="303"/>
        <v>2083.7511452901831</v>
      </c>
      <c r="V148" s="15">
        <f t="shared" si="303"/>
        <v>2125.426168195987</v>
      </c>
      <c r="W148" s="15">
        <f t="shared" si="303"/>
        <v>2167.9346915599062</v>
      </c>
      <c r="X148" s="15">
        <f t="shared" si="303"/>
        <v>2211.2933853911045</v>
      </c>
      <c r="Y148" s="15">
        <f t="shared" si="303"/>
        <v>2255.5192530989266</v>
      </c>
      <c r="Z148" s="15">
        <f t="shared" si="303"/>
        <v>2300.6296381609054</v>
      </c>
      <c r="AA148" s="15">
        <f t="shared" si="303"/>
        <v>2346.6422309241225</v>
      </c>
      <c r="AB148" s="15">
        <f t="shared" si="303"/>
        <v>2393.5750755426056</v>
      </c>
      <c r="AC148" s="15">
        <f t="shared" si="303"/>
        <v>2441.4465770534584</v>
      </c>
      <c r="AD148" s="15">
        <f t="shared" si="303"/>
        <v>2490.2755085945264</v>
      </c>
      <c r="AE148" s="15">
        <f t="shared" si="303"/>
        <v>2540.0810187664179</v>
      </c>
      <c r="AF148" s="15">
        <f t="shared" si="303"/>
        <v>2590.8826391417456</v>
      </c>
      <c r="AG148" s="15">
        <f t="shared" si="303"/>
        <v>2642.7002919245806</v>
      </c>
      <c r="AH148" s="15">
        <f t="shared" si="303"/>
        <v>2695.5542977630726</v>
      </c>
      <c r="AI148" s="15">
        <f t="shared" si="303"/>
        <v>2749.4653837183328</v>
      </c>
      <c r="AJ148" s="15">
        <f t="shared" si="303"/>
        <v>2804.4546913927006</v>
      </c>
    </row>
    <row r="149" spans="1:36" x14ac:dyDescent="0.25">
      <c r="A149" t="s">
        <v>422</v>
      </c>
      <c r="H149" t="s">
        <v>493</v>
      </c>
      <c r="I149" s="65" t="s">
        <v>494</v>
      </c>
      <c r="K149" s="15"/>
      <c r="L149" s="15">
        <f t="shared" ref="L149:AJ149" si="304">L147*1000/EXR</f>
        <v>26.153846153846153</v>
      </c>
      <c r="M149" s="15">
        <f t="shared" si="304"/>
        <v>26.676923076923078</v>
      </c>
      <c r="N149" s="15">
        <f t="shared" si="304"/>
        <v>27.210461538461537</v>
      </c>
      <c r="O149" s="15">
        <f t="shared" si="304"/>
        <v>27.754670769230771</v>
      </c>
      <c r="P149" s="15">
        <f t="shared" si="304"/>
        <v>28.309764184615386</v>
      </c>
      <c r="Q149" s="15">
        <f t="shared" si="304"/>
        <v>28.875959468307691</v>
      </c>
      <c r="R149" s="15">
        <f t="shared" si="304"/>
        <v>29.453478657673848</v>
      </c>
      <c r="S149" s="15">
        <f t="shared" si="304"/>
        <v>30.042548230827315</v>
      </c>
      <c r="T149" s="15">
        <f t="shared" si="304"/>
        <v>30.643399195443866</v>
      </c>
      <c r="U149" s="15">
        <f t="shared" si="304"/>
        <v>31.256267179352747</v>
      </c>
      <c r="V149" s="15">
        <f t="shared" si="304"/>
        <v>31.881392522939798</v>
      </c>
      <c r="W149" s="15">
        <f t="shared" si="304"/>
        <v>32.519020373398597</v>
      </c>
      <c r="X149" s="15">
        <f t="shared" si="304"/>
        <v>33.169400780866567</v>
      </c>
      <c r="Y149" s="15">
        <f t="shared" si="304"/>
        <v>33.832788796483896</v>
      </c>
      <c r="Z149" s="15">
        <f t="shared" si="304"/>
        <v>34.509444572413578</v>
      </c>
      <c r="AA149" s="15">
        <f t="shared" si="304"/>
        <v>35.199633463861844</v>
      </c>
      <c r="AB149" s="15">
        <f t="shared" si="304"/>
        <v>35.903626133139085</v>
      </c>
      <c r="AC149" s="15">
        <f t="shared" si="304"/>
        <v>36.621698655801872</v>
      </c>
      <c r="AD149" s="15">
        <f t="shared" si="304"/>
        <v>37.354132628917903</v>
      </c>
      <c r="AE149" s="15">
        <f t="shared" si="304"/>
        <v>38.101215281496259</v>
      </c>
      <c r="AF149" s="15">
        <f t="shared" si="304"/>
        <v>38.863239587126188</v>
      </c>
      <c r="AG149" s="15">
        <f t="shared" si="304"/>
        <v>39.640504378868705</v>
      </c>
      <c r="AH149" s="15">
        <f t="shared" si="304"/>
        <v>40.433314466446085</v>
      </c>
      <c r="AI149" s="15">
        <f t="shared" si="304"/>
        <v>41.241980755774996</v>
      </c>
      <c r="AJ149" s="15">
        <f t="shared" si="304"/>
        <v>42.066820370890504</v>
      </c>
    </row>
    <row r="150" spans="1:36" x14ac:dyDescent="0.25">
      <c r="A150" t="s">
        <v>422</v>
      </c>
    </row>
    <row r="151" spans="1:36" s="16" customFormat="1" x14ac:dyDescent="0.25">
      <c r="A151" s="16" t="s">
        <v>422</v>
      </c>
      <c r="D151" s="16" t="s">
        <v>723</v>
      </c>
      <c r="H151" s="270" t="s">
        <v>497</v>
      </c>
      <c r="I151" s="271" t="str">
        <f>IF($H$9="USD","USD","tr. VND")</f>
        <v>tr. VND</v>
      </c>
      <c r="K151" s="270"/>
      <c r="L151" s="272">
        <f t="shared" ref="L151:AJ151" si="305">IF($H$9="USD",L148*L27/10^3,L146*L27/10^3)</f>
        <v>140401.29945600001</v>
      </c>
      <c r="M151" s="272">
        <f t="shared" si="305"/>
        <v>200493.05562316801</v>
      </c>
      <c r="N151" s="272">
        <f t="shared" si="305"/>
        <v>292147.02390804479</v>
      </c>
      <c r="O151" s="272">
        <f t="shared" si="305"/>
        <v>297989.96438620571</v>
      </c>
      <c r="P151" s="272">
        <f t="shared" si="305"/>
        <v>303949.76367392979</v>
      </c>
      <c r="Q151" s="272">
        <f t="shared" si="305"/>
        <v>310028.75894740841</v>
      </c>
      <c r="R151" s="272">
        <f t="shared" si="305"/>
        <v>316229.33412635658</v>
      </c>
      <c r="S151" s="272">
        <f t="shared" si="305"/>
        <v>322553.92080888367</v>
      </c>
      <c r="T151" s="272">
        <f t="shared" si="305"/>
        <v>329004.99922506133</v>
      </c>
      <c r="U151" s="272">
        <f t="shared" si="305"/>
        <v>335585.09920956258</v>
      </c>
      <c r="V151" s="272">
        <f t="shared" si="305"/>
        <v>342296.80119375384</v>
      </c>
      <c r="W151" s="272">
        <f t="shared" si="305"/>
        <v>349142.73721762892</v>
      </c>
      <c r="X151" s="272">
        <f t="shared" si="305"/>
        <v>356125.5919619815</v>
      </c>
      <c r="Y151" s="272">
        <f t="shared" si="305"/>
        <v>363248.10380122106</v>
      </c>
      <c r="Z151" s="272">
        <f t="shared" si="305"/>
        <v>370513.06587724556</v>
      </c>
      <c r="AA151" s="272">
        <f t="shared" si="305"/>
        <v>377923.32719479036</v>
      </c>
      <c r="AB151" s="272">
        <f t="shared" si="305"/>
        <v>385481.79373868631</v>
      </c>
      <c r="AC151" s="272">
        <f t="shared" si="305"/>
        <v>393191.42961346003</v>
      </c>
      <c r="AD151" s="272">
        <f t="shared" si="305"/>
        <v>401055.25820572913</v>
      </c>
      <c r="AE151" s="272">
        <f t="shared" si="305"/>
        <v>409076.36336984381</v>
      </c>
      <c r="AF151" s="272">
        <f t="shared" si="305"/>
        <v>417257.89063724066</v>
      </c>
      <c r="AG151" s="272">
        <f t="shared" si="305"/>
        <v>425603.04844998539</v>
      </c>
      <c r="AH151" s="272">
        <f t="shared" si="305"/>
        <v>434115.1094189852</v>
      </c>
      <c r="AI151" s="272">
        <f t="shared" si="305"/>
        <v>442797.41160736472</v>
      </c>
      <c r="AJ151" s="272">
        <f t="shared" si="305"/>
        <v>451653.35983951209</v>
      </c>
    </row>
    <row r="152" spans="1:36" x14ac:dyDescent="0.25">
      <c r="A152" t="s">
        <v>422</v>
      </c>
    </row>
    <row r="153" spans="1:36" s="1" customFormat="1" x14ac:dyDescent="0.25">
      <c r="A153" s="1" t="s">
        <v>422</v>
      </c>
      <c r="H153" s="266" t="s">
        <v>495</v>
      </c>
      <c r="I153" s="267" t="str">
        <f>IF($H$9="USD","USD","tr. VND")</f>
        <v>tr. VND</v>
      </c>
      <c r="K153" s="266"/>
      <c r="L153" s="269">
        <f>L151+L67</f>
        <v>-13232.409637160104</v>
      </c>
      <c r="M153" s="269">
        <f t="shared" ref="M153:AJ153" si="306">M151+M67</f>
        <v>9614.9418152061116</v>
      </c>
      <c r="N153" s="269">
        <f t="shared" si="306"/>
        <v>40037.155984166777</v>
      </c>
      <c r="O153" s="269">
        <f t="shared" si="306"/>
        <v>40595.491157183249</v>
      </c>
      <c r="P153" s="269">
        <f t="shared" si="306"/>
        <v>41111.768292667868</v>
      </c>
      <c r="Q153" s="269">
        <f t="shared" si="306"/>
        <v>41582.663607614115</v>
      </c>
      <c r="R153" s="269">
        <f t="shared" si="306"/>
        <v>42004.675215277821</v>
      </c>
      <c r="S153" s="269">
        <f t="shared" si="306"/>
        <v>42374.114856911649</v>
      </c>
      <c r="T153" s="269">
        <f t="shared" si="306"/>
        <v>42687.099294088432</v>
      </c>
      <c r="U153" s="269">
        <f t="shared" si="306"/>
        <v>42939.541350413347</v>
      </c>
      <c r="V153" s="269">
        <f t="shared" si="306"/>
        <v>43127.140591277566</v>
      </c>
      <c r="W153" s="269">
        <f t="shared" si="306"/>
        <v>43245.373630184447</v>
      </c>
      <c r="X153" s="269">
        <f t="shared" si="306"/>
        <v>69354.466716750001</v>
      </c>
      <c r="Y153" s="269">
        <f t="shared" si="306"/>
        <v>69319.45459474111</v>
      </c>
      <c r="Z153" s="269">
        <f t="shared" si="306"/>
        <v>69200.065618484106</v>
      </c>
      <c r="AA153" s="269">
        <f t="shared" si="306"/>
        <v>68990.779782637022</v>
      </c>
      <c r="AB153" s="269">
        <f t="shared" si="306"/>
        <v>68685.799653702357</v>
      </c>
      <c r="AC153" s="269">
        <f t="shared" si="306"/>
        <v>68279.038191735221</v>
      </c>
      <c r="AD153" s="269">
        <f t="shared" si="306"/>
        <v>67764.106117519841</v>
      </c>
      <c r="AE153" s="269">
        <f t="shared" si="306"/>
        <v>67134.298814005975</v>
      </c>
      <c r="AF153" s="269">
        <f t="shared" si="306"/>
        <v>66382.582751066016</v>
      </c>
      <c r="AG153" s="269">
        <f t="shared" si="306"/>
        <v>65501.581422962423</v>
      </c>
      <c r="AH153" s="269">
        <f t="shared" si="306"/>
        <v>64483.56078832387</v>
      </c>
      <c r="AI153" s="269">
        <f t="shared" si="306"/>
        <v>63320.414202926506</v>
      </c>
      <c r="AJ153" s="269">
        <f t="shared" si="306"/>
        <v>62003.6468361718</v>
      </c>
    </row>
    <row r="154" spans="1:36" s="146" customFormat="1" x14ac:dyDescent="0.25">
      <c r="A154" s="146" t="s">
        <v>422</v>
      </c>
      <c r="H154" s="146" t="s">
        <v>496</v>
      </c>
      <c r="I154" s="144"/>
      <c r="L154" s="147">
        <f>IFERROR(L153/L151,0)</f>
        <v>-9.4247059595819305E-2</v>
      </c>
      <c r="M154" s="147">
        <f t="shared" ref="M154:Z154" si="307">IFERROR(M153/M151,0)</f>
        <v>4.7956483007958385E-2</v>
      </c>
      <c r="N154" s="147">
        <f t="shared" si="307"/>
        <v>0.13704454506703698</v>
      </c>
      <c r="O154" s="147">
        <f t="shared" si="307"/>
        <v>0.13623106818647768</v>
      </c>
      <c r="P154" s="147">
        <f t="shared" si="307"/>
        <v>0.13525843151097697</v>
      </c>
      <c r="Q154" s="147">
        <f t="shared" si="307"/>
        <v>0.13412518164054571</v>
      </c>
      <c r="R154" s="147">
        <f t="shared" si="307"/>
        <v>0.13282978737985737</v>
      </c>
      <c r="S154" s="147">
        <f t="shared" si="307"/>
        <v>0.13137063952175215</v>
      </c>
      <c r="T154" s="147">
        <f t="shared" si="307"/>
        <v>0.12974605065161218</v>
      </c>
      <c r="U154" s="147">
        <f t="shared" si="307"/>
        <v>0.12795425497602003</v>
      </c>
      <c r="V154" s="147">
        <f t="shared" si="307"/>
        <v>0.12599340817931237</v>
      </c>
      <c r="W154" s="147">
        <f t="shared" si="307"/>
        <v>0.12386158731186375</v>
      </c>
      <c r="X154" s="147">
        <f t="shared" si="307"/>
        <v>0.19474721357333397</v>
      </c>
      <c r="Y154" s="147">
        <f t="shared" si="307"/>
        <v>0.1908322545096465</v>
      </c>
      <c r="Z154" s="147">
        <f t="shared" si="307"/>
        <v>0.1867682195083796</v>
      </c>
      <c r="AA154" s="147">
        <f t="shared" ref="AA154" si="308">IFERROR(AA153/AA151,0)</f>
        <v>0.18255231899743937</v>
      </c>
      <c r="AB154" s="147">
        <f t="shared" ref="AB154" si="309">IFERROR(AB153/AB151,0)</f>
        <v>0.17818169565814482</v>
      </c>
      <c r="AC154" s="147">
        <f t="shared" ref="AC154" si="310">IFERROR(AC153/AC151,0)</f>
        <v>0.17365342438633316</v>
      </c>
      <c r="AD154" s="147">
        <f t="shared" ref="AD154" si="311">IFERROR(AD153/AD151,0)</f>
        <v>0.16896451232353352</v>
      </c>
      <c r="AE154" s="147">
        <f t="shared" ref="AE154" si="312">IFERROR(AE153/AE151,0)</f>
        <v>0.16411189896422884</v>
      </c>
      <c r="AF154" s="147">
        <f t="shared" ref="AF154" si="313">IFERROR(AF153/AF151,0)</f>
        <v>0.15909245634560878</v>
      </c>
      <c r="AG154" s="147">
        <f t="shared" ref="AG154" si="314">IFERROR(AG153/AG151,0)</f>
        <v>0.15390298932659036</v>
      </c>
      <c r="AH154" s="147">
        <f t="shared" ref="AH154" si="315">IFERROR(AH153/AH151,0)</f>
        <v>0.14854023596328619</v>
      </c>
      <c r="AI154" s="147">
        <f t="shared" ref="AI154" si="316">IFERROR(AI153/AI151,0)</f>
        <v>0.14300086798852765</v>
      </c>
      <c r="AJ154" s="147">
        <f t="shared" ref="AJ154" si="317">IFERROR(AJ153/AJ151,0)</f>
        <v>0.13728149140350426</v>
      </c>
    </row>
    <row r="155" spans="1:36" x14ac:dyDescent="0.25">
      <c r="A155" t="s">
        <v>422</v>
      </c>
    </row>
    <row r="156" spans="1:36" s="16" customFormat="1" x14ac:dyDescent="0.25">
      <c r="A156" s="16" t="s">
        <v>422</v>
      </c>
      <c r="D156" s="16" t="s">
        <v>488</v>
      </c>
      <c r="H156" s="270" t="s">
        <v>488</v>
      </c>
      <c r="I156" s="271" t="str">
        <f>IF($H$9="USD","USD","tr. VND")</f>
        <v>tr. VND</v>
      </c>
      <c r="K156" s="270"/>
      <c r="L156" s="272">
        <f t="shared" ref="L156:AJ156" si="318">L153*(1-Tax_rate)</f>
        <v>-10585.927709728085</v>
      </c>
      <c r="M156" s="272">
        <f t="shared" si="318"/>
        <v>7691.9534521648893</v>
      </c>
      <c r="N156" s="272">
        <f t="shared" si="318"/>
        <v>32029.724787333424</v>
      </c>
      <c r="O156" s="272">
        <f t="shared" si="318"/>
        <v>32476.392925746601</v>
      </c>
      <c r="P156" s="272">
        <f t="shared" si="318"/>
        <v>32889.414634134293</v>
      </c>
      <c r="Q156" s="272">
        <f t="shared" si="318"/>
        <v>33266.13088609129</v>
      </c>
      <c r="R156" s="272">
        <f t="shared" si="318"/>
        <v>33603.740172222257</v>
      </c>
      <c r="S156" s="272">
        <f t="shared" si="318"/>
        <v>33899.291885529317</v>
      </c>
      <c r="T156" s="272">
        <f t="shared" si="318"/>
        <v>34149.679435270744</v>
      </c>
      <c r="U156" s="272">
        <f t="shared" si="318"/>
        <v>34351.633080330677</v>
      </c>
      <c r="V156" s="272">
        <f t="shared" si="318"/>
        <v>34501.712473022053</v>
      </c>
      <c r="W156" s="272">
        <f t="shared" si="318"/>
        <v>34596.298904147559</v>
      </c>
      <c r="X156" s="272">
        <f t="shared" si="318"/>
        <v>55483.573373400002</v>
      </c>
      <c r="Y156" s="272">
        <f t="shared" si="318"/>
        <v>55455.563675792888</v>
      </c>
      <c r="Z156" s="272">
        <f t="shared" si="318"/>
        <v>55360.052494787291</v>
      </c>
      <c r="AA156" s="272">
        <f t="shared" si="318"/>
        <v>55192.623826109622</v>
      </c>
      <c r="AB156" s="272">
        <f t="shared" si="318"/>
        <v>54948.639722961889</v>
      </c>
      <c r="AC156" s="272">
        <f t="shared" si="318"/>
        <v>54623.230553388181</v>
      </c>
      <c r="AD156" s="272">
        <f t="shared" si="318"/>
        <v>54211.284894015873</v>
      </c>
      <c r="AE156" s="272">
        <f t="shared" si="318"/>
        <v>53707.439051204783</v>
      </c>
      <c r="AF156" s="272">
        <f t="shared" si="318"/>
        <v>53106.066200852816</v>
      </c>
      <c r="AG156" s="272">
        <f t="shared" si="318"/>
        <v>52401.265138369941</v>
      </c>
      <c r="AH156" s="272">
        <f t="shared" si="318"/>
        <v>51586.8486306591</v>
      </c>
      <c r="AI156" s="272">
        <f t="shared" si="318"/>
        <v>50656.33136234121</v>
      </c>
      <c r="AJ156" s="272">
        <f t="shared" si="318"/>
        <v>49602.917468937441</v>
      </c>
    </row>
    <row r="157" spans="1:36" s="146" customFormat="1" x14ac:dyDescent="0.25">
      <c r="A157" s="146" t="s">
        <v>422</v>
      </c>
      <c r="H157" s="146" t="s">
        <v>489</v>
      </c>
      <c r="I157" s="144"/>
      <c r="L157" s="147">
        <f>IFERROR(L156/L151,0)</f>
        <v>-7.5397647676655452E-2</v>
      </c>
      <c r="M157" s="147">
        <f t="shared" ref="M157:Z157" si="319">IFERROR(M156/M151,0)</f>
        <v>3.8365186406366707E-2</v>
      </c>
      <c r="N157" s="147">
        <f t="shared" si="319"/>
        <v>0.1096356360536296</v>
      </c>
      <c r="O157" s="147">
        <f t="shared" si="319"/>
        <v>0.10898485454918215</v>
      </c>
      <c r="P157" s="147">
        <f t="shared" si="319"/>
        <v>0.10820674520878157</v>
      </c>
      <c r="Q157" s="147">
        <f t="shared" si="319"/>
        <v>0.10730014531243656</v>
      </c>
      <c r="R157" s="147">
        <f t="shared" si="319"/>
        <v>0.1062638299038859</v>
      </c>
      <c r="S157" s="147">
        <f t="shared" si="319"/>
        <v>0.10509651161740172</v>
      </c>
      <c r="T157" s="147">
        <f t="shared" si="319"/>
        <v>0.10379684052128973</v>
      </c>
      <c r="U157" s="147">
        <f t="shared" si="319"/>
        <v>0.10236340398081602</v>
      </c>
      <c r="V157" s="147">
        <f t="shared" si="319"/>
        <v>0.1007947265434499</v>
      </c>
      <c r="W157" s="147">
        <f t="shared" si="319"/>
        <v>9.9089269849491013E-2</v>
      </c>
      <c r="X157" s="147">
        <f t="shared" si="319"/>
        <v>0.15579777085866719</v>
      </c>
      <c r="Y157" s="147">
        <f t="shared" si="319"/>
        <v>0.1526658036077172</v>
      </c>
      <c r="Z157" s="147">
        <f t="shared" si="319"/>
        <v>0.14941457560670368</v>
      </c>
      <c r="AA157" s="147">
        <f t="shared" ref="AA157" si="320">IFERROR(AA156/AA151,0)</f>
        <v>0.14604185519795151</v>
      </c>
      <c r="AB157" s="147">
        <f t="shared" ref="AB157" si="321">IFERROR(AB156/AB151,0)</f>
        <v>0.14254535652651587</v>
      </c>
      <c r="AC157" s="147">
        <f t="shared" ref="AC157" si="322">IFERROR(AC156/AC151,0)</f>
        <v>0.13892273950906656</v>
      </c>
      <c r="AD157" s="147">
        <f t="shared" ref="AD157" si="323">IFERROR(AD156/AD151,0)</f>
        <v>0.13517160985882681</v>
      </c>
      <c r="AE157" s="147">
        <f t="shared" ref="AE157" si="324">IFERROR(AE156/AE151,0)</f>
        <v>0.1312895191713831</v>
      </c>
      <c r="AF157" s="147">
        <f t="shared" ref="AF157" si="325">IFERROR(AF156/AF151,0)</f>
        <v>0.12727396507648703</v>
      </c>
      <c r="AG157" s="147">
        <f t="shared" ref="AG157" si="326">IFERROR(AG156/AG151,0)</f>
        <v>0.1231223914612723</v>
      </c>
      <c r="AH157" s="147">
        <f t="shared" ref="AH157" si="327">IFERROR(AH156/AH151,0)</f>
        <v>0.11883218877062897</v>
      </c>
      <c r="AI157" s="147">
        <f t="shared" ref="AI157" si="328">IFERROR(AI156/AI151,0)</f>
        <v>0.11440069439082214</v>
      </c>
      <c r="AJ157" s="147">
        <f t="shared" ref="AJ157" si="329">IFERROR(AJ156/AJ151,0)</f>
        <v>0.10982519312280342</v>
      </c>
    </row>
    <row r="158" spans="1:36" x14ac:dyDescent="0.25">
      <c r="A158" t="s">
        <v>422</v>
      </c>
    </row>
    <row r="159" spans="1:36" s="16" customFormat="1" x14ac:dyDescent="0.25">
      <c r="A159" s="16" t="s">
        <v>422</v>
      </c>
      <c r="H159" s="270" t="s">
        <v>477</v>
      </c>
      <c r="I159" s="271" t="str">
        <f>IF($H$9="USD","USD","tr. VND")</f>
        <v>tr. VND</v>
      </c>
      <c r="K159" s="272">
        <f>SUM(K161:K164)</f>
        <v>-300749.80000000005</v>
      </c>
      <c r="L159" s="272">
        <f t="shared" ref="L159:Z159" si="330">SUM(L161:L164)</f>
        <v>0</v>
      </c>
      <c r="M159" s="272">
        <f t="shared" si="330"/>
        <v>0</v>
      </c>
      <c r="N159" s="272">
        <f t="shared" si="330"/>
        <v>0</v>
      </c>
      <c r="O159" s="272">
        <f t="shared" si="330"/>
        <v>0</v>
      </c>
      <c r="P159" s="272">
        <f t="shared" si="330"/>
        <v>0</v>
      </c>
      <c r="Q159" s="272">
        <f t="shared" si="330"/>
        <v>0</v>
      </c>
      <c r="R159" s="272">
        <f t="shared" si="330"/>
        <v>0</v>
      </c>
      <c r="S159" s="272">
        <f t="shared" si="330"/>
        <v>0</v>
      </c>
      <c r="T159" s="272">
        <f t="shared" si="330"/>
        <v>0</v>
      </c>
      <c r="U159" s="272">
        <f t="shared" si="330"/>
        <v>0</v>
      </c>
      <c r="V159" s="272">
        <f t="shared" si="330"/>
        <v>0</v>
      </c>
      <c r="W159" s="272">
        <f t="shared" si="330"/>
        <v>0</v>
      </c>
      <c r="X159" s="272">
        <f t="shared" si="330"/>
        <v>0</v>
      </c>
      <c r="Y159" s="272">
        <f t="shared" si="330"/>
        <v>0</v>
      </c>
      <c r="Z159" s="272">
        <f t="shared" si="330"/>
        <v>0</v>
      </c>
      <c r="AA159" s="272">
        <f t="shared" ref="AA159:AJ159" si="331">SUM(AA161:AA164)</f>
        <v>0</v>
      </c>
      <c r="AB159" s="272">
        <f t="shared" si="331"/>
        <v>0</v>
      </c>
      <c r="AC159" s="272">
        <f t="shared" si="331"/>
        <v>0</v>
      </c>
      <c r="AD159" s="272">
        <f t="shared" si="331"/>
        <v>0</v>
      </c>
      <c r="AE159" s="272">
        <f t="shared" si="331"/>
        <v>0</v>
      </c>
      <c r="AF159" s="272">
        <f t="shared" si="331"/>
        <v>0</v>
      </c>
      <c r="AG159" s="272">
        <f t="shared" si="331"/>
        <v>0</v>
      </c>
      <c r="AH159" s="272">
        <f t="shared" si="331"/>
        <v>0</v>
      </c>
      <c r="AI159" s="272">
        <f t="shared" si="331"/>
        <v>0</v>
      </c>
      <c r="AJ159" s="272">
        <f t="shared" si="331"/>
        <v>0</v>
      </c>
    </row>
    <row r="160" spans="1:36" x14ac:dyDescent="0.25">
      <c r="A160" t="s">
        <v>422</v>
      </c>
    </row>
    <row r="161" spans="1:36" x14ac:dyDescent="0.25">
      <c r="A161" t="s">
        <v>422</v>
      </c>
      <c r="B161" t="s">
        <v>480</v>
      </c>
      <c r="H161" s="459" t="s">
        <v>30</v>
      </c>
      <c r="I161" s="494" t="str">
        <f t="shared" ref="I161:I164" si="332">IF($H$9="USD","USD","tr. VND")</f>
        <v>tr. VND</v>
      </c>
      <c r="K161" s="461" cm="1">
        <f t="array" ref="K161">-SUMPRODUCT('W1'!$H$10:$AI$60*('W1'!$A$10:$A$60=$B161)*('W1'!$H$7:$AI$7="Giá trị đầu tư")*('W1'!$H$6:$AI$6=$A161))*$H$10</f>
        <v>-246389.00000000003</v>
      </c>
      <c r="L161" s="461"/>
      <c r="M161" s="461"/>
      <c r="N161" s="461"/>
      <c r="O161" s="461"/>
      <c r="P161" s="461"/>
      <c r="Q161" s="461"/>
      <c r="R161" s="461"/>
      <c r="S161" s="461"/>
      <c r="T161" s="461"/>
      <c r="U161" s="461"/>
      <c r="V161" s="461"/>
      <c r="W161" s="461"/>
      <c r="X161" s="461"/>
      <c r="Y161" s="461"/>
      <c r="Z161" s="461"/>
      <c r="AA161" s="461"/>
      <c r="AB161" s="461"/>
      <c r="AC161" s="461"/>
      <c r="AD161" s="461"/>
      <c r="AE161" s="461"/>
      <c r="AF161" s="461"/>
      <c r="AG161" s="461"/>
      <c r="AH161" s="461"/>
      <c r="AI161" s="461"/>
      <c r="AJ161" s="461"/>
    </row>
    <row r="162" spans="1:36" x14ac:dyDescent="0.25">
      <c r="A162" t="s">
        <v>422</v>
      </c>
      <c r="B162" t="s">
        <v>481</v>
      </c>
      <c r="H162" s="454" t="s">
        <v>32</v>
      </c>
      <c r="I162" s="497" t="str">
        <f t="shared" si="332"/>
        <v>tr. VND</v>
      </c>
      <c r="K162" s="457" cm="1">
        <f t="array" ref="K162">-SUMPRODUCT('W1'!$H$10:$AI$60*('W1'!$A$10:$A$60=$B162)*('W1'!$H$7:$AI$7="Giá trị đầu tư")*('W1'!$H$6:$AI$6=$A162))*$H$10</f>
        <v>-38110.799999999996</v>
      </c>
      <c r="L162" s="457"/>
      <c r="M162" s="457"/>
      <c r="N162" s="457"/>
      <c r="O162" s="457"/>
      <c r="P162" s="457"/>
      <c r="Q162" s="457"/>
      <c r="R162" s="457"/>
      <c r="S162" s="457"/>
      <c r="T162" s="457"/>
      <c r="U162" s="457"/>
      <c r="V162" s="457"/>
      <c r="W162" s="457"/>
      <c r="X162" s="457"/>
      <c r="Y162" s="457"/>
      <c r="Z162" s="457"/>
      <c r="AA162" s="457"/>
      <c r="AB162" s="457"/>
      <c r="AC162" s="457"/>
      <c r="AD162" s="457"/>
      <c r="AE162" s="457"/>
      <c r="AF162" s="457"/>
      <c r="AG162" s="457"/>
      <c r="AH162" s="457"/>
      <c r="AI162" s="457"/>
      <c r="AJ162" s="457"/>
    </row>
    <row r="163" spans="1:36" x14ac:dyDescent="0.25">
      <c r="A163" t="s">
        <v>422</v>
      </c>
      <c r="B163" t="s">
        <v>482</v>
      </c>
      <c r="H163" s="454" t="s">
        <v>478</v>
      </c>
      <c r="I163" s="497" t="str">
        <f t="shared" si="332"/>
        <v>tr. VND</v>
      </c>
      <c r="K163" s="457" cm="1">
        <f t="array" ref="K163">-SUMPRODUCT('W1'!$H$10:$AI$60*('W1'!$A$10:$A$60=$B163)*('W1'!$H$7:$AI$7="Giá trị đầu tư")*('W1'!$H$6:$AI$6=$A163))*$H$10</f>
        <v>0</v>
      </c>
      <c r="L163" s="457"/>
      <c r="M163" s="457"/>
      <c r="N163" s="457"/>
      <c r="O163" s="457"/>
      <c r="P163" s="457"/>
      <c r="Q163" s="457"/>
      <c r="R163" s="457"/>
      <c r="S163" s="457"/>
      <c r="T163" s="457"/>
      <c r="U163" s="457"/>
      <c r="V163" s="457"/>
      <c r="W163" s="457"/>
      <c r="X163" s="457"/>
      <c r="Y163" s="457"/>
      <c r="Z163" s="457"/>
      <c r="AA163" s="457"/>
      <c r="AB163" s="457"/>
      <c r="AC163" s="457"/>
      <c r="AD163" s="457"/>
      <c r="AE163" s="457"/>
      <c r="AF163" s="457"/>
      <c r="AG163" s="457"/>
      <c r="AH163" s="457"/>
      <c r="AI163" s="457"/>
      <c r="AJ163" s="457"/>
    </row>
    <row r="164" spans="1:36" x14ac:dyDescent="0.25">
      <c r="A164" t="s">
        <v>422</v>
      </c>
      <c r="B164" t="s">
        <v>483</v>
      </c>
      <c r="H164" s="454" t="s">
        <v>479</v>
      </c>
      <c r="I164" s="497" t="str">
        <f t="shared" si="332"/>
        <v>tr. VND</v>
      </c>
      <c r="K164" s="457" cm="1">
        <f t="array" ref="K164">-SUMPRODUCT('W1'!$H$10:$AI$60*('W1'!$A$10:$A$60=$B164)*('W1'!$H$7:$AI$7="Giá trị đầu tư")*('W1'!$H$6:$AI$6=$A164))*$H$10</f>
        <v>-16250</v>
      </c>
      <c r="L164" s="457"/>
      <c r="M164" s="457"/>
      <c r="N164" s="457"/>
      <c r="O164" s="457"/>
      <c r="P164" s="457"/>
      <c r="Q164" s="457"/>
      <c r="R164" s="457"/>
      <c r="S164" s="457"/>
      <c r="T164" s="457"/>
      <c r="U164" s="457"/>
      <c r="V164" s="457"/>
      <c r="W164" s="457"/>
      <c r="X164" s="457"/>
      <c r="Y164" s="457"/>
      <c r="Z164" s="457"/>
      <c r="AA164" s="457"/>
      <c r="AB164" s="457"/>
      <c r="AC164" s="457"/>
      <c r="AD164" s="457"/>
      <c r="AE164" s="457"/>
      <c r="AF164" s="457"/>
      <c r="AG164" s="457"/>
      <c r="AH164" s="457"/>
      <c r="AI164" s="457"/>
      <c r="AJ164" s="457"/>
    </row>
    <row r="165" spans="1:36" x14ac:dyDescent="0.25">
      <c r="A165" t="s">
        <v>422</v>
      </c>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spans="1:36" s="16" customFormat="1" x14ac:dyDescent="0.25">
      <c r="A166" s="16" t="s">
        <v>422</v>
      </c>
      <c r="H166" s="270" t="s">
        <v>498</v>
      </c>
      <c r="I166" s="271" t="str">
        <f>IF($H$9="USD","USD","tr. VND")</f>
        <v>tr. VND</v>
      </c>
      <c r="K166" s="272">
        <f>K159</f>
        <v>-300749.80000000005</v>
      </c>
      <c r="L166" s="272">
        <f t="shared" ref="L166:AJ166" si="333">L151+L67-(L39+L65)</f>
        <v>26566.813896173233</v>
      </c>
      <c r="M166" s="272">
        <f t="shared" si="333"/>
        <v>49258.156270343832</v>
      </c>
      <c r="N166" s="272">
        <f t="shared" si="333"/>
        <v>79513.440725635184</v>
      </c>
      <c r="O166" s="272">
        <f t="shared" si="333"/>
        <v>79893.161105025501</v>
      </c>
      <c r="P166" s="272">
        <f t="shared" si="333"/>
        <v>80218.320411330133</v>
      </c>
      <c r="Q166" s="272">
        <f t="shared" si="333"/>
        <v>80484.71964905379</v>
      </c>
      <c r="R166" s="272">
        <f t="shared" si="333"/>
        <v>80687.920454089326</v>
      </c>
      <c r="S166" s="272">
        <f t="shared" si="333"/>
        <v>80823.232536911004</v>
      </c>
      <c r="T166" s="272">
        <f t="shared" si="333"/>
        <v>80885.700486158807</v>
      </c>
      <c r="U166" s="272">
        <f t="shared" si="333"/>
        <v>80870.089900399704</v>
      </c>
      <c r="V166" s="272">
        <f t="shared" si="333"/>
        <v>80770.872814234011</v>
      </c>
      <c r="W166" s="272">
        <f t="shared" si="333"/>
        <v>80582.212383218895</v>
      </c>
      <c r="X166" s="272">
        <f t="shared" si="333"/>
        <v>81300.446123634581</v>
      </c>
      <c r="Y166" s="272">
        <f t="shared" si="333"/>
        <v>80914.071667911994</v>
      </c>
      <c r="Z166" s="272">
        <f t="shared" si="333"/>
        <v>80418.724994581338</v>
      </c>
      <c r="AA166" s="272">
        <f t="shared" si="333"/>
        <v>79807.164422865448</v>
      </c>
      <c r="AB166" s="272">
        <f t="shared" si="333"/>
        <v>79071.750326551162</v>
      </c>
      <c r="AC166" s="272">
        <f t="shared" si="333"/>
        <v>78204.424519487831</v>
      </c>
      <c r="AD166" s="272">
        <f t="shared" si="333"/>
        <v>77196.688596019521</v>
      </c>
      <c r="AE166" s="272">
        <f t="shared" si="333"/>
        <v>76039.581173805011</v>
      </c>
      <c r="AF166" s="272">
        <f t="shared" si="333"/>
        <v>74723.653983855373</v>
      </c>
      <c r="AG166" s="272">
        <f t="shared" si="333"/>
        <v>73238.946749851413</v>
      </c>
      <c r="AH166" s="272">
        <f t="shared" si="333"/>
        <v>71574.960795899475</v>
      </c>
      <c r="AI166" s="272">
        <f t="shared" si="333"/>
        <v>69720.631318836793</v>
      </c>
      <c r="AJ166" s="272">
        <f t="shared" si="333"/>
        <v>67664.298258000199</v>
      </c>
    </row>
    <row r="167" spans="1:36" x14ac:dyDescent="0.25">
      <c r="A167" t="s">
        <v>422</v>
      </c>
      <c r="H167" t="s">
        <v>292</v>
      </c>
      <c r="I167" s="65" t="str">
        <f t="shared" ref="I167:I174" si="334">IF($H$9="USD","USD","tr. VND")</f>
        <v>tr. VND</v>
      </c>
      <c r="L167" s="15">
        <f>-(L166+L39)*Tax_rate</f>
        <v>-300.86611256797988</v>
      </c>
      <c r="M167" s="15">
        <f t="shared" ref="M167:AJ167" si="335">-(M166+M39)*Tax_rate</f>
        <v>-4839.1345874020999</v>
      </c>
      <c r="N167" s="15">
        <f t="shared" si="335"/>
        <v>-10890.19147846037</v>
      </c>
      <c r="O167" s="15">
        <f t="shared" si="335"/>
        <v>-10966.135554338434</v>
      </c>
      <c r="P167" s="15">
        <f t="shared" si="335"/>
        <v>-11031.167415599361</v>
      </c>
      <c r="Q167" s="15">
        <f t="shared" si="335"/>
        <v>-11084.447263144091</v>
      </c>
      <c r="R167" s="15">
        <f t="shared" si="335"/>
        <v>-11125.087424151199</v>
      </c>
      <c r="S167" s="15">
        <f t="shared" si="335"/>
        <v>-11152.149840715534</v>
      </c>
      <c r="T167" s="15">
        <f t="shared" si="335"/>
        <v>-11164.643430565095</v>
      </c>
      <c r="U167" s="15">
        <f t="shared" si="335"/>
        <v>-11161.521313413274</v>
      </c>
      <c r="V167" s="15">
        <f t="shared" si="335"/>
        <v>-11141.677896180136</v>
      </c>
      <c r="W167" s="15">
        <f t="shared" si="335"/>
        <v>-11103.945809977113</v>
      </c>
      <c r="X167" s="15">
        <f t="shared" si="335"/>
        <v>-16260.089224726917</v>
      </c>
      <c r="Y167" s="15">
        <f t="shared" si="335"/>
        <v>-16182.814333582399</v>
      </c>
      <c r="Z167" s="15">
        <f t="shared" si="335"/>
        <v>-16083.744998916269</v>
      </c>
      <c r="AA167" s="15">
        <f t="shared" si="335"/>
        <v>-15961.432884573091</v>
      </c>
      <c r="AB167" s="15">
        <f t="shared" si="335"/>
        <v>-15814.350065310233</v>
      </c>
      <c r="AC167" s="15">
        <f t="shared" si="335"/>
        <v>-15640.884903897568</v>
      </c>
      <c r="AD167" s="15">
        <f t="shared" si="335"/>
        <v>-15439.337719203904</v>
      </c>
      <c r="AE167" s="15">
        <f t="shared" si="335"/>
        <v>-15207.916234761004</v>
      </c>
      <c r="AF167" s="15">
        <f t="shared" si="335"/>
        <v>-14944.730796771075</v>
      </c>
      <c r="AG167" s="15">
        <f t="shared" si="335"/>
        <v>-14647.789349970284</v>
      </c>
      <c r="AH167" s="15">
        <f t="shared" si="335"/>
        <v>-14314.992159179896</v>
      </c>
      <c r="AI167" s="15">
        <f t="shared" si="335"/>
        <v>-13944.126263767359</v>
      </c>
      <c r="AJ167" s="15">
        <f t="shared" si="335"/>
        <v>-13532.85965160004</v>
      </c>
    </row>
    <row r="168" spans="1:36" s="16" customFormat="1" x14ac:dyDescent="0.25">
      <c r="A168" s="16" t="s">
        <v>422</v>
      </c>
      <c r="H168" s="270" t="s">
        <v>499</v>
      </c>
      <c r="I168" s="271" t="str">
        <f t="shared" si="334"/>
        <v>tr. VND</v>
      </c>
      <c r="K168" s="272">
        <f>K166+K167</f>
        <v>-300749.80000000005</v>
      </c>
      <c r="L168" s="272">
        <f t="shared" ref="L168:Z168" si="336">L166+L167</f>
        <v>26265.947783605254</v>
      </c>
      <c r="M168" s="272">
        <f t="shared" si="336"/>
        <v>44419.021682941733</v>
      </c>
      <c r="N168" s="272">
        <f t="shared" si="336"/>
        <v>68623.249247174812</v>
      </c>
      <c r="O168" s="272">
        <f t="shared" si="336"/>
        <v>68927.025550687074</v>
      </c>
      <c r="P168" s="272">
        <f t="shared" si="336"/>
        <v>69187.152995730779</v>
      </c>
      <c r="Q168" s="272">
        <f t="shared" si="336"/>
        <v>69400.272385909702</v>
      </c>
      <c r="R168" s="272">
        <f t="shared" si="336"/>
        <v>69562.833029938134</v>
      </c>
      <c r="S168" s="272">
        <f t="shared" si="336"/>
        <v>69671.082696195474</v>
      </c>
      <c r="T168" s="272">
        <f t="shared" si="336"/>
        <v>69721.057055593716</v>
      </c>
      <c r="U168" s="272">
        <f t="shared" si="336"/>
        <v>69708.568586986425</v>
      </c>
      <c r="V168" s="272">
        <f t="shared" si="336"/>
        <v>69629.19491805388</v>
      </c>
      <c r="W168" s="272">
        <f t="shared" si="336"/>
        <v>69478.266573241781</v>
      </c>
      <c r="X168" s="272">
        <f t="shared" si="336"/>
        <v>65040.356898907667</v>
      </c>
      <c r="Y168" s="272">
        <f t="shared" si="336"/>
        <v>64731.257334329595</v>
      </c>
      <c r="Z168" s="272">
        <f t="shared" si="336"/>
        <v>64334.979995665068</v>
      </c>
      <c r="AA168" s="272">
        <f t="shared" ref="AA168" si="337">AA166+AA167</f>
        <v>63845.731538292355</v>
      </c>
      <c r="AB168" s="272">
        <f t="shared" ref="AB168" si="338">AB166+AB167</f>
        <v>63257.400261240931</v>
      </c>
      <c r="AC168" s="272">
        <f t="shared" ref="AC168" si="339">AC166+AC167</f>
        <v>62563.539615590264</v>
      </c>
      <c r="AD168" s="272">
        <f t="shared" ref="AD168" si="340">AD166+AD167</f>
        <v>61757.350876815617</v>
      </c>
      <c r="AE168" s="272">
        <f t="shared" ref="AE168" si="341">AE166+AE167</f>
        <v>60831.664939044007</v>
      </c>
      <c r="AF168" s="272">
        <f t="shared" ref="AF168" si="342">AF166+AF167</f>
        <v>59778.9231870843</v>
      </c>
      <c r="AG168" s="272">
        <f t="shared" ref="AG168" si="343">AG166+AG167</f>
        <v>58591.157399881129</v>
      </c>
      <c r="AH168" s="272">
        <f t="shared" ref="AH168" si="344">AH166+AH167</f>
        <v>57259.968636719583</v>
      </c>
      <c r="AI168" s="272">
        <f t="shared" ref="AI168" si="345">AI166+AI167</f>
        <v>55776.505055069436</v>
      </c>
      <c r="AJ168" s="272">
        <f t="shared" ref="AJ168" si="346">AJ166+AJ167</f>
        <v>54131.438606400159</v>
      </c>
    </row>
    <row r="169" spans="1:36" x14ac:dyDescent="0.25">
      <c r="A169" t="s">
        <v>422</v>
      </c>
      <c r="H169" t="s">
        <v>500</v>
      </c>
      <c r="K169" s="95">
        <f>INDEX('Cover Page'!$H$23:$W$23,MATCH($A169,'Cover Page'!$H$5:$W$5,0))</f>
        <v>7.2660000000000016E-2</v>
      </c>
    </row>
    <row r="170" spans="1:36" s="16" customFormat="1" x14ac:dyDescent="0.25">
      <c r="A170" s="16" t="s">
        <v>422</v>
      </c>
      <c r="D170" s="16" t="s">
        <v>515</v>
      </c>
      <c r="H170" s="270" t="s">
        <v>501</v>
      </c>
      <c r="I170" s="271" t="str">
        <f t="shared" si="334"/>
        <v>tr. VND</v>
      </c>
      <c r="K170" s="272">
        <f>K168/POWER(1+$K169,K$14)</f>
        <v>-300749.80000000005</v>
      </c>
      <c r="L170" s="272">
        <f t="shared" ref="L170:AJ170" si="347">L168/POWER(1+$K169,L$14)</f>
        <v>24486.741170179979</v>
      </c>
      <c r="M170" s="272">
        <f t="shared" si="347"/>
        <v>38605.11205237484</v>
      </c>
      <c r="N170" s="272">
        <f t="shared" si="347"/>
        <v>55601.309497709786</v>
      </c>
      <c r="O170" s="272">
        <f t="shared" si="347"/>
        <v>52064.439100370939</v>
      </c>
      <c r="P170" s="272">
        <f t="shared" si="347"/>
        <v>48720.869534269332</v>
      </c>
      <c r="Q170" s="272">
        <f t="shared" si="347"/>
        <v>45560.518691746511</v>
      </c>
      <c r="R170" s="272">
        <f t="shared" si="347"/>
        <v>42573.823927480807</v>
      </c>
      <c r="S170" s="272">
        <f t="shared" si="347"/>
        <v>39751.715226932414</v>
      </c>
      <c r="T170" s="272">
        <f t="shared" si="347"/>
        <v>37085.589775120716</v>
      </c>
      <c r="U170" s="272">
        <f t="shared" si="347"/>
        <v>34567.287851507026</v>
      </c>
      <c r="V170" s="272">
        <f t="shared" si="347"/>
        <v>32189.069980766992</v>
      </c>
      <c r="W170" s="272">
        <f t="shared" si="347"/>
        <v>29943.595273027313</v>
      </c>
      <c r="X170" s="272">
        <f t="shared" si="347"/>
        <v>26132.189527479521</v>
      </c>
      <c r="Y170" s="272">
        <f t="shared" si="347"/>
        <v>24246.264611177809</v>
      </c>
      <c r="Z170" s="272">
        <f t="shared" si="347"/>
        <v>22465.489305138792</v>
      </c>
      <c r="AA170" s="272">
        <f t="shared" si="347"/>
        <v>20784.447929967704</v>
      </c>
      <c r="AB170" s="272">
        <f t="shared" si="347"/>
        <v>19197.995232747857</v>
      </c>
      <c r="AC170" s="272">
        <f t="shared" si="347"/>
        <v>17701.243069108514</v>
      </c>
      <c r="AD170" s="272">
        <f t="shared" si="347"/>
        <v>16289.547736315768</v>
      </c>
      <c r="AE170" s="272">
        <f t="shared" si="347"/>
        <v>14958.497925732501</v>
      </c>
      <c r="AF170" s="272">
        <f t="shared" si="347"/>
        <v>13703.903264526534</v>
      </c>
      <c r="AG170" s="272">
        <f t="shared" si="347"/>
        <v>12521.783417962006</v>
      </c>
      <c r="AH170" s="272">
        <f t="shared" si="347"/>
        <v>11408.35772499602</v>
      </c>
      <c r="AI170" s="272">
        <f t="shared" si="347"/>
        <v>10360.035341223091</v>
      </c>
      <c r="AJ170" s="272">
        <f t="shared" si="347"/>
        <v>9373.4058644672732</v>
      </c>
    </row>
    <row r="171" spans="1:36" x14ac:dyDescent="0.25">
      <c r="A171" t="s">
        <v>422</v>
      </c>
      <c r="H171" t="s">
        <v>503</v>
      </c>
      <c r="I171" s="65" t="str">
        <f t="shared" si="334"/>
        <v>tr. VND</v>
      </c>
      <c r="K171" s="15">
        <f>SUM($K170:K170)</f>
        <v>-300749.80000000005</v>
      </c>
      <c r="L171" s="15">
        <f>SUM($K170:L170)</f>
        <v>-276263.05882982007</v>
      </c>
      <c r="M171" s="15">
        <f>SUM($K170:M170)</f>
        <v>-237657.94677744524</v>
      </c>
      <c r="N171" s="15">
        <f>SUM($K170:N170)</f>
        <v>-182056.63727973544</v>
      </c>
      <c r="O171" s="15">
        <f>SUM($K170:O170)</f>
        <v>-129992.1981793645</v>
      </c>
      <c r="P171" s="15">
        <f>SUM($K170:P170)</f>
        <v>-81271.328645095171</v>
      </c>
      <c r="Q171" s="15">
        <f>SUM($K170:Q170)</f>
        <v>-35710.80995334866</v>
      </c>
      <c r="R171" s="15">
        <f>SUM($K170:R170)</f>
        <v>6863.0139741321473</v>
      </c>
      <c r="S171" s="15">
        <f>SUM($K170:S170)</f>
        <v>46614.729201064561</v>
      </c>
      <c r="T171" s="15">
        <f>SUM($K170:T170)</f>
        <v>83700.318976185285</v>
      </c>
      <c r="U171" s="15">
        <f>SUM($K170:U170)</f>
        <v>118267.6068276923</v>
      </c>
      <c r="V171" s="15">
        <f>SUM($K170:V170)</f>
        <v>150456.67680845931</v>
      </c>
      <c r="W171" s="15">
        <f>SUM($K170:W170)</f>
        <v>180400.27208148662</v>
      </c>
      <c r="X171" s="15">
        <f>SUM($K170:X170)</f>
        <v>206532.46160896614</v>
      </c>
      <c r="Y171" s="15">
        <f>SUM($K170:Y170)</f>
        <v>230778.72622014396</v>
      </c>
      <c r="Z171" s="15">
        <f>SUM($K170:Z170)</f>
        <v>253244.21552528275</v>
      </c>
      <c r="AA171" s="15">
        <f>SUM($K170:AA170)</f>
        <v>274028.66345525044</v>
      </c>
      <c r="AB171" s="15">
        <f>SUM($K170:AB170)</f>
        <v>293226.65868799831</v>
      </c>
      <c r="AC171" s="15">
        <f>SUM($K170:AC170)</f>
        <v>310927.90175710683</v>
      </c>
      <c r="AD171" s="15">
        <f>SUM($K170:AD170)</f>
        <v>327217.44949342258</v>
      </c>
      <c r="AE171" s="15">
        <f>SUM($K170:AE170)</f>
        <v>342175.9474191551</v>
      </c>
      <c r="AF171" s="15">
        <f>SUM($K170:AF170)</f>
        <v>355879.85068368161</v>
      </c>
      <c r="AG171" s="15">
        <f>SUM($K170:AG170)</f>
        <v>368401.63410164363</v>
      </c>
      <c r="AH171" s="15">
        <f>SUM($K170:AH170)</f>
        <v>379809.99182663963</v>
      </c>
      <c r="AI171" s="15">
        <f>SUM($K170:AI170)</f>
        <v>390170.02716786275</v>
      </c>
      <c r="AJ171" s="15">
        <f>SUM($K170:AJ170)</f>
        <v>399543.43303233001</v>
      </c>
    </row>
    <row r="172" spans="1:36" x14ac:dyDescent="0.25">
      <c r="A172" t="s">
        <v>422</v>
      </c>
    </row>
    <row r="173" spans="1:36" ht="15.75" thickBot="1" x14ac:dyDescent="0.3">
      <c r="A173" t="s">
        <v>422</v>
      </c>
    </row>
    <row r="174" spans="1:36" x14ac:dyDescent="0.25">
      <c r="A174" t="s">
        <v>422</v>
      </c>
      <c r="D174" t="s">
        <v>544</v>
      </c>
      <c r="H174" s="96" t="s">
        <v>401</v>
      </c>
      <c r="I174" s="310" t="str">
        <f t="shared" si="334"/>
        <v>tr. VND</v>
      </c>
      <c r="J174" s="311"/>
      <c r="K174" s="97">
        <f>SUM(K170:AJ170)</f>
        <v>399543.43303233001</v>
      </c>
      <c r="L174" s="263"/>
      <c r="M174" s="70"/>
      <c r="N174" s="70"/>
    </row>
    <row r="175" spans="1:36" x14ac:dyDescent="0.25">
      <c r="A175" t="s">
        <v>422</v>
      </c>
      <c r="D175" t="s">
        <v>516</v>
      </c>
      <c r="H175" s="212" t="s">
        <v>402</v>
      </c>
      <c r="I175" s="255"/>
      <c r="J175" s="48"/>
      <c r="K175" s="314">
        <f>IFERROR(IRR(K168:AJ168),0)</f>
        <v>0.19092375284645668</v>
      </c>
    </row>
    <row r="176" spans="1:36" ht="15.75" thickBot="1" x14ac:dyDescent="0.3">
      <c r="A176" t="s">
        <v>422</v>
      </c>
      <c r="D176" t="s">
        <v>517</v>
      </c>
      <c r="H176" s="98" t="s">
        <v>403</v>
      </c>
      <c r="I176" s="312" t="s">
        <v>290</v>
      </c>
      <c r="J176" s="313"/>
      <c r="K176" s="315" cm="1">
        <f t="array" ref="K176">ROUNDUP(IF(K174&lt;0,0,INDEX(K$14:AJ$14,,MATCH(_xlfn.MINIFS(K171:AJ171,K171:AJ171,"&gt;"&amp;0),K171:AJ171))-1-INDEX(K171:AJ171,,MATCH(_xlfn.MINIFS(K171:AJ171,K171:AJ171,"&gt;"&amp;0),K171:AJ171)-1)/INDEX(K170:AJ170,,MATCH(_xlfn.MINIFS(K171:AJ171,K171:AJ171,"&gt;"&amp;0),K171:AJ171))),1)</f>
        <v>6.8999999999999995</v>
      </c>
    </row>
    <row r="177" spans="1:36" x14ac:dyDescent="0.25">
      <c r="A177" t="s">
        <v>422</v>
      </c>
      <c r="H177" s="316" t="str">
        <f>INT(K176)&amp;" năm "&amp;IF(MOD(K176,1)*12=0,,TEXT(MOD(K176,1)*12,"00")&amp;" tháng")</f>
        <v>6 năm 11 tháng</v>
      </c>
    </row>
    <row r="178" spans="1:36" x14ac:dyDescent="0.25">
      <c r="A178" t="s">
        <v>422</v>
      </c>
    </row>
    <row r="179" spans="1:36" x14ac:dyDescent="0.25">
      <c r="A179" t="s">
        <v>422</v>
      </c>
    </row>
    <row r="180" spans="1:36" s="304" customFormat="1" hidden="1" x14ac:dyDescent="0.25">
      <c r="I180" s="305"/>
    </row>
    <row r="181" spans="1:36" s="632" customFormat="1" ht="19.5" hidden="1" x14ac:dyDescent="0.3">
      <c r="A181" s="632" t="s">
        <v>423</v>
      </c>
      <c r="H181" s="633" t="s">
        <v>423</v>
      </c>
      <c r="K181" s="634"/>
      <c r="L181" s="634"/>
      <c r="M181" s="634"/>
      <c r="N181" s="634"/>
      <c r="O181" s="634"/>
      <c r="P181" s="634"/>
      <c r="Q181" s="634"/>
      <c r="R181" s="634"/>
      <c r="S181" s="634"/>
      <c r="T181" s="634"/>
      <c r="U181" s="634"/>
      <c r="V181" s="634"/>
      <c r="W181" s="634"/>
      <c r="X181" s="634"/>
      <c r="Y181" s="634"/>
      <c r="Z181" s="634"/>
      <c r="AA181" s="634"/>
      <c r="AB181" s="634"/>
      <c r="AC181" s="634"/>
      <c r="AD181" s="634"/>
      <c r="AE181" s="634"/>
      <c r="AF181" s="634"/>
      <c r="AG181" s="634"/>
      <c r="AH181" s="634"/>
      <c r="AI181" s="634"/>
      <c r="AJ181" s="634"/>
    </row>
    <row r="182" spans="1:36" hidden="1" x14ac:dyDescent="0.25">
      <c r="A182" t="s">
        <v>423</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1:36" s="24" customFormat="1" ht="17.25" hidden="1" x14ac:dyDescent="0.3">
      <c r="A183" s="24" t="s">
        <v>423</v>
      </c>
      <c r="H183" s="24" t="s">
        <v>669</v>
      </c>
      <c r="K183" s="635"/>
      <c r="L183" s="635"/>
      <c r="M183" s="635"/>
      <c r="N183" s="635"/>
      <c r="O183" s="635"/>
      <c r="P183" s="635"/>
      <c r="Q183" s="635"/>
      <c r="R183" s="635"/>
      <c r="S183" s="635"/>
      <c r="T183" s="635"/>
      <c r="U183" s="635"/>
      <c r="V183" s="635"/>
      <c r="W183" s="635"/>
      <c r="X183" s="635"/>
      <c r="Y183" s="635"/>
      <c r="Z183" s="635"/>
      <c r="AA183" s="635"/>
      <c r="AB183" s="635"/>
      <c r="AC183" s="635"/>
      <c r="AD183" s="635"/>
      <c r="AE183" s="635"/>
      <c r="AF183" s="635"/>
      <c r="AG183" s="635"/>
      <c r="AH183" s="635"/>
      <c r="AI183" s="635"/>
      <c r="AJ183" s="635"/>
    </row>
    <row r="184" spans="1:36" hidden="1" x14ac:dyDescent="0.25">
      <c r="A184" t="s">
        <v>423</v>
      </c>
      <c r="H184" s="459" t="s">
        <v>427</v>
      </c>
      <c r="I184" s="494" t="s">
        <v>436</v>
      </c>
      <c r="K184" s="549"/>
      <c r="L184" s="549">
        <f t="shared" ref="L184:AA185" si="348">Capacity*24*365</f>
        <v>7568640</v>
      </c>
      <c r="M184" s="549">
        <f t="shared" si="348"/>
        <v>7568640</v>
      </c>
      <c r="N184" s="549">
        <f t="shared" si="348"/>
        <v>7568640</v>
      </c>
      <c r="O184" s="549">
        <f t="shared" si="348"/>
        <v>7568640</v>
      </c>
      <c r="P184" s="549">
        <f t="shared" si="348"/>
        <v>7568640</v>
      </c>
      <c r="Q184" s="549">
        <f t="shared" si="348"/>
        <v>7568640</v>
      </c>
      <c r="R184" s="549">
        <f t="shared" si="348"/>
        <v>7568640</v>
      </c>
      <c r="S184" s="549">
        <f t="shared" si="348"/>
        <v>7568640</v>
      </c>
      <c r="T184" s="549">
        <f t="shared" si="348"/>
        <v>7568640</v>
      </c>
      <c r="U184" s="549">
        <f t="shared" si="348"/>
        <v>7568640</v>
      </c>
      <c r="V184" s="549">
        <f t="shared" si="348"/>
        <v>7568640</v>
      </c>
      <c r="W184" s="549">
        <f t="shared" si="348"/>
        <v>7568640</v>
      </c>
      <c r="X184" s="549">
        <f t="shared" si="348"/>
        <v>7568640</v>
      </c>
      <c r="Y184" s="549">
        <f t="shared" si="348"/>
        <v>7568640</v>
      </c>
      <c r="Z184" s="549">
        <f t="shared" si="348"/>
        <v>7568640</v>
      </c>
      <c r="AA184" s="549">
        <f t="shared" si="348"/>
        <v>7568640</v>
      </c>
      <c r="AB184" s="549">
        <f t="shared" ref="AA184:AJ185" si="349">Capacity*24*365</f>
        <v>7568640</v>
      </c>
      <c r="AC184" s="549">
        <f t="shared" si="349"/>
        <v>7568640</v>
      </c>
      <c r="AD184" s="549">
        <f t="shared" si="349"/>
        <v>7568640</v>
      </c>
      <c r="AE184" s="549">
        <f t="shared" si="349"/>
        <v>7568640</v>
      </c>
      <c r="AF184" s="549">
        <f t="shared" si="349"/>
        <v>7568640</v>
      </c>
      <c r="AG184" s="549">
        <f t="shared" si="349"/>
        <v>7568640</v>
      </c>
      <c r="AH184" s="549">
        <f t="shared" si="349"/>
        <v>7568640</v>
      </c>
      <c r="AI184" s="549">
        <f t="shared" si="349"/>
        <v>7568640</v>
      </c>
      <c r="AJ184" s="549">
        <f t="shared" si="349"/>
        <v>7568640</v>
      </c>
    </row>
    <row r="185" spans="1:36" hidden="1" x14ac:dyDescent="0.25">
      <c r="A185" t="s">
        <v>423</v>
      </c>
      <c r="H185" s="454" t="s">
        <v>427</v>
      </c>
      <c r="I185" s="497" t="s">
        <v>320</v>
      </c>
      <c r="K185" s="550"/>
      <c r="L185" s="550">
        <f t="shared" si="348"/>
        <v>7568640</v>
      </c>
      <c r="M185" s="550">
        <f t="shared" si="348"/>
        <v>7568640</v>
      </c>
      <c r="N185" s="550">
        <f t="shared" si="348"/>
        <v>7568640</v>
      </c>
      <c r="O185" s="550">
        <f t="shared" si="348"/>
        <v>7568640</v>
      </c>
      <c r="P185" s="550">
        <f t="shared" si="348"/>
        <v>7568640</v>
      </c>
      <c r="Q185" s="550">
        <f t="shared" si="348"/>
        <v>7568640</v>
      </c>
      <c r="R185" s="550">
        <f t="shared" si="348"/>
        <v>7568640</v>
      </c>
      <c r="S185" s="550">
        <f t="shared" si="348"/>
        <v>7568640</v>
      </c>
      <c r="T185" s="550">
        <f t="shared" si="348"/>
        <v>7568640</v>
      </c>
      <c r="U185" s="550">
        <f t="shared" si="348"/>
        <v>7568640</v>
      </c>
      <c r="V185" s="550">
        <f t="shared" si="348"/>
        <v>7568640</v>
      </c>
      <c r="W185" s="550">
        <f t="shared" si="348"/>
        <v>7568640</v>
      </c>
      <c r="X185" s="550">
        <f t="shared" si="348"/>
        <v>7568640</v>
      </c>
      <c r="Y185" s="550">
        <f t="shared" si="348"/>
        <v>7568640</v>
      </c>
      <c r="Z185" s="550">
        <f t="shared" si="348"/>
        <v>7568640</v>
      </c>
      <c r="AA185" s="550">
        <f t="shared" si="349"/>
        <v>7568640</v>
      </c>
      <c r="AB185" s="550">
        <f t="shared" si="349"/>
        <v>7568640</v>
      </c>
      <c r="AC185" s="550">
        <f t="shared" si="349"/>
        <v>7568640</v>
      </c>
      <c r="AD185" s="550">
        <f t="shared" si="349"/>
        <v>7568640</v>
      </c>
      <c r="AE185" s="550">
        <f t="shared" si="349"/>
        <v>7568640</v>
      </c>
      <c r="AF185" s="550">
        <f t="shared" si="349"/>
        <v>7568640</v>
      </c>
      <c r="AG185" s="550">
        <f t="shared" si="349"/>
        <v>7568640</v>
      </c>
      <c r="AH185" s="550">
        <f t="shared" si="349"/>
        <v>7568640</v>
      </c>
      <c r="AI185" s="550">
        <f t="shared" si="349"/>
        <v>7568640</v>
      </c>
      <c r="AJ185" s="550">
        <f t="shared" si="349"/>
        <v>7568640</v>
      </c>
    </row>
    <row r="186" spans="1:36" s="250" customFormat="1" hidden="1" x14ac:dyDescent="0.25">
      <c r="A186" s="250" t="s">
        <v>423</v>
      </c>
      <c r="H186" s="537" t="s">
        <v>460</v>
      </c>
      <c r="I186" s="548"/>
      <c r="K186" s="551"/>
      <c r="L186" s="552">
        <v>0.88</v>
      </c>
      <c r="M186" s="552">
        <v>0.88</v>
      </c>
      <c r="N186" s="552">
        <v>0.88</v>
      </c>
      <c r="O186" s="552">
        <v>0.88</v>
      </c>
      <c r="P186" s="552">
        <v>0.88</v>
      </c>
      <c r="Q186" s="552">
        <v>0.88</v>
      </c>
      <c r="R186" s="552">
        <v>0.88</v>
      </c>
      <c r="S186" s="552">
        <v>0.88</v>
      </c>
      <c r="T186" s="552">
        <v>0.88</v>
      </c>
      <c r="U186" s="552">
        <v>0.88</v>
      </c>
      <c r="V186" s="552">
        <v>0.88</v>
      </c>
      <c r="W186" s="552">
        <v>0.88</v>
      </c>
      <c r="X186" s="552">
        <v>0.88</v>
      </c>
      <c r="Y186" s="552">
        <v>0.88</v>
      </c>
      <c r="Z186" s="552">
        <v>0.88</v>
      </c>
      <c r="AA186" s="552">
        <v>0.88</v>
      </c>
      <c r="AB186" s="552">
        <v>0.88</v>
      </c>
      <c r="AC186" s="552">
        <v>0.88</v>
      </c>
      <c r="AD186" s="552">
        <v>0.88</v>
      </c>
      <c r="AE186" s="552">
        <v>0.88</v>
      </c>
      <c r="AF186" s="552">
        <v>0.88</v>
      </c>
      <c r="AG186" s="552">
        <v>0.88</v>
      </c>
      <c r="AH186" s="552">
        <v>0.88</v>
      </c>
      <c r="AI186" s="552">
        <v>0.88</v>
      </c>
      <c r="AJ186" s="552">
        <v>0.88</v>
      </c>
    </row>
    <row r="187" spans="1:36" s="250" customFormat="1" hidden="1" x14ac:dyDescent="0.25">
      <c r="A187" s="250" t="s">
        <v>423</v>
      </c>
      <c r="H187" s="537" t="s">
        <v>461</v>
      </c>
      <c r="I187" s="548"/>
      <c r="K187" s="551"/>
      <c r="L187" s="552">
        <v>0.5</v>
      </c>
      <c r="M187" s="552">
        <v>0.7</v>
      </c>
      <c r="N187" s="552">
        <v>1</v>
      </c>
      <c r="O187" s="552">
        <v>1</v>
      </c>
      <c r="P187" s="552">
        <v>1</v>
      </c>
      <c r="Q187" s="552">
        <v>1</v>
      </c>
      <c r="R187" s="552">
        <v>1</v>
      </c>
      <c r="S187" s="552">
        <v>1</v>
      </c>
      <c r="T187" s="552">
        <v>1</v>
      </c>
      <c r="U187" s="552">
        <v>1</v>
      </c>
      <c r="V187" s="552">
        <v>1</v>
      </c>
      <c r="W187" s="552">
        <v>1</v>
      </c>
      <c r="X187" s="552">
        <v>1</v>
      </c>
      <c r="Y187" s="552">
        <v>1</v>
      </c>
      <c r="Z187" s="552">
        <v>1</v>
      </c>
      <c r="AA187" s="552">
        <v>1</v>
      </c>
      <c r="AB187" s="552">
        <v>1</v>
      </c>
      <c r="AC187" s="552">
        <v>1</v>
      </c>
      <c r="AD187" s="552">
        <v>1</v>
      </c>
      <c r="AE187" s="552">
        <v>1</v>
      </c>
      <c r="AF187" s="552">
        <v>1</v>
      </c>
      <c r="AG187" s="552">
        <v>1</v>
      </c>
      <c r="AH187" s="552">
        <v>1</v>
      </c>
      <c r="AI187" s="552">
        <v>1</v>
      </c>
      <c r="AJ187" s="552">
        <v>1</v>
      </c>
    </row>
    <row r="188" spans="1:36" hidden="1" x14ac:dyDescent="0.25">
      <c r="A188" t="s">
        <v>423</v>
      </c>
      <c r="B188" t="s">
        <v>437</v>
      </c>
      <c r="H188" s="454" t="s">
        <v>70</v>
      </c>
      <c r="I188" s="497"/>
      <c r="K188" s="550"/>
      <c r="L188" s="553" cm="1">
        <f t="array" ref="L188">SUMPRODUCT('W2'!$M$12:$R$112*('W2'!$M$7:$R$7=$A188)*('W2'!$A$12:$A$112=$B188))</f>
        <v>7.0000000000000007E-2</v>
      </c>
      <c r="M188" s="553">
        <f>L188</f>
        <v>7.0000000000000007E-2</v>
      </c>
      <c r="N188" s="553">
        <f t="shared" ref="N188" si="350">M188</f>
        <v>7.0000000000000007E-2</v>
      </c>
      <c r="O188" s="553">
        <f t="shared" ref="O188" si="351">N188</f>
        <v>7.0000000000000007E-2</v>
      </c>
      <c r="P188" s="553">
        <f t="shared" ref="P188" si="352">O188</f>
        <v>7.0000000000000007E-2</v>
      </c>
      <c r="Q188" s="553">
        <f t="shared" ref="Q188" si="353">P188</f>
        <v>7.0000000000000007E-2</v>
      </c>
      <c r="R188" s="553">
        <f t="shared" ref="R188" si="354">Q188</f>
        <v>7.0000000000000007E-2</v>
      </c>
      <c r="S188" s="553">
        <f t="shared" ref="S188" si="355">R188</f>
        <v>7.0000000000000007E-2</v>
      </c>
      <c r="T188" s="553">
        <f t="shared" ref="T188" si="356">S188</f>
        <v>7.0000000000000007E-2</v>
      </c>
      <c r="U188" s="553">
        <f t="shared" ref="U188" si="357">T188</f>
        <v>7.0000000000000007E-2</v>
      </c>
      <c r="V188" s="553">
        <f t="shared" ref="V188" si="358">U188</f>
        <v>7.0000000000000007E-2</v>
      </c>
      <c r="W188" s="553">
        <f t="shared" ref="W188" si="359">V188</f>
        <v>7.0000000000000007E-2</v>
      </c>
      <c r="X188" s="553">
        <f t="shared" ref="X188" si="360">W188</f>
        <v>7.0000000000000007E-2</v>
      </c>
      <c r="Y188" s="553">
        <f t="shared" ref="Y188" si="361">X188</f>
        <v>7.0000000000000007E-2</v>
      </c>
      <c r="Z188" s="553">
        <f t="shared" ref="Z188" si="362">Y188</f>
        <v>7.0000000000000007E-2</v>
      </c>
      <c r="AA188" s="553">
        <f t="shared" ref="AA188" si="363">Z188</f>
        <v>7.0000000000000007E-2</v>
      </c>
      <c r="AB188" s="553">
        <f t="shared" ref="AB188" si="364">AA188</f>
        <v>7.0000000000000007E-2</v>
      </c>
      <c r="AC188" s="553">
        <f t="shared" ref="AC188" si="365">AB188</f>
        <v>7.0000000000000007E-2</v>
      </c>
      <c r="AD188" s="553">
        <f t="shared" ref="AD188" si="366">AC188</f>
        <v>7.0000000000000007E-2</v>
      </c>
      <c r="AE188" s="553">
        <f t="shared" ref="AE188" si="367">AD188</f>
        <v>7.0000000000000007E-2</v>
      </c>
      <c r="AF188" s="553">
        <f t="shared" ref="AF188" si="368">AE188</f>
        <v>7.0000000000000007E-2</v>
      </c>
      <c r="AG188" s="553">
        <f t="shared" ref="AG188" si="369">AF188</f>
        <v>7.0000000000000007E-2</v>
      </c>
      <c r="AH188" s="553">
        <f t="shared" ref="AH188" si="370">AG188</f>
        <v>7.0000000000000007E-2</v>
      </c>
      <c r="AI188" s="553">
        <f t="shared" ref="AI188" si="371">AH188</f>
        <v>7.0000000000000007E-2</v>
      </c>
      <c r="AJ188" s="553">
        <f t="shared" ref="AJ188" si="372">AI188</f>
        <v>7.0000000000000007E-2</v>
      </c>
    </row>
    <row r="189" spans="1:36" hidden="1" x14ac:dyDescent="0.25">
      <c r="A189" t="s">
        <v>423</v>
      </c>
      <c r="H189" s="454" t="s">
        <v>59</v>
      </c>
      <c r="I189" s="497"/>
      <c r="K189" s="550"/>
      <c r="L189" s="550">
        <f>365*L186*L187</f>
        <v>160.6</v>
      </c>
      <c r="M189" s="550">
        <f t="shared" ref="M189:AJ189" si="373">365*M186*M187</f>
        <v>224.83999999999997</v>
      </c>
      <c r="N189" s="550">
        <f t="shared" si="373"/>
        <v>321.2</v>
      </c>
      <c r="O189" s="550">
        <f t="shared" si="373"/>
        <v>321.2</v>
      </c>
      <c r="P189" s="550">
        <f t="shared" si="373"/>
        <v>321.2</v>
      </c>
      <c r="Q189" s="550">
        <f t="shared" si="373"/>
        <v>321.2</v>
      </c>
      <c r="R189" s="550">
        <f t="shared" si="373"/>
        <v>321.2</v>
      </c>
      <c r="S189" s="550">
        <f t="shared" si="373"/>
        <v>321.2</v>
      </c>
      <c r="T189" s="550">
        <f t="shared" si="373"/>
        <v>321.2</v>
      </c>
      <c r="U189" s="550">
        <f t="shared" si="373"/>
        <v>321.2</v>
      </c>
      <c r="V189" s="550">
        <f t="shared" si="373"/>
        <v>321.2</v>
      </c>
      <c r="W189" s="550">
        <f t="shared" si="373"/>
        <v>321.2</v>
      </c>
      <c r="X189" s="550">
        <f t="shared" si="373"/>
        <v>321.2</v>
      </c>
      <c r="Y189" s="550">
        <f t="shared" si="373"/>
        <v>321.2</v>
      </c>
      <c r="Z189" s="550">
        <f t="shared" si="373"/>
        <v>321.2</v>
      </c>
      <c r="AA189" s="550">
        <f t="shared" si="373"/>
        <v>321.2</v>
      </c>
      <c r="AB189" s="550">
        <f t="shared" si="373"/>
        <v>321.2</v>
      </c>
      <c r="AC189" s="550">
        <f t="shared" si="373"/>
        <v>321.2</v>
      </c>
      <c r="AD189" s="550">
        <f t="shared" si="373"/>
        <v>321.2</v>
      </c>
      <c r="AE189" s="550">
        <f t="shared" si="373"/>
        <v>321.2</v>
      </c>
      <c r="AF189" s="550">
        <f t="shared" si="373"/>
        <v>321.2</v>
      </c>
      <c r="AG189" s="550">
        <f t="shared" si="373"/>
        <v>321.2</v>
      </c>
      <c r="AH189" s="550">
        <f t="shared" si="373"/>
        <v>321.2</v>
      </c>
      <c r="AI189" s="550">
        <f t="shared" si="373"/>
        <v>321.2</v>
      </c>
      <c r="AJ189" s="550">
        <f t="shared" si="373"/>
        <v>321.2</v>
      </c>
    </row>
    <row r="190" spans="1:36" hidden="1" x14ac:dyDescent="0.25">
      <c r="A190" t="s">
        <v>423</v>
      </c>
      <c r="C190" t="s">
        <v>574</v>
      </c>
      <c r="H190" s="454" t="s">
        <v>202</v>
      </c>
      <c r="I190" s="497" t="s">
        <v>436</v>
      </c>
      <c r="K190" s="550"/>
      <c r="L190" s="550">
        <f>L184*L186*(1-L188)*L187</f>
        <v>3097087.4879999999</v>
      </c>
      <c r="M190" s="550">
        <f t="shared" ref="M190:AJ190" si="374">M184*M186*(1-M188)*M187</f>
        <v>4335922.4831999997</v>
      </c>
      <c r="N190" s="550">
        <f t="shared" si="374"/>
        <v>6194174.9759999998</v>
      </c>
      <c r="O190" s="550">
        <f t="shared" si="374"/>
        <v>6194174.9759999998</v>
      </c>
      <c r="P190" s="550">
        <f t="shared" si="374"/>
        <v>6194174.9759999998</v>
      </c>
      <c r="Q190" s="550">
        <f t="shared" si="374"/>
        <v>6194174.9759999998</v>
      </c>
      <c r="R190" s="550">
        <f t="shared" si="374"/>
        <v>6194174.9759999998</v>
      </c>
      <c r="S190" s="550">
        <f t="shared" si="374"/>
        <v>6194174.9759999998</v>
      </c>
      <c r="T190" s="550">
        <f t="shared" si="374"/>
        <v>6194174.9759999998</v>
      </c>
      <c r="U190" s="550">
        <f t="shared" si="374"/>
        <v>6194174.9759999998</v>
      </c>
      <c r="V190" s="550">
        <f t="shared" si="374"/>
        <v>6194174.9759999998</v>
      </c>
      <c r="W190" s="550">
        <f t="shared" si="374"/>
        <v>6194174.9759999998</v>
      </c>
      <c r="X190" s="550">
        <f t="shared" si="374"/>
        <v>6194174.9759999998</v>
      </c>
      <c r="Y190" s="550">
        <f t="shared" si="374"/>
        <v>6194174.9759999998</v>
      </c>
      <c r="Z190" s="550">
        <f t="shared" si="374"/>
        <v>6194174.9759999998</v>
      </c>
      <c r="AA190" s="550">
        <f t="shared" si="374"/>
        <v>6194174.9759999998</v>
      </c>
      <c r="AB190" s="550">
        <f t="shared" si="374"/>
        <v>6194174.9759999998</v>
      </c>
      <c r="AC190" s="550">
        <f t="shared" si="374"/>
        <v>6194174.9759999998</v>
      </c>
      <c r="AD190" s="550">
        <f t="shared" si="374"/>
        <v>6194174.9759999998</v>
      </c>
      <c r="AE190" s="550">
        <f t="shared" si="374"/>
        <v>6194174.9759999998</v>
      </c>
      <c r="AF190" s="550">
        <f t="shared" si="374"/>
        <v>6194174.9759999998</v>
      </c>
      <c r="AG190" s="550">
        <f t="shared" si="374"/>
        <v>6194174.9759999998</v>
      </c>
      <c r="AH190" s="550">
        <f t="shared" si="374"/>
        <v>6194174.9759999998</v>
      </c>
      <c r="AI190" s="550">
        <f t="shared" si="374"/>
        <v>6194174.9759999998</v>
      </c>
      <c r="AJ190" s="550">
        <f t="shared" si="374"/>
        <v>6194174.9759999998</v>
      </c>
    </row>
    <row r="191" spans="1:36" hidden="1" x14ac:dyDescent="0.25">
      <c r="A191" t="s">
        <v>423</v>
      </c>
      <c r="C191" t="s">
        <v>575</v>
      </c>
      <c r="H191" s="454" t="s">
        <v>202</v>
      </c>
      <c r="I191" s="497" t="s">
        <v>320</v>
      </c>
      <c r="K191" s="550"/>
      <c r="L191" s="550">
        <f t="shared" ref="L191:AJ191" si="375">L190*PHOI_KG</f>
        <v>206472499.20000002</v>
      </c>
      <c r="M191" s="550">
        <f t="shared" si="375"/>
        <v>289061498.88</v>
      </c>
      <c r="N191" s="550">
        <f t="shared" si="375"/>
        <v>412944998.40000004</v>
      </c>
      <c r="O191" s="550">
        <f t="shared" si="375"/>
        <v>412944998.40000004</v>
      </c>
      <c r="P191" s="550">
        <f t="shared" si="375"/>
        <v>412944998.40000004</v>
      </c>
      <c r="Q191" s="550">
        <f t="shared" si="375"/>
        <v>412944998.40000004</v>
      </c>
      <c r="R191" s="550">
        <f t="shared" si="375"/>
        <v>412944998.40000004</v>
      </c>
      <c r="S191" s="550">
        <f t="shared" si="375"/>
        <v>412944998.40000004</v>
      </c>
      <c r="T191" s="550">
        <f t="shared" si="375"/>
        <v>412944998.40000004</v>
      </c>
      <c r="U191" s="550">
        <f t="shared" si="375"/>
        <v>412944998.40000004</v>
      </c>
      <c r="V191" s="550">
        <f t="shared" si="375"/>
        <v>412944998.40000004</v>
      </c>
      <c r="W191" s="550">
        <f t="shared" si="375"/>
        <v>412944998.40000004</v>
      </c>
      <c r="X191" s="550">
        <f t="shared" si="375"/>
        <v>412944998.40000004</v>
      </c>
      <c r="Y191" s="550">
        <f t="shared" si="375"/>
        <v>412944998.40000004</v>
      </c>
      <c r="Z191" s="550">
        <f t="shared" si="375"/>
        <v>412944998.40000004</v>
      </c>
      <c r="AA191" s="550">
        <f t="shared" si="375"/>
        <v>412944998.40000004</v>
      </c>
      <c r="AB191" s="550">
        <f t="shared" si="375"/>
        <v>412944998.40000004</v>
      </c>
      <c r="AC191" s="550">
        <f t="shared" si="375"/>
        <v>412944998.40000004</v>
      </c>
      <c r="AD191" s="550">
        <f t="shared" si="375"/>
        <v>412944998.40000004</v>
      </c>
      <c r="AE191" s="550">
        <f t="shared" si="375"/>
        <v>412944998.40000004</v>
      </c>
      <c r="AF191" s="550">
        <f t="shared" si="375"/>
        <v>412944998.40000004</v>
      </c>
      <c r="AG191" s="550">
        <f t="shared" si="375"/>
        <v>412944998.40000004</v>
      </c>
      <c r="AH191" s="550">
        <f t="shared" si="375"/>
        <v>412944998.40000004</v>
      </c>
      <c r="AI191" s="550">
        <f t="shared" si="375"/>
        <v>412944998.40000004</v>
      </c>
      <c r="AJ191" s="550">
        <f t="shared" si="375"/>
        <v>412944998.40000004</v>
      </c>
    </row>
    <row r="192" spans="1:36" hidden="1" x14ac:dyDescent="0.25">
      <c r="A192" t="s">
        <v>423</v>
      </c>
      <c r="K192" s="243"/>
      <c r="L192" s="243"/>
      <c r="M192" s="243"/>
      <c r="N192" s="243"/>
      <c r="O192" s="243"/>
      <c r="P192" s="243"/>
      <c r="Q192" s="243"/>
      <c r="R192" s="243"/>
      <c r="S192" s="243"/>
      <c r="T192" s="243"/>
      <c r="U192" s="243"/>
      <c r="V192" s="243"/>
      <c r="W192" s="243"/>
      <c r="X192" s="243"/>
      <c r="Y192" s="243"/>
      <c r="Z192" s="243"/>
      <c r="AA192" s="243"/>
      <c r="AB192" s="243"/>
      <c r="AC192" s="243"/>
      <c r="AD192" s="243"/>
      <c r="AE192" s="243"/>
      <c r="AF192" s="243"/>
      <c r="AG192" s="243"/>
      <c r="AH192" s="243"/>
      <c r="AI192" s="243"/>
      <c r="AJ192" s="243"/>
    </row>
    <row r="193" spans="1:36" s="24" customFormat="1" ht="17.25" hidden="1" x14ac:dyDescent="0.3">
      <c r="A193" s="24" t="s">
        <v>423</v>
      </c>
      <c r="H193" s="24" t="s">
        <v>670</v>
      </c>
      <c r="K193" s="636"/>
      <c r="L193" s="636"/>
      <c r="M193" s="636"/>
      <c r="N193" s="636"/>
      <c r="O193" s="636"/>
      <c r="P193" s="636"/>
      <c r="Q193" s="636"/>
      <c r="R193" s="636"/>
      <c r="S193" s="636"/>
      <c r="T193" s="636"/>
      <c r="U193" s="636"/>
      <c r="V193" s="636"/>
      <c r="W193" s="636"/>
      <c r="X193" s="636"/>
      <c r="Y193" s="636"/>
      <c r="Z193" s="636"/>
      <c r="AA193" s="636"/>
      <c r="AB193" s="636"/>
      <c r="AC193" s="636"/>
      <c r="AD193" s="636"/>
      <c r="AE193" s="636"/>
      <c r="AF193" s="636"/>
      <c r="AG193" s="636"/>
      <c r="AH193" s="636"/>
      <c r="AI193" s="636"/>
      <c r="AJ193" s="636"/>
    </row>
    <row r="194" spans="1:36" s="250" customFormat="1" hidden="1" outlineLevel="1" x14ac:dyDescent="0.25">
      <c r="A194" s="250" t="s">
        <v>423</v>
      </c>
      <c r="B194" s="250" t="s">
        <v>665</v>
      </c>
      <c r="H194" s="626" t="s">
        <v>663</v>
      </c>
      <c r="I194" s="627" t="s">
        <v>71</v>
      </c>
      <c r="K194" s="628"/>
      <c r="L194" s="631" cm="1">
        <f t="array" ref="L194">SUMPRODUCT('W2'!$M$12:$R$112*('W2'!$M$7:$R$7=$A194)*('W2'!$A$12:$A$112=$B194))</f>
        <v>2.0000000000000001E-4</v>
      </c>
      <c r="M194" s="630">
        <f>L194</f>
        <v>2.0000000000000001E-4</v>
      </c>
      <c r="N194" s="630">
        <f t="shared" ref="N194:AJ194" si="376">M194</f>
        <v>2.0000000000000001E-4</v>
      </c>
      <c r="O194" s="630">
        <f t="shared" si="376"/>
        <v>2.0000000000000001E-4</v>
      </c>
      <c r="P194" s="630">
        <f t="shared" si="376"/>
        <v>2.0000000000000001E-4</v>
      </c>
      <c r="Q194" s="630">
        <f t="shared" si="376"/>
        <v>2.0000000000000001E-4</v>
      </c>
      <c r="R194" s="630">
        <f t="shared" si="376"/>
        <v>2.0000000000000001E-4</v>
      </c>
      <c r="S194" s="630">
        <f t="shared" si="376"/>
        <v>2.0000000000000001E-4</v>
      </c>
      <c r="T194" s="630">
        <f t="shared" si="376"/>
        <v>2.0000000000000001E-4</v>
      </c>
      <c r="U194" s="630">
        <f t="shared" si="376"/>
        <v>2.0000000000000001E-4</v>
      </c>
      <c r="V194" s="630">
        <f t="shared" si="376"/>
        <v>2.0000000000000001E-4</v>
      </c>
      <c r="W194" s="630">
        <f t="shared" si="376"/>
        <v>2.0000000000000001E-4</v>
      </c>
      <c r="X194" s="630">
        <f t="shared" si="376"/>
        <v>2.0000000000000001E-4</v>
      </c>
      <c r="Y194" s="630">
        <f t="shared" si="376"/>
        <v>2.0000000000000001E-4</v>
      </c>
      <c r="Z194" s="630">
        <f t="shared" si="376"/>
        <v>2.0000000000000001E-4</v>
      </c>
      <c r="AA194" s="630">
        <f t="shared" si="376"/>
        <v>2.0000000000000001E-4</v>
      </c>
      <c r="AB194" s="630">
        <f t="shared" si="376"/>
        <v>2.0000000000000001E-4</v>
      </c>
      <c r="AC194" s="630">
        <f t="shared" si="376"/>
        <v>2.0000000000000001E-4</v>
      </c>
      <c r="AD194" s="630">
        <f t="shared" si="376"/>
        <v>2.0000000000000001E-4</v>
      </c>
      <c r="AE194" s="630">
        <f t="shared" si="376"/>
        <v>2.0000000000000001E-4</v>
      </c>
      <c r="AF194" s="630">
        <f t="shared" si="376"/>
        <v>2.0000000000000001E-4</v>
      </c>
      <c r="AG194" s="630">
        <f t="shared" si="376"/>
        <v>2.0000000000000001E-4</v>
      </c>
      <c r="AH194" s="630">
        <f t="shared" si="376"/>
        <v>2.0000000000000001E-4</v>
      </c>
      <c r="AI194" s="630">
        <f t="shared" si="376"/>
        <v>2.0000000000000001E-4</v>
      </c>
      <c r="AJ194" s="630">
        <f t="shared" si="376"/>
        <v>2.0000000000000001E-4</v>
      </c>
    </row>
    <row r="195" spans="1:36" s="250" customFormat="1" hidden="1" outlineLevel="1" x14ac:dyDescent="0.25">
      <c r="A195" s="250" t="s">
        <v>423</v>
      </c>
      <c r="B195" s="250" t="s">
        <v>666</v>
      </c>
      <c r="H195" s="537" t="s">
        <v>664</v>
      </c>
      <c r="I195" s="548" t="s">
        <v>71</v>
      </c>
      <c r="K195" s="629"/>
      <c r="L195" s="631" cm="1">
        <f t="array" ref="L195">SUMPRODUCT('W2'!$M$12:$R$112*('W2'!$M$7:$R$7=$A195)*('W2'!$A$12:$A$112=$B195))</f>
        <v>5.0000000000000001E-3</v>
      </c>
      <c r="M195" s="630">
        <f>L195</f>
        <v>5.0000000000000001E-3</v>
      </c>
      <c r="N195" s="630">
        <f t="shared" ref="N195:AJ195" si="377">M195</f>
        <v>5.0000000000000001E-3</v>
      </c>
      <c r="O195" s="630">
        <f t="shared" si="377"/>
        <v>5.0000000000000001E-3</v>
      </c>
      <c r="P195" s="630">
        <f t="shared" si="377"/>
        <v>5.0000000000000001E-3</v>
      </c>
      <c r="Q195" s="630">
        <f t="shared" si="377"/>
        <v>5.0000000000000001E-3</v>
      </c>
      <c r="R195" s="630">
        <f t="shared" si="377"/>
        <v>5.0000000000000001E-3</v>
      </c>
      <c r="S195" s="630">
        <f t="shared" si="377"/>
        <v>5.0000000000000001E-3</v>
      </c>
      <c r="T195" s="630">
        <f t="shared" si="377"/>
        <v>5.0000000000000001E-3</v>
      </c>
      <c r="U195" s="630">
        <f t="shared" si="377"/>
        <v>5.0000000000000001E-3</v>
      </c>
      <c r="V195" s="630">
        <f t="shared" si="377"/>
        <v>5.0000000000000001E-3</v>
      </c>
      <c r="W195" s="630">
        <f t="shared" si="377"/>
        <v>5.0000000000000001E-3</v>
      </c>
      <c r="X195" s="630">
        <f t="shared" si="377"/>
        <v>5.0000000000000001E-3</v>
      </c>
      <c r="Y195" s="630">
        <f t="shared" si="377"/>
        <v>5.0000000000000001E-3</v>
      </c>
      <c r="Z195" s="630">
        <f t="shared" si="377"/>
        <v>5.0000000000000001E-3</v>
      </c>
      <c r="AA195" s="630">
        <f t="shared" si="377"/>
        <v>5.0000000000000001E-3</v>
      </c>
      <c r="AB195" s="630">
        <f t="shared" si="377"/>
        <v>5.0000000000000001E-3</v>
      </c>
      <c r="AC195" s="630">
        <f t="shared" si="377"/>
        <v>5.0000000000000001E-3</v>
      </c>
      <c r="AD195" s="630">
        <f t="shared" si="377"/>
        <v>5.0000000000000001E-3</v>
      </c>
      <c r="AE195" s="630">
        <f t="shared" si="377"/>
        <v>5.0000000000000001E-3</v>
      </c>
      <c r="AF195" s="630">
        <f t="shared" si="377"/>
        <v>5.0000000000000001E-3</v>
      </c>
      <c r="AG195" s="630">
        <f t="shared" si="377"/>
        <v>5.0000000000000001E-3</v>
      </c>
      <c r="AH195" s="630">
        <f t="shared" si="377"/>
        <v>5.0000000000000001E-3</v>
      </c>
      <c r="AI195" s="630">
        <f t="shared" si="377"/>
        <v>5.0000000000000001E-3</v>
      </c>
      <c r="AJ195" s="630">
        <f t="shared" si="377"/>
        <v>5.0000000000000001E-3</v>
      </c>
    </row>
    <row r="196" spans="1:36" hidden="1" outlineLevel="1" x14ac:dyDescent="0.25">
      <c r="A196" t="s">
        <v>423</v>
      </c>
      <c r="H196" s="454" t="s">
        <v>671</v>
      </c>
      <c r="I196" s="497" t="s">
        <v>436</v>
      </c>
      <c r="K196" s="550"/>
      <c r="L196" s="550">
        <f>L194*L190/(1-L188)</f>
        <v>666.04032000000007</v>
      </c>
      <c r="M196" s="550">
        <f>M194*M190/(1-M188)</f>
        <v>932.45644800000014</v>
      </c>
      <c r="N196" s="550">
        <f t="shared" ref="N196:AJ196" si="378">N194*N190/(1-N188)</f>
        <v>1332.0806400000001</v>
      </c>
      <c r="O196" s="550">
        <f t="shared" si="378"/>
        <v>1332.0806400000001</v>
      </c>
      <c r="P196" s="550">
        <f t="shared" si="378"/>
        <v>1332.0806400000001</v>
      </c>
      <c r="Q196" s="550">
        <f t="shared" si="378"/>
        <v>1332.0806400000001</v>
      </c>
      <c r="R196" s="550">
        <f t="shared" si="378"/>
        <v>1332.0806400000001</v>
      </c>
      <c r="S196" s="550">
        <f t="shared" si="378"/>
        <v>1332.0806400000001</v>
      </c>
      <c r="T196" s="550">
        <f t="shared" si="378"/>
        <v>1332.0806400000001</v>
      </c>
      <c r="U196" s="550">
        <f t="shared" si="378"/>
        <v>1332.0806400000001</v>
      </c>
      <c r="V196" s="550">
        <f t="shared" si="378"/>
        <v>1332.0806400000001</v>
      </c>
      <c r="W196" s="550">
        <f t="shared" si="378"/>
        <v>1332.0806400000001</v>
      </c>
      <c r="X196" s="550">
        <f t="shared" si="378"/>
        <v>1332.0806400000001</v>
      </c>
      <c r="Y196" s="550">
        <f t="shared" si="378"/>
        <v>1332.0806400000001</v>
      </c>
      <c r="Z196" s="550">
        <f t="shared" si="378"/>
        <v>1332.0806400000001</v>
      </c>
      <c r="AA196" s="550">
        <f t="shared" si="378"/>
        <v>1332.0806400000001</v>
      </c>
      <c r="AB196" s="550">
        <f t="shared" si="378"/>
        <v>1332.0806400000001</v>
      </c>
      <c r="AC196" s="550">
        <f t="shared" si="378"/>
        <v>1332.0806400000001</v>
      </c>
      <c r="AD196" s="550">
        <f t="shared" si="378"/>
        <v>1332.0806400000001</v>
      </c>
      <c r="AE196" s="550">
        <f t="shared" si="378"/>
        <v>1332.0806400000001</v>
      </c>
      <c r="AF196" s="550">
        <f t="shared" si="378"/>
        <v>1332.0806400000001</v>
      </c>
      <c r="AG196" s="550">
        <f t="shared" si="378"/>
        <v>1332.0806400000001</v>
      </c>
      <c r="AH196" s="550">
        <f t="shared" si="378"/>
        <v>1332.0806400000001</v>
      </c>
      <c r="AI196" s="550">
        <f t="shared" si="378"/>
        <v>1332.0806400000001</v>
      </c>
      <c r="AJ196" s="550">
        <f t="shared" si="378"/>
        <v>1332.0806400000001</v>
      </c>
    </row>
    <row r="197" spans="1:36" hidden="1" outlineLevel="1" x14ac:dyDescent="0.25">
      <c r="A197" t="s">
        <v>423</v>
      </c>
      <c r="H197" s="454" t="s">
        <v>675</v>
      </c>
      <c r="I197" s="497" t="s">
        <v>436</v>
      </c>
      <c r="K197" s="550"/>
      <c r="L197" s="550">
        <f>L195*L190/(1-L188)</f>
        <v>16651.008000000002</v>
      </c>
      <c r="M197" s="550">
        <f t="shared" ref="M197:AJ197" si="379">M195*M190/(1-M188)</f>
        <v>23311.411200000002</v>
      </c>
      <c r="N197" s="550">
        <f t="shared" si="379"/>
        <v>33302.016000000003</v>
      </c>
      <c r="O197" s="550">
        <f t="shared" si="379"/>
        <v>33302.016000000003</v>
      </c>
      <c r="P197" s="550">
        <f t="shared" si="379"/>
        <v>33302.016000000003</v>
      </c>
      <c r="Q197" s="550">
        <f t="shared" si="379"/>
        <v>33302.016000000003</v>
      </c>
      <c r="R197" s="550">
        <f t="shared" si="379"/>
        <v>33302.016000000003</v>
      </c>
      <c r="S197" s="550">
        <f t="shared" si="379"/>
        <v>33302.016000000003</v>
      </c>
      <c r="T197" s="550">
        <f t="shared" si="379"/>
        <v>33302.016000000003</v>
      </c>
      <c r="U197" s="550">
        <f t="shared" si="379"/>
        <v>33302.016000000003</v>
      </c>
      <c r="V197" s="550">
        <f t="shared" si="379"/>
        <v>33302.016000000003</v>
      </c>
      <c r="W197" s="550">
        <f t="shared" si="379"/>
        <v>33302.016000000003</v>
      </c>
      <c r="X197" s="550">
        <f t="shared" si="379"/>
        <v>33302.016000000003</v>
      </c>
      <c r="Y197" s="550">
        <f t="shared" si="379"/>
        <v>33302.016000000003</v>
      </c>
      <c r="Z197" s="550">
        <f t="shared" si="379"/>
        <v>33302.016000000003</v>
      </c>
      <c r="AA197" s="550">
        <f t="shared" si="379"/>
        <v>33302.016000000003</v>
      </c>
      <c r="AB197" s="550">
        <f t="shared" si="379"/>
        <v>33302.016000000003</v>
      </c>
      <c r="AC197" s="550">
        <f t="shared" si="379"/>
        <v>33302.016000000003</v>
      </c>
      <c r="AD197" s="550">
        <f t="shared" si="379"/>
        <v>33302.016000000003</v>
      </c>
      <c r="AE197" s="550">
        <f t="shared" si="379"/>
        <v>33302.016000000003</v>
      </c>
      <c r="AF197" s="550">
        <f t="shared" si="379"/>
        <v>33302.016000000003</v>
      </c>
      <c r="AG197" s="550">
        <f t="shared" si="379"/>
        <v>33302.016000000003</v>
      </c>
      <c r="AH197" s="550">
        <f t="shared" si="379"/>
        <v>33302.016000000003</v>
      </c>
      <c r="AI197" s="550">
        <f t="shared" si="379"/>
        <v>33302.016000000003</v>
      </c>
      <c r="AJ197" s="550">
        <f t="shared" si="379"/>
        <v>33302.016000000003</v>
      </c>
    </row>
    <row r="198" spans="1:36" hidden="1" collapsed="1" x14ac:dyDescent="0.25">
      <c r="A198" t="s">
        <v>423</v>
      </c>
      <c r="K198" s="243"/>
      <c r="L198" s="243"/>
      <c r="M198" s="243"/>
      <c r="N198" s="243"/>
      <c r="O198" s="243"/>
      <c r="P198" s="243"/>
      <c r="Q198" s="243"/>
      <c r="R198" s="243"/>
      <c r="S198" s="243"/>
      <c r="T198" s="243"/>
      <c r="U198" s="243"/>
      <c r="V198" s="243"/>
      <c r="W198" s="243"/>
      <c r="X198" s="243"/>
      <c r="Y198" s="243"/>
      <c r="Z198" s="243"/>
      <c r="AA198" s="243"/>
      <c r="AB198" s="243"/>
      <c r="AC198" s="243"/>
      <c r="AD198" s="243"/>
      <c r="AE198" s="243"/>
      <c r="AF198" s="243"/>
      <c r="AG198" s="243"/>
      <c r="AH198" s="243"/>
      <c r="AI198" s="243"/>
      <c r="AJ198" s="243"/>
    </row>
    <row r="199" spans="1:36" hidden="1" x14ac:dyDescent="0.25">
      <c r="A199" t="s">
        <v>423</v>
      </c>
      <c r="K199" s="243"/>
      <c r="L199" s="243"/>
      <c r="M199" s="243"/>
      <c r="N199" s="243"/>
      <c r="O199" s="243"/>
      <c r="P199" s="243"/>
      <c r="Q199" s="243"/>
      <c r="R199" s="243"/>
      <c r="S199" s="243"/>
      <c r="T199" s="243"/>
      <c r="U199" s="243"/>
      <c r="V199" s="243"/>
      <c r="W199" s="243"/>
      <c r="X199" s="243"/>
      <c r="Y199" s="243"/>
      <c r="Z199" s="243"/>
      <c r="AA199" s="243"/>
      <c r="AB199" s="243"/>
      <c r="AC199" s="243"/>
      <c r="AD199" s="243"/>
      <c r="AE199" s="243"/>
      <c r="AF199" s="243"/>
      <c r="AG199" s="243"/>
      <c r="AH199" s="243"/>
      <c r="AI199" s="243"/>
      <c r="AJ199" s="243"/>
    </row>
    <row r="200" spans="1:36" hidden="1" x14ac:dyDescent="0.25">
      <c r="A200" t="s">
        <v>423</v>
      </c>
      <c r="K200" s="243"/>
      <c r="L200" s="243"/>
      <c r="M200" s="243"/>
      <c r="N200" s="243"/>
      <c r="O200" s="243"/>
      <c r="P200" s="243"/>
      <c r="Q200" s="243"/>
      <c r="R200" s="243"/>
      <c r="S200" s="243"/>
      <c r="T200" s="243"/>
      <c r="U200" s="243"/>
      <c r="V200" s="243"/>
      <c r="W200" s="243"/>
      <c r="X200" s="243"/>
      <c r="Y200" s="243"/>
      <c r="Z200" s="243"/>
      <c r="AA200" s="243"/>
      <c r="AB200" s="243"/>
      <c r="AC200" s="243"/>
      <c r="AD200" s="243"/>
      <c r="AE200" s="243"/>
      <c r="AF200" s="243"/>
      <c r="AG200" s="243"/>
      <c r="AH200" s="243"/>
      <c r="AI200" s="243"/>
      <c r="AJ200" s="243"/>
    </row>
    <row r="201" spans="1:36" s="1" customFormat="1" hidden="1" x14ac:dyDescent="0.25">
      <c r="A201" s="1" t="s">
        <v>423</v>
      </c>
      <c r="H201" s="266" t="s">
        <v>434</v>
      </c>
      <c r="I201" s="267" t="str">
        <f t="shared" ref="I201:I209" si="380">IF($H$9="USD","USD","tr. VND")</f>
        <v>tr. VND</v>
      </c>
      <c r="K201" s="268">
        <f t="shared" ref="K201" si="381">SUM(K202:K203,K206:K209,)</f>
        <v>0</v>
      </c>
      <c r="L201" s="268">
        <f>SUM(L202:L203,L206:L209,)</f>
        <v>-56193.450999999994</v>
      </c>
      <c r="M201" s="268">
        <f t="shared" ref="M201:AJ201" si="382">SUM(M202:M203,M206:M209,)</f>
        <v>-56193.450999999994</v>
      </c>
      <c r="N201" s="268">
        <f t="shared" si="382"/>
        <v>-57252.757150000005</v>
      </c>
      <c r="O201" s="268">
        <f t="shared" si="382"/>
        <v>-58365.028607500004</v>
      </c>
      <c r="P201" s="268">
        <f t="shared" si="382"/>
        <v>-59532.913637874997</v>
      </c>
      <c r="Q201" s="268">
        <f t="shared" si="382"/>
        <v>-60759.19291976875</v>
      </c>
      <c r="R201" s="268">
        <f t="shared" si="382"/>
        <v>-62046.786165757192</v>
      </c>
      <c r="S201" s="268">
        <f t="shared" si="382"/>
        <v>-63398.759074045047</v>
      </c>
      <c r="T201" s="268">
        <f t="shared" si="382"/>
        <v>-64818.330627747309</v>
      </c>
      <c r="U201" s="268">
        <f t="shared" si="382"/>
        <v>-66308.88075913467</v>
      </c>
      <c r="V201" s="268">
        <f t="shared" si="382"/>
        <v>-67873.958397091395</v>
      </c>
      <c r="W201" s="268">
        <f t="shared" si="382"/>
        <v>-69517.289916945956</v>
      </c>
      <c r="X201" s="268">
        <f t="shared" si="382"/>
        <v>-43208.288012793273</v>
      </c>
      <c r="Y201" s="268">
        <f t="shared" si="382"/>
        <v>-45020.061013432925</v>
      </c>
      <c r="Z201" s="268">
        <f t="shared" si="382"/>
        <v>-46922.422664104583</v>
      </c>
      <c r="AA201" s="268">
        <f t="shared" si="382"/>
        <v>-48919.902397309801</v>
      </c>
      <c r="AB201" s="268">
        <f t="shared" si="382"/>
        <v>-51017.256117175311</v>
      </c>
      <c r="AC201" s="268">
        <f t="shared" si="382"/>
        <v>-53219.477523034067</v>
      </c>
      <c r="AD201" s="268">
        <f t="shared" si="382"/>
        <v>-55531.809999185774</v>
      </c>
      <c r="AE201" s="268">
        <f t="shared" si="382"/>
        <v>-57959.759099145063</v>
      </c>
      <c r="AF201" s="268">
        <f t="shared" si="382"/>
        <v>-60509.105654102314</v>
      </c>
      <c r="AG201" s="268">
        <f t="shared" si="382"/>
        <v>-63185.919536807436</v>
      </c>
      <c r="AH201" s="268">
        <f t="shared" si="382"/>
        <v>-65996.574113647803</v>
      </c>
      <c r="AI201" s="268">
        <f t="shared" si="382"/>
        <v>-68947.761419330185</v>
      </c>
      <c r="AJ201" s="268">
        <f t="shared" si="382"/>
        <v>-72046.508090296702</v>
      </c>
    </row>
    <row r="202" spans="1:36" hidden="1" outlineLevel="1" x14ac:dyDescent="0.25">
      <c r="A202" t="s">
        <v>423</v>
      </c>
      <c r="B202" t="s">
        <v>173</v>
      </c>
      <c r="H202" s="459" t="s">
        <v>190</v>
      </c>
      <c r="I202" s="494" t="str">
        <f t="shared" si="380"/>
        <v>tr. VND</v>
      </c>
      <c r="K202" s="493"/>
      <c r="L202" s="549" cm="1">
        <f t="array" ref="L202">-SUMPRODUCT('W1'!$AO$10:$HQ$60*('W1'!$AO$7:$HQ$7=$A202)*('W1'!$AO$8:$HQ$8=L$14)*('W1'!$A$10:$A$60=$B202))*$H$10</f>
        <v>-34034.5</v>
      </c>
      <c r="M202" s="549" cm="1">
        <f t="array" ref="M202">-SUMPRODUCT('W1'!$AO$10:$HQ$60*('W1'!$AO$7:$HQ$7=$A202)*('W1'!$AO$8:$HQ$8=M$14)*('W1'!$A$10:$A$60=$B202))*$H$10</f>
        <v>-34034.5</v>
      </c>
      <c r="N202" s="549" cm="1">
        <f t="array" ref="N202">-SUMPRODUCT('W1'!$AO$10:$HQ$60*('W1'!$AO$7:$HQ$7=$A202)*('W1'!$AO$8:$HQ$8=N$14)*('W1'!$A$10:$A$60=$B202))*$H$10</f>
        <v>-34034.5</v>
      </c>
      <c r="O202" s="549" cm="1">
        <f t="array" ref="O202">-SUMPRODUCT('W1'!$AO$10:$HQ$60*('W1'!$AO$7:$HQ$7=$A202)*('W1'!$AO$8:$HQ$8=O$14)*('W1'!$A$10:$A$60=$B202))*$H$10</f>
        <v>-34034.5</v>
      </c>
      <c r="P202" s="549" cm="1">
        <f t="array" ref="P202">-SUMPRODUCT('W1'!$AO$10:$HQ$60*('W1'!$AO$7:$HQ$7=$A202)*('W1'!$AO$8:$HQ$8=P$14)*('W1'!$A$10:$A$60=$B202))*$H$10</f>
        <v>-34034.5</v>
      </c>
      <c r="Q202" s="549" cm="1">
        <f t="array" ref="Q202">-SUMPRODUCT('W1'!$AO$10:$HQ$60*('W1'!$AO$7:$HQ$7=$A202)*('W1'!$AO$8:$HQ$8=Q$14)*('W1'!$A$10:$A$60=$B202))*$H$10</f>
        <v>-34034.5</v>
      </c>
      <c r="R202" s="549" cm="1">
        <f t="array" ref="R202">-SUMPRODUCT('W1'!$AO$10:$HQ$60*('W1'!$AO$7:$HQ$7=$A202)*('W1'!$AO$8:$HQ$8=R$14)*('W1'!$A$10:$A$60=$B202))*$H$10</f>
        <v>-34034.5</v>
      </c>
      <c r="S202" s="549" cm="1">
        <f t="array" ref="S202">-SUMPRODUCT('W1'!$AO$10:$HQ$60*('W1'!$AO$7:$HQ$7=$A202)*('W1'!$AO$8:$HQ$8=S$14)*('W1'!$A$10:$A$60=$B202))*$H$10</f>
        <v>-34034.5</v>
      </c>
      <c r="T202" s="549" cm="1">
        <f t="array" ref="T202">-SUMPRODUCT('W1'!$AO$10:$HQ$60*('W1'!$AO$7:$HQ$7=$A202)*('W1'!$AO$8:$HQ$8=T$14)*('W1'!$A$10:$A$60=$B202))*$H$10</f>
        <v>-34034.5</v>
      </c>
      <c r="U202" s="549" cm="1">
        <f t="array" ref="U202">-SUMPRODUCT('W1'!$AO$10:$HQ$60*('W1'!$AO$7:$HQ$7=$A202)*('W1'!$AO$8:$HQ$8=U$14)*('W1'!$A$10:$A$60=$B202))*$H$10</f>
        <v>-34034.5</v>
      </c>
      <c r="V202" s="549" cm="1">
        <f t="array" ref="V202">-SUMPRODUCT('W1'!$AO$10:$HQ$60*('W1'!$AO$7:$HQ$7=$A202)*('W1'!$AO$8:$HQ$8=V$14)*('W1'!$A$10:$A$60=$B202))*$H$10</f>
        <v>-34034.5</v>
      </c>
      <c r="W202" s="549" cm="1">
        <f t="array" ref="W202">-SUMPRODUCT('W1'!$AO$10:$HQ$60*('W1'!$AO$7:$HQ$7=$A202)*('W1'!$AO$8:$HQ$8=W$14)*('W1'!$A$10:$A$60=$B202))*$H$10</f>
        <v>-34034.5</v>
      </c>
      <c r="X202" s="549" cm="1">
        <f t="array" ref="X202">-SUMPRODUCT('W1'!$AO$10:$HQ$60*('W1'!$AO$7:$HQ$7=$A202)*('W1'!$AO$8:$HQ$8=X$14)*('W1'!$A$10:$A$60=$B202))*$H$10</f>
        <v>-6000</v>
      </c>
      <c r="Y202" s="549" cm="1">
        <f t="array" ref="Y202">-SUMPRODUCT('W1'!$AO$10:$HQ$60*('W1'!$AO$7:$HQ$7=$A202)*('W1'!$AO$8:$HQ$8=Y$14)*('W1'!$A$10:$A$60=$B202))*$H$10</f>
        <v>-6000</v>
      </c>
      <c r="Z202" s="549" cm="1">
        <f t="array" ref="Z202">-SUMPRODUCT('W1'!$AO$10:$HQ$60*('W1'!$AO$7:$HQ$7=$A202)*('W1'!$AO$8:$HQ$8=Z$14)*('W1'!$A$10:$A$60=$B202))*$H$10</f>
        <v>-6000</v>
      </c>
      <c r="AA202" s="549" cm="1">
        <f t="array" ref="AA202">-SUMPRODUCT('W1'!$AO$10:$HQ$60*('W1'!$AO$7:$HQ$7=$A202)*('W1'!$AO$8:$HQ$8=AA$14)*('W1'!$A$10:$A$60=$B202))*$H$10</f>
        <v>-6000</v>
      </c>
      <c r="AB202" s="549" cm="1">
        <f t="array" ref="AB202">-SUMPRODUCT('W1'!$AO$10:$HQ$60*('W1'!$AO$7:$HQ$7=$A202)*('W1'!$AO$8:$HQ$8=AB$14)*('W1'!$A$10:$A$60=$B202))*$H$10</f>
        <v>-6000</v>
      </c>
      <c r="AC202" s="549" cm="1">
        <f t="array" ref="AC202">-SUMPRODUCT('W1'!$AO$10:$HQ$60*('W1'!$AO$7:$HQ$7=$A202)*('W1'!$AO$8:$HQ$8=AC$14)*('W1'!$A$10:$A$60=$B202))*$H$10</f>
        <v>-6000</v>
      </c>
      <c r="AD202" s="549" cm="1">
        <f t="array" ref="AD202">-SUMPRODUCT('W1'!$AO$10:$HQ$60*('W1'!$AO$7:$HQ$7=$A202)*('W1'!$AO$8:$HQ$8=AD$14)*('W1'!$A$10:$A$60=$B202))*$H$10</f>
        <v>-6000</v>
      </c>
      <c r="AE202" s="549" cm="1">
        <f t="array" ref="AE202">-SUMPRODUCT('W1'!$AO$10:$HQ$60*('W1'!$AO$7:$HQ$7=$A202)*('W1'!$AO$8:$HQ$8=AE$14)*('W1'!$A$10:$A$60=$B202))*$H$10</f>
        <v>-6000</v>
      </c>
      <c r="AF202" s="549" cm="1">
        <f t="array" ref="AF202">-SUMPRODUCT('W1'!$AO$10:$HQ$60*('W1'!$AO$7:$HQ$7=$A202)*('W1'!$AO$8:$HQ$8=AF$14)*('W1'!$A$10:$A$60=$B202))*$H$10</f>
        <v>-6000</v>
      </c>
      <c r="AG202" s="549" cm="1">
        <f t="array" ref="AG202">-SUMPRODUCT('W1'!$AO$10:$HQ$60*('W1'!$AO$7:$HQ$7=$A202)*('W1'!$AO$8:$HQ$8=AG$14)*('W1'!$A$10:$A$60=$B202))*$H$10</f>
        <v>-6000</v>
      </c>
      <c r="AH202" s="549" cm="1">
        <f t="array" ref="AH202">-SUMPRODUCT('W1'!$AO$10:$HQ$60*('W1'!$AO$7:$HQ$7=$A202)*('W1'!$AO$8:$HQ$8=AH$14)*('W1'!$A$10:$A$60=$B202))*$H$10</f>
        <v>-6000</v>
      </c>
      <c r="AI202" s="549" cm="1">
        <f t="array" ref="AI202">-SUMPRODUCT('W1'!$AO$10:$HQ$60*('W1'!$AO$7:$HQ$7=$A202)*('W1'!$AO$8:$HQ$8=AI$14)*('W1'!$A$10:$A$60=$B202))*$H$10</f>
        <v>-6000</v>
      </c>
      <c r="AJ202" s="549" cm="1">
        <f t="array" ref="AJ202">-SUMPRODUCT('W1'!$AO$10:$HQ$60*('W1'!$AO$7:$HQ$7=$A202)*('W1'!$AO$8:$HQ$8=AJ$14)*('W1'!$A$10:$A$60=$B202))*$H$10</f>
        <v>-6000</v>
      </c>
    </row>
    <row r="203" spans="1:36" hidden="1" outlineLevel="1" x14ac:dyDescent="0.25">
      <c r="A203" t="s">
        <v>423</v>
      </c>
      <c r="H203" s="454" t="s">
        <v>429</v>
      </c>
      <c r="I203" s="497" t="str">
        <f t="shared" si="380"/>
        <v>tr. VND</v>
      </c>
      <c r="K203" s="550">
        <f>SUM(K204:K205)</f>
        <v>0</v>
      </c>
      <c r="L203" s="550">
        <f t="shared" ref="L203:AJ203" si="383">SUM(L204:L205)</f>
        <v>-6312.0329999999994</v>
      </c>
      <c r="M203" s="550">
        <f t="shared" si="383"/>
        <v>-6312.0329999999994</v>
      </c>
      <c r="N203" s="550">
        <f t="shared" si="383"/>
        <v>-6627.63465</v>
      </c>
      <c r="O203" s="550">
        <f t="shared" si="383"/>
        <v>-6959.0163825</v>
      </c>
      <c r="P203" s="550">
        <f t="shared" si="383"/>
        <v>-7306.9672016250006</v>
      </c>
      <c r="Q203" s="550">
        <f t="shared" si="383"/>
        <v>-7672.3155617062503</v>
      </c>
      <c r="R203" s="550">
        <f t="shared" si="383"/>
        <v>-8055.9313397915639</v>
      </c>
      <c r="S203" s="550">
        <f t="shared" si="383"/>
        <v>-8458.7279067811396</v>
      </c>
      <c r="T203" s="550">
        <f t="shared" si="383"/>
        <v>-8881.6643021201999</v>
      </c>
      <c r="U203" s="550">
        <f t="shared" si="383"/>
        <v>-9325.7475172262075</v>
      </c>
      <c r="V203" s="550">
        <f t="shared" si="383"/>
        <v>-9792.0348930875189</v>
      </c>
      <c r="W203" s="550">
        <f t="shared" si="383"/>
        <v>-10281.636637741894</v>
      </c>
      <c r="X203" s="550">
        <f t="shared" si="383"/>
        <v>-10795.71846962899</v>
      </c>
      <c r="Y203" s="550">
        <f t="shared" si="383"/>
        <v>-11335.504393110437</v>
      </c>
      <c r="Z203" s="550">
        <f t="shared" si="383"/>
        <v>-11902.279612765962</v>
      </c>
      <c r="AA203" s="550">
        <f t="shared" si="383"/>
        <v>-12497.393593404257</v>
      </c>
      <c r="AB203" s="550">
        <f t="shared" si="383"/>
        <v>-13122.263273074474</v>
      </c>
      <c r="AC203" s="550">
        <f t="shared" si="383"/>
        <v>-13778.376436728196</v>
      </c>
      <c r="AD203" s="550">
        <f t="shared" si="383"/>
        <v>-14467.295258564609</v>
      </c>
      <c r="AE203" s="550">
        <f t="shared" si="383"/>
        <v>-15190.66002149284</v>
      </c>
      <c r="AF203" s="550">
        <f t="shared" si="383"/>
        <v>-15950.193022567481</v>
      </c>
      <c r="AG203" s="550">
        <f t="shared" si="383"/>
        <v>-16747.702673695854</v>
      </c>
      <c r="AH203" s="550">
        <f t="shared" si="383"/>
        <v>-17585.087807380645</v>
      </c>
      <c r="AI203" s="550">
        <f t="shared" si="383"/>
        <v>-18464.342197749676</v>
      </c>
      <c r="AJ203" s="550">
        <f t="shared" si="383"/>
        <v>-19387.559307637166</v>
      </c>
    </row>
    <row r="204" spans="1:36" s="299" customFormat="1" hidden="1" outlineLevel="1" x14ac:dyDescent="0.25">
      <c r="A204" s="299" t="s">
        <v>423</v>
      </c>
      <c r="B204" s="299" t="s">
        <v>449</v>
      </c>
      <c r="H204" s="554" t="s">
        <v>430</v>
      </c>
      <c r="I204" s="555" t="str">
        <f t="shared" si="380"/>
        <v>tr. VND</v>
      </c>
      <c r="K204" s="556"/>
      <c r="L204" s="556" cm="1">
        <f t="array" ref="L204">-SUMPRODUCT('W2'!$M$12:$R$112*('W2'!$M$7:$R$7=$A204)*('W2'!$A$12:$A$112=$B204))*$H$10*POWER(1+Inflation,L$11+1)</f>
        <v>-1031.94</v>
      </c>
      <c r="M204" s="556" cm="1">
        <f t="array" ref="M204">-SUMPRODUCT('W2'!$M$12:$R$112*('W2'!$M$7:$R$7=$A204)*('W2'!$A$12:$A$112=$B204))*$H$10*POWER(1+Inflation,M$11+1)</f>
        <v>-1031.94</v>
      </c>
      <c r="N204" s="556" cm="1">
        <f t="array" ref="N204">-SUMPRODUCT('W2'!$M$12:$R$112*('W2'!$M$7:$R$7=$A204)*('W2'!$A$12:$A$112=$B204))*$H$10*POWER(1+Inflation,N$11+1)</f>
        <v>-1083.537</v>
      </c>
      <c r="O204" s="556" cm="1">
        <f t="array" ref="O204">-SUMPRODUCT('W2'!$M$12:$R$112*('W2'!$M$7:$R$7=$A204)*('W2'!$A$12:$A$112=$B204))*$H$10*POWER(1+Inflation,O$11+1)</f>
        <v>-1137.7138500000001</v>
      </c>
      <c r="P204" s="556" cm="1">
        <f t="array" ref="P204">-SUMPRODUCT('W2'!$M$12:$R$112*('W2'!$M$7:$R$7=$A204)*('W2'!$A$12:$A$112=$B204))*$H$10*POWER(1+Inflation,P$11+1)</f>
        <v>-1194.5995425000001</v>
      </c>
      <c r="Q204" s="556" cm="1">
        <f t="array" ref="Q204">-SUMPRODUCT('W2'!$M$12:$R$112*('W2'!$M$7:$R$7=$A204)*('W2'!$A$12:$A$112=$B204))*$H$10*POWER(1+Inflation,Q$11+1)</f>
        <v>-1254.3295196250001</v>
      </c>
      <c r="R204" s="556" cm="1">
        <f t="array" ref="R204">-SUMPRODUCT('W2'!$M$12:$R$112*('W2'!$M$7:$R$7=$A204)*('W2'!$A$12:$A$112=$B204))*$H$10*POWER(1+Inflation,R$11+1)</f>
        <v>-1317.0459956062502</v>
      </c>
      <c r="S204" s="556" cm="1">
        <f t="array" ref="S204">-SUMPRODUCT('W2'!$M$12:$R$112*('W2'!$M$7:$R$7=$A204)*('W2'!$A$12:$A$112=$B204))*$H$10*POWER(1+Inflation,S$11+1)</f>
        <v>-1382.8982953865625</v>
      </c>
      <c r="T204" s="556" cm="1">
        <f t="array" ref="T204">-SUMPRODUCT('W2'!$M$12:$R$112*('W2'!$M$7:$R$7=$A204)*('W2'!$A$12:$A$112=$B204))*$H$10*POWER(1+Inflation,T$11+1)</f>
        <v>-1452.0432101558908</v>
      </c>
      <c r="U204" s="556" cm="1">
        <f t="array" ref="U204">-SUMPRODUCT('W2'!$M$12:$R$112*('W2'!$M$7:$R$7=$A204)*('W2'!$A$12:$A$112=$B204))*$H$10*POWER(1+Inflation,U$11+1)</f>
        <v>-1524.6453706636853</v>
      </c>
      <c r="V204" s="556" cm="1">
        <f t="array" ref="V204">-SUMPRODUCT('W2'!$M$12:$R$112*('W2'!$M$7:$R$7=$A204)*('W2'!$A$12:$A$112=$B204))*$H$10*POWER(1+Inflation,V$11+1)</f>
        <v>-1600.8776391968697</v>
      </c>
      <c r="W204" s="556" cm="1">
        <f t="array" ref="W204">-SUMPRODUCT('W2'!$M$12:$R$112*('W2'!$M$7:$R$7=$A204)*('W2'!$A$12:$A$112=$B204))*$H$10*POWER(1+Inflation,W$11+1)</f>
        <v>-1680.9215211567132</v>
      </c>
      <c r="X204" s="556" cm="1">
        <f t="array" ref="X204">-SUMPRODUCT('W2'!$M$12:$R$112*('W2'!$M$7:$R$7=$A204)*('W2'!$A$12:$A$112=$B204))*$H$10*POWER(1+Inflation,X$11+1)</f>
        <v>-1764.967597214549</v>
      </c>
      <c r="Y204" s="556" cm="1">
        <f t="array" ref="Y204">-SUMPRODUCT('W2'!$M$12:$R$112*('W2'!$M$7:$R$7=$A204)*('W2'!$A$12:$A$112=$B204))*$H$10*POWER(1+Inflation,Y$11+1)</f>
        <v>-1853.215977075276</v>
      </c>
      <c r="Z204" s="556" cm="1">
        <f t="array" ref="Z204">-SUMPRODUCT('W2'!$M$12:$R$112*('W2'!$M$7:$R$7=$A204)*('W2'!$A$12:$A$112=$B204))*$H$10*POWER(1+Inflation,Z$11+1)</f>
        <v>-1945.8767759290402</v>
      </c>
      <c r="AA204" s="556" cm="1">
        <f t="array" ref="AA204">-SUMPRODUCT('W2'!$M$12:$R$112*('W2'!$M$7:$R$7=$A204)*('W2'!$A$12:$A$112=$B204))*$H$10*POWER(1+Inflation,AA$11+1)</f>
        <v>-2043.1706147254918</v>
      </c>
      <c r="AB204" s="556" cm="1">
        <f t="array" ref="AB204">-SUMPRODUCT('W2'!$M$12:$R$112*('W2'!$M$7:$R$7=$A204)*('W2'!$A$12:$A$112=$B204))*$H$10*POWER(1+Inflation,AB$11+1)</f>
        <v>-2145.329145461767</v>
      </c>
      <c r="AC204" s="556" cm="1">
        <f t="array" ref="AC204">-SUMPRODUCT('W2'!$M$12:$R$112*('W2'!$M$7:$R$7=$A204)*('W2'!$A$12:$A$112=$B204))*$H$10*POWER(1+Inflation,AC$11+1)</f>
        <v>-2252.5956027348552</v>
      </c>
      <c r="AD204" s="556" cm="1">
        <f t="array" ref="AD204">-SUMPRODUCT('W2'!$M$12:$R$112*('W2'!$M$7:$R$7=$A204)*('W2'!$A$12:$A$112=$B204))*$H$10*POWER(1+Inflation,AD$11+1)</f>
        <v>-2365.2253828715984</v>
      </c>
      <c r="AE204" s="556" cm="1">
        <f t="array" ref="AE204">-SUMPRODUCT('W2'!$M$12:$R$112*('W2'!$M$7:$R$7=$A204)*('W2'!$A$12:$A$112=$B204))*$H$10*POWER(1+Inflation,AE$11+1)</f>
        <v>-2483.4866520151782</v>
      </c>
      <c r="AF204" s="556" cm="1">
        <f t="array" ref="AF204">-SUMPRODUCT('W2'!$M$12:$R$112*('W2'!$M$7:$R$7=$A204)*('W2'!$A$12:$A$112=$B204))*$H$10*POWER(1+Inflation,AF$11+1)</f>
        <v>-2607.6609846159372</v>
      </c>
      <c r="AG204" s="556" cm="1">
        <f t="array" ref="AG204">-SUMPRODUCT('W2'!$M$12:$R$112*('W2'!$M$7:$R$7=$A204)*('W2'!$A$12:$A$112=$B204))*$H$10*POWER(1+Inflation,AG$11+1)</f>
        <v>-2738.0440338467338</v>
      </c>
      <c r="AH204" s="556" cm="1">
        <f t="array" ref="AH204">-SUMPRODUCT('W2'!$M$12:$R$112*('W2'!$M$7:$R$7=$A204)*('W2'!$A$12:$A$112=$B204))*$H$10*POWER(1+Inflation,AH$11+1)</f>
        <v>-2874.9462355390706</v>
      </c>
      <c r="AI204" s="556" cm="1">
        <f t="array" ref="AI204">-SUMPRODUCT('W2'!$M$12:$R$112*('W2'!$M$7:$R$7=$A204)*('W2'!$A$12:$A$112=$B204))*$H$10*POWER(1+Inflation,AI$11+1)</f>
        <v>-3018.6935473160238</v>
      </c>
      <c r="AJ204" s="556" cm="1">
        <f t="array" ref="AJ204">-SUMPRODUCT('W2'!$M$12:$R$112*('W2'!$M$7:$R$7=$A204)*('W2'!$A$12:$A$112=$B204))*$H$10*POWER(1+Inflation,AJ$11+1)</f>
        <v>-3169.6282246818255</v>
      </c>
    </row>
    <row r="205" spans="1:36" s="299" customFormat="1" hidden="1" outlineLevel="1" x14ac:dyDescent="0.25">
      <c r="A205" s="299" t="s">
        <v>423</v>
      </c>
      <c r="B205" s="299" t="s">
        <v>450</v>
      </c>
      <c r="H205" s="554" t="s">
        <v>431</v>
      </c>
      <c r="I205" s="555" t="str">
        <f t="shared" si="380"/>
        <v>tr. VND</v>
      </c>
      <c r="K205" s="556"/>
      <c r="L205" s="556" cm="1">
        <f t="array" ref="L205">-SUMPRODUCT('W2'!$M$12:$R$112*('W2'!$M$7:$R$7=$A205)*('W2'!$A$12:$A$112=$B205))*$H$10*POWER(1+Inflation,L$11+1)</f>
        <v>-5280.0929999999998</v>
      </c>
      <c r="M205" s="556" cm="1">
        <f t="array" ref="M205">-SUMPRODUCT('W2'!$M$12:$R$112*('W2'!$M$7:$R$7=$A205)*('W2'!$A$12:$A$112=$B205))*$H$10*POWER(1+Inflation,M$11+1)</f>
        <v>-5280.0929999999998</v>
      </c>
      <c r="N205" s="556" cm="1">
        <f t="array" ref="N205">-SUMPRODUCT('W2'!$M$12:$R$112*('W2'!$M$7:$R$7=$A205)*('W2'!$A$12:$A$112=$B205))*$H$10*POWER(1+Inflation,N$11+1)</f>
        <v>-5544.0976499999997</v>
      </c>
      <c r="O205" s="556" cm="1">
        <f t="array" ref="O205">-SUMPRODUCT('W2'!$M$12:$R$112*('W2'!$M$7:$R$7=$A205)*('W2'!$A$12:$A$112=$B205))*$H$10*POWER(1+Inflation,O$11+1)</f>
        <v>-5821.3025324999999</v>
      </c>
      <c r="P205" s="556" cm="1">
        <f t="array" ref="P205">-SUMPRODUCT('W2'!$M$12:$R$112*('W2'!$M$7:$R$7=$A205)*('W2'!$A$12:$A$112=$B205))*$H$10*POWER(1+Inflation,P$11+1)</f>
        <v>-6112.3676591250005</v>
      </c>
      <c r="Q205" s="556" cm="1">
        <f t="array" ref="Q205">-SUMPRODUCT('W2'!$M$12:$R$112*('W2'!$M$7:$R$7=$A205)*('W2'!$A$12:$A$112=$B205))*$H$10*POWER(1+Inflation,Q$11+1)</f>
        <v>-6417.9860420812502</v>
      </c>
      <c r="R205" s="556" cm="1">
        <f t="array" ref="R205">-SUMPRODUCT('W2'!$M$12:$R$112*('W2'!$M$7:$R$7=$A205)*('W2'!$A$12:$A$112=$B205))*$H$10*POWER(1+Inflation,R$11+1)</f>
        <v>-6738.8853441853134</v>
      </c>
      <c r="S205" s="556" cm="1">
        <f t="array" ref="S205">-SUMPRODUCT('W2'!$M$12:$R$112*('W2'!$M$7:$R$7=$A205)*('W2'!$A$12:$A$112=$B205))*$H$10*POWER(1+Inflation,S$11+1)</f>
        <v>-7075.829611394578</v>
      </c>
      <c r="T205" s="556" cm="1">
        <f t="array" ref="T205">-SUMPRODUCT('W2'!$M$12:$R$112*('W2'!$M$7:$R$7=$A205)*('W2'!$A$12:$A$112=$B205))*$H$10*POWER(1+Inflation,T$11+1)</f>
        <v>-7429.6210919643081</v>
      </c>
      <c r="U205" s="556" cm="1">
        <f t="array" ref="U205">-SUMPRODUCT('W2'!$M$12:$R$112*('W2'!$M$7:$R$7=$A205)*('W2'!$A$12:$A$112=$B205))*$H$10*POWER(1+Inflation,U$11+1)</f>
        <v>-7801.1021465625226</v>
      </c>
      <c r="V205" s="556" cm="1">
        <f t="array" ref="V205">-SUMPRODUCT('W2'!$M$12:$R$112*('W2'!$M$7:$R$7=$A205)*('W2'!$A$12:$A$112=$B205))*$H$10*POWER(1+Inflation,V$11+1)</f>
        <v>-8191.1572538906494</v>
      </c>
      <c r="W205" s="556" cm="1">
        <f t="array" ref="W205">-SUMPRODUCT('W2'!$M$12:$R$112*('W2'!$M$7:$R$7=$A205)*('W2'!$A$12:$A$112=$B205))*$H$10*POWER(1+Inflation,W$11+1)</f>
        <v>-8600.715116585181</v>
      </c>
      <c r="X205" s="556" cm="1">
        <f t="array" ref="X205">-SUMPRODUCT('W2'!$M$12:$R$112*('W2'!$M$7:$R$7=$A205)*('W2'!$A$12:$A$112=$B205))*$H$10*POWER(1+Inflation,X$11+1)</f>
        <v>-9030.7508724144409</v>
      </c>
      <c r="Y205" s="556" cm="1">
        <f t="array" ref="Y205">-SUMPRODUCT('W2'!$M$12:$R$112*('W2'!$M$7:$R$7=$A205)*('W2'!$A$12:$A$112=$B205))*$H$10*POWER(1+Inflation,Y$11+1)</f>
        <v>-9482.2884160351623</v>
      </c>
      <c r="Z205" s="556" cm="1">
        <f t="array" ref="Z205">-SUMPRODUCT('W2'!$M$12:$R$112*('W2'!$M$7:$R$7=$A205)*('W2'!$A$12:$A$112=$B205))*$H$10*POWER(1+Inflation,Z$11+1)</f>
        <v>-9956.4028368369218</v>
      </c>
      <c r="AA205" s="556" cm="1">
        <f t="array" ref="AA205">-SUMPRODUCT('W2'!$M$12:$R$112*('W2'!$M$7:$R$7=$A205)*('W2'!$A$12:$A$112=$B205))*$H$10*POWER(1+Inflation,AA$11+1)</f>
        <v>-10454.222978678765</v>
      </c>
      <c r="AB205" s="556" cm="1">
        <f t="array" ref="AB205">-SUMPRODUCT('W2'!$M$12:$R$112*('W2'!$M$7:$R$7=$A205)*('W2'!$A$12:$A$112=$B205))*$H$10*POWER(1+Inflation,AB$11+1)</f>
        <v>-10976.934127612707</v>
      </c>
      <c r="AC205" s="556" cm="1">
        <f t="array" ref="AC205">-SUMPRODUCT('W2'!$M$12:$R$112*('W2'!$M$7:$R$7=$A205)*('W2'!$A$12:$A$112=$B205))*$H$10*POWER(1+Inflation,AC$11+1)</f>
        <v>-11525.780833993342</v>
      </c>
      <c r="AD205" s="556" cm="1">
        <f t="array" ref="AD205">-SUMPRODUCT('W2'!$M$12:$R$112*('W2'!$M$7:$R$7=$A205)*('W2'!$A$12:$A$112=$B205))*$H$10*POWER(1+Inflation,AD$11+1)</f>
        <v>-12102.069875693011</v>
      </c>
      <c r="AE205" s="556" cm="1">
        <f t="array" ref="AE205">-SUMPRODUCT('W2'!$M$12:$R$112*('W2'!$M$7:$R$7=$A205)*('W2'!$A$12:$A$112=$B205))*$H$10*POWER(1+Inflation,AE$11+1)</f>
        <v>-12707.173369477661</v>
      </c>
      <c r="AF205" s="556" cm="1">
        <f t="array" ref="AF205">-SUMPRODUCT('W2'!$M$12:$R$112*('W2'!$M$7:$R$7=$A205)*('W2'!$A$12:$A$112=$B205))*$H$10*POWER(1+Inflation,AF$11+1)</f>
        <v>-13342.532037951543</v>
      </c>
      <c r="AG205" s="556" cm="1">
        <f t="array" ref="AG205">-SUMPRODUCT('W2'!$M$12:$R$112*('W2'!$M$7:$R$7=$A205)*('W2'!$A$12:$A$112=$B205))*$H$10*POWER(1+Inflation,AG$11+1)</f>
        <v>-14009.65863984912</v>
      </c>
      <c r="AH205" s="556" cm="1">
        <f t="array" ref="AH205">-SUMPRODUCT('W2'!$M$12:$R$112*('W2'!$M$7:$R$7=$A205)*('W2'!$A$12:$A$112=$B205))*$H$10*POWER(1+Inflation,AH$11+1)</f>
        <v>-14710.141571841576</v>
      </c>
      <c r="AI205" s="556" cm="1">
        <f t="array" ref="AI205">-SUMPRODUCT('W2'!$M$12:$R$112*('W2'!$M$7:$R$7=$A205)*('W2'!$A$12:$A$112=$B205))*$H$10*POWER(1+Inflation,AI$11+1)</f>
        <v>-15445.648650433654</v>
      </c>
      <c r="AJ205" s="556" cm="1">
        <f t="array" ref="AJ205">-SUMPRODUCT('W2'!$M$12:$R$112*('W2'!$M$7:$R$7=$A205)*('W2'!$A$12:$A$112=$B205))*$H$10*POWER(1+Inflation,AJ$11+1)</f>
        <v>-16217.93108295534</v>
      </c>
    </row>
    <row r="206" spans="1:36" hidden="1" outlineLevel="1" x14ac:dyDescent="0.25">
      <c r="A206" t="s">
        <v>423</v>
      </c>
      <c r="B206" t="s">
        <v>451</v>
      </c>
      <c r="H206" s="454" t="s">
        <v>656</v>
      </c>
      <c r="I206" s="497" t="str">
        <f t="shared" si="380"/>
        <v>tr. VND</v>
      </c>
      <c r="K206" s="550"/>
      <c r="L206" s="550" cm="1">
        <f t="array" ref="L206">-SUMPRODUCT('W2'!$M$12:$R$112*('W2'!$M$7:$R$7=$A206)*('W2'!$A$12:$A$112=$B206))*$H$10*POWER(1+Inflation,L$11+1)</f>
        <v>-2520</v>
      </c>
      <c r="M206" s="550" cm="1">
        <f t="array" ref="M206">-SUMPRODUCT('W2'!$M$12:$R$112*('W2'!$M$7:$R$7=$A206)*('W2'!$A$12:$A$112=$B206))*$H$10*POWER(1+Inflation,M$11+1)</f>
        <v>-2520</v>
      </c>
      <c r="N206" s="550" cm="1">
        <f t="array" ref="N206">-SUMPRODUCT('W2'!$M$12:$R$112*('W2'!$M$7:$R$7=$A206)*('W2'!$A$12:$A$112=$B206))*$H$10*POWER(1+Inflation,N$11+1)</f>
        <v>-2646</v>
      </c>
      <c r="O206" s="550" cm="1">
        <f t="array" ref="O206">-SUMPRODUCT('W2'!$M$12:$R$112*('W2'!$M$7:$R$7=$A206)*('W2'!$A$12:$A$112=$B206))*$H$10*POWER(1+Inflation,O$11+1)</f>
        <v>-2778.3</v>
      </c>
      <c r="P206" s="550" cm="1">
        <f t="array" ref="P206">-SUMPRODUCT('W2'!$M$12:$R$112*('W2'!$M$7:$R$7=$A206)*('W2'!$A$12:$A$112=$B206))*$H$10*POWER(1+Inflation,P$11+1)</f>
        <v>-2917.2150000000001</v>
      </c>
      <c r="Q206" s="550" cm="1">
        <f t="array" ref="Q206">-SUMPRODUCT('W2'!$M$12:$R$112*('W2'!$M$7:$R$7=$A206)*('W2'!$A$12:$A$112=$B206))*$H$10*POWER(1+Inflation,Q$11+1)</f>
        <v>-3063.07575</v>
      </c>
      <c r="R206" s="550" cm="1">
        <f t="array" ref="R206">-SUMPRODUCT('W2'!$M$12:$R$112*('W2'!$M$7:$R$7=$A206)*('W2'!$A$12:$A$112=$B206))*$H$10*POWER(1+Inflation,R$11+1)</f>
        <v>-3216.2295375000003</v>
      </c>
      <c r="S206" s="550" cm="1">
        <f t="array" ref="S206">-SUMPRODUCT('W2'!$M$12:$R$112*('W2'!$M$7:$R$7=$A206)*('W2'!$A$12:$A$112=$B206))*$H$10*POWER(1+Inflation,S$11+1)</f>
        <v>-3377.041014375</v>
      </c>
      <c r="T206" s="550" cm="1">
        <f t="array" ref="T206">-SUMPRODUCT('W2'!$M$12:$R$112*('W2'!$M$7:$R$7=$A206)*('W2'!$A$12:$A$112=$B206))*$H$10*POWER(1+Inflation,T$11+1)</f>
        <v>-3545.8930650937505</v>
      </c>
      <c r="U206" s="550" cm="1">
        <f t="array" ref="U206">-SUMPRODUCT('W2'!$M$12:$R$112*('W2'!$M$7:$R$7=$A206)*('W2'!$A$12:$A$112=$B206))*$H$10*POWER(1+Inflation,U$11+1)</f>
        <v>-3723.1877183484376</v>
      </c>
      <c r="V206" s="550" cm="1">
        <f t="array" ref="V206">-SUMPRODUCT('W2'!$M$12:$R$112*('W2'!$M$7:$R$7=$A206)*('W2'!$A$12:$A$112=$B206))*$H$10*POWER(1+Inflation,V$11+1)</f>
        <v>-3909.3471042658598</v>
      </c>
      <c r="W206" s="550" cm="1">
        <f t="array" ref="W206">-SUMPRODUCT('W2'!$M$12:$R$112*('W2'!$M$7:$R$7=$A206)*('W2'!$A$12:$A$112=$B206))*$H$10*POWER(1+Inflation,W$11+1)</f>
        <v>-4104.8144594791529</v>
      </c>
      <c r="X206" s="550" cm="1">
        <f t="array" ref="X206">-SUMPRODUCT('W2'!$M$12:$R$112*('W2'!$M$7:$R$7=$A206)*('W2'!$A$12:$A$112=$B206))*$H$10*POWER(1+Inflation,X$11+1)</f>
        <v>-4310.0551824531103</v>
      </c>
      <c r="Y206" s="550" cm="1">
        <f t="array" ref="Y206">-SUMPRODUCT('W2'!$M$12:$R$112*('W2'!$M$7:$R$7=$A206)*('W2'!$A$12:$A$112=$B206))*$H$10*POWER(1+Inflation,Y$11+1)</f>
        <v>-4525.5579415757657</v>
      </c>
      <c r="Z206" s="550" cm="1">
        <f t="array" ref="Z206">-SUMPRODUCT('W2'!$M$12:$R$112*('W2'!$M$7:$R$7=$A206)*('W2'!$A$12:$A$112=$B206))*$H$10*POWER(1+Inflation,Z$11+1)</f>
        <v>-4751.8358386545551</v>
      </c>
      <c r="AA206" s="550" cm="1">
        <f t="array" ref="AA206">-SUMPRODUCT('W2'!$M$12:$R$112*('W2'!$M$7:$R$7=$A206)*('W2'!$A$12:$A$112=$B206))*$H$10*POWER(1+Inflation,AA$11+1)</f>
        <v>-4989.4276305872809</v>
      </c>
      <c r="AB206" s="550" cm="1">
        <f t="array" ref="AB206">-SUMPRODUCT('W2'!$M$12:$R$112*('W2'!$M$7:$R$7=$A206)*('W2'!$A$12:$A$112=$B206))*$H$10*POWER(1+Inflation,AB$11+1)</f>
        <v>-5238.8990121166471</v>
      </c>
      <c r="AC206" s="550" cm="1">
        <f t="array" ref="AC206">-SUMPRODUCT('W2'!$M$12:$R$112*('W2'!$M$7:$R$7=$A206)*('W2'!$A$12:$A$112=$B206))*$H$10*POWER(1+Inflation,AC$11+1)</f>
        <v>-5500.8439627224789</v>
      </c>
      <c r="AD206" s="550" cm="1">
        <f t="array" ref="AD206">-SUMPRODUCT('W2'!$M$12:$R$112*('W2'!$M$7:$R$7=$A206)*('W2'!$A$12:$A$112=$B206))*$H$10*POWER(1+Inflation,AD$11+1)</f>
        <v>-5775.8861608586039</v>
      </c>
      <c r="AE206" s="550" cm="1">
        <f t="array" ref="AE206">-SUMPRODUCT('W2'!$M$12:$R$112*('W2'!$M$7:$R$7=$A206)*('W2'!$A$12:$A$112=$B206))*$H$10*POWER(1+Inflation,AE$11+1)</f>
        <v>-6064.6804689015335</v>
      </c>
      <c r="AF206" s="550" cm="1">
        <f t="array" ref="AF206">-SUMPRODUCT('W2'!$M$12:$R$112*('W2'!$M$7:$R$7=$A206)*('W2'!$A$12:$A$112=$B206))*$H$10*POWER(1+Inflation,AF$11+1)</f>
        <v>-6367.9144923466101</v>
      </c>
      <c r="AG206" s="550" cm="1">
        <f t="array" ref="AG206">-SUMPRODUCT('W2'!$M$12:$R$112*('W2'!$M$7:$R$7=$A206)*('W2'!$A$12:$A$112=$B206))*$H$10*POWER(1+Inflation,AG$11+1)</f>
        <v>-6686.3102169639405</v>
      </c>
      <c r="AH206" s="550" cm="1">
        <f t="array" ref="AH206">-SUMPRODUCT('W2'!$M$12:$R$112*('W2'!$M$7:$R$7=$A206)*('W2'!$A$12:$A$112=$B206))*$H$10*POWER(1+Inflation,AH$11+1)</f>
        <v>-7020.6257278121375</v>
      </c>
      <c r="AI206" s="550" cm="1">
        <f t="array" ref="AI206">-SUMPRODUCT('W2'!$M$12:$R$112*('W2'!$M$7:$R$7=$A206)*('W2'!$A$12:$A$112=$B206))*$H$10*POWER(1+Inflation,AI$11+1)</f>
        <v>-7371.657014202744</v>
      </c>
      <c r="AJ206" s="550" cm="1">
        <f t="array" ref="AJ206">-SUMPRODUCT('W2'!$M$12:$R$112*('W2'!$M$7:$R$7=$A206)*('W2'!$A$12:$A$112=$B206))*$H$10*POWER(1+Inflation,AJ$11+1)</f>
        <v>-7740.2398649128827</v>
      </c>
    </row>
    <row r="207" spans="1:36" hidden="1" outlineLevel="1" x14ac:dyDescent="0.25">
      <c r="A207" t="s">
        <v>423</v>
      </c>
      <c r="B207" t="s">
        <v>452</v>
      </c>
      <c r="H207" s="454" t="s">
        <v>432</v>
      </c>
      <c r="I207" s="497" t="str">
        <f t="shared" si="380"/>
        <v>tr. VND</v>
      </c>
      <c r="K207" s="550"/>
      <c r="L207" s="550" cm="1">
        <f t="array" ref="L207">-SUMPRODUCT('W2'!$M$12:$R$112*('W2'!$M$7:$R$7=$A207)*('W2'!$A$12:$A$112=$B207))*$H$10*POWER(1+Inflation,L$11+1)</f>
        <v>-11774.49</v>
      </c>
      <c r="M207" s="550" cm="1">
        <f t="array" ref="M207">-SUMPRODUCT('W2'!$M$12:$R$112*('W2'!$M$7:$R$7=$A207)*('W2'!$A$12:$A$112=$B207))*$H$10*POWER(1+Inflation,M$11+1)</f>
        <v>-11774.49</v>
      </c>
      <c r="N207" s="550" cm="1">
        <f t="array" ref="N207">-SUMPRODUCT('W2'!$M$12:$R$112*('W2'!$M$7:$R$7=$A207)*('W2'!$A$12:$A$112=$B207))*$H$10*POWER(1+Inflation,N$11+1)</f>
        <v>-12363.2145</v>
      </c>
      <c r="O207" s="550" cm="1">
        <f t="array" ref="O207">-SUMPRODUCT('W2'!$M$12:$R$112*('W2'!$M$7:$R$7=$A207)*('W2'!$A$12:$A$112=$B207))*$H$10*POWER(1+Inflation,O$11+1)</f>
        <v>-12981.375225</v>
      </c>
      <c r="P207" s="550" cm="1">
        <f t="array" ref="P207">-SUMPRODUCT('W2'!$M$12:$R$112*('W2'!$M$7:$R$7=$A207)*('W2'!$A$12:$A$112=$B207))*$H$10*POWER(1+Inflation,P$11+1)</f>
        <v>-13630.443986250002</v>
      </c>
      <c r="Q207" s="550" cm="1">
        <f t="array" ref="Q207">-SUMPRODUCT('W2'!$M$12:$R$112*('W2'!$M$7:$R$7=$A207)*('W2'!$A$12:$A$112=$B207))*$H$10*POWER(1+Inflation,Q$11+1)</f>
        <v>-14311.9661855625</v>
      </c>
      <c r="R207" s="550" cm="1">
        <f t="array" ref="R207">-SUMPRODUCT('W2'!$M$12:$R$112*('W2'!$M$7:$R$7=$A207)*('W2'!$A$12:$A$112=$B207))*$H$10*POWER(1+Inflation,R$11+1)</f>
        <v>-15027.564494840626</v>
      </c>
      <c r="S207" s="550" cm="1">
        <f t="array" ref="S207">-SUMPRODUCT('W2'!$M$12:$R$112*('W2'!$M$7:$R$7=$A207)*('W2'!$A$12:$A$112=$B207))*$H$10*POWER(1+Inflation,S$11+1)</f>
        <v>-15778.942719582656</v>
      </c>
      <c r="T207" s="550" cm="1">
        <f t="array" ref="T207">-SUMPRODUCT('W2'!$M$12:$R$112*('W2'!$M$7:$R$7=$A207)*('W2'!$A$12:$A$112=$B207))*$H$10*POWER(1+Inflation,T$11+1)</f>
        <v>-16567.889855561793</v>
      </c>
      <c r="U207" s="550" cm="1">
        <f t="array" ref="U207">-SUMPRODUCT('W2'!$M$12:$R$112*('W2'!$M$7:$R$7=$A207)*('W2'!$A$12:$A$112=$B207))*$H$10*POWER(1+Inflation,U$11+1)</f>
        <v>-17396.284348339879</v>
      </c>
      <c r="V207" s="550" cm="1">
        <f t="array" ref="V207">-SUMPRODUCT('W2'!$M$12:$R$112*('W2'!$M$7:$R$7=$A207)*('W2'!$A$12:$A$112=$B207))*$H$10*POWER(1+Inflation,V$11+1)</f>
        <v>-18266.098565756874</v>
      </c>
      <c r="W207" s="550" cm="1">
        <f t="array" ref="W207">-SUMPRODUCT('W2'!$M$12:$R$112*('W2'!$M$7:$R$7=$A207)*('W2'!$A$12:$A$112=$B207))*$H$10*POWER(1+Inflation,W$11+1)</f>
        <v>-19179.403494044716</v>
      </c>
      <c r="X207" s="550" cm="1">
        <f t="array" ref="X207">-SUMPRODUCT('W2'!$M$12:$R$112*('W2'!$M$7:$R$7=$A207)*('W2'!$A$12:$A$112=$B207))*$H$10*POWER(1+Inflation,X$11+1)</f>
        <v>-20138.373668746954</v>
      </c>
      <c r="Y207" s="550" cm="1">
        <f t="array" ref="Y207">-SUMPRODUCT('W2'!$M$12:$R$112*('W2'!$M$7:$R$7=$A207)*('W2'!$A$12:$A$112=$B207))*$H$10*POWER(1+Inflation,Y$11+1)</f>
        <v>-21145.2923521843</v>
      </c>
      <c r="Z207" s="550" cm="1">
        <f t="array" ref="Z207">-SUMPRODUCT('W2'!$M$12:$R$112*('W2'!$M$7:$R$7=$A207)*('W2'!$A$12:$A$112=$B207))*$H$10*POWER(1+Inflation,Z$11+1)</f>
        <v>-22202.556969793517</v>
      </c>
      <c r="AA207" s="550" cm="1">
        <f t="array" ref="AA207">-SUMPRODUCT('W2'!$M$12:$R$112*('W2'!$M$7:$R$7=$A207)*('W2'!$A$12:$A$112=$B207))*$H$10*POWER(1+Inflation,AA$11+1)</f>
        <v>-23312.684818283189</v>
      </c>
      <c r="AB207" s="550" cm="1">
        <f t="array" ref="AB207">-SUMPRODUCT('W2'!$M$12:$R$112*('W2'!$M$7:$R$7=$A207)*('W2'!$A$12:$A$112=$B207))*$H$10*POWER(1+Inflation,AB$11+1)</f>
        <v>-24478.319059197358</v>
      </c>
      <c r="AC207" s="550" cm="1">
        <f t="array" ref="AC207">-SUMPRODUCT('W2'!$M$12:$R$112*('W2'!$M$7:$R$7=$A207)*('W2'!$A$12:$A$112=$B207))*$H$10*POWER(1+Inflation,AC$11+1)</f>
        <v>-25702.23501215722</v>
      </c>
      <c r="AD207" s="550" cm="1">
        <f t="array" ref="AD207">-SUMPRODUCT('W2'!$M$12:$R$112*('W2'!$M$7:$R$7=$A207)*('W2'!$A$12:$A$112=$B207))*$H$10*POWER(1+Inflation,AD$11+1)</f>
        <v>-26987.346762765086</v>
      </c>
      <c r="AE207" s="550" cm="1">
        <f t="array" ref="AE207">-SUMPRODUCT('W2'!$M$12:$R$112*('W2'!$M$7:$R$7=$A207)*('W2'!$A$12:$A$112=$B207))*$H$10*POWER(1+Inflation,AE$11+1)</f>
        <v>-28336.71410090334</v>
      </c>
      <c r="AF207" s="550" cm="1">
        <f t="array" ref="AF207">-SUMPRODUCT('W2'!$M$12:$R$112*('W2'!$M$7:$R$7=$A207)*('W2'!$A$12:$A$112=$B207))*$H$10*POWER(1+Inflation,AF$11+1)</f>
        <v>-29753.549805948507</v>
      </c>
      <c r="AG207" s="550" cm="1">
        <f t="array" ref="AG207">-SUMPRODUCT('W2'!$M$12:$R$112*('W2'!$M$7:$R$7=$A207)*('W2'!$A$12:$A$112=$B207))*$H$10*POWER(1+Inflation,AG$11+1)</f>
        <v>-31241.227296245932</v>
      </c>
      <c r="AH207" s="550" cm="1">
        <f t="array" ref="AH207">-SUMPRODUCT('W2'!$M$12:$R$112*('W2'!$M$7:$R$7=$A207)*('W2'!$A$12:$A$112=$B207))*$H$10*POWER(1+Inflation,AH$11+1)</f>
        <v>-32803.288661058228</v>
      </c>
      <c r="AI207" s="550" cm="1">
        <f t="array" ref="AI207">-SUMPRODUCT('W2'!$M$12:$R$112*('W2'!$M$7:$R$7=$A207)*('W2'!$A$12:$A$112=$B207))*$H$10*POWER(1+Inflation,AI$11+1)</f>
        <v>-34443.453094111137</v>
      </c>
      <c r="AJ207" s="550" cm="1">
        <f t="array" ref="AJ207">-SUMPRODUCT('W2'!$M$12:$R$112*('W2'!$M$7:$R$7=$A207)*('W2'!$A$12:$A$112=$B207))*$H$10*POWER(1+Inflation,AJ$11+1)</f>
        <v>-36165.625748816703</v>
      </c>
    </row>
    <row r="208" spans="1:36" hidden="1" outlineLevel="1" x14ac:dyDescent="0.25">
      <c r="A208" t="s">
        <v>423</v>
      </c>
      <c r="B208" t="s">
        <v>453</v>
      </c>
      <c r="H208" s="454" t="s">
        <v>433</v>
      </c>
      <c r="I208" s="497" t="str">
        <f t="shared" si="380"/>
        <v>tr. VND</v>
      </c>
      <c r="K208" s="550"/>
      <c r="L208" s="550" cm="1">
        <f t="array" ref="L208">-SUMPRODUCT('W2'!$M$12:$R$112*('W2'!$M$7:$R$7=$A208)*('W2'!$A$12:$A$112=$B208))*$H$10*POWER(1+Inflation,L$11+1)</f>
        <v>-579.6</v>
      </c>
      <c r="M208" s="550" cm="1">
        <f t="array" ref="M208">-SUMPRODUCT('W2'!$M$12:$R$112*('W2'!$M$7:$R$7=$A208)*('W2'!$A$12:$A$112=$B208))*$H$10*POWER(1+Inflation,M$11+1)</f>
        <v>-579.6</v>
      </c>
      <c r="N208" s="550" cm="1">
        <f t="array" ref="N208">-SUMPRODUCT('W2'!$M$12:$R$112*('W2'!$M$7:$R$7=$A208)*('W2'!$A$12:$A$112=$B208))*$H$10*POWER(1+Inflation,N$11+1)</f>
        <v>-608.58000000000004</v>
      </c>
      <c r="O208" s="550" cm="1">
        <f t="array" ref="O208">-SUMPRODUCT('W2'!$M$12:$R$112*('W2'!$M$7:$R$7=$A208)*('W2'!$A$12:$A$112=$B208))*$H$10*POWER(1+Inflation,O$11+1)</f>
        <v>-639.00900000000001</v>
      </c>
      <c r="P208" s="550" cm="1">
        <f t="array" ref="P208">-SUMPRODUCT('W2'!$M$12:$R$112*('W2'!$M$7:$R$7=$A208)*('W2'!$A$12:$A$112=$B208))*$H$10*POWER(1+Inflation,P$11+1)</f>
        <v>-670.95945000000006</v>
      </c>
      <c r="Q208" s="550" cm="1">
        <f t="array" ref="Q208">-SUMPRODUCT('W2'!$M$12:$R$112*('W2'!$M$7:$R$7=$A208)*('W2'!$A$12:$A$112=$B208))*$H$10*POWER(1+Inflation,Q$11+1)</f>
        <v>-704.50742250000008</v>
      </c>
      <c r="R208" s="550" cm="1">
        <f t="array" ref="R208">-SUMPRODUCT('W2'!$M$12:$R$112*('W2'!$M$7:$R$7=$A208)*('W2'!$A$12:$A$112=$B208))*$H$10*POWER(1+Inflation,R$11+1)</f>
        <v>-739.73279362500011</v>
      </c>
      <c r="S208" s="550" cm="1">
        <f t="array" ref="S208">-SUMPRODUCT('W2'!$M$12:$R$112*('W2'!$M$7:$R$7=$A208)*('W2'!$A$12:$A$112=$B208))*$H$10*POWER(1+Inflation,S$11+1)</f>
        <v>-776.71943330625004</v>
      </c>
      <c r="T208" s="550" cm="1">
        <f t="array" ref="T208">-SUMPRODUCT('W2'!$M$12:$R$112*('W2'!$M$7:$R$7=$A208)*('W2'!$A$12:$A$112=$B208))*$H$10*POWER(1+Inflation,T$11+1)</f>
        <v>-815.55540497156267</v>
      </c>
      <c r="U208" s="550" cm="1">
        <f t="array" ref="U208">-SUMPRODUCT('W2'!$M$12:$R$112*('W2'!$M$7:$R$7=$A208)*('W2'!$A$12:$A$112=$B208))*$H$10*POWER(1+Inflation,U$11+1)</f>
        <v>-856.33317522014067</v>
      </c>
      <c r="V208" s="550" cm="1">
        <f t="array" ref="V208">-SUMPRODUCT('W2'!$M$12:$R$112*('W2'!$M$7:$R$7=$A208)*('W2'!$A$12:$A$112=$B208))*$H$10*POWER(1+Inflation,V$11+1)</f>
        <v>-899.14983398114782</v>
      </c>
      <c r="W208" s="550" cm="1">
        <f t="array" ref="W208">-SUMPRODUCT('W2'!$M$12:$R$112*('W2'!$M$7:$R$7=$A208)*('W2'!$A$12:$A$112=$B208))*$H$10*POWER(1+Inflation,W$11+1)</f>
        <v>-944.10732568020512</v>
      </c>
      <c r="X208" s="550" cm="1">
        <f t="array" ref="X208">-SUMPRODUCT('W2'!$M$12:$R$112*('W2'!$M$7:$R$7=$A208)*('W2'!$A$12:$A$112=$B208))*$H$10*POWER(1+Inflation,X$11+1)</f>
        <v>-991.31269196421545</v>
      </c>
      <c r="Y208" s="550" cm="1">
        <f t="array" ref="Y208">-SUMPRODUCT('W2'!$M$12:$R$112*('W2'!$M$7:$R$7=$A208)*('W2'!$A$12:$A$112=$B208))*$H$10*POWER(1+Inflation,Y$11+1)</f>
        <v>-1040.8783265624261</v>
      </c>
      <c r="Z208" s="550" cm="1">
        <f t="array" ref="Z208">-SUMPRODUCT('W2'!$M$12:$R$112*('W2'!$M$7:$R$7=$A208)*('W2'!$A$12:$A$112=$B208))*$H$10*POWER(1+Inflation,Z$11+1)</f>
        <v>-1092.9222428905475</v>
      </c>
      <c r="AA208" s="550" cm="1">
        <f t="array" ref="AA208">-SUMPRODUCT('W2'!$M$12:$R$112*('W2'!$M$7:$R$7=$A208)*('W2'!$A$12:$A$112=$B208))*$H$10*POWER(1+Inflation,AA$11+1)</f>
        <v>-1147.5683550350748</v>
      </c>
      <c r="AB208" s="550" cm="1">
        <f t="array" ref="AB208">-SUMPRODUCT('W2'!$M$12:$R$112*('W2'!$M$7:$R$7=$A208)*('W2'!$A$12:$A$112=$B208))*$H$10*POWER(1+Inflation,AB$11+1)</f>
        <v>-1204.9467727868289</v>
      </c>
      <c r="AC208" s="550" cm="1">
        <f t="array" ref="AC208">-SUMPRODUCT('W2'!$M$12:$R$112*('W2'!$M$7:$R$7=$A208)*('W2'!$A$12:$A$112=$B208))*$H$10*POWER(1+Inflation,AC$11+1)</f>
        <v>-1265.1941114261701</v>
      </c>
      <c r="AD208" s="550" cm="1">
        <f t="array" ref="AD208">-SUMPRODUCT('W2'!$M$12:$R$112*('W2'!$M$7:$R$7=$A208)*('W2'!$A$12:$A$112=$B208))*$H$10*POWER(1+Inflation,AD$11+1)</f>
        <v>-1328.453816997479</v>
      </c>
      <c r="AE208" s="550" cm="1">
        <f t="array" ref="AE208">-SUMPRODUCT('W2'!$M$12:$R$112*('W2'!$M$7:$R$7=$A208)*('W2'!$A$12:$A$112=$B208))*$H$10*POWER(1+Inflation,AE$11+1)</f>
        <v>-1394.8765078473527</v>
      </c>
      <c r="AF208" s="550" cm="1">
        <f t="array" ref="AF208">-SUMPRODUCT('W2'!$M$12:$R$112*('W2'!$M$7:$R$7=$A208)*('W2'!$A$12:$A$112=$B208))*$H$10*POWER(1+Inflation,AF$11+1)</f>
        <v>-1464.6203332397204</v>
      </c>
      <c r="AG208" s="550" cm="1">
        <f t="array" ref="AG208">-SUMPRODUCT('W2'!$M$12:$R$112*('W2'!$M$7:$R$7=$A208)*('W2'!$A$12:$A$112=$B208))*$H$10*POWER(1+Inflation,AG$11+1)</f>
        <v>-1537.8513499017065</v>
      </c>
      <c r="AH208" s="550" cm="1">
        <f t="array" ref="AH208">-SUMPRODUCT('W2'!$M$12:$R$112*('W2'!$M$7:$R$7=$A208)*('W2'!$A$12:$A$112=$B208))*$H$10*POWER(1+Inflation,AH$11+1)</f>
        <v>-1614.7439173967916</v>
      </c>
      <c r="AI208" s="550" cm="1">
        <f t="array" ref="AI208">-SUMPRODUCT('W2'!$M$12:$R$112*('W2'!$M$7:$R$7=$A208)*('W2'!$A$12:$A$112=$B208))*$H$10*POWER(1+Inflation,AI$11+1)</f>
        <v>-1695.4811132666312</v>
      </c>
      <c r="AJ208" s="550" cm="1">
        <f t="array" ref="AJ208">-SUMPRODUCT('W2'!$M$12:$R$112*('W2'!$M$7:$R$7=$A208)*('W2'!$A$12:$A$112=$B208))*$H$10*POWER(1+Inflation,AJ$11+1)</f>
        <v>-1780.255168929963</v>
      </c>
    </row>
    <row r="209" spans="1:36" hidden="1" outlineLevel="1" x14ac:dyDescent="0.25">
      <c r="A209" t="s">
        <v>423</v>
      </c>
      <c r="B209" t="s">
        <v>521</v>
      </c>
      <c r="H209" s="454" t="s">
        <v>520</v>
      </c>
      <c r="I209" s="497" t="str">
        <f t="shared" si="380"/>
        <v>tr. VND</v>
      </c>
      <c r="K209" s="550"/>
      <c r="L209" s="550" cm="1">
        <f t="array" ref="L209">-SUMPRODUCT('W2'!$M$12:$R$112*('W2'!$M$7:$R$7=$A209)*('W2'!$A$12:$A$112=$B209))*$H$10</f>
        <v>-972.82799999999997</v>
      </c>
      <c r="M209" s="550" cm="1">
        <f t="array" ref="M209">-SUMPRODUCT('W2'!$M$12:$R$112*('W2'!$M$7:$R$7=$A209)*('W2'!$A$12:$A$112=$B209))*$H$10</f>
        <v>-972.82799999999997</v>
      </c>
      <c r="N209" s="550" cm="1">
        <f t="array" ref="N209">-SUMPRODUCT('W2'!$M$12:$R$112*('W2'!$M$7:$R$7=$A209)*('W2'!$A$12:$A$112=$B209))*$H$10</f>
        <v>-972.82799999999997</v>
      </c>
      <c r="O209" s="550" cm="1">
        <f t="array" ref="O209">-SUMPRODUCT('W2'!$M$12:$R$112*('W2'!$M$7:$R$7=$A209)*('W2'!$A$12:$A$112=$B209))*$H$10</f>
        <v>-972.82799999999997</v>
      </c>
      <c r="P209" s="550" cm="1">
        <f t="array" ref="P209">-SUMPRODUCT('W2'!$M$12:$R$112*('W2'!$M$7:$R$7=$A209)*('W2'!$A$12:$A$112=$B209))*$H$10</f>
        <v>-972.82799999999997</v>
      </c>
      <c r="Q209" s="550" cm="1">
        <f t="array" ref="Q209">-SUMPRODUCT('W2'!$M$12:$R$112*('W2'!$M$7:$R$7=$A209)*('W2'!$A$12:$A$112=$B209))*$H$10</f>
        <v>-972.82799999999997</v>
      </c>
      <c r="R209" s="550" cm="1">
        <f t="array" ref="R209">-SUMPRODUCT('W2'!$M$12:$R$112*('W2'!$M$7:$R$7=$A209)*('W2'!$A$12:$A$112=$B209))*$H$10</f>
        <v>-972.82799999999997</v>
      </c>
      <c r="S209" s="550" cm="1">
        <f t="array" ref="S209">-SUMPRODUCT('W2'!$M$12:$R$112*('W2'!$M$7:$R$7=$A209)*('W2'!$A$12:$A$112=$B209))*$H$10</f>
        <v>-972.82799999999997</v>
      </c>
      <c r="T209" s="550" cm="1">
        <f t="array" ref="T209">-SUMPRODUCT('W2'!$M$12:$R$112*('W2'!$M$7:$R$7=$A209)*('W2'!$A$12:$A$112=$B209))*$H$10</f>
        <v>-972.82799999999997</v>
      </c>
      <c r="U209" s="550" cm="1">
        <f t="array" ref="U209">-SUMPRODUCT('W2'!$M$12:$R$112*('W2'!$M$7:$R$7=$A209)*('W2'!$A$12:$A$112=$B209))*$H$10</f>
        <v>-972.82799999999997</v>
      </c>
      <c r="V209" s="550" cm="1">
        <f t="array" ref="V209">-SUMPRODUCT('W2'!$M$12:$R$112*('W2'!$M$7:$R$7=$A209)*('W2'!$A$12:$A$112=$B209))*$H$10</f>
        <v>-972.82799999999997</v>
      </c>
      <c r="W209" s="550" cm="1">
        <f t="array" ref="W209">-SUMPRODUCT('W2'!$M$12:$R$112*('W2'!$M$7:$R$7=$A209)*('W2'!$A$12:$A$112=$B209))*$H$10</f>
        <v>-972.82799999999997</v>
      </c>
      <c r="X209" s="550" cm="1">
        <f t="array" ref="X209">-SUMPRODUCT('W2'!$M$12:$R$112*('W2'!$M$7:$R$7=$A209)*('W2'!$A$12:$A$112=$B209))*$H$10</f>
        <v>-972.82799999999997</v>
      </c>
      <c r="Y209" s="550" cm="1">
        <f t="array" ref="Y209">-SUMPRODUCT('W2'!$M$12:$R$112*('W2'!$M$7:$R$7=$A209)*('W2'!$A$12:$A$112=$B209))*$H$10</f>
        <v>-972.82799999999997</v>
      </c>
      <c r="Z209" s="550" cm="1">
        <f t="array" ref="Z209">-SUMPRODUCT('W2'!$M$12:$R$112*('W2'!$M$7:$R$7=$A209)*('W2'!$A$12:$A$112=$B209))*$H$10</f>
        <v>-972.82799999999997</v>
      </c>
      <c r="AA209" s="550" cm="1">
        <f t="array" ref="AA209">-SUMPRODUCT('W2'!$M$12:$R$112*('W2'!$M$7:$R$7=$A209)*('W2'!$A$12:$A$112=$B209))*$H$10</f>
        <v>-972.82799999999997</v>
      </c>
      <c r="AB209" s="550" cm="1">
        <f t="array" ref="AB209">-SUMPRODUCT('W2'!$M$12:$R$112*('W2'!$M$7:$R$7=$A209)*('W2'!$A$12:$A$112=$B209))*$H$10</f>
        <v>-972.82799999999997</v>
      </c>
      <c r="AC209" s="550" cm="1">
        <f t="array" ref="AC209">-SUMPRODUCT('W2'!$M$12:$R$112*('W2'!$M$7:$R$7=$A209)*('W2'!$A$12:$A$112=$B209))*$H$10</f>
        <v>-972.82799999999997</v>
      </c>
      <c r="AD209" s="550" cm="1">
        <f t="array" ref="AD209">-SUMPRODUCT('W2'!$M$12:$R$112*('W2'!$M$7:$R$7=$A209)*('W2'!$A$12:$A$112=$B209))*$H$10</f>
        <v>-972.82799999999997</v>
      </c>
      <c r="AE209" s="550" cm="1">
        <f t="array" ref="AE209">-SUMPRODUCT('W2'!$M$12:$R$112*('W2'!$M$7:$R$7=$A209)*('W2'!$A$12:$A$112=$B209))*$H$10</f>
        <v>-972.82799999999997</v>
      </c>
      <c r="AF209" s="550" cm="1">
        <f t="array" ref="AF209">-SUMPRODUCT('W2'!$M$12:$R$112*('W2'!$M$7:$R$7=$A209)*('W2'!$A$12:$A$112=$B209))*$H$10</f>
        <v>-972.82799999999997</v>
      </c>
      <c r="AG209" s="550" cm="1">
        <f t="array" ref="AG209">-SUMPRODUCT('W2'!$M$12:$R$112*('W2'!$M$7:$R$7=$A209)*('W2'!$A$12:$A$112=$B209))*$H$10</f>
        <v>-972.82799999999997</v>
      </c>
      <c r="AH209" s="550" cm="1">
        <f t="array" ref="AH209">-SUMPRODUCT('W2'!$M$12:$R$112*('W2'!$M$7:$R$7=$A209)*('W2'!$A$12:$A$112=$B209))*$H$10</f>
        <v>-972.82799999999997</v>
      </c>
      <c r="AI209" s="550" cm="1">
        <f t="array" ref="AI209">-SUMPRODUCT('W2'!$M$12:$R$112*('W2'!$M$7:$R$7=$A209)*('W2'!$A$12:$A$112=$B209))*$H$10</f>
        <v>-972.82799999999997</v>
      </c>
      <c r="AJ209" s="550" cm="1">
        <f t="array" ref="AJ209">-SUMPRODUCT('W2'!$M$12:$R$112*('W2'!$M$7:$R$7=$A209)*('W2'!$A$12:$A$112=$B209))*$H$10</f>
        <v>-972.82799999999997</v>
      </c>
    </row>
    <row r="210" spans="1:36" hidden="1" collapsed="1" x14ac:dyDescent="0.25">
      <c r="A210" t="s">
        <v>423</v>
      </c>
      <c r="K210" s="243"/>
      <c r="L210" s="243"/>
      <c r="M210" s="243"/>
      <c r="N210" s="243"/>
      <c r="O210" s="243"/>
      <c r="P210" s="243"/>
      <c r="Q210" s="243"/>
      <c r="R210" s="243"/>
      <c r="S210" s="243"/>
      <c r="T210" s="243"/>
      <c r="U210" s="243"/>
      <c r="V210" s="243"/>
      <c r="W210" s="243"/>
      <c r="X210" s="243"/>
      <c r="Y210" s="243"/>
      <c r="Z210" s="243"/>
      <c r="AA210" s="243"/>
      <c r="AB210" s="243"/>
      <c r="AC210" s="243"/>
      <c r="AD210" s="243"/>
      <c r="AE210" s="243"/>
      <c r="AF210" s="243"/>
      <c r="AG210" s="243"/>
      <c r="AH210" s="243"/>
      <c r="AI210" s="243"/>
      <c r="AJ210" s="243"/>
    </row>
    <row r="211" spans="1:36" s="1" customFormat="1" hidden="1" x14ac:dyDescent="0.25">
      <c r="A211" s="1" t="s">
        <v>423</v>
      </c>
      <c r="H211" s="266" t="s">
        <v>435</v>
      </c>
      <c r="I211" s="267" t="str">
        <f t="shared" ref="I211:I214" si="384">IF($H$9="USD","USD","tr. VND")</f>
        <v>tr. VND</v>
      </c>
      <c r="K211" s="269">
        <f>K212+K215+K218</f>
        <v>0</v>
      </c>
      <c r="L211" s="269">
        <f t="shared" ref="L211" si="385">L212+L215+L218</f>
        <v>-95477.81174581802</v>
      </c>
      <c r="M211" s="269">
        <f t="shared" ref="M211" si="386">M212+M215+M218</f>
        <v>-132769.8412281452</v>
      </c>
      <c r="N211" s="269">
        <f t="shared" ref="N211" si="387">N212+N215+N218</f>
        <v>-192912.47778169322</v>
      </c>
      <c r="O211" s="269">
        <f t="shared" ref="O211" si="388">O212+O215+O218</f>
        <v>-197224.0839825228</v>
      </c>
      <c r="P211" s="269">
        <f t="shared" ref="P211" si="389">P212+P215+P218</f>
        <v>-201645.99043274875</v>
      </c>
      <c r="Q211" s="269">
        <f t="shared" ref="Q211" si="390">Q212+Q215+Q218</f>
        <v>-206181.606543628</v>
      </c>
      <c r="R211" s="269">
        <f t="shared" ref="R211" si="391">R212+R215+R218</f>
        <v>-210834.47008495603</v>
      </c>
      <c r="S211" s="269">
        <f t="shared" ref="S211" si="392">S212+S215+S218</f>
        <v>-215608.25276075347</v>
      </c>
      <c r="T211" s="269">
        <f t="shared" ref="T211" si="393">T212+T215+T218</f>
        <v>-220506.76604689166</v>
      </c>
      <c r="U211" s="269">
        <f t="shared" ref="U211" si="394">U212+U215+U218</f>
        <v>-225533.96730341885</v>
      </c>
      <c r="V211" s="269">
        <f t="shared" ref="V211" si="395">V212+V215+V218</f>
        <v>-230693.966174976</v>
      </c>
      <c r="W211" s="269">
        <f t="shared" ref="W211" si="396">W212+W215+W218</f>
        <v>-235991.03129335877</v>
      </c>
      <c r="X211" s="269">
        <f t="shared" ref="X211" si="397">X212+X215+X218</f>
        <v>-240308.21729697334</v>
      </c>
      <c r="Y211" s="269">
        <f t="shared" ref="Y211" si="398">Y212+Y215+Y218</f>
        <v>-245892.89218266759</v>
      </c>
      <c r="Z211" s="269">
        <f t="shared" ref="Z211" si="399">Z212+Z215+Z218</f>
        <v>-251628.46500618343</v>
      </c>
      <c r="AA211" s="269">
        <f t="shared" ref="AA211" si="400">AA212+AA215+AA218</f>
        <v>-257519.91394828274</v>
      </c>
      <c r="AB211" s="269">
        <f t="shared" ref="AB211" si="401">AB212+AB215+AB218</f>
        <v>-263572.41476444277</v>
      </c>
      <c r="AC211" s="269">
        <f t="shared" ref="AC211" si="402">AC212+AC215+AC218</f>
        <v>-269791.34963690577</v>
      </c>
      <c r="AD211" s="269">
        <f t="shared" ref="AD211" si="403">AD212+AD215+AD218</f>
        <v>-276182.31644879677</v>
      </c>
      <c r="AE211" s="269">
        <f t="shared" ref="AE211" si="404">AE212+AE215+AE218</f>
        <v>-282751.13850100315</v>
      </c>
      <c r="AF211" s="269">
        <f t="shared" ref="AF211" si="405">AF212+AF215+AF218</f>
        <v>-289503.87469353521</v>
      </c>
      <c r="AG211" s="269">
        <f t="shared" ref="AG211" si="406">AG212+AG215+AG218</f>
        <v>-296446.83019416354</v>
      </c>
      <c r="AH211" s="269">
        <f t="shared" ref="AH211" si="407">AH212+AH215+AH218</f>
        <v>-303586.56761826226</v>
      </c>
      <c r="AI211" s="269">
        <f t="shared" ref="AI211" si="408">AI212+AI215+AI218</f>
        <v>-310929.91874497384</v>
      </c>
      <c r="AJ211" s="269">
        <f t="shared" ref="AJ211" si="409">AJ212+AJ215+AJ218</f>
        <v>-318483.9967960568</v>
      </c>
    </row>
    <row r="212" spans="1:36" hidden="1" outlineLevel="1" x14ac:dyDescent="0.25">
      <c r="A212" t="s">
        <v>423</v>
      </c>
      <c r="H212" s="637" t="s">
        <v>454</v>
      </c>
      <c r="I212" s="638" t="str">
        <f t="shared" si="384"/>
        <v>tr. VND</v>
      </c>
      <c r="K212" s="639">
        <f>SUM(K213:K214)</f>
        <v>0</v>
      </c>
      <c r="L212" s="639">
        <f t="shared" ref="L212:AJ212" si="410">SUM(L213:L214)</f>
        <v>-86013.121442076575</v>
      </c>
      <c r="M212" s="639">
        <f t="shared" si="410"/>
        <v>-120418.3700189072</v>
      </c>
      <c r="N212" s="639">
        <f t="shared" si="410"/>
        <v>-175466.7677418362</v>
      </c>
      <c r="O212" s="639">
        <f t="shared" si="410"/>
        <v>-178976.10309667294</v>
      </c>
      <c r="P212" s="639">
        <f t="shared" si="410"/>
        <v>-182555.62515860639</v>
      </c>
      <c r="Q212" s="639">
        <f t="shared" si="410"/>
        <v>-186206.73766177852</v>
      </c>
      <c r="R212" s="639">
        <f t="shared" si="410"/>
        <v>-189930.87241501408</v>
      </c>
      <c r="S212" s="639">
        <f t="shared" si="410"/>
        <v>-193729.4898633144</v>
      </c>
      <c r="T212" s="639">
        <f t="shared" si="410"/>
        <v>-197604.07966058064</v>
      </c>
      <c r="U212" s="639">
        <f t="shared" si="410"/>
        <v>-201556.16125379226</v>
      </c>
      <c r="V212" s="639">
        <f t="shared" si="410"/>
        <v>-205587.2844788681</v>
      </c>
      <c r="W212" s="639">
        <f t="shared" si="410"/>
        <v>-209699.03016844549</v>
      </c>
      <c r="X212" s="639">
        <f t="shared" si="410"/>
        <v>-213893.01077181436</v>
      </c>
      <c r="Y212" s="639">
        <f t="shared" si="410"/>
        <v>-218170.8709872507</v>
      </c>
      <c r="Z212" s="639">
        <f t="shared" si="410"/>
        <v>-222534.28840699568</v>
      </c>
      <c r="AA212" s="639">
        <f t="shared" si="410"/>
        <v>-226984.97417513561</v>
      </c>
      <c r="AB212" s="639">
        <f t="shared" si="410"/>
        <v>-231524.67365863826</v>
      </c>
      <c r="AC212" s="639">
        <f t="shared" si="410"/>
        <v>-236155.16713181106</v>
      </c>
      <c r="AD212" s="639">
        <f t="shared" si="410"/>
        <v>-240878.27047444732</v>
      </c>
      <c r="AE212" s="639">
        <f t="shared" si="410"/>
        <v>-245695.83588393623</v>
      </c>
      <c r="AF212" s="639">
        <f t="shared" si="410"/>
        <v>-250609.75260161492</v>
      </c>
      <c r="AG212" s="639">
        <f t="shared" si="410"/>
        <v>-255621.94765364725</v>
      </c>
      <c r="AH212" s="639">
        <f t="shared" si="410"/>
        <v>-260734.38660672019</v>
      </c>
      <c r="AI212" s="639">
        <f t="shared" si="410"/>
        <v>-265949.07433885464</v>
      </c>
      <c r="AJ212" s="639">
        <f t="shared" si="410"/>
        <v>-271268.05582563166</v>
      </c>
    </row>
    <row r="213" spans="1:36" s="299" customFormat="1" hidden="1" outlineLevel="1" x14ac:dyDescent="0.25">
      <c r="A213" s="299" t="s">
        <v>423</v>
      </c>
      <c r="B213" s="299" t="s">
        <v>459</v>
      </c>
      <c r="H213" s="554" t="s">
        <v>167</v>
      </c>
      <c r="I213" s="555" t="str">
        <f t="shared" si="384"/>
        <v>tr. VND</v>
      </c>
      <c r="K213" s="556"/>
      <c r="L213" s="556" cm="1">
        <f t="array" ref="L213">-SUMPRODUCT('W2'!$M$12:$R$112*('W2'!$M$7:$R$7=$A213)*('W2'!$A$12:$A$112=$B213))*L190*$H$10*POWER(1+INDEX('Cover Page'!$H$8:$W$8,MATCH($A213,'Cover Page'!$H$5:$W$5,0)),1+L$13)</f>
        <v>-79992.202941131211</v>
      </c>
      <c r="M213" s="556" cm="1">
        <f t="array" ref="M213">-SUMPRODUCT('W2'!$M$12:$R$112*('W2'!$M$7:$R$7=$A213)*('W2'!$A$12:$A$112=$B213))*M190*$H$10*POWER(1+INDEX('Cover Page'!$H$8:$W$8,MATCH($A190,'Cover Page'!$H$5:$W$5,0)),1+M$13)</f>
        <v>-111989.08411758368</v>
      </c>
      <c r="N213" s="556" cm="1">
        <f t="array" ref="N213">-SUMPRODUCT('W2'!$M$12:$R$112*('W2'!$M$7:$R$7=$A213)*('W2'!$A$12:$A$112=$B213))*N190*$H$10*POWER(1+INDEX('Cover Page'!$H$8:$W$8,MATCH($A190,'Cover Page'!$H$5:$W$5,0)),1+N$13)</f>
        <v>-163184.09399990767</v>
      </c>
      <c r="O213" s="556" cm="1">
        <f t="array" ref="O213">-SUMPRODUCT('W2'!$M$12:$R$112*('W2'!$M$7:$R$7=$A213)*('W2'!$A$12:$A$112=$B213))*O190*$H$10*POWER(1+INDEX('Cover Page'!$H$8:$W$8,MATCH($A190,'Cover Page'!$H$5:$W$5,0)),1+O$13)</f>
        <v>-166447.77587990582</v>
      </c>
      <c r="P213" s="556" cm="1">
        <f t="array" ref="P213">-SUMPRODUCT('W2'!$M$12:$R$112*('W2'!$M$7:$R$7=$A213)*('W2'!$A$12:$A$112=$B213))*P190*$H$10*POWER(1+INDEX('Cover Page'!$H$8:$W$8,MATCH($A190,'Cover Page'!$H$5:$W$5,0)),1+P$13)</f>
        <v>-169776.73139750393</v>
      </c>
      <c r="Q213" s="556" cm="1">
        <f t="array" ref="Q213">-SUMPRODUCT('W2'!$M$12:$R$112*('W2'!$M$7:$R$7=$A213)*('W2'!$A$12:$A$112=$B213))*Q190*$H$10*POWER(1+INDEX('Cover Page'!$H$8:$W$8,MATCH($A190,'Cover Page'!$H$5:$W$5,0)),1+Q$13)</f>
        <v>-173172.26602545401</v>
      </c>
      <c r="R213" s="556" cm="1">
        <f t="array" ref="R213">-SUMPRODUCT('W2'!$M$12:$R$112*('W2'!$M$7:$R$7=$A213)*('W2'!$A$12:$A$112=$B213))*R190*$H$10*POWER(1+INDEX('Cover Page'!$H$8:$W$8,MATCH($A190,'Cover Page'!$H$5:$W$5,0)),1+R$13)</f>
        <v>-176635.71134596309</v>
      </c>
      <c r="S213" s="556" cm="1">
        <f t="array" ref="S213">-SUMPRODUCT('W2'!$M$12:$R$112*('W2'!$M$7:$R$7=$A213)*('W2'!$A$12:$A$112=$B213))*S190*$H$10*POWER(1+INDEX('Cover Page'!$H$8:$W$8,MATCH($A190,'Cover Page'!$H$5:$W$5,0)),1+S$13)</f>
        <v>-180168.42557288238</v>
      </c>
      <c r="T213" s="556" cm="1">
        <f t="array" ref="T213">-SUMPRODUCT('W2'!$M$12:$R$112*('W2'!$M$7:$R$7=$A213)*('W2'!$A$12:$A$112=$B213))*T190*$H$10*POWER(1+INDEX('Cover Page'!$H$8:$W$8,MATCH($A190,'Cover Page'!$H$5:$W$5,0)),1+T$13)</f>
        <v>-183771.79408433998</v>
      </c>
      <c r="U213" s="556" cm="1">
        <f t="array" ref="U213">-SUMPRODUCT('W2'!$M$12:$R$112*('W2'!$M$7:$R$7=$A213)*('W2'!$A$12:$A$112=$B213))*U190*$H$10*POWER(1+INDEX('Cover Page'!$H$8:$W$8,MATCH($A190,'Cover Page'!$H$5:$W$5,0)),1+U$13)</f>
        <v>-187447.22996602679</v>
      </c>
      <c r="V213" s="556" cm="1">
        <f t="array" ref="V213">-SUMPRODUCT('W2'!$M$12:$R$112*('W2'!$M$7:$R$7=$A213)*('W2'!$A$12:$A$112=$B213))*V190*$H$10*POWER(1+INDEX('Cover Page'!$H$8:$W$8,MATCH($A190,'Cover Page'!$H$5:$W$5,0)),1+V$13)</f>
        <v>-191196.17456534732</v>
      </c>
      <c r="W213" s="556" cm="1">
        <f t="array" ref="W213">-SUMPRODUCT('W2'!$M$12:$R$112*('W2'!$M$7:$R$7=$A213)*('W2'!$A$12:$A$112=$B213))*W190*$H$10*POWER(1+INDEX('Cover Page'!$H$8:$W$8,MATCH($A190,'Cover Page'!$H$5:$W$5,0)),1+W$13)</f>
        <v>-195020.0980566543</v>
      </c>
      <c r="X213" s="556" cm="1">
        <f t="array" ref="X213">-SUMPRODUCT('W2'!$M$12:$R$112*('W2'!$M$7:$R$7=$A213)*('W2'!$A$12:$A$112=$B213))*X190*$H$10*POWER(1+INDEX('Cover Page'!$H$8:$W$8,MATCH($A190,'Cover Page'!$H$5:$W$5,0)),1+X$13)</f>
        <v>-198920.50001778733</v>
      </c>
      <c r="Y213" s="556" cm="1">
        <f t="array" ref="Y213">-SUMPRODUCT('W2'!$M$12:$R$112*('W2'!$M$7:$R$7=$A213)*('W2'!$A$12:$A$112=$B213))*Y190*$H$10*POWER(1+INDEX('Cover Page'!$H$8:$W$8,MATCH($A190,'Cover Page'!$H$5:$W$5,0)),1+Y$13)</f>
        <v>-202898.91001814313</v>
      </c>
      <c r="Z213" s="556" cm="1">
        <f t="array" ref="Z213">-SUMPRODUCT('W2'!$M$12:$R$112*('W2'!$M$7:$R$7=$A213)*('W2'!$A$12:$A$112=$B213))*Z190*$H$10*POWER(1+INDEX('Cover Page'!$H$8:$W$8,MATCH($A190,'Cover Page'!$H$5:$W$5,0)),1+Z$13)</f>
        <v>-206956.88821850598</v>
      </c>
      <c r="AA213" s="556" cm="1">
        <f t="array" ref="AA213">-SUMPRODUCT('W2'!$M$12:$R$112*('W2'!$M$7:$R$7=$A213)*('W2'!$A$12:$A$112=$B213))*AA190*$H$10*POWER(1+INDEX('Cover Page'!$H$8:$W$8,MATCH($A190,'Cover Page'!$H$5:$W$5,0)),1+AA$13)</f>
        <v>-211096.0259828761</v>
      </c>
      <c r="AB213" s="556" cm="1">
        <f t="array" ref="AB213">-SUMPRODUCT('W2'!$M$12:$R$112*('W2'!$M$7:$R$7=$A213)*('W2'!$A$12:$A$112=$B213))*AB190*$H$10*POWER(1+INDEX('Cover Page'!$H$8:$W$8,MATCH($A190,'Cover Page'!$H$5:$W$5,0)),1+AB$13)</f>
        <v>-215317.94650253357</v>
      </c>
      <c r="AC213" s="556" cm="1">
        <f t="array" ref="AC213">-SUMPRODUCT('W2'!$M$12:$R$112*('W2'!$M$7:$R$7=$A213)*('W2'!$A$12:$A$112=$B213))*AC190*$H$10*POWER(1+INDEX('Cover Page'!$H$8:$W$8,MATCH($A190,'Cover Page'!$H$5:$W$5,0)),1+AC$13)</f>
        <v>-219624.30543258428</v>
      </c>
      <c r="AD213" s="556" cm="1">
        <f t="array" ref="AD213">-SUMPRODUCT('W2'!$M$12:$R$112*('W2'!$M$7:$R$7=$A213)*('W2'!$A$12:$A$112=$B213))*AD190*$H$10*POWER(1+INDEX('Cover Page'!$H$8:$W$8,MATCH($A190,'Cover Page'!$H$5:$W$5,0)),1+AD$13)</f>
        <v>-224016.79154123599</v>
      </c>
      <c r="AE213" s="556" cm="1">
        <f t="array" ref="AE213">-SUMPRODUCT('W2'!$M$12:$R$112*('W2'!$M$7:$R$7=$A213)*('W2'!$A$12:$A$112=$B213))*AE190*$H$10*POWER(1+INDEX('Cover Page'!$H$8:$W$8,MATCH($A190,'Cover Page'!$H$5:$W$5,0)),1+AE$13)</f>
        <v>-228497.12737206067</v>
      </c>
      <c r="AF213" s="556" cm="1">
        <f t="array" ref="AF213">-SUMPRODUCT('W2'!$M$12:$R$112*('W2'!$M$7:$R$7=$A213)*('W2'!$A$12:$A$112=$B213))*AF190*$H$10*POWER(1+INDEX('Cover Page'!$H$8:$W$8,MATCH($A190,'Cover Page'!$H$5:$W$5,0)),1+AF$13)</f>
        <v>-233067.06991950187</v>
      </c>
      <c r="AG213" s="556" cm="1">
        <f t="array" ref="AG213">-SUMPRODUCT('W2'!$M$12:$R$112*('W2'!$M$7:$R$7=$A213)*('W2'!$A$12:$A$112=$B213))*AG190*$H$10*POWER(1+INDEX('Cover Page'!$H$8:$W$8,MATCH($A190,'Cover Page'!$H$5:$W$5,0)),1+AG$13)</f>
        <v>-237728.41131789194</v>
      </c>
      <c r="AH213" s="556" cm="1">
        <f t="array" ref="AH213">-SUMPRODUCT('W2'!$M$12:$R$112*('W2'!$M$7:$R$7=$A213)*('W2'!$A$12:$A$112=$B213))*AH190*$H$10*POWER(1+INDEX('Cover Page'!$H$8:$W$8,MATCH($A190,'Cover Page'!$H$5:$W$5,0)),1+AH$13)</f>
        <v>-242482.97954424977</v>
      </c>
      <c r="AI213" s="556" cm="1">
        <f t="array" ref="AI213">-SUMPRODUCT('W2'!$M$12:$R$112*('W2'!$M$7:$R$7=$A213)*('W2'!$A$12:$A$112=$B213))*AI190*$H$10*POWER(1+INDEX('Cover Page'!$H$8:$W$8,MATCH($A190,'Cover Page'!$H$5:$W$5,0)),1+AI$13)</f>
        <v>-247332.63913513478</v>
      </c>
      <c r="AJ213" s="556" cm="1">
        <f t="array" ref="AJ213">-SUMPRODUCT('W2'!$M$12:$R$112*('W2'!$M$7:$R$7=$A213)*('W2'!$A$12:$A$112=$B213))*AJ190*$H$10*POWER(1+INDEX('Cover Page'!$H$8:$W$8,MATCH($A190,'Cover Page'!$H$5:$W$5,0)),1+AJ$13)</f>
        <v>-252279.29191783743</v>
      </c>
    </row>
    <row r="214" spans="1:36" s="299" customFormat="1" hidden="1" outlineLevel="1" x14ac:dyDescent="0.25">
      <c r="A214" s="299" t="s">
        <v>423</v>
      </c>
      <c r="H214" s="554" t="s">
        <v>203</v>
      </c>
      <c r="I214" s="555" t="str">
        <f t="shared" si="384"/>
        <v>tr. VND</v>
      </c>
      <c r="K214" s="640"/>
      <c r="L214" s="640">
        <f>L213/(1-L188)-L213</f>
        <v>-6020.9185009453649</v>
      </c>
      <c r="M214" s="640">
        <f t="shared" ref="M214:AJ214" si="411">M213/(1-M188)-M213</f>
        <v>-8429.2859013235138</v>
      </c>
      <c r="N214" s="640">
        <f t="shared" si="411"/>
        <v>-12282.673741928535</v>
      </c>
      <c r="O214" s="640">
        <f t="shared" si="411"/>
        <v>-12528.327216767124</v>
      </c>
      <c r="P214" s="640">
        <f t="shared" si="411"/>
        <v>-12778.893761102459</v>
      </c>
      <c r="Q214" s="640">
        <f t="shared" si="411"/>
        <v>-13034.47163632451</v>
      </c>
      <c r="R214" s="640">
        <f t="shared" si="411"/>
        <v>-13295.161069050984</v>
      </c>
      <c r="S214" s="640">
        <f t="shared" si="411"/>
        <v>-13561.064290432027</v>
      </c>
      <c r="T214" s="640">
        <f t="shared" si="411"/>
        <v>-13832.285576240654</v>
      </c>
      <c r="U214" s="640">
        <f t="shared" si="411"/>
        <v>-14108.931287765474</v>
      </c>
      <c r="V214" s="640">
        <f t="shared" si="411"/>
        <v>-14391.109913520777</v>
      </c>
      <c r="W214" s="640">
        <f t="shared" si="411"/>
        <v>-14678.93211179119</v>
      </c>
      <c r="X214" s="640">
        <f t="shared" si="411"/>
        <v>-14972.510754027026</v>
      </c>
      <c r="Y214" s="640">
        <f t="shared" si="411"/>
        <v>-15271.960969107575</v>
      </c>
      <c r="Z214" s="640">
        <f t="shared" si="411"/>
        <v>-15577.400188489701</v>
      </c>
      <c r="AA214" s="640">
        <f t="shared" si="411"/>
        <v>-15888.948192259501</v>
      </c>
      <c r="AB214" s="640">
        <f t="shared" si="411"/>
        <v>-16206.727156104695</v>
      </c>
      <c r="AC214" s="640">
        <f t="shared" si="411"/>
        <v>-16530.861699226778</v>
      </c>
      <c r="AD214" s="640">
        <f t="shared" si="411"/>
        <v>-16861.478933211329</v>
      </c>
      <c r="AE214" s="640">
        <f t="shared" si="411"/>
        <v>-17198.708511875564</v>
      </c>
      <c r="AF214" s="640">
        <f t="shared" si="411"/>
        <v>-17542.682682113053</v>
      </c>
      <c r="AG214" s="640">
        <f t="shared" si="411"/>
        <v>-17893.536335755314</v>
      </c>
      <c r="AH214" s="640">
        <f t="shared" si="411"/>
        <v>-18251.407062470418</v>
      </c>
      <c r="AI214" s="640">
        <f t="shared" si="411"/>
        <v>-18616.435203719855</v>
      </c>
      <c r="AJ214" s="640">
        <f t="shared" si="411"/>
        <v>-18988.763907794229</v>
      </c>
    </row>
    <row r="215" spans="1:36" hidden="1" outlineLevel="1" x14ac:dyDescent="0.25">
      <c r="A215" t="s">
        <v>423</v>
      </c>
      <c r="H215" s="454" t="s">
        <v>676</v>
      </c>
      <c r="I215" s="497" t="s">
        <v>672</v>
      </c>
      <c r="K215" s="617">
        <f t="shared" ref="K215" si="412">SUM(K216:K217)</f>
        <v>0</v>
      </c>
      <c r="L215" s="617">
        <f t="shared" ref="L215" si="413">SUM(L216:L217)</f>
        <v>-632.43325753344004</v>
      </c>
      <c r="M215" s="617">
        <f t="shared" ref="M215" si="414">SUM(M216:M217)</f>
        <v>-885.40656054681608</v>
      </c>
      <c r="N215" s="617">
        <f t="shared" ref="N215" si="415">SUM(N216:N217)</f>
        <v>-1328.1098408202242</v>
      </c>
      <c r="O215" s="617">
        <f t="shared" ref="O215" si="416">SUM(O216:O217)</f>
        <v>-1394.5153328612353</v>
      </c>
      <c r="P215" s="617">
        <f t="shared" ref="P215" si="417">SUM(P216:P217)</f>
        <v>-1464.2410995042972</v>
      </c>
      <c r="Q215" s="617">
        <f t="shared" ref="Q215" si="418">SUM(Q216:Q217)</f>
        <v>-1537.453154479512</v>
      </c>
      <c r="R215" s="617">
        <f t="shared" ref="R215" si="419">SUM(R216:R217)</f>
        <v>-1614.3258122034877</v>
      </c>
      <c r="S215" s="617">
        <f t="shared" ref="S215" si="420">SUM(S216:S217)</f>
        <v>-1695.0421028136618</v>
      </c>
      <c r="T215" s="617">
        <f t="shared" ref="T215" si="421">SUM(T216:T217)</f>
        <v>-1779.7942079543452</v>
      </c>
      <c r="U215" s="617">
        <f t="shared" ref="U215" si="422">SUM(U216:U217)</f>
        <v>-1868.7839183520623</v>
      </c>
      <c r="V215" s="617">
        <f t="shared" ref="V215" si="423">SUM(V216:V217)</f>
        <v>-1962.2231142696655</v>
      </c>
      <c r="W215" s="617">
        <f t="shared" ref="W215" si="424">SUM(W216:W217)</f>
        <v>-2060.3342699831487</v>
      </c>
      <c r="X215" s="617">
        <f t="shared" ref="X215" si="425">SUM(X216:X217)</f>
        <v>-2163.3509834823062</v>
      </c>
      <c r="Y215" s="617">
        <f t="shared" ref="Y215" si="426">SUM(Y216:Y217)</f>
        <v>-2271.5185326564215</v>
      </c>
      <c r="Z215" s="617">
        <f t="shared" ref="Z215" si="427">SUM(Z216:Z217)</f>
        <v>-2385.0944592892429</v>
      </c>
      <c r="AA215" s="617">
        <f t="shared" ref="AA215" si="428">SUM(AA216:AA217)</f>
        <v>-2504.3491822537044</v>
      </c>
      <c r="AB215" s="617">
        <f t="shared" ref="AB215" si="429">SUM(AB216:AB217)</f>
        <v>-2629.5666413663907</v>
      </c>
      <c r="AC215" s="617">
        <f t="shared" ref="AC215" si="430">SUM(AC216:AC217)</f>
        <v>-2761.0449734347098</v>
      </c>
      <c r="AD215" s="617">
        <f t="shared" ref="AD215" si="431">SUM(AD216:AD217)</f>
        <v>-2899.0972221064458</v>
      </c>
      <c r="AE215" s="617">
        <f t="shared" ref="AE215" si="432">SUM(AE216:AE217)</f>
        <v>-3044.0520832117677</v>
      </c>
      <c r="AF215" s="617">
        <f t="shared" ref="AF215" si="433">SUM(AF216:AF217)</f>
        <v>-3196.2546873723563</v>
      </c>
      <c r="AG215" s="617">
        <f t="shared" ref="AG215" si="434">SUM(AG216:AG217)</f>
        <v>-3356.0674217409742</v>
      </c>
      <c r="AH215" s="617">
        <f t="shared" ref="AH215" si="435">SUM(AH216:AH217)</f>
        <v>-3523.8707928280228</v>
      </c>
      <c r="AI215" s="617">
        <f t="shared" ref="AI215" si="436">SUM(AI216:AI217)</f>
        <v>-3700.0643324694233</v>
      </c>
      <c r="AJ215" s="617">
        <f t="shared" ref="AJ215" si="437">SUM(AJ216:AJ217)</f>
        <v>-3885.0675490928957</v>
      </c>
    </row>
    <row r="216" spans="1:36" s="299" customFormat="1" hidden="1" outlineLevel="1" x14ac:dyDescent="0.25">
      <c r="A216" s="299" t="s">
        <v>423</v>
      </c>
      <c r="B216" s="299" t="s">
        <v>667</v>
      </c>
      <c r="H216" s="554" t="s">
        <v>673</v>
      </c>
      <c r="I216" s="555" t="s">
        <v>672</v>
      </c>
      <c r="K216" s="556"/>
      <c r="L216" s="556" cm="1">
        <f t="array" ref="L216">-SUMPRODUCT('W2'!$M$12:$R$112*('W2'!$M$7:$R$7=$A216)*('W2'!$A$12:$A$112=$B216))*L196*$H$10*POWER(1+Inflation,L$11+1)</f>
        <v>-632.43325753344004</v>
      </c>
      <c r="M216" s="556" cm="1">
        <f t="array" ref="M216">-SUMPRODUCT('W2'!$M$12:$R$112*('W2'!$M$7:$R$7=$A216)*('W2'!$A$12:$A$112=$B216))*M196*$H$10*POWER(1+Inflation,M$11+1)</f>
        <v>-885.40656054681608</v>
      </c>
      <c r="N216" s="556" cm="1">
        <f t="array" ref="N216">-SUMPRODUCT('W2'!$M$12:$R$112*('W2'!$M$7:$R$7=$A216)*('W2'!$A$12:$A$112=$B216))*N196*$H$10*POWER(1+Inflation,N$11+1)</f>
        <v>-1328.1098408202242</v>
      </c>
      <c r="O216" s="556" cm="1">
        <f t="array" ref="O216">-SUMPRODUCT('W2'!$M$12:$R$112*('W2'!$M$7:$R$7=$A216)*('W2'!$A$12:$A$112=$B216))*O196*$H$10*POWER(1+Inflation,O$11+1)</f>
        <v>-1394.5153328612353</v>
      </c>
      <c r="P216" s="556" cm="1">
        <f t="array" ref="P216">-SUMPRODUCT('W2'!$M$12:$R$112*('W2'!$M$7:$R$7=$A216)*('W2'!$A$12:$A$112=$B216))*P196*$H$10*POWER(1+Inflation,P$11+1)</f>
        <v>-1464.2410995042972</v>
      </c>
      <c r="Q216" s="556" cm="1">
        <f t="array" ref="Q216">-SUMPRODUCT('W2'!$M$12:$R$112*('W2'!$M$7:$R$7=$A216)*('W2'!$A$12:$A$112=$B216))*Q196*$H$10*POWER(1+Inflation,Q$11+1)</f>
        <v>-1537.453154479512</v>
      </c>
      <c r="R216" s="556" cm="1">
        <f t="array" ref="R216">-SUMPRODUCT('W2'!$M$12:$R$112*('W2'!$M$7:$R$7=$A216)*('W2'!$A$12:$A$112=$B216))*R196*$H$10*POWER(1+Inflation,R$11+1)</f>
        <v>-1614.3258122034877</v>
      </c>
      <c r="S216" s="556" cm="1">
        <f t="array" ref="S216">-SUMPRODUCT('W2'!$M$12:$R$112*('W2'!$M$7:$R$7=$A216)*('W2'!$A$12:$A$112=$B216))*S196*$H$10*POWER(1+Inflation,S$11+1)</f>
        <v>-1695.0421028136618</v>
      </c>
      <c r="T216" s="556" cm="1">
        <f t="array" ref="T216">-SUMPRODUCT('W2'!$M$12:$R$112*('W2'!$M$7:$R$7=$A216)*('W2'!$A$12:$A$112=$B216))*T196*$H$10*POWER(1+Inflation,T$11+1)</f>
        <v>-1779.7942079543452</v>
      </c>
      <c r="U216" s="556" cm="1">
        <f t="array" ref="U216">-SUMPRODUCT('W2'!$M$12:$R$112*('W2'!$M$7:$R$7=$A216)*('W2'!$A$12:$A$112=$B216))*U196*$H$10*POWER(1+Inflation,U$11+1)</f>
        <v>-1868.7839183520623</v>
      </c>
      <c r="V216" s="556" cm="1">
        <f t="array" ref="V216">-SUMPRODUCT('W2'!$M$12:$R$112*('W2'!$M$7:$R$7=$A216)*('W2'!$A$12:$A$112=$B216))*V196*$H$10*POWER(1+Inflation,V$11+1)</f>
        <v>-1962.2231142696655</v>
      </c>
      <c r="W216" s="556" cm="1">
        <f t="array" ref="W216">-SUMPRODUCT('W2'!$M$12:$R$112*('W2'!$M$7:$R$7=$A216)*('W2'!$A$12:$A$112=$B216))*W196*$H$10*POWER(1+Inflation,W$11+1)</f>
        <v>-2060.3342699831487</v>
      </c>
      <c r="X216" s="556" cm="1">
        <f t="array" ref="X216">-SUMPRODUCT('W2'!$M$12:$R$112*('W2'!$M$7:$R$7=$A216)*('W2'!$A$12:$A$112=$B216))*X196*$H$10*POWER(1+Inflation,X$11+1)</f>
        <v>-2163.3509834823062</v>
      </c>
      <c r="Y216" s="556" cm="1">
        <f t="array" ref="Y216">-SUMPRODUCT('W2'!$M$12:$R$112*('W2'!$M$7:$R$7=$A216)*('W2'!$A$12:$A$112=$B216))*Y196*$H$10*POWER(1+Inflation,Y$11+1)</f>
        <v>-2271.5185326564215</v>
      </c>
      <c r="Z216" s="556" cm="1">
        <f t="array" ref="Z216">-SUMPRODUCT('W2'!$M$12:$R$112*('W2'!$M$7:$R$7=$A216)*('W2'!$A$12:$A$112=$B216))*Z196*$H$10*POWER(1+Inflation,Z$11+1)</f>
        <v>-2385.0944592892429</v>
      </c>
      <c r="AA216" s="556" cm="1">
        <f t="array" ref="AA216">-SUMPRODUCT('W2'!$M$12:$R$112*('W2'!$M$7:$R$7=$A216)*('W2'!$A$12:$A$112=$B216))*AA196*$H$10*POWER(1+Inflation,AA$11+1)</f>
        <v>-2504.3491822537044</v>
      </c>
      <c r="AB216" s="556" cm="1">
        <f t="array" ref="AB216">-SUMPRODUCT('W2'!$M$12:$R$112*('W2'!$M$7:$R$7=$A216)*('W2'!$A$12:$A$112=$B216))*AB196*$H$10*POWER(1+Inflation,AB$11+1)</f>
        <v>-2629.5666413663907</v>
      </c>
      <c r="AC216" s="556" cm="1">
        <f t="array" ref="AC216">-SUMPRODUCT('W2'!$M$12:$R$112*('W2'!$M$7:$R$7=$A216)*('W2'!$A$12:$A$112=$B216))*AC196*$H$10*POWER(1+Inflation,AC$11+1)</f>
        <v>-2761.0449734347098</v>
      </c>
      <c r="AD216" s="556" cm="1">
        <f t="array" ref="AD216">-SUMPRODUCT('W2'!$M$12:$R$112*('W2'!$M$7:$R$7=$A216)*('W2'!$A$12:$A$112=$B216))*AD196*$H$10*POWER(1+Inflation,AD$11+1)</f>
        <v>-2899.0972221064458</v>
      </c>
      <c r="AE216" s="556" cm="1">
        <f t="array" ref="AE216">-SUMPRODUCT('W2'!$M$12:$R$112*('W2'!$M$7:$R$7=$A216)*('W2'!$A$12:$A$112=$B216))*AE196*$H$10*POWER(1+Inflation,AE$11+1)</f>
        <v>-3044.0520832117677</v>
      </c>
      <c r="AF216" s="556" cm="1">
        <f t="array" ref="AF216">-SUMPRODUCT('W2'!$M$12:$R$112*('W2'!$M$7:$R$7=$A216)*('W2'!$A$12:$A$112=$B216))*AF196*$H$10*POWER(1+Inflation,AF$11+1)</f>
        <v>-3196.2546873723563</v>
      </c>
      <c r="AG216" s="556" cm="1">
        <f t="array" ref="AG216">-SUMPRODUCT('W2'!$M$12:$R$112*('W2'!$M$7:$R$7=$A216)*('W2'!$A$12:$A$112=$B216))*AG196*$H$10*POWER(1+Inflation,AG$11+1)</f>
        <v>-3356.0674217409742</v>
      </c>
      <c r="AH216" s="556" cm="1">
        <f t="array" ref="AH216">-SUMPRODUCT('W2'!$M$12:$R$112*('W2'!$M$7:$R$7=$A216)*('W2'!$A$12:$A$112=$B216))*AH196*$H$10*POWER(1+Inflation,AH$11+1)</f>
        <v>-3523.8707928280228</v>
      </c>
      <c r="AI216" s="556" cm="1">
        <f t="array" ref="AI216">-SUMPRODUCT('W2'!$M$12:$R$112*('W2'!$M$7:$R$7=$A216)*('W2'!$A$12:$A$112=$B216))*AI196*$H$10*POWER(1+Inflation,AI$11+1)</f>
        <v>-3700.0643324694233</v>
      </c>
      <c r="AJ216" s="556" cm="1">
        <f t="array" ref="AJ216">-SUMPRODUCT('W2'!$M$12:$R$112*('W2'!$M$7:$R$7=$A216)*('W2'!$A$12:$A$112=$B216))*AJ196*$H$10*POWER(1+Inflation,AJ$11+1)</f>
        <v>-3885.0675490928957</v>
      </c>
    </row>
    <row r="217" spans="1:36" s="299" customFormat="1" hidden="1" outlineLevel="1" x14ac:dyDescent="0.25">
      <c r="A217" s="299" t="s">
        <v>423</v>
      </c>
      <c r="B217" s="299" t="s">
        <v>668</v>
      </c>
      <c r="H217" s="554" t="s">
        <v>674</v>
      </c>
      <c r="I217" s="555" t="s">
        <v>672</v>
      </c>
      <c r="K217" s="556"/>
      <c r="L217" s="556" cm="1">
        <f t="array" ref="L217">-SUMPRODUCT('W2'!$M$12:$R$112*('W2'!$M$7:$R$7=$A217)*('W2'!$A$12:$A$112=$B217))*L197*$H$10*POWER(1+Inflation,L$11+1)</f>
        <v>0</v>
      </c>
      <c r="M217" s="556" cm="1">
        <f t="array" ref="M217">-SUMPRODUCT('W2'!$M$12:$R$112*('W2'!$M$7:$R$7=$A217)*('W2'!$A$12:$A$112=$B217))*M197*$H$10*POWER(1+Inflation,M$11+1)</f>
        <v>0</v>
      </c>
      <c r="N217" s="556" cm="1">
        <f t="array" ref="N217">-SUMPRODUCT('W2'!$M$12:$R$112*('W2'!$M$7:$R$7=$A217)*('W2'!$A$12:$A$112=$B217))*N197*$H$10*POWER(1+Inflation,N$11+1)</f>
        <v>0</v>
      </c>
      <c r="O217" s="556" cm="1">
        <f t="array" ref="O217">-SUMPRODUCT('W2'!$M$12:$R$112*('W2'!$M$7:$R$7=$A217)*('W2'!$A$12:$A$112=$B217))*O197*$H$10*POWER(1+Inflation,O$11+1)</f>
        <v>0</v>
      </c>
      <c r="P217" s="556" cm="1">
        <f t="array" ref="P217">-SUMPRODUCT('W2'!$M$12:$R$112*('W2'!$M$7:$R$7=$A217)*('W2'!$A$12:$A$112=$B217))*P197*$H$10*POWER(1+Inflation,P$11+1)</f>
        <v>0</v>
      </c>
      <c r="Q217" s="556" cm="1">
        <f t="array" ref="Q217">-SUMPRODUCT('W2'!$M$12:$R$112*('W2'!$M$7:$R$7=$A217)*('W2'!$A$12:$A$112=$B217))*Q197*$H$10*POWER(1+Inflation,Q$11+1)</f>
        <v>0</v>
      </c>
      <c r="R217" s="556" cm="1">
        <f t="array" ref="R217">-SUMPRODUCT('W2'!$M$12:$R$112*('W2'!$M$7:$R$7=$A217)*('W2'!$A$12:$A$112=$B217))*R197*$H$10*POWER(1+Inflation,R$11+1)</f>
        <v>0</v>
      </c>
      <c r="S217" s="556" cm="1">
        <f t="array" ref="S217">-SUMPRODUCT('W2'!$M$12:$R$112*('W2'!$M$7:$R$7=$A217)*('W2'!$A$12:$A$112=$B217))*S197*$H$10*POWER(1+Inflation,S$11+1)</f>
        <v>0</v>
      </c>
      <c r="T217" s="556" cm="1">
        <f t="array" ref="T217">-SUMPRODUCT('W2'!$M$12:$R$112*('W2'!$M$7:$R$7=$A217)*('W2'!$A$12:$A$112=$B217))*T197*$H$10*POWER(1+Inflation,T$11+1)</f>
        <v>0</v>
      </c>
      <c r="U217" s="556" cm="1">
        <f t="array" ref="U217">-SUMPRODUCT('W2'!$M$12:$R$112*('W2'!$M$7:$R$7=$A217)*('W2'!$A$12:$A$112=$B217))*U197*$H$10*POWER(1+Inflation,U$11+1)</f>
        <v>0</v>
      </c>
      <c r="V217" s="556" cm="1">
        <f t="array" ref="V217">-SUMPRODUCT('W2'!$M$12:$R$112*('W2'!$M$7:$R$7=$A217)*('W2'!$A$12:$A$112=$B217))*V197*$H$10*POWER(1+Inflation,V$11+1)</f>
        <v>0</v>
      </c>
      <c r="W217" s="556" cm="1">
        <f t="array" ref="W217">-SUMPRODUCT('W2'!$M$12:$R$112*('W2'!$M$7:$R$7=$A217)*('W2'!$A$12:$A$112=$B217))*W197*$H$10*POWER(1+Inflation,W$11+1)</f>
        <v>0</v>
      </c>
      <c r="X217" s="556" cm="1">
        <f t="array" ref="X217">-SUMPRODUCT('W2'!$M$12:$R$112*('W2'!$M$7:$R$7=$A217)*('W2'!$A$12:$A$112=$B217))*X197*$H$10*POWER(1+Inflation,X$11+1)</f>
        <v>0</v>
      </c>
      <c r="Y217" s="556" cm="1">
        <f t="array" ref="Y217">-SUMPRODUCT('W2'!$M$12:$R$112*('W2'!$M$7:$R$7=$A217)*('W2'!$A$12:$A$112=$B217))*Y197*$H$10*POWER(1+Inflation,Y$11+1)</f>
        <v>0</v>
      </c>
      <c r="Z217" s="556" cm="1">
        <f t="array" ref="Z217">-SUMPRODUCT('W2'!$M$12:$R$112*('W2'!$M$7:$R$7=$A217)*('W2'!$A$12:$A$112=$B217))*Z197*$H$10*POWER(1+Inflation,Z$11+1)</f>
        <v>0</v>
      </c>
      <c r="AA217" s="556" cm="1">
        <f t="array" ref="AA217">-SUMPRODUCT('W2'!$M$12:$R$112*('W2'!$M$7:$R$7=$A217)*('W2'!$A$12:$A$112=$B217))*AA197*$H$10*POWER(1+Inflation,AA$11+1)</f>
        <v>0</v>
      </c>
      <c r="AB217" s="556" cm="1">
        <f t="array" ref="AB217">-SUMPRODUCT('W2'!$M$12:$R$112*('W2'!$M$7:$R$7=$A217)*('W2'!$A$12:$A$112=$B217))*AB197*$H$10*POWER(1+Inflation,AB$11+1)</f>
        <v>0</v>
      </c>
      <c r="AC217" s="556" cm="1">
        <f t="array" ref="AC217">-SUMPRODUCT('W2'!$M$12:$R$112*('W2'!$M$7:$R$7=$A217)*('W2'!$A$12:$A$112=$B217))*AC197*$H$10*POWER(1+Inflation,AC$11+1)</f>
        <v>0</v>
      </c>
      <c r="AD217" s="556" cm="1">
        <f t="array" ref="AD217">-SUMPRODUCT('W2'!$M$12:$R$112*('W2'!$M$7:$R$7=$A217)*('W2'!$A$12:$A$112=$B217))*AD197*$H$10*POWER(1+Inflation,AD$11+1)</f>
        <v>0</v>
      </c>
      <c r="AE217" s="556" cm="1">
        <f t="array" ref="AE217">-SUMPRODUCT('W2'!$M$12:$R$112*('W2'!$M$7:$R$7=$A217)*('W2'!$A$12:$A$112=$B217))*AE197*$H$10*POWER(1+Inflation,AE$11+1)</f>
        <v>0</v>
      </c>
      <c r="AF217" s="556" cm="1">
        <f t="array" ref="AF217">-SUMPRODUCT('W2'!$M$12:$R$112*('W2'!$M$7:$R$7=$A217)*('W2'!$A$12:$A$112=$B217))*AF197*$H$10*POWER(1+Inflation,AF$11+1)</f>
        <v>0</v>
      </c>
      <c r="AG217" s="556" cm="1">
        <f t="array" ref="AG217">-SUMPRODUCT('W2'!$M$12:$R$112*('W2'!$M$7:$R$7=$A217)*('W2'!$A$12:$A$112=$B217))*AG197*$H$10*POWER(1+Inflation,AG$11+1)</f>
        <v>0</v>
      </c>
      <c r="AH217" s="556" cm="1">
        <f t="array" ref="AH217">-SUMPRODUCT('W2'!$M$12:$R$112*('W2'!$M$7:$R$7=$A217)*('W2'!$A$12:$A$112=$B217))*AH197*$H$10*POWER(1+Inflation,AH$11+1)</f>
        <v>0</v>
      </c>
      <c r="AI217" s="556" cm="1">
        <f t="array" ref="AI217">-SUMPRODUCT('W2'!$M$12:$R$112*('W2'!$M$7:$R$7=$A217)*('W2'!$A$12:$A$112=$B217))*AI197*$H$10*POWER(1+Inflation,AI$11+1)</f>
        <v>0</v>
      </c>
      <c r="AJ217" s="556" cm="1">
        <f t="array" ref="AJ217">-SUMPRODUCT('W2'!$M$12:$R$112*('W2'!$M$7:$R$7=$A217)*('W2'!$A$12:$A$112=$B217))*AJ197*$H$10*POWER(1+Inflation,AJ$11+1)</f>
        <v>0</v>
      </c>
    </row>
    <row r="218" spans="1:36" hidden="1" outlineLevel="1" x14ac:dyDescent="0.25">
      <c r="A218" t="s">
        <v>423</v>
      </c>
      <c r="H218" s="454" t="s">
        <v>180</v>
      </c>
      <c r="I218" s="497" t="str">
        <f t="shared" ref="I218:I221" si="438">IF($H$9="USD","USD","tr. VND")</f>
        <v>tr. VND</v>
      </c>
      <c r="K218" s="617">
        <f>SUM(K219:K221)</f>
        <v>0</v>
      </c>
      <c r="L218" s="617">
        <f>SUM(L219:L221)</f>
        <v>-8832.2570462080002</v>
      </c>
      <c r="M218" s="617">
        <f t="shared" ref="M218:AJ218" si="439">SUM(M219:M221)</f>
        <v>-11466.064648691197</v>
      </c>
      <c r="N218" s="617">
        <f t="shared" si="439"/>
        <v>-16117.600199036799</v>
      </c>
      <c r="O218" s="617">
        <f t="shared" si="439"/>
        <v>-16853.46555298864</v>
      </c>
      <c r="P218" s="617">
        <f t="shared" si="439"/>
        <v>-17626.124174638077</v>
      </c>
      <c r="Q218" s="617">
        <f t="shared" si="439"/>
        <v>-18437.415727369975</v>
      </c>
      <c r="R218" s="617">
        <f t="shared" si="439"/>
        <v>-19289.271857738477</v>
      </c>
      <c r="S218" s="617">
        <f t="shared" si="439"/>
        <v>-20183.720794625395</v>
      </c>
      <c r="T218" s="617">
        <f t="shared" si="439"/>
        <v>-21122.892178356669</v>
      </c>
      <c r="U218" s="617">
        <f t="shared" si="439"/>
        <v>-22109.022131274498</v>
      </c>
      <c r="V218" s="617">
        <f t="shared" si="439"/>
        <v>-23144.458581838226</v>
      </c>
      <c r="W218" s="617">
        <f t="shared" si="439"/>
        <v>-24231.666854930136</v>
      </c>
      <c r="X218" s="617">
        <f t="shared" si="439"/>
        <v>-24251.855541676647</v>
      </c>
      <c r="Y218" s="617">
        <f t="shared" si="439"/>
        <v>-25450.502662760475</v>
      </c>
      <c r="Z218" s="617">
        <f t="shared" si="439"/>
        <v>-26709.082139898503</v>
      </c>
      <c r="AA218" s="617">
        <f t="shared" si="439"/>
        <v>-28030.590590893426</v>
      </c>
      <c r="AB218" s="617">
        <f t="shared" si="439"/>
        <v>-29418.174464438103</v>
      </c>
      <c r="AC218" s="617">
        <f t="shared" si="439"/>
        <v>-30875.137531660006</v>
      </c>
      <c r="AD218" s="617">
        <f t="shared" si="439"/>
        <v>-32404.948752243014</v>
      </c>
      <c r="AE218" s="617">
        <f t="shared" si="439"/>
        <v>-34011.250533855164</v>
      </c>
      <c r="AF218" s="617">
        <f t="shared" si="439"/>
        <v>-35697.86740454792</v>
      </c>
      <c r="AG218" s="617">
        <f t="shared" si="439"/>
        <v>-37468.81511877531</v>
      </c>
      <c r="AH218" s="617">
        <f t="shared" si="439"/>
        <v>-39328.310218714083</v>
      </c>
      <c r="AI218" s="617">
        <f t="shared" si="439"/>
        <v>-41280.780073649774</v>
      </c>
      <c r="AJ218" s="617">
        <f t="shared" si="439"/>
        <v>-43330.873421332275</v>
      </c>
    </row>
    <row r="219" spans="1:36" s="299" customFormat="1" hidden="1" outlineLevel="1" x14ac:dyDescent="0.25">
      <c r="A219" s="299" t="s">
        <v>423</v>
      </c>
      <c r="B219" s="299" t="s">
        <v>174</v>
      </c>
      <c r="H219" s="554" t="s">
        <v>73</v>
      </c>
      <c r="I219" s="555" t="str">
        <f t="shared" si="438"/>
        <v>tr. VND</v>
      </c>
      <c r="K219" s="556"/>
      <c r="L219" s="556" cm="1">
        <f t="array" ref="L219">-SUMPRODUCT('W2'!$M$12:$R$112*('W2'!$M$7:$R$7=$A219)*('W2'!$A$12:$A$112=$B219))*L189*24*$H$10*POWER(1+Inflation,L$11+1)</f>
        <v>-5307.5087999999996</v>
      </c>
      <c r="M219" s="556" cm="1">
        <f t="array" ref="M219">-SUMPRODUCT('W2'!$M$12:$R$112*('W2'!$M$7:$R$7=$A219)*('W2'!$A$12:$A$112=$B219))*M189*24*$H$10*POWER(1+Inflation,M$11+1)</f>
        <v>-7430.512319999998</v>
      </c>
      <c r="N219" s="556" cm="1">
        <f t="array" ref="N219">-SUMPRODUCT('W2'!$M$12:$R$112*('W2'!$M$7:$R$7=$A219)*('W2'!$A$12:$A$112=$B219))*N189*24*$H$10*POWER(1+Inflation,N$11+1)</f>
        <v>-11145.768479999999</v>
      </c>
      <c r="O219" s="556" cm="1">
        <f t="array" ref="O219">-SUMPRODUCT('W2'!$M$12:$R$112*('W2'!$M$7:$R$7=$A219)*('W2'!$A$12:$A$112=$B219))*O189*24*$H$10*POWER(1+Inflation,O$11+1)</f>
        <v>-11703.056903999999</v>
      </c>
      <c r="P219" s="556" cm="1">
        <f t="array" ref="P219">-SUMPRODUCT('W2'!$M$12:$R$112*('W2'!$M$7:$R$7=$A219)*('W2'!$A$12:$A$112=$B219))*P189*24*$H$10*POWER(1+Inflation,P$11+1)</f>
        <v>-12288.209749200001</v>
      </c>
      <c r="Q219" s="556" cm="1">
        <f t="array" ref="Q219">-SUMPRODUCT('W2'!$M$12:$R$112*('W2'!$M$7:$R$7=$A219)*('W2'!$A$12:$A$112=$B219))*Q189*24*$H$10*POWER(1+Inflation,Q$11+1)</f>
        <v>-12902.620236659999</v>
      </c>
      <c r="R219" s="556" cm="1">
        <f t="array" ref="R219">-SUMPRODUCT('W2'!$M$12:$R$112*('W2'!$M$7:$R$7=$A219)*('W2'!$A$12:$A$112=$B219))*R189*24*$H$10*POWER(1+Inflation,R$11+1)</f>
        <v>-13547.751248493001</v>
      </c>
      <c r="S219" s="556" cm="1">
        <f t="array" ref="S219">-SUMPRODUCT('W2'!$M$12:$R$112*('W2'!$M$7:$R$7=$A219)*('W2'!$A$12:$A$112=$B219))*S189*24*$H$10*POWER(1+Inflation,S$11+1)</f>
        <v>-14225.138810917648</v>
      </c>
      <c r="T219" s="556" cm="1">
        <f t="array" ref="T219">-SUMPRODUCT('W2'!$M$12:$R$112*('W2'!$M$7:$R$7=$A219)*('W2'!$A$12:$A$112=$B219))*T189*24*$H$10*POWER(1+Inflation,T$11+1)</f>
        <v>-14936.395751463533</v>
      </c>
      <c r="U219" s="556" cm="1">
        <f t="array" ref="U219">-SUMPRODUCT('W2'!$M$12:$R$112*('W2'!$M$7:$R$7=$A219)*('W2'!$A$12:$A$112=$B219))*U189*24*$H$10*POWER(1+Inflation,U$11+1)</f>
        <v>-15683.215539036708</v>
      </c>
      <c r="V219" s="556" cm="1">
        <f t="array" ref="V219">-SUMPRODUCT('W2'!$M$12:$R$112*('W2'!$M$7:$R$7=$A219)*('W2'!$A$12:$A$112=$B219))*V189*24*$H$10*POWER(1+Inflation,V$11+1)</f>
        <v>-16467.376315988546</v>
      </c>
      <c r="W219" s="556" cm="1">
        <f t="array" ref="W219">-SUMPRODUCT('W2'!$M$12:$R$112*('W2'!$M$7:$R$7=$A219)*('W2'!$A$12:$A$112=$B219))*W189*24*$H$10*POWER(1+Inflation,W$11+1)</f>
        <v>-17290.745131787971</v>
      </c>
      <c r="X219" s="556" cm="1">
        <f t="array" ref="X219">-SUMPRODUCT('W2'!$M$12:$R$112*('W2'!$M$7:$R$7=$A219)*('W2'!$A$12:$A$112=$B219))*X189*24*$H$10*POWER(1+Inflation,X$11+1)</f>
        <v>-18155.282388377371</v>
      </c>
      <c r="Y219" s="556" cm="1">
        <f t="array" ref="Y219">-SUMPRODUCT('W2'!$M$12:$R$112*('W2'!$M$7:$R$7=$A219)*('W2'!$A$12:$A$112=$B219))*Y189*24*$H$10*POWER(1+Inflation,Y$11+1)</f>
        <v>-19063.046507796236</v>
      </c>
      <c r="Z219" s="556" cm="1">
        <f t="array" ref="Z219">-SUMPRODUCT('W2'!$M$12:$R$112*('W2'!$M$7:$R$7=$A219)*('W2'!$A$12:$A$112=$B219))*Z189*24*$H$10*POWER(1+Inflation,Z$11+1)</f>
        <v>-20016.198833186052</v>
      </c>
      <c r="AA219" s="556" cm="1">
        <f t="array" ref="AA219">-SUMPRODUCT('W2'!$M$12:$R$112*('W2'!$M$7:$R$7=$A219)*('W2'!$A$12:$A$112=$B219))*AA189*24*$H$10*POWER(1+Inflation,AA$11+1)</f>
        <v>-21017.008774845352</v>
      </c>
      <c r="AB219" s="556" cm="1">
        <f t="array" ref="AB219">-SUMPRODUCT('W2'!$M$12:$R$112*('W2'!$M$7:$R$7=$A219)*('W2'!$A$12:$A$112=$B219))*AB189*24*$H$10*POWER(1+Inflation,AB$11+1)</f>
        <v>-22067.859213587624</v>
      </c>
      <c r="AC219" s="556" cm="1">
        <f t="array" ref="AC219">-SUMPRODUCT('W2'!$M$12:$R$112*('W2'!$M$7:$R$7=$A219)*('W2'!$A$12:$A$112=$B219))*AC189*24*$H$10*POWER(1+Inflation,AC$11+1)</f>
        <v>-23171.252174267003</v>
      </c>
      <c r="AD219" s="556" cm="1">
        <f t="array" ref="AD219">-SUMPRODUCT('W2'!$M$12:$R$112*('W2'!$M$7:$R$7=$A219)*('W2'!$A$12:$A$112=$B219))*AD189*24*$H$10*POWER(1+Inflation,AD$11+1)</f>
        <v>-24329.81478298036</v>
      </c>
      <c r="AE219" s="556" cm="1">
        <f t="array" ref="AE219">-SUMPRODUCT('W2'!$M$12:$R$112*('W2'!$M$7:$R$7=$A219)*('W2'!$A$12:$A$112=$B219))*AE189*24*$H$10*POWER(1+Inflation,AE$11+1)</f>
        <v>-25546.305522129376</v>
      </c>
      <c r="AF219" s="556" cm="1">
        <f t="array" ref="AF219">-SUMPRODUCT('W2'!$M$12:$R$112*('W2'!$M$7:$R$7=$A219)*('W2'!$A$12:$A$112=$B219))*AF189*24*$H$10*POWER(1+Inflation,AF$11+1)</f>
        <v>-26823.620798235846</v>
      </c>
      <c r="AG219" s="556" cm="1">
        <f t="array" ref="AG219">-SUMPRODUCT('W2'!$M$12:$R$112*('W2'!$M$7:$R$7=$A219)*('W2'!$A$12:$A$112=$B219))*AG189*24*$H$10*POWER(1+Inflation,AG$11+1)</f>
        <v>-28164.801838147636</v>
      </c>
      <c r="AH219" s="556" cm="1">
        <f t="array" ref="AH219">-SUMPRODUCT('W2'!$M$12:$R$112*('W2'!$M$7:$R$7=$A219)*('W2'!$A$12:$A$112=$B219))*AH189*24*$H$10*POWER(1+Inflation,AH$11+1)</f>
        <v>-29573.041930055017</v>
      </c>
      <c r="AI219" s="556" cm="1">
        <f t="array" ref="AI219">-SUMPRODUCT('W2'!$M$12:$R$112*('W2'!$M$7:$R$7=$A219)*('W2'!$A$12:$A$112=$B219))*AI189*24*$H$10*POWER(1+Inflation,AI$11+1)</f>
        <v>-31051.694026557765</v>
      </c>
      <c r="AJ219" s="556" cm="1">
        <f t="array" ref="AJ219">-SUMPRODUCT('W2'!$M$12:$R$112*('W2'!$M$7:$R$7=$A219)*('W2'!$A$12:$A$112=$B219))*AJ189*24*$H$10*POWER(1+Inflation,AJ$11+1)</f>
        <v>-32604.278727885659</v>
      </c>
    </row>
    <row r="220" spans="1:36" s="299" customFormat="1" hidden="1" outlineLevel="1" x14ac:dyDescent="0.25">
      <c r="A220" s="299" t="s">
        <v>423</v>
      </c>
      <c r="B220" s="299" t="s">
        <v>462</v>
      </c>
      <c r="H220" s="554" t="s">
        <v>192</v>
      </c>
      <c r="I220" s="555" t="str">
        <f t="shared" si="438"/>
        <v>tr. VND</v>
      </c>
      <c r="K220" s="556"/>
      <c r="L220" s="556" cm="1">
        <f t="array" ref="L220">-SUMPRODUCT('W2'!$M$12:$R$112*('W2'!$M$7:$R$7=$A220)*('W2'!$A$12:$A$112=$B220))*L190*$H$10*POWER(1+Inflation,L$11+1)</f>
        <v>-1023.7594752</v>
      </c>
      <c r="M220" s="556" cm="1">
        <f t="array" ref="M220">-SUMPRODUCT('W2'!$M$12:$R$112*('W2'!$M$7:$R$7=$A220)*('W2'!$A$12:$A$112=$B220))*M190*$H$10*POWER(1+Inflation,M$11+1)</f>
        <v>-1433.2632652799998</v>
      </c>
      <c r="N220" s="556" cm="1">
        <f t="array" ref="N220">-SUMPRODUCT('W2'!$M$12:$R$112*('W2'!$M$7:$R$7=$A220)*('W2'!$A$12:$A$112=$B220))*N190*$H$10*POWER(1+Inflation,N$11+1)</f>
        <v>-2149.8948979199999</v>
      </c>
      <c r="O220" s="556" cm="1">
        <f t="array" ref="O220">-SUMPRODUCT('W2'!$M$12:$R$112*('W2'!$M$7:$R$7=$A220)*('W2'!$A$12:$A$112=$B220))*O190*$H$10*POWER(1+Inflation,O$11+1)</f>
        <v>-2257.3896428160001</v>
      </c>
      <c r="P220" s="556" cm="1">
        <f t="array" ref="P220">-SUMPRODUCT('W2'!$M$12:$R$112*('W2'!$M$7:$R$7=$A220)*('W2'!$A$12:$A$112=$B220))*P190*$H$10*POWER(1+Inflation,P$11+1)</f>
        <v>-2370.2591249568004</v>
      </c>
      <c r="Q220" s="556" cm="1">
        <f t="array" ref="Q220">-SUMPRODUCT('W2'!$M$12:$R$112*('W2'!$M$7:$R$7=$A220)*('W2'!$A$12:$A$112=$B220))*Q190*$H$10*POWER(1+Inflation,Q$11+1)</f>
        <v>-2488.77208120464</v>
      </c>
      <c r="R220" s="556" cm="1">
        <f t="array" ref="R220">-SUMPRODUCT('W2'!$M$12:$R$112*('W2'!$M$7:$R$7=$A220)*('W2'!$A$12:$A$112=$B220))*R190*$H$10*POWER(1+Inflation,R$11+1)</f>
        <v>-2613.2106852648722</v>
      </c>
      <c r="S220" s="556" cm="1">
        <f t="array" ref="S220">-SUMPRODUCT('W2'!$M$12:$R$112*('W2'!$M$7:$R$7=$A220)*('W2'!$A$12:$A$112=$B220))*S190*$H$10*POWER(1+Inflation,S$11+1)</f>
        <v>-2743.8712195281155</v>
      </c>
      <c r="T220" s="556" cm="1">
        <f t="array" ref="T220">-SUMPRODUCT('W2'!$M$12:$R$112*('W2'!$M$7:$R$7=$A220)*('W2'!$A$12:$A$112=$B220))*T190*$H$10*POWER(1+Inflation,T$11+1)</f>
        <v>-2881.0647805045219</v>
      </c>
      <c r="U220" s="556" cm="1">
        <f t="array" ref="U220">-SUMPRODUCT('W2'!$M$12:$R$112*('W2'!$M$7:$R$7=$A220)*('W2'!$A$12:$A$112=$B220))*U190*$H$10*POWER(1+Inflation,U$11+1)</f>
        <v>-3025.1180195297475</v>
      </c>
      <c r="V220" s="556" cm="1">
        <f t="array" ref="V220">-SUMPRODUCT('W2'!$M$12:$R$112*('W2'!$M$7:$R$7=$A220)*('W2'!$A$12:$A$112=$B220))*V190*$H$10*POWER(1+Inflation,V$11+1)</f>
        <v>-3176.3739205062352</v>
      </c>
      <c r="W220" s="556" cm="1">
        <f t="array" ref="W220">-SUMPRODUCT('W2'!$M$12:$R$112*('W2'!$M$7:$R$7=$A220)*('W2'!$A$12:$A$112=$B220))*W190*$H$10*POWER(1+Inflation,W$11+1)</f>
        <v>-3335.1926165315467</v>
      </c>
      <c r="X220" s="556" cm="1">
        <f t="array" ref="X220">-SUMPRODUCT('W2'!$M$12:$R$112*('W2'!$M$7:$R$7=$A220)*('W2'!$A$12:$A$112=$B220))*X190*$H$10*POWER(1+Inflation,X$11+1)</f>
        <v>-3501.9522473581246</v>
      </c>
      <c r="Y220" s="556" cm="1">
        <f t="array" ref="Y220">-SUMPRODUCT('W2'!$M$12:$R$112*('W2'!$M$7:$R$7=$A220)*('W2'!$A$12:$A$112=$B220))*Y190*$H$10*POWER(1+Inflation,Y$11+1)</f>
        <v>-3677.0498597260303</v>
      </c>
      <c r="Z220" s="556" cm="1">
        <f t="array" ref="Z220">-SUMPRODUCT('W2'!$M$12:$R$112*('W2'!$M$7:$R$7=$A220)*('W2'!$A$12:$A$112=$B220))*Z190*$H$10*POWER(1+Inflation,Z$11+1)</f>
        <v>-3860.9023527123322</v>
      </c>
      <c r="AA220" s="556" cm="1">
        <f t="array" ref="AA220">-SUMPRODUCT('W2'!$M$12:$R$112*('W2'!$M$7:$R$7=$A220)*('W2'!$A$12:$A$112=$B220))*AA190*$H$10*POWER(1+Inflation,AA$11+1)</f>
        <v>-4053.9474703479482</v>
      </c>
      <c r="AB220" s="556" cm="1">
        <f t="array" ref="AB220">-SUMPRODUCT('W2'!$M$12:$R$112*('W2'!$M$7:$R$7=$A220)*('W2'!$A$12:$A$112=$B220))*AB190*$H$10*POWER(1+Inflation,AB$11+1)</f>
        <v>-4256.644843865347</v>
      </c>
      <c r="AC220" s="556" cm="1">
        <f t="array" ref="AC220">-SUMPRODUCT('W2'!$M$12:$R$112*('W2'!$M$7:$R$7=$A220)*('W2'!$A$12:$A$112=$B220))*AC190*$H$10*POWER(1+Inflation,AC$11+1)</f>
        <v>-4469.4770860586141</v>
      </c>
      <c r="AD220" s="556" cm="1">
        <f t="array" ref="AD220">-SUMPRODUCT('W2'!$M$12:$R$112*('W2'!$M$7:$R$7=$A220)*('W2'!$A$12:$A$112=$B220))*AD190*$H$10*POWER(1+Inflation,AD$11+1)</f>
        <v>-4692.9509403615448</v>
      </c>
      <c r="AE220" s="556" cm="1">
        <f t="array" ref="AE220">-SUMPRODUCT('W2'!$M$12:$R$112*('W2'!$M$7:$R$7=$A220)*('W2'!$A$12:$A$112=$B220))*AE190*$H$10*POWER(1+Inflation,AE$11+1)</f>
        <v>-4927.5984873796224</v>
      </c>
      <c r="AF220" s="556" cm="1">
        <f t="array" ref="AF220">-SUMPRODUCT('W2'!$M$12:$R$112*('W2'!$M$7:$R$7=$A220)*('W2'!$A$12:$A$112=$B220))*AF190*$H$10*POWER(1+Inflation,AF$11+1)</f>
        <v>-5173.9784117486033</v>
      </c>
      <c r="AG220" s="556" cm="1">
        <f t="array" ref="AG220">-SUMPRODUCT('W2'!$M$12:$R$112*('W2'!$M$7:$R$7=$A220)*('W2'!$A$12:$A$112=$B220))*AG190*$H$10*POWER(1+Inflation,AG$11+1)</f>
        <v>-5432.677332336033</v>
      </c>
      <c r="AH220" s="556" cm="1">
        <f t="array" ref="AH220">-SUMPRODUCT('W2'!$M$12:$R$112*('W2'!$M$7:$R$7=$A220)*('W2'!$A$12:$A$112=$B220))*AH190*$H$10*POWER(1+Inflation,AH$11+1)</f>
        <v>-5704.3111989528352</v>
      </c>
      <c r="AI220" s="556" cm="1">
        <f t="array" ref="AI220">-SUMPRODUCT('W2'!$M$12:$R$112*('W2'!$M$7:$R$7=$A220)*('W2'!$A$12:$A$112=$B220))*AI190*$H$10*POWER(1+Inflation,AI$11+1)</f>
        <v>-5989.5267589004761</v>
      </c>
      <c r="AJ220" s="556" cm="1">
        <f t="array" ref="AJ220">-SUMPRODUCT('W2'!$M$12:$R$112*('W2'!$M$7:$R$7=$A220)*('W2'!$A$12:$A$112=$B220))*AJ190*$H$10*POWER(1+Inflation,AJ$11+1)</f>
        <v>-6289.0030968455012</v>
      </c>
    </row>
    <row r="221" spans="1:36" s="299" customFormat="1" hidden="1" outlineLevel="1" x14ac:dyDescent="0.25">
      <c r="A221" s="299" t="s">
        <v>423</v>
      </c>
      <c r="B221" s="299" t="s">
        <v>140</v>
      </c>
      <c r="H221" s="554" t="s">
        <v>175</v>
      </c>
      <c r="I221" s="555" t="str">
        <f t="shared" si="438"/>
        <v>tr. VND</v>
      </c>
      <c r="K221" s="556"/>
      <c r="L221" s="556" cm="1">
        <f t="array" ref="L221">SUMPRODUCT('W2'!$M$12:$R$112*('W2'!$M$7:$R$7=$A221)*('W2'!$A$12:$A$112=$B221))*(SUM(L201,L219:L220))</f>
        <v>-2500.9887710079997</v>
      </c>
      <c r="M221" s="556" cm="1">
        <f t="array" ref="M221">SUMPRODUCT('W2'!$M$12:$R$112*('W2'!$M$7:$R$7=$A221)*('W2'!$A$12:$A$112=$B221))*(SUM(M201,M219:M220))</f>
        <v>-2602.2890634112</v>
      </c>
      <c r="N221" s="556" cm="1">
        <f t="array" ref="N221">SUMPRODUCT('W2'!$M$12:$R$112*('W2'!$M$7:$R$7=$A221)*('W2'!$A$12:$A$112=$B221))*(SUM(N201,N219:N220))</f>
        <v>-2821.9368211168003</v>
      </c>
      <c r="O221" s="556" cm="1">
        <f t="array" ref="O221">SUMPRODUCT('W2'!$M$12:$R$112*('W2'!$M$7:$R$7=$A221)*('W2'!$A$12:$A$112=$B221))*(SUM(O201,O219:O220))</f>
        <v>-2893.0190061726398</v>
      </c>
      <c r="P221" s="556" cm="1">
        <f t="array" ref="P221">SUMPRODUCT('W2'!$M$12:$R$112*('W2'!$M$7:$R$7=$A221)*('W2'!$A$12:$A$112=$B221))*(SUM(P201,P219:P220))</f>
        <v>-2967.6553004812722</v>
      </c>
      <c r="Q221" s="556" cm="1">
        <f t="array" ref="Q221">SUMPRODUCT('W2'!$M$12:$R$112*('W2'!$M$7:$R$7=$A221)*('W2'!$A$12:$A$112=$B221))*(SUM(Q201,Q219:Q220))</f>
        <v>-3046.0234095053356</v>
      </c>
      <c r="R221" s="556" cm="1">
        <f t="array" ref="R221">SUMPRODUCT('W2'!$M$12:$R$112*('W2'!$M$7:$R$7=$A221)*('W2'!$A$12:$A$112=$B221))*(SUM(R201,R219:R220))</f>
        <v>-3128.3099239806029</v>
      </c>
      <c r="S221" s="556" cm="1">
        <f t="array" ref="S221">SUMPRODUCT('W2'!$M$12:$R$112*('W2'!$M$7:$R$7=$A221)*('W2'!$A$12:$A$112=$B221))*(SUM(S201,S219:S220))</f>
        <v>-3214.7107641796324</v>
      </c>
      <c r="T221" s="556" cm="1">
        <f t="array" ref="T221">SUMPRODUCT('W2'!$M$12:$R$112*('W2'!$M$7:$R$7=$A221)*('W2'!$A$12:$A$112=$B221))*(SUM(T201,T219:T220))</f>
        <v>-3305.4316463886144</v>
      </c>
      <c r="U221" s="556" cm="1">
        <f t="array" ref="U221">SUMPRODUCT('W2'!$M$12:$R$112*('W2'!$M$7:$R$7=$A221)*('W2'!$A$12:$A$112=$B221))*(SUM(U201,U219:U220))</f>
        <v>-3400.6885727080453</v>
      </c>
      <c r="V221" s="556" cm="1">
        <f t="array" ref="V221">SUMPRODUCT('W2'!$M$12:$R$112*('W2'!$M$7:$R$7=$A221)*('W2'!$A$12:$A$112=$B221))*(SUM(V201,V219:V220))</f>
        <v>-3500.7083453434466</v>
      </c>
      <c r="W221" s="556" cm="1">
        <f t="array" ref="W221">SUMPRODUCT('W2'!$M$12:$R$112*('W2'!$M$7:$R$7=$A221)*('W2'!$A$12:$A$112=$B221))*(SUM(W201,W219:W220))</f>
        <v>-3605.7291066106195</v>
      </c>
      <c r="X221" s="556" cm="1">
        <f t="array" ref="X221">SUMPRODUCT('W2'!$M$12:$R$112*('W2'!$M$7:$R$7=$A221)*('W2'!$A$12:$A$112=$B221))*(SUM(X201,X219:X220))</f>
        <v>-2594.6209059411508</v>
      </c>
      <c r="Y221" s="556" cm="1">
        <f t="array" ref="Y221">SUMPRODUCT('W2'!$M$12:$R$112*('W2'!$M$7:$R$7=$A221)*('W2'!$A$12:$A$112=$B221))*(SUM(Y201,Y219:Y220))</f>
        <v>-2710.4062952382078</v>
      </c>
      <c r="Z221" s="556" cm="1">
        <f t="array" ref="Z221">SUMPRODUCT('W2'!$M$12:$R$112*('W2'!$M$7:$R$7=$A221)*('W2'!$A$12:$A$112=$B221))*(SUM(Z201,Z219:Z220))</f>
        <v>-2831.9809540001188</v>
      </c>
      <c r="AA221" s="556" cm="1">
        <f t="array" ref="AA221">SUMPRODUCT('W2'!$M$12:$R$112*('W2'!$M$7:$R$7=$A221)*('W2'!$A$12:$A$112=$B221))*(SUM(AA201,AA219:AA220))</f>
        <v>-2959.634345700124</v>
      </c>
      <c r="AB221" s="556" cm="1">
        <f t="array" ref="AB221">SUMPRODUCT('W2'!$M$12:$R$112*('W2'!$M$7:$R$7=$A221)*('W2'!$A$12:$A$112=$B221))*(SUM(AB201,AB219:AB220))</f>
        <v>-3093.6704069851312</v>
      </c>
      <c r="AC221" s="556" cm="1">
        <f t="array" ref="AC221">SUMPRODUCT('W2'!$M$12:$R$112*('W2'!$M$7:$R$7=$A221)*('W2'!$A$12:$A$112=$B221))*(SUM(AC201,AC219:AC220))</f>
        <v>-3234.4082713343873</v>
      </c>
      <c r="AD221" s="556" cm="1">
        <f t="array" ref="AD221">SUMPRODUCT('W2'!$M$12:$R$112*('W2'!$M$7:$R$7=$A221)*('W2'!$A$12:$A$112=$B221))*(SUM(AD201,AD219:AD220))</f>
        <v>-3382.1830289011077</v>
      </c>
      <c r="AE221" s="556" cm="1">
        <f t="array" ref="AE221">SUMPRODUCT('W2'!$M$12:$R$112*('W2'!$M$7:$R$7=$A221)*('W2'!$A$12:$A$112=$B221))*(SUM(AE201,AE219:AE220))</f>
        <v>-3537.3465243461628</v>
      </c>
      <c r="AF221" s="556" cm="1">
        <f t="array" ref="AF221">SUMPRODUCT('W2'!$M$12:$R$112*('W2'!$M$7:$R$7=$A221)*('W2'!$A$12:$A$112=$B221))*(SUM(AF201,AF219:AF220))</f>
        <v>-3700.2681945634704</v>
      </c>
      <c r="AG221" s="556" cm="1">
        <f t="array" ref="AG221">SUMPRODUCT('W2'!$M$12:$R$112*('W2'!$M$7:$R$7=$A221)*('W2'!$A$12:$A$112=$B221))*(SUM(AG201,AG219:AG220))</f>
        <v>-3871.3359482916444</v>
      </c>
      <c r="AH221" s="556" cm="1">
        <f t="array" ref="AH221">SUMPRODUCT('W2'!$M$12:$R$112*('W2'!$M$7:$R$7=$A221)*('W2'!$A$12:$A$112=$B221))*(SUM(AH201,AH219:AH220))</f>
        <v>-4050.9570897062263</v>
      </c>
      <c r="AI221" s="556" cm="1">
        <f t="array" ref="AI221">SUMPRODUCT('W2'!$M$12:$R$112*('W2'!$M$7:$R$7=$A221)*('W2'!$A$12:$A$112=$B221))*(SUM(AI201,AI219:AI220))</f>
        <v>-4239.5592881915372</v>
      </c>
      <c r="AJ221" s="556" cm="1">
        <f t="array" ref="AJ221">SUMPRODUCT('W2'!$M$12:$R$112*('W2'!$M$7:$R$7=$A221)*('W2'!$A$12:$A$112=$B221))*(SUM(AJ201,AJ219:AJ220))</f>
        <v>-4437.5915966011144</v>
      </c>
    </row>
    <row r="222" spans="1:36" hidden="1" collapsed="1" x14ac:dyDescent="0.25">
      <c r="A222" t="s">
        <v>423</v>
      </c>
      <c r="K222" s="15"/>
      <c r="L222" s="263"/>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spans="1:36" s="300" customFormat="1" hidden="1" x14ac:dyDescent="0.25">
      <c r="A223" s="300" t="s">
        <v>423</v>
      </c>
      <c r="H223" s="301" t="s">
        <v>464</v>
      </c>
      <c r="I223" s="302" t="str">
        <f>IF($H$9="USD","USD","tr. VND")</f>
        <v>tr. VND</v>
      </c>
      <c r="K223" s="303">
        <f>K201+K211</f>
        <v>0</v>
      </c>
      <c r="L223" s="303">
        <f t="shared" ref="L223:AJ223" si="440">L201+L211</f>
        <v>-151671.26274581801</v>
      </c>
      <c r="M223" s="303">
        <f t="shared" si="440"/>
        <v>-188963.2922281452</v>
      </c>
      <c r="N223" s="303">
        <f t="shared" si="440"/>
        <v>-250165.23493169324</v>
      </c>
      <c r="O223" s="303">
        <f t="shared" si="440"/>
        <v>-255589.11259002279</v>
      </c>
      <c r="P223" s="303">
        <f t="shared" si="440"/>
        <v>-261178.90407062374</v>
      </c>
      <c r="Q223" s="303">
        <f t="shared" si="440"/>
        <v>-266940.79946339678</v>
      </c>
      <c r="R223" s="303">
        <f t="shared" si="440"/>
        <v>-272881.25625071325</v>
      </c>
      <c r="S223" s="303">
        <f t="shared" si="440"/>
        <v>-279007.0118347985</v>
      </c>
      <c r="T223" s="303">
        <f t="shared" si="440"/>
        <v>-285325.09667463897</v>
      </c>
      <c r="U223" s="303">
        <f t="shared" si="440"/>
        <v>-291842.8480625535</v>
      </c>
      <c r="V223" s="303">
        <f t="shared" si="440"/>
        <v>-298567.92457206739</v>
      </c>
      <c r="W223" s="303">
        <f t="shared" si="440"/>
        <v>-305508.32121030474</v>
      </c>
      <c r="X223" s="303">
        <f t="shared" si="440"/>
        <v>-283516.50530976662</v>
      </c>
      <c r="Y223" s="303">
        <f t="shared" si="440"/>
        <v>-290912.95319610054</v>
      </c>
      <c r="Z223" s="303">
        <f t="shared" si="440"/>
        <v>-298550.88767028798</v>
      </c>
      <c r="AA223" s="303">
        <f t="shared" si="440"/>
        <v>-306439.81634559255</v>
      </c>
      <c r="AB223" s="303">
        <f t="shared" si="440"/>
        <v>-314589.67088161811</v>
      </c>
      <c r="AC223" s="303">
        <f t="shared" si="440"/>
        <v>-323010.82715993986</v>
      </c>
      <c r="AD223" s="303">
        <f t="shared" si="440"/>
        <v>-331714.12644798256</v>
      </c>
      <c r="AE223" s="303">
        <f t="shared" si="440"/>
        <v>-340710.89760014822</v>
      </c>
      <c r="AF223" s="303">
        <f t="shared" si="440"/>
        <v>-350012.98034763755</v>
      </c>
      <c r="AG223" s="303">
        <f t="shared" si="440"/>
        <v>-359632.749730971</v>
      </c>
      <c r="AH223" s="303">
        <f t="shared" si="440"/>
        <v>-369583.14173191006</v>
      </c>
      <c r="AI223" s="303">
        <f t="shared" si="440"/>
        <v>-379877.68016430404</v>
      </c>
      <c r="AJ223" s="303">
        <f t="shared" si="440"/>
        <v>-390530.5048863535</v>
      </c>
    </row>
    <row r="224" spans="1:36" hidden="1" x14ac:dyDescent="0.25">
      <c r="A224" t="s">
        <v>423</v>
      </c>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spans="1:36" hidden="1" x14ac:dyDescent="0.25">
      <c r="A225" t="s">
        <v>423</v>
      </c>
      <c r="B225" t="s">
        <v>622</v>
      </c>
      <c r="H225" s="459" t="s">
        <v>166</v>
      </c>
      <c r="I225" s="494" t="str">
        <f>IF($H$9="USD","USD","tr. VND")</f>
        <v>tr. VND</v>
      </c>
      <c r="K225" s="461"/>
      <c r="L225" s="461" cm="1">
        <f t="array" ref="L225">-SUMPRODUCT('W2'!$M$12:$R$112*('W2'!$M$7:$R$7=$A225)*('W2'!$A$12:$A$112=$B225))*L190*$H$10*POWER(1+Inflation,L$11+1)</f>
        <v>-2890.6149888</v>
      </c>
      <c r="M225" s="461" cm="1">
        <f t="array" ref="M225">-SUMPRODUCT('W2'!$M$12:$R$112*('W2'!$M$7:$R$7=$A225)*('W2'!$A$12:$A$112=$B225))*M190*$H$10*POWER(1+Inflation,M$11+1)</f>
        <v>-4046.8609843199997</v>
      </c>
      <c r="N225" s="461" cm="1">
        <f t="array" ref="N225">-SUMPRODUCT('W2'!$M$12:$R$112*('W2'!$M$7:$R$7=$A225)*('W2'!$A$12:$A$112=$B225))*N190*$H$10*POWER(1+Inflation,N$11+1)</f>
        <v>-6070.2914764799998</v>
      </c>
      <c r="O225" s="461" cm="1">
        <f t="array" ref="O225">-SUMPRODUCT('W2'!$M$12:$R$112*('W2'!$M$7:$R$7=$A225)*('W2'!$A$12:$A$112=$B225))*O190*$H$10*POWER(1+Inflation,O$11+1)</f>
        <v>-6373.8060503040006</v>
      </c>
      <c r="P225" s="461" cm="1">
        <f t="array" ref="P225">-SUMPRODUCT('W2'!$M$12:$R$112*('W2'!$M$7:$R$7=$A225)*('W2'!$A$12:$A$112=$B225))*P190*$H$10*POWER(1+Inflation,P$11+1)</f>
        <v>-6692.4963528192011</v>
      </c>
      <c r="Q225" s="461" cm="1">
        <f t="array" ref="Q225">-SUMPRODUCT('W2'!$M$12:$R$112*('W2'!$M$7:$R$7=$A225)*('W2'!$A$12:$A$112=$B225))*Q190*$H$10*POWER(1+Inflation,Q$11+1)</f>
        <v>-7027.1211704601601</v>
      </c>
      <c r="R225" s="461" cm="1">
        <f t="array" ref="R225">-SUMPRODUCT('W2'!$M$12:$R$112*('W2'!$M$7:$R$7=$A225)*('W2'!$A$12:$A$112=$B225))*R190*$H$10*POWER(1+Inflation,R$11+1)</f>
        <v>-7378.477228983169</v>
      </c>
      <c r="S225" s="461" cm="1">
        <f t="array" ref="S225">-SUMPRODUCT('W2'!$M$12:$R$112*('W2'!$M$7:$R$7=$A225)*('W2'!$A$12:$A$112=$B225))*S190*$H$10*POWER(1+Inflation,S$11+1)</f>
        <v>-7747.4010904323259</v>
      </c>
      <c r="T225" s="461" cm="1">
        <f t="array" ref="T225">-SUMPRODUCT('W2'!$M$12:$R$112*('W2'!$M$7:$R$7=$A225)*('W2'!$A$12:$A$112=$B225))*T190*$H$10*POWER(1+Inflation,T$11+1)</f>
        <v>-8134.7711449539438</v>
      </c>
      <c r="U225" s="461" cm="1">
        <f t="array" ref="U225">-SUMPRODUCT('W2'!$M$12:$R$112*('W2'!$M$7:$R$7=$A225)*('W2'!$A$12:$A$112=$B225))*U190*$H$10*POWER(1+Inflation,U$11+1)</f>
        <v>-8541.5097022016398</v>
      </c>
      <c r="V225" s="461" cm="1">
        <f t="array" ref="V225">-SUMPRODUCT('W2'!$M$12:$R$112*('W2'!$M$7:$R$7=$A225)*('W2'!$A$12:$A$112=$B225))*V190*$H$10*POWER(1+Inflation,V$11+1)</f>
        <v>-8968.5851873117226</v>
      </c>
      <c r="W225" s="461" cm="1">
        <f t="array" ref="W225">-SUMPRODUCT('W2'!$M$12:$R$112*('W2'!$M$7:$R$7=$A225)*('W2'!$A$12:$A$112=$B225))*W190*$H$10*POWER(1+Inflation,W$11+1)</f>
        <v>-9417.014446677309</v>
      </c>
      <c r="X225" s="461" cm="1">
        <f t="array" ref="X225">-SUMPRODUCT('W2'!$M$12:$R$112*('W2'!$M$7:$R$7=$A225)*('W2'!$A$12:$A$112=$B225))*X190*$H$10*POWER(1+Inflation,X$11+1)</f>
        <v>-9887.8651690111747</v>
      </c>
      <c r="Y225" s="461" cm="1">
        <f t="array" ref="Y225">-SUMPRODUCT('W2'!$M$12:$R$112*('W2'!$M$7:$R$7=$A225)*('W2'!$A$12:$A$112=$B225))*Y190*$H$10*POWER(1+Inflation,Y$11+1)</f>
        <v>-10382.258427461733</v>
      </c>
      <c r="Z225" s="461" cm="1">
        <f t="array" ref="Z225">-SUMPRODUCT('W2'!$M$12:$R$112*('W2'!$M$7:$R$7=$A225)*('W2'!$A$12:$A$112=$B225))*Z190*$H$10*POWER(1+Inflation,Z$11+1)</f>
        <v>-10901.37134883482</v>
      </c>
      <c r="AA225" s="461" cm="1">
        <f t="array" ref="AA225">-SUMPRODUCT('W2'!$M$12:$R$112*('W2'!$M$7:$R$7=$A225)*('W2'!$A$12:$A$112=$B225))*AA190*$H$10*POWER(1+Inflation,AA$11+1)</f>
        <v>-11446.439916276559</v>
      </c>
      <c r="AB225" s="461" cm="1">
        <f t="array" ref="AB225">-SUMPRODUCT('W2'!$M$12:$R$112*('W2'!$M$7:$R$7=$A225)*('W2'!$A$12:$A$112=$B225))*AB190*$H$10*POWER(1+Inflation,AB$11+1)</f>
        <v>-12018.761912090391</v>
      </c>
      <c r="AC225" s="461" cm="1">
        <f t="array" ref="AC225">-SUMPRODUCT('W2'!$M$12:$R$112*('W2'!$M$7:$R$7=$A225)*('W2'!$A$12:$A$112=$B225))*AC190*$H$10*POWER(1+Inflation,AC$11+1)</f>
        <v>-12619.70000769491</v>
      </c>
      <c r="AD225" s="461" cm="1">
        <f t="array" ref="AD225">-SUMPRODUCT('W2'!$M$12:$R$112*('W2'!$M$7:$R$7=$A225)*('W2'!$A$12:$A$112=$B225))*AD190*$H$10*POWER(1+Inflation,AD$11+1)</f>
        <v>-13250.685008079656</v>
      </c>
      <c r="AE225" s="461" cm="1">
        <f t="array" ref="AE225">-SUMPRODUCT('W2'!$M$12:$R$112*('W2'!$M$7:$R$7=$A225)*('W2'!$A$12:$A$112=$B225))*AE190*$H$10*POWER(1+Inflation,AE$11+1)</f>
        <v>-13913.219258483639</v>
      </c>
      <c r="AF225" s="461" cm="1">
        <f t="array" ref="AF225">-SUMPRODUCT('W2'!$M$12:$R$112*('W2'!$M$7:$R$7=$A225)*('W2'!$A$12:$A$112=$B225))*AF190*$H$10*POWER(1+Inflation,AF$11+1)</f>
        <v>-14608.88022140782</v>
      </c>
      <c r="AG225" s="461" cm="1">
        <f t="array" ref="AG225">-SUMPRODUCT('W2'!$M$12:$R$112*('W2'!$M$7:$R$7=$A225)*('W2'!$A$12:$A$112=$B225))*AG190*$H$10*POWER(1+Inflation,AG$11+1)</f>
        <v>-15339.324232478211</v>
      </c>
      <c r="AH225" s="461" cm="1">
        <f t="array" ref="AH225">-SUMPRODUCT('W2'!$M$12:$R$112*('W2'!$M$7:$R$7=$A225)*('W2'!$A$12:$A$112=$B225))*AH190*$H$10*POWER(1+Inflation,AH$11+1)</f>
        <v>-16106.290444102122</v>
      </c>
      <c r="AI225" s="461" cm="1">
        <f t="array" ref="AI225">-SUMPRODUCT('W2'!$M$12:$R$112*('W2'!$M$7:$R$7=$A225)*('W2'!$A$12:$A$112=$B225))*AI190*$H$10*POWER(1+Inflation,AI$11+1)</f>
        <v>-16911.604966307226</v>
      </c>
      <c r="AJ225" s="461" cm="1">
        <f t="array" ref="AJ225">-SUMPRODUCT('W2'!$M$12:$R$112*('W2'!$M$7:$R$7=$A225)*('W2'!$A$12:$A$112=$B225))*AJ190*$H$10*POWER(1+Inflation,AJ$11+1)</f>
        <v>-17757.18521462259</v>
      </c>
    </row>
    <row r="226" spans="1:36" hidden="1" outlineLevel="1" x14ac:dyDescent="0.25">
      <c r="A226" t="s">
        <v>423</v>
      </c>
      <c r="B226" t="s">
        <v>527</v>
      </c>
      <c r="H226" s="454" t="s">
        <v>469</v>
      </c>
      <c r="I226" s="497" t="str">
        <f>IF($H$9="USD","USD","tr. VND")</f>
        <v>tr. VND</v>
      </c>
      <c r="K226" s="457"/>
      <c r="L226" s="457" cm="1">
        <f t="array" ref="L226">-SUMPRODUCT('W2'!$M$12:$R$112*('W2'!$M$7:$R$7=$A226)*('W2'!$A$12:$A$112=$B226))*L190*$H$10*POWER(1+Inflation,L$11+1)</f>
        <v>-1148.6237265875268</v>
      </c>
      <c r="M226" s="457" cm="1">
        <f t="array" ref="M226">-SUMPRODUCT('W2'!$M$12:$R$112*('W2'!$M$7:$R$7=$A226)*('W2'!$A$12:$A$112=$B226))*M190*$H$10*POWER(1+Inflation,M$11+1)</f>
        <v>-1608.0732172225376</v>
      </c>
      <c r="N226" s="457" cm="1">
        <f t="array" ref="N226">-SUMPRODUCT('W2'!$M$12:$R$112*('W2'!$M$7:$R$7=$A226)*('W2'!$A$12:$A$112=$B226))*N190*$H$10*POWER(1+Inflation,N$11+1)</f>
        <v>-2412.1098258338066</v>
      </c>
      <c r="O226" s="457" cm="1">
        <f t="array" ref="O226">-SUMPRODUCT('W2'!$M$12:$R$112*('W2'!$M$7:$R$7=$A226)*('W2'!$A$12:$A$112=$B226))*O190*$H$10*POWER(1+Inflation,O$11+1)</f>
        <v>-2532.7153171254968</v>
      </c>
      <c r="P226" s="457" cm="1">
        <f t="array" ref="P226">-SUMPRODUCT('W2'!$M$12:$R$112*('W2'!$M$7:$R$7=$A226)*('W2'!$A$12:$A$112=$B226))*P190*$H$10*POWER(1+Inflation,P$11+1)</f>
        <v>-2659.3510829817715</v>
      </c>
      <c r="Q226" s="457" cm="1">
        <f t="array" ref="Q226">-SUMPRODUCT('W2'!$M$12:$R$112*('W2'!$M$7:$R$7=$A226)*('W2'!$A$12:$A$112=$B226))*Q190*$H$10*POWER(1+Inflation,Q$11+1)</f>
        <v>-2792.3186371308598</v>
      </c>
      <c r="R226" s="457" cm="1">
        <f t="array" ref="R226">-SUMPRODUCT('W2'!$M$12:$R$112*('W2'!$M$7:$R$7=$A226)*('W2'!$A$12:$A$112=$B226))*R190*$H$10*POWER(1+Inflation,R$11+1)</f>
        <v>-2931.9345689874031</v>
      </c>
      <c r="S226" s="457" cm="1">
        <f t="array" ref="S226">-SUMPRODUCT('W2'!$M$12:$R$112*('W2'!$M$7:$R$7=$A226)*('W2'!$A$12:$A$112=$B226))*S190*$H$10*POWER(1+Inflation,S$11+1)</f>
        <v>-3078.531297436773</v>
      </c>
      <c r="T226" s="457" cm="1">
        <f t="array" ref="T226">-SUMPRODUCT('W2'!$M$12:$R$112*('W2'!$M$7:$R$7=$A226)*('W2'!$A$12:$A$112=$B226))*T190*$H$10*POWER(1+Inflation,T$11+1)</f>
        <v>-3232.4578623086122</v>
      </c>
      <c r="U226" s="457" cm="1">
        <f t="array" ref="U226">-SUMPRODUCT('W2'!$M$12:$R$112*('W2'!$M$7:$R$7=$A226)*('W2'!$A$12:$A$112=$B226))*U190*$H$10*POWER(1+Inflation,U$11+1)</f>
        <v>-3394.0807554240423</v>
      </c>
      <c r="V226" s="457" cm="1">
        <f t="array" ref="V226">-SUMPRODUCT('W2'!$M$12:$R$112*('W2'!$M$7:$R$7=$A226)*('W2'!$A$12:$A$112=$B226))*V190*$H$10*POWER(1+Inflation,V$11+1)</f>
        <v>-3563.7847931952447</v>
      </c>
      <c r="W226" s="457" cm="1">
        <f t="array" ref="W226">-SUMPRODUCT('W2'!$M$12:$R$112*('W2'!$M$7:$R$7=$A226)*('W2'!$A$12:$A$112=$B226))*W190*$H$10*POWER(1+Inflation,W$11+1)</f>
        <v>-3741.974032855007</v>
      </c>
      <c r="X226" s="457" cm="1">
        <f t="array" ref="X226">-SUMPRODUCT('W2'!$M$12:$R$112*('W2'!$M$7:$R$7=$A226)*('W2'!$A$12:$A$112=$B226))*X190*$H$10*POWER(1+Inflation,X$11+1)</f>
        <v>-3929.0727344977577</v>
      </c>
      <c r="Y226" s="457" cm="1">
        <f t="array" ref="Y226">-SUMPRODUCT('W2'!$M$12:$R$112*('W2'!$M$7:$R$7=$A226)*('W2'!$A$12:$A$112=$B226))*Y190*$H$10*POWER(1+Inflation,Y$11+1)</f>
        <v>-4125.5263712226451</v>
      </c>
      <c r="Z226" s="457" cm="1">
        <f t="array" ref="Z226">-SUMPRODUCT('W2'!$M$12:$R$112*('W2'!$M$7:$R$7=$A226)*('W2'!$A$12:$A$112=$B226))*Z190*$H$10*POWER(1+Inflation,Z$11+1)</f>
        <v>-4331.8026897837781</v>
      </c>
      <c r="AA226" s="457" cm="1">
        <f t="array" ref="AA226">-SUMPRODUCT('W2'!$M$12:$R$112*('W2'!$M$7:$R$7=$A226)*('W2'!$A$12:$A$112=$B226))*AA190*$H$10*POWER(1+Inflation,AA$11+1)</f>
        <v>-4548.3928242729662</v>
      </c>
      <c r="AB226" s="457" cm="1">
        <f t="array" ref="AB226">-SUMPRODUCT('W2'!$M$12:$R$112*('W2'!$M$7:$R$7=$A226)*('W2'!$A$12:$A$112=$B226))*AB190*$H$10*POWER(1+Inflation,AB$11+1)</f>
        <v>-4775.812465486616</v>
      </c>
      <c r="AC226" s="457" cm="1">
        <f t="array" ref="AC226">-SUMPRODUCT('W2'!$M$12:$R$112*('W2'!$M$7:$R$7=$A226)*('W2'!$A$12:$A$112=$B226))*AC190*$H$10*POWER(1+Inflation,AC$11+1)</f>
        <v>-5014.6030887609459</v>
      </c>
      <c r="AD226" s="457" cm="1">
        <f t="array" ref="AD226">-SUMPRODUCT('W2'!$M$12:$R$112*('W2'!$M$7:$R$7=$A226)*('W2'!$A$12:$A$112=$B226))*AD190*$H$10*POWER(1+Inflation,AD$11+1)</f>
        <v>-5265.3332431989938</v>
      </c>
      <c r="AE226" s="457" cm="1">
        <f t="array" ref="AE226">-SUMPRODUCT('W2'!$M$12:$R$112*('W2'!$M$7:$R$7=$A226)*('W2'!$A$12:$A$112=$B226))*AE190*$H$10*POWER(1+Inflation,AE$11+1)</f>
        <v>-5528.5999053589439</v>
      </c>
      <c r="AF226" s="457" cm="1">
        <f t="array" ref="AF226">-SUMPRODUCT('W2'!$M$12:$R$112*('W2'!$M$7:$R$7=$A226)*('W2'!$A$12:$A$112=$B226))*AF190*$H$10*POWER(1+Inflation,AF$11+1)</f>
        <v>-5805.0299006268906</v>
      </c>
      <c r="AG226" s="457" cm="1">
        <f t="array" ref="AG226">-SUMPRODUCT('W2'!$M$12:$R$112*('W2'!$M$7:$R$7=$A226)*('W2'!$A$12:$A$112=$B226))*AG190*$H$10*POWER(1+Inflation,AG$11+1)</f>
        <v>-6095.2813956582349</v>
      </c>
      <c r="AH226" s="457" cm="1">
        <f t="array" ref="AH226">-SUMPRODUCT('W2'!$M$12:$R$112*('W2'!$M$7:$R$7=$A226)*('W2'!$A$12:$A$112=$B226))*AH190*$H$10*POWER(1+Inflation,AH$11+1)</f>
        <v>-6400.0454654411469</v>
      </c>
      <c r="AI226" s="457" cm="1">
        <f t="array" ref="AI226">-SUMPRODUCT('W2'!$M$12:$R$112*('W2'!$M$7:$R$7=$A226)*('W2'!$A$12:$A$112=$B226))*AI190*$H$10*POWER(1+Inflation,AI$11+1)</f>
        <v>-6720.0477387132032</v>
      </c>
      <c r="AJ226" s="457" cm="1">
        <f t="array" ref="AJ226">-SUMPRODUCT('W2'!$M$12:$R$112*('W2'!$M$7:$R$7=$A226)*('W2'!$A$12:$A$112=$B226))*AJ190*$H$10*POWER(1+Inflation,AJ$11+1)</f>
        <v>-7056.0501256488651</v>
      </c>
    </row>
    <row r="227" spans="1:36" hidden="1" outlineLevel="1" x14ac:dyDescent="0.25">
      <c r="A227" t="s">
        <v>423</v>
      </c>
      <c r="B227" t="s">
        <v>522</v>
      </c>
      <c r="H227" s="454" t="s">
        <v>468</v>
      </c>
      <c r="I227" s="497" t="str">
        <f>IF($H$9="USD","USD","tr. VND")</f>
        <v>tr. VND</v>
      </c>
      <c r="K227" s="454"/>
      <c r="L227" s="457" cm="1">
        <f t="array" ref="L227">-SUMPRODUCT('W2'!$M$12:$R$112*('W2'!$M$7:$R$7=$A227)*('W2'!$A$12:$A$112=$B227))*L190*$H$10*POWER(1+Inflation,L$11+1)</f>
        <v>-384.72221097128374</v>
      </c>
      <c r="M227" s="457" cm="1">
        <f t="array" ref="M227">-SUMPRODUCT('W2'!$M$12:$R$112*('W2'!$M$7:$R$7=$A227)*('W2'!$A$12:$A$112=$B227))*M190*$H$10*POWER(1+Inflation,M$11+1)</f>
        <v>-538.6110953597971</v>
      </c>
      <c r="N227" s="457" cm="1">
        <f t="array" ref="N227">-SUMPRODUCT('W2'!$M$12:$R$112*('W2'!$M$7:$R$7=$A227)*('W2'!$A$12:$A$112=$B227))*N190*$H$10*POWER(1+Inflation,N$11+1)</f>
        <v>-807.91664303969594</v>
      </c>
      <c r="O227" s="457" cm="1">
        <f t="array" ref="O227">-SUMPRODUCT('W2'!$M$12:$R$112*('W2'!$M$7:$R$7=$A227)*('W2'!$A$12:$A$112=$B227))*O190*$H$10*POWER(1+Inflation,O$11+1)</f>
        <v>-848.31247519168073</v>
      </c>
      <c r="P227" s="457" cm="1">
        <f t="array" ref="P227">-SUMPRODUCT('W2'!$M$12:$R$112*('W2'!$M$7:$R$7=$A227)*('W2'!$A$12:$A$112=$B227))*P190*$H$10*POWER(1+Inflation,P$11+1)</f>
        <v>-890.72809895126477</v>
      </c>
      <c r="Q227" s="457" cm="1">
        <f t="array" ref="Q227">-SUMPRODUCT('W2'!$M$12:$R$112*('W2'!$M$7:$R$7=$A227)*('W2'!$A$12:$A$112=$B227))*Q190*$H$10*POWER(1+Inflation,Q$11+1)</f>
        <v>-935.26450389882791</v>
      </c>
      <c r="R227" s="457" cm="1">
        <f t="array" ref="R227">-SUMPRODUCT('W2'!$M$12:$R$112*('W2'!$M$7:$R$7=$A227)*('W2'!$A$12:$A$112=$B227))*R190*$H$10*POWER(1+Inflation,R$11+1)</f>
        <v>-982.02772909376938</v>
      </c>
      <c r="S227" s="457" cm="1">
        <f t="array" ref="S227">-SUMPRODUCT('W2'!$M$12:$R$112*('W2'!$M$7:$R$7=$A227)*('W2'!$A$12:$A$112=$B227))*S190*$H$10*POWER(1+Inflation,S$11+1)</f>
        <v>-1031.1291155484578</v>
      </c>
      <c r="T227" s="457" cm="1">
        <f t="array" ref="T227">-SUMPRODUCT('W2'!$M$12:$R$112*('W2'!$M$7:$R$7=$A227)*('W2'!$A$12:$A$112=$B227))*T190*$H$10*POWER(1+Inflation,T$11+1)</f>
        <v>-1082.6855713258808</v>
      </c>
      <c r="U227" s="457" cm="1">
        <f t="array" ref="U227">-SUMPRODUCT('W2'!$M$12:$R$112*('W2'!$M$7:$R$7=$A227)*('W2'!$A$12:$A$112=$B227))*U190*$H$10*POWER(1+Inflation,U$11+1)</f>
        <v>-1136.8198498921747</v>
      </c>
      <c r="V227" s="457" cm="1">
        <f t="array" ref="V227">-SUMPRODUCT('W2'!$M$12:$R$112*('W2'!$M$7:$R$7=$A227)*('W2'!$A$12:$A$112=$B227))*V190*$H$10*POWER(1+Inflation,V$11+1)</f>
        <v>-1193.6608423867835</v>
      </c>
      <c r="W227" s="457" cm="1">
        <f t="array" ref="W227">-SUMPRODUCT('W2'!$M$12:$R$112*('W2'!$M$7:$R$7=$A227)*('W2'!$A$12:$A$112=$B227))*W190*$H$10*POWER(1+Inflation,W$11+1)</f>
        <v>-1253.3438845061228</v>
      </c>
      <c r="X227" s="457" cm="1">
        <f t="array" ref="X227">-SUMPRODUCT('W2'!$M$12:$R$112*('W2'!$M$7:$R$7=$A227)*('W2'!$A$12:$A$112=$B227))*X190*$H$10*POWER(1+Inflation,X$11+1)</f>
        <v>-1316.0110787314291</v>
      </c>
      <c r="Y227" s="457" cm="1">
        <f t="array" ref="Y227">-SUMPRODUCT('W2'!$M$12:$R$112*('W2'!$M$7:$R$7=$A227)*('W2'!$A$12:$A$112=$B227))*Y190*$H$10*POWER(1+Inflation,Y$11+1)</f>
        <v>-1381.8116326680001</v>
      </c>
      <c r="Z227" s="457" cm="1">
        <f t="array" ref="Z227">-SUMPRODUCT('W2'!$M$12:$R$112*('W2'!$M$7:$R$7=$A227)*('W2'!$A$12:$A$112=$B227))*Z190*$H$10*POWER(1+Inflation,Z$11+1)</f>
        <v>-1450.9022143014006</v>
      </c>
      <c r="AA227" s="457" cm="1">
        <f t="array" ref="AA227">-SUMPRODUCT('W2'!$M$12:$R$112*('W2'!$M$7:$R$7=$A227)*('W2'!$A$12:$A$112=$B227))*AA190*$H$10*POWER(1+Inflation,AA$11+1)</f>
        <v>-1523.4473250164701</v>
      </c>
      <c r="AB227" s="457" cm="1">
        <f t="array" ref="AB227">-SUMPRODUCT('W2'!$M$12:$R$112*('W2'!$M$7:$R$7=$A227)*('W2'!$A$12:$A$112=$B227))*AB190*$H$10*POWER(1+Inflation,AB$11+1)</f>
        <v>-1599.6196912672942</v>
      </c>
      <c r="AC227" s="457" cm="1">
        <f t="array" ref="AC227">-SUMPRODUCT('W2'!$M$12:$R$112*('W2'!$M$7:$R$7=$A227)*('W2'!$A$12:$A$112=$B227))*AC190*$H$10*POWER(1+Inflation,AC$11+1)</f>
        <v>-1679.6006758306587</v>
      </c>
      <c r="AD227" s="457" cm="1">
        <f t="array" ref="AD227">-SUMPRODUCT('W2'!$M$12:$R$112*('W2'!$M$7:$R$7=$A227)*('W2'!$A$12:$A$112=$B227))*AD190*$H$10*POWER(1+Inflation,AD$11+1)</f>
        <v>-1763.580709622192</v>
      </c>
      <c r="AE227" s="457" cm="1">
        <f t="array" ref="AE227">-SUMPRODUCT('W2'!$M$12:$R$112*('W2'!$M$7:$R$7=$A227)*('W2'!$A$12:$A$112=$B227))*AE190*$H$10*POWER(1+Inflation,AE$11+1)</f>
        <v>-1851.7597451033014</v>
      </c>
      <c r="AF227" s="457" cm="1">
        <f t="array" ref="AF227">-SUMPRODUCT('W2'!$M$12:$R$112*('W2'!$M$7:$R$7=$A227)*('W2'!$A$12:$A$112=$B227))*AF190*$H$10*POWER(1+Inflation,AF$11+1)</f>
        <v>-1944.3477323584666</v>
      </c>
      <c r="AG227" s="457" cm="1">
        <f t="array" ref="AG227">-SUMPRODUCT('W2'!$M$12:$R$112*('W2'!$M$7:$R$7=$A227)*('W2'!$A$12:$A$112=$B227))*AG190*$H$10*POWER(1+Inflation,AG$11+1)</f>
        <v>-2041.5651189763898</v>
      </c>
      <c r="AH227" s="457" cm="1">
        <f t="array" ref="AH227">-SUMPRODUCT('W2'!$M$12:$R$112*('W2'!$M$7:$R$7=$A227)*('W2'!$A$12:$A$112=$B227))*AH190*$H$10*POWER(1+Inflation,AH$11+1)</f>
        <v>-2143.6433749252092</v>
      </c>
      <c r="AI227" s="457" cm="1">
        <f t="array" ref="AI227">-SUMPRODUCT('W2'!$M$12:$R$112*('W2'!$M$7:$R$7=$A227)*('W2'!$A$12:$A$112=$B227))*AI190*$H$10*POWER(1+Inflation,AI$11+1)</f>
        <v>-2250.8255436714694</v>
      </c>
      <c r="AJ227" s="457" cm="1">
        <f t="array" ref="AJ227">-SUMPRODUCT('W2'!$M$12:$R$112*('W2'!$M$7:$R$7=$A227)*('W2'!$A$12:$A$112=$B227))*AJ190*$H$10*POWER(1+Inflation,AJ$11+1)</f>
        <v>-2363.3668208550434</v>
      </c>
    </row>
    <row r="228" spans="1:36" hidden="1" outlineLevel="1" x14ac:dyDescent="0.25">
      <c r="A228" t="s">
        <v>423</v>
      </c>
      <c r="H228" s="454" t="s">
        <v>470</v>
      </c>
      <c r="I228" s="497" t="str">
        <f>IF($H$9="USD","USD","tr. VND")</f>
        <v>tr. VND</v>
      </c>
      <c r="K228" s="454"/>
      <c r="L228" s="457" cm="1">
        <f t="array" ref="L228">-SUMPRODUCT('Lãi vay'!$E$5:$AI$34*('Lãi vay'!$A$5:$A$34=$A228)*('Lãi vay'!$B$5:$B$34="Lãi vay")*('Lãi vay'!$E$3:$AI$3=L$14))*$H$10</f>
        <v>-27239.183999999997</v>
      </c>
      <c r="M228" s="457" cm="1">
        <f t="array" ref="M228">-SUMPRODUCT('Lãi vay'!$E$5:$AI$34*('Lãi vay'!$A$5:$A$34=$A228)*('Lãi vay'!$B$5:$B$34="Lãi vay")*('Lãi vay'!$E$3:$AI$3=M$14))*$H$10</f>
        <v>-26998.731917716344</v>
      </c>
      <c r="N228" s="457" cm="1">
        <f t="array" ref="N228">-SUMPRODUCT('Lãi vay'!$E$5:$AI$34*('Lãi vay'!$A$5:$A$34=$A228)*('Lãi vay'!$B$5:$B$34="Lãi vay")*('Lãi vay'!$E$3:$AI$3=N$14))*$H$10</f>
        <v>-26739.043668850005</v>
      </c>
      <c r="O228" s="457" cm="1">
        <f t="array" ref="O228">-SUMPRODUCT('Lãi vay'!$E$5:$AI$34*('Lãi vay'!$A$5:$A$34=$A228)*('Lãi vay'!$B$5:$B$34="Lãi vay")*('Lãi vay'!$E$3:$AI$3=O$14))*$H$10</f>
        <v>-26458.580360074357</v>
      </c>
      <c r="P228" s="457" cm="1">
        <f t="array" ref="P228">-SUMPRODUCT('Lãi vay'!$E$5:$AI$34*('Lãi vay'!$A$5:$A$34=$A228)*('Lãi vay'!$B$5:$B$34="Lãi vay")*('Lãi vay'!$E$3:$AI$3=P$14))*$H$10</f>
        <v>-26155.67998659665</v>
      </c>
      <c r="Q228" s="457" cm="1">
        <f t="array" ref="Q228">-SUMPRODUCT('Lãi vay'!$E$5:$AI$34*('Lãi vay'!$A$5:$A$34=$A228)*('Lãi vay'!$B$5:$B$34="Lãi vay")*('Lãi vay'!$E$3:$AI$3=Q$14))*$H$10</f>
        <v>-25828.547583240732</v>
      </c>
      <c r="R228" s="457" cm="1">
        <f t="array" ref="R228">-SUMPRODUCT('Lãi vay'!$E$5:$AI$34*('Lãi vay'!$A$5:$A$34=$A228)*('Lãi vay'!$B$5:$B$34="Lãi vay")*('Lãi vay'!$E$3:$AI$3=R$14))*$H$10</f>
        <v>-25475.244587616337</v>
      </c>
      <c r="S228" s="457" cm="1">
        <f t="array" ref="S228">-SUMPRODUCT('Lãi vay'!$E$5:$AI$34*('Lãi vay'!$A$5:$A$34=$A228)*('Lãi vay'!$B$5:$B$34="Lãi vay")*('Lãi vay'!$E$3:$AI$3=S$14))*$H$10</f>
        <v>-25093.677352341991</v>
      </c>
      <c r="T228" s="457" cm="1">
        <f t="array" ref="T228">-SUMPRODUCT('Lãi vay'!$E$5:$AI$34*('Lãi vay'!$A$5:$A$34=$A228)*('Lãi vay'!$B$5:$B$34="Lãi vay")*('Lãi vay'!$E$3:$AI$3=T$14))*$H$10</f>
        <v>-24681.584738245696</v>
      </c>
      <c r="U228" s="457" cm="1">
        <f t="array" ref="U228">-SUMPRODUCT('Lãi vay'!$E$5:$AI$34*('Lãi vay'!$A$5:$A$34=$A228)*('Lãi vay'!$B$5:$B$34="Lãi vay")*('Lãi vay'!$E$3:$AI$3=U$14))*$H$10</f>
        <v>-24236.524715021696</v>
      </c>
      <c r="V228" s="457" cm="1">
        <f t="array" ref="V228">-SUMPRODUCT('Lãi vay'!$E$5:$AI$34*('Lãi vay'!$A$5:$A$34=$A228)*('Lãi vay'!$B$5:$B$34="Lãi vay")*('Lãi vay'!$E$3:$AI$3=V$14))*$H$10</f>
        <v>-23755.859889939784</v>
      </c>
      <c r="W228" s="457" cm="1">
        <f t="array" ref="W228">-SUMPRODUCT('Lãi vay'!$E$5:$AI$34*('Lãi vay'!$A$5:$A$34=$A228)*('Lãi vay'!$B$5:$B$34="Lãi vay")*('Lãi vay'!$E$3:$AI$3=W$14))*$H$10</f>
        <v>-23236.741878851313</v>
      </c>
      <c r="X228" s="457" cm="1">
        <f t="array" ref="X228">-SUMPRODUCT('Lãi vay'!$E$5:$AI$34*('Lãi vay'!$A$5:$A$34=$A228)*('Lãi vay'!$B$5:$B$34="Lãi vay")*('Lãi vay'!$E$3:$AI$3=X$14))*$H$10</f>
        <v>-22676.094426875767</v>
      </c>
      <c r="Y228" s="457" cm="1">
        <f t="array" ref="Y228">-SUMPRODUCT('Lãi vay'!$E$5:$AI$34*('Lãi vay'!$A$5:$A$34=$A228)*('Lãi vay'!$B$5:$B$34="Lãi vay")*('Lãi vay'!$E$3:$AI$3=Y$14))*$H$10</f>
        <v>-22070.59517874218</v>
      </c>
      <c r="Z228" s="457" cm="1">
        <f t="array" ref="Z228">-SUMPRODUCT('Lãi vay'!$E$5:$AI$34*('Lãi vay'!$A$5:$A$34=$A228)*('Lãi vay'!$B$5:$B$34="Lãi vay")*('Lãi vay'!$E$3:$AI$3=Z$14))*$H$10</f>
        <v>-21416.655990757899</v>
      </c>
      <c r="AA228" s="457" cm="1">
        <f t="array" ref="AA228">-SUMPRODUCT('Lãi vay'!$E$5:$AI$34*('Lãi vay'!$A$5:$A$34=$A228)*('Lãi vay'!$B$5:$B$34="Lãi vay")*('Lãi vay'!$E$3:$AI$3=AA$14))*$H$10</f>
        <v>-20710.401667734877</v>
      </c>
      <c r="AB228" s="457" cm="1">
        <f t="array" ref="AB228">-SUMPRODUCT('Lãi vay'!$E$5:$AI$34*('Lãi vay'!$A$5:$A$34=$A228)*('Lãi vay'!$B$5:$B$34="Lãi vay")*('Lãi vay'!$E$3:$AI$3=AB$14))*$H$10</f>
        <v>-19947.646998870012</v>
      </c>
      <c r="AC228" s="457" cm="1">
        <f t="array" ref="AC228">-SUMPRODUCT('Lãi vay'!$E$5:$AI$34*('Lãi vay'!$A$5:$A$34=$A228)*('Lãi vay'!$B$5:$B$34="Lãi vay")*('Lãi vay'!$E$3:$AI$3=AC$14))*$H$10</f>
        <v>-19123.871956495965</v>
      </c>
      <c r="AD228" s="457" cm="1">
        <f t="array" ref="AD228">-SUMPRODUCT('Lãi vay'!$E$5:$AI$34*('Lãi vay'!$A$5:$A$34=$A228)*('Lãi vay'!$B$5:$B$34="Lãi vay")*('Lãi vay'!$E$3:$AI$3=AD$14))*$H$10</f>
        <v>-18234.194910731989</v>
      </c>
      <c r="AE228" s="457" cm="1">
        <f t="array" ref="AE228">-SUMPRODUCT('Lãi vay'!$E$5:$AI$34*('Lãi vay'!$A$5:$A$34=$A228)*('Lãi vay'!$B$5:$B$34="Lãi vay")*('Lãi vay'!$E$3:$AI$3=AE$14))*$H$10</f>
        <v>-17273.343701306894</v>
      </c>
      <c r="AF228" s="457" cm="1">
        <f t="array" ref="AF228">-SUMPRODUCT('Lãi vay'!$E$5:$AI$34*('Lãi vay'!$A$5:$A$34=$A228)*('Lãi vay'!$B$5:$B$34="Lãi vay")*('Lãi vay'!$E$3:$AI$3=AF$14))*$H$10</f>
        <v>-16235.624395127796</v>
      </c>
      <c r="AG228" s="457" cm="1">
        <f t="array" ref="AG228">-SUMPRODUCT('Lãi vay'!$E$5:$AI$34*('Lãi vay'!$A$5:$A$34=$A228)*('Lãi vay'!$B$5:$B$34="Lãi vay")*('Lãi vay'!$E$3:$AI$3=AG$14))*$H$10</f>
        <v>-15114.887544454368</v>
      </c>
      <c r="AH228" s="457" cm="1">
        <f t="array" ref="AH228">-SUMPRODUCT('Lãi vay'!$E$5:$AI$34*('Lãi vay'!$A$5:$A$34=$A228)*('Lãi vay'!$B$5:$B$34="Lãi vay")*('Lãi vay'!$E$3:$AI$3=AH$14))*$H$10</f>
        <v>-13904.491745727066</v>
      </c>
      <c r="AI228" s="457" cm="1">
        <f t="array" ref="AI228">-SUMPRODUCT('Lãi vay'!$E$5:$AI$34*('Lãi vay'!$A$5:$A$34=$A228)*('Lãi vay'!$B$5:$B$34="Lãi vay")*('Lãi vay'!$E$3:$AI$3=AI$14))*$H$10</f>
        <v>-12597.264283101576</v>
      </c>
      <c r="AJ228" s="457" cm="1">
        <f t="array" ref="AJ228">-SUMPRODUCT('Lãi vay'!$E$5:$AI$34*('Lãi vay'!$A$5:$A$34=$A228)*('Lãi vay'!$B$5:$B$34="Lãi vay")*('Lãi vay'!$E$3:$AI$3=AJ$14))*$H$10</f>
        <v>-11185.458623466049</v>
      </c>
    </row>
    <row r="229" spans="1:36" hidden="1" collapsed="1" x14ac:dyDescent="0.25">
      <c r="A229" t="s">
        <v>423</v>
      </c>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spans="1:36" s="16" customFormat="1" hidden="1" x14ac:dyDescent="0.25">
      <c r="A230" s="16" t="s">
        <v>423</v>
      </c>
      <c r="H230" s="270" t="s">
        <v>472</v>
      </c>
      <c r="I230" s="271" t="str">
        <f>IF($H$9="USD","USD","tr. VND")</f>
        <v>tr. VND</v>
      </c>
      <c r="K230" s="272">
        <f t="shared" ref="K230" si="441">K223+SUM(K225:K228)</f>
        <v>0</v>
      </c>
      <c r="L230" s="272">
        <f>L223+SUM(L225:L228)</f>
        <v>-183334.40767217681</v>
      </c>
      <c r="M230" s="272">
        <f t="shared" ref="M230:AJ230" si="442">M223+SUM(M225:M228)</f>
        <v>-222155.56944276387</v>
      </c>
      <c r="N230" s="272">
        <f t="shared" si="442"/>
        <v>-286194.59654589673</v>
      </c>
      <c r="O230" s="272">
        <f t="shared" si="442"/>
        <v>-291802.52679271833</v>
      </c>
      <c r="P230" s="272">
        <f t="shared" si="442"/>
        <v>-297577.15959197265</v>
      </c>
      <c r="Q230" s="272">
        <f t="shared" si="442"/>
        <v>-303524.05135812738</v>
      </c>
      <c r="R230" s="272">
        <f t="shared" si="442"/>
        <v>-309648.94036539394</v>
      </c>
      <c r="S230" s="272">
        <f t="shared" si="442"/>
        <v>-315957.75069055805</v>
      </c>
      <c r="T230" s="272">
        <f t="shared" si="442"/>
        <v>-322456.59599147312</v>
      </c>
      <c r="U230" s="272">
        <f t="shared" si="442"/>
        <v>-329151.78308509308</v>
      </c>
      <c r="V230" s="272">
        <f t="shared" si="442"/>
        <v>-336049.81528490095</v>
      </c>
      <c r="W230" s="272">
        <f t="shared" si="442"/>
        <v>-343157.39545319451</v>
      </c>
      <c r="X230" s="272">
        <f t="shared" si="442"/>
        <v>-321325.54871888272</v>
      </c>
      <c r="Y230" s="272">
        <f t="shared" si="442"/>
        <v>-328873.14480619511</v>
      </c>
      <c r="Z230" s="272">
        <f t="shared" si="442"/>
        <v>-336651.61991396587</v>
      </c>
      <c r="AA230" s="272">
        <f t="shared" si="442"/>
        <v>-344668.4980788934</v>
      </c>
      <c r="AB230" s="272">
        <f t="shared" si="442"/>
        <v>-352931.51194933243</v>
      </c>
      <c r="AC230" s="272">
        <f t="shared" si="442"/>
        <v>-361448.60288872232</v>
      </c>
      <c r="AD230" s="272">
        <f t="shared" si="442"/>
        <v>-370227.9203196154</v>
      </c>
      <c r="AE230" s="272">
        <f t="shared" si="442"/>
        <v>-379277.82021040097</v>
      </c>
      <c r="AF230" s="272">
        <f t="shared" si="442"/>
        <v>-388606.86259715853</v>
      </c>
      <c r="AG230" s="272">
        <f t="shared" si="442"/>
        <v>-398223.8080225382</v>
      </c>
      <c r="AH230" s="272">
        <f t="shared" si="442"/>
        <v>-408137.61276210559</v>
      </c>
      <c r="AI230" s="272">
        <f t="shared" si="442"/>
        <v>-418357.42269609752</v>
      </c>
      <c r="AJ230" s="272">
        <f t="shared" si="442"/>
        <v>-428892.56567094603</v>
      </c>
    </row>
    <row r="231" spans="1:36" hidden="1" x14ac:dyDescent="0.25">
      <c r="A231" t="s">
        <v>423</v>
      </c>
    </row>
    <row r="232" spans="1:36" s="24" customFormat="1" ht="17.25" hidden="1" x14ac:dyDescent="0.3">
      <c r="A232" s="24" t="s">
        <v>423</v>
      </c>
      <c r="H232" s="644" t="s">
        <v>473</v>
      </c>
      <c r="I232" s="644"/>
      <c r="K232" s="644"/>
      <c r="L232" s="644"/>
      <c r="M232" s="644"/>
      <c r="N232" s="644"/>
      <c r="O232" s="644"/>
      <c r="P232" s="644"/>
      <c r="Q232" s="644"/>
      <c r="R232" s="644"/>
      <c r="S232" s="644"/>
      <c r="T232" s="644"/>
      <c r="U232" s="644"/>
      <c r="V232" s="644"/>
      <c r="W232" s="644"/>
      <c r="X232" s="644"/>
      <c r="Y232" s="644"/>
      <c r="Z232" s="644"/>
      <c r="AA232" s="644"/>
      <c r="AB232" s="644"/>
      <c r="AC232" s="644"/>
      <c r="AD232" s="644"/>
      <c r="AE232" s="644"/>
      <c r="AF232" s="644"/>
      <c r="AG232" s="644"/>
      <c r="AH232" s="644"/>
      <c r="AI232" s="644"/>
      <c r="AJ232" s="644"/>
    </row>
    <row r="233" spans="1:36" s="1" customFormat="1" hidden="1" outlineLevel="1" x14ac:dyDescent="0.25">
      <c r="A233" s="1" t="s">
        <v>423</v>
      </c>
      <c r="H233" s="273" t="s">
        <v>434</v>
      </c>
      <c r="I233" s="274" t="str">
        <f>IF($H$9="USD","USD/tấn","tr. VND/tấn")</f>
        <v>tr. VND/tấn</v>
      </c>
      <c r="K233" s="278">
        <f t="shared" ref="K233" si="443">SUM(K234:K235,K238:K241,)</f>
        <v>0</v>
      </c>
      <c r="L233" s="278">
        <f>SUM(L234:L235,L238:L241,)</f>
        <v>18.143966296634364</v>
      </c>
      <c r="M233" s="278">
        <f t="shared" ref="M233:AJ233" si="444">SUM(M234:M235,M238:M241,)</f>
        <v>12.959975926167408</v>
      </c>
      <c r="N233" s="278">
        <f t="shared" si="444"/>
        <v>9.2429996523882512</v>
      </c>
      <c r="O233" s="278">
        <f t="shared" si="444"/>
        <v>9.4225669816628717</v>
      </c>
      <c r="P233" s="278">
        <f t="shared" si="444"/>
        <v>9.6111126774012199</v>
      </c>
      <c r="Q233" s="278">
        <f t="shared" si="444"/>
        <v>9.809085657926488</v>
      </c>
      <c r="R233" s="278">
        <f t="shared" si="444"/>
        <v>10.01695728747802</v>
      </c>
      <c r="S233" s="278">
        <f t="shared" si="444"/>
        <v>10.235222498507129</v>
      </c>
      <c r="T233" s="278">
        <f t="shared" si="444"/>
        <v>10.464400970087691</v>
      </c>
      <c r="U233" s="278">
        <f t="shared" si="444"/>
        <v>10.705038365247281</v>
      </c>
      <c r="V233" s="278">
        <f t="shared" si="444"/>
        <v>10.957707630164855</v>
      </c>
      <c r="W233" s="278">
        <f t="shared" si="444"/>
        <v>11.223010358328303</v>
      </c>
      <c r="X233" s="278">
        <f t="shared" si="444"/>
        <v>6.9756324579477411</v>
      </c>
      <c r="Y233" s="278">
        <f t="shared" si="444"/>
        <v>7.2681287157479444</v>
      </c>
      <c r="Z233" s="278">
        <f t="shared" si="444"/>
        <v>7.5752497864381585</v>
      </c>
      <c r="AA233" s="278">
        <f t="shared" si="444"/>
        <v>7.8977269106628807</v>
      </c>
      <c r="AB233" s="278">
        <f t="shared" si="444"/>
        <v>8.2363278910988438</v>
      </c>
      <c r="AC233" s="278">
        <f t="shared" si="444"/>
        <v>8.5918589205566001</v>
      </c>
      <c r="AD233" s="278">
        <f t="shared" si="444"/>
        <v>8.9651665014872481</v>
      </c>
      <c r="AE233" s="278">
        <f t="shared" si="444"/>
        <v>9.3571394614644277</v>
      </c>
      <c r="AF233" s="278">
        <f t="shared" si="444"/>
        <v>9.7687110694404637</v>
      </c>
      <c r="AG233" s="278">
        <f t="shared" si="444"/>
        <v>10.200861257815303</v>
      </c>
      <c r="AH233" s="278">
        <f t="shared" si="444"/>
        <v>10.654618955608884</v>
      </c>
      <c r="AI233" s="278">
        <f t="shared" si="444"/>
        <v>11.131064538292144</v>
      </c>
      <c r="AJ233" s="278">
        <f t="shared" si="444"/>
        <v>11.631332400109569</v>
      </c>
    </row>
    <row r="234" spans="1:36" hidden="1" outlineLevel="1" x14ac:dyDescent="0.25">
      <c r="A234" t="s">
        <v>423</v>
      </c>
      <c r="C234" t="s">
        <v>367</v>
      </c>
      <c r="H234" s="557" t="s">
        <v>190</v>
      </c>
      <c r="I234" s="558" t="str">
        <f t="shared" ref="I234:I267" si="445">IF($H$9="USD","USD/tấn","tr. VND/tấn")</f>
        <v>tr. VND/tấn</v>
      </c>
      <c r="K234" s="563"/>
      <c r="L234" s="564">
        <f t="shared" ref="L234:AJ234" si="446">-IF($H$9="VND",L202/L190/$H$10/10^3,L202/L190/$H$10*10^3)</f>
        <v>10.989195536732606</v>
      </c>
      <c r="M234" s="564">
        <f t="shared" si="446"/>
        <v>7.8494253833804342</v>
      </c>
      <c r="N234" s="564">
        <f t="shared" si="446"/>
        <v>5.4945977683663028</v>
      </c>
      <c r="O234" s="564">
        <f t="shared" si="446"/>
        <v>5.4945977683663028</v>
      </c>
      <c r="P234" s="564">
        <f t="shared" si="446"/>
        <v>5.4945977683663028</v>
      </c>
      <c r="Q234" s="564">
        <f t="shared" si="446"/>
        <v>5.4945977683663028</v>
      </c>
      <c r="R234" s="564">
        <f t="shared" si="446"/>
        <v>5.4945977683663028</v>
      </c>
      <c r="S234" s="564">
        <f t="shared" si="446"/>
        <v>5.4945977683663028</v>
      </c>
      <c r="T234" s="564">
        <f t="shared" si="446"/>
        <v>5.4945977683663028</v>
      </c>
      <c r="U234" s="564">
        <f t="shared" si="446"/>
        <v>5.4945977683663028</v>
      </c>
      <c r="V234" s="564">
        <f t="shared" si="446"/>
        <v>5.4945977683663028</v>
      </c>
      <c r="W234" s="564">
        <f t="shared" si="446"/>
        <v>5.4945977683663028</v>
      </c>
      <c r="X234" s="564">
        <f t="shared" si="446"/>
        <v>0.96865200341411861</v>
      </c>
      <c r="Y234" s="564">
        <f t="shared" si="446"/>
        <v>0.96865200341411861</v>
      </c>
      <c r="Z234" s="564">
        <f t="shared" si="446"/>
        <v>0.96865200341411861</v>
      </c>
      <c r="AA234" s="564">
        <f t="shared" si="446"/>
        <v>0.96865200341411861</v>
      </c>
      <c r="AB234" s="564">
        <f t="shared" si="446"/>
        <v>0.96865200341411861</v>
      </c>
      <c r="AC234" s="564">
        <f t="shared" si="446"/>
        <v>0.96865200341411861</v>
      </c>
      <c r="AD234" s="564">
        <f t="shared" si="446"/>
        <v>0.96865200341411861</v>
      </c>
      <c r="AE234" s="564">
        <f t="shared" si="446"/>
        <v>0.96865200341411861</v>
      </c>
      <c r="AF234" s="564">
        <f t="shared" si="446"/>
        <v>0.96865200341411861</v>
      </c>
      <c r="AG234" s="564">
        <f t="shared" si="446"/>
        <v>0.96865200341411861</v>
      </c>
      <c r="AH234" s="564">
        <f t="shared" si="446"/>
        <v>0.96865200341411861</v>
      </c>
      <c r="AI234" s="564">
        <f t="shared" si="446"/>
        <v>0.96865200341411861</v>
      </c>
      <c r="AJ234" s="564">
        <f t="shared" si="446"/>
        <v>0.96865200341411861</v>
      </c>
    </row>
    <row r="235" spans="1:36" hidden="1" outlineLevel="1" x14ac:dyDescent="0.25">
      <c r="A235" t="s">
        <v>423</v>
      </c>
      <c r="H235" s="559" t="s">
        <v>429</v>
      </c>
      <c r="I235" s="560" t="str">
        <f t="shared" si="445"/>
        <v>tr. VND/tấn</v>
      </c>
      <c r="K235" s="565">
        <f>SUM(K236:K237)</f>
        <v>0</v>
      </c>
      <c r="L235" s="565">
        <f t="shared" ref="L235:AJ235" si="447">SUM(L236:L237)</f>
        <v>2.0380544703553434</v>
      </c>
      <c r="M235" s="565">
        <f t="shared" si="447"/>
        <v>1.4557531931109595</v>
      </c>
      <c r="N235" s="565">
        <f t="shared" si="447"/>
        <v>1.0699785969365552</v>
      </c>
      <c r="O235" s="565">
        <f t="shared" si="447"/>
        <v>1.123477526783383</v>
      </c>
      <c r="P235" s="565">
        <f t="shared" si="447"/>
        <v>1.1796514031225522</v>
      </c>
      <c r="Q235" s="565">
        <f t="shared" si="447"/>
        <v>1.2386339732786797</v>
      </c>
      <c r="R235" s="565">
        <f t="shared" si="447"/>
        <v>1.300565671942614</v>
      </c>
      <c r="S235" s="565">
        <f t="shared" si="447"/>
        <v>1.3655939555397445</v>
      </c>
      <c r="T235" s="565">
        <f t="shared" si="447"/>
        <v>1.4338736533167316</v>
      </c>
      <c r="U235" s="565">
        <f t="shared" si="447"/>
        <v>1.5055673359825681</v>
      </c>
      <c r="V235" s="565">
        <f t="shared" si="447"/>
        <v>1.5808457027816969</v>
      </c>
      <c r="W235" s="565">
        <f t="shared" si="447"/>
        <v>1.6598879879207815</v>
      </c>
      <c r="X235" s="565">
        <f t="shared" si="447"/>
        <v>1.7428823873168207</v>
      </c>
      <c r="Y235" s="565">
        <f t="shared" si="447"/>
        <v>1.8300265066826615</v>
      </c>
      <c r="Z235" s="565">
        <f t="shared" si="447"/>
        <v>1.9215278320167948</v>
      </c>
      <c r="AA235" s="565">
        <f t="shared" si="447"/>
        <v>2.0176042236176341</v>
      </c>
      <c r="AB235" s="565">
        <f t="shared" si="447"/>
        <v>2.1184844347985163</v>
      </c>
      <c r="AC235" s="565">
        <f t="shared" si="447"/>
        <v>2.2244086565384422</v>
      </c>
      <c r="AD235" s="565">
        <f t="shared" si="447"/>
        <v>2.3356290893653648</v>
      </c>
      <c r="AE235" s="565">
        <f t="shared" si="447"/>
        <v>2.4524105438336328</v>
      </c>
      <c r="AF235" s="565">
        <f t="shared" si="447"/>
        <v>2.5750310710253146</v>
      </c>
      <c r="AG235" s="565">
        <f t="shared" si="447"/>
        <v>2.7037826245765806</v>
      </c>
      <c r="AH235" s="565">
        <f t="shared" si="447"/>
        <v>2.8389717558054088</v>
      </c>
      <c r="AI235" s="565">
        <f t="shared" si="447"/>
        <v>2.9809203435956793</v>
      </c>
      <c r="AJ235" s="565">
        <f t="shared" si="447"/>
        <v>3.1299663607754642</v>
      </c>
    </row>
    <row r="236" spans="1:36" s="299" customFormat="1" hidden="1" outlineLevel="1" x14ac:dyDescent="0.25">
      <c r="A236" s="299" t="s">
        <v>423</v>
      </c>
      <c r="C236" s="299" t="s">
        <v>367</v>
      </c>
      <c r="H236" s="561" t="s">
        <v>430</v>
      </c>
      <c r="I236" s="562" t="str">
        <f t="shared" si="445"/>
        <v>tr. VND/tấn</v>
      </c>
      <c r="K236" s="566"/>
      <c r="L236" s="566">
        <f t="shared" ref="L236:AJ236" si="448">-IF($H$9="VND",L204/L190/$H$10/10^3,L204/L190/$H$10*10^3)</f>
        <v>0.33319691613438851</v>
      </c>
      <c r="M236" s="566">
        <f t="shared" si="448"/>
        <v>0.23799779723884895</v>
      </c>
      <c r="N236" s="566">
        <f t="shared" si="448"/>
        <v>0.17492838097055399</v>
      </c>
      <c r="O236" s="566">
        <f t="shared" si="448"/>
        <v>0.18367480001908168</v>
      </c>
      <c r="P236" s="566">
        <f t="shared" si="448"/>
        <v>0.1928585400200358</v>
      </c>
      <c r="Q236" s="566">
        <f t="shared" si="448"/>
        <v>0.20250146702103758</v>
      </c>
      <c r="R236" s="566">
        <f t="shared" si="448"/>
        <v>0.21262654037208947</v>
      </c>
      <c r="S236" s="566">
        <f t="shared" si="448"/>
        <v>0.22325786739069389</v>
      </c>
      <c r="T236" s="566">
        <f t="shared" si="448"/>
        <v>0.23442076076022864</v>
      </c>
      <c r="U236" s="566">
        <f t="shared" si="448"/>
        <v>0.24614179879824005</v>
      </c>
      <c r="V236" s="566">
        <f t="shared" si="448"/>
        <v>0.25844888873815208</v>
      </c>
      <c r="W236" s="566">
        <f t="shared" si="448"/>
        <v>0.27137133317505963</v>
      </c>
      <c r="X236" s="566">
        <f t="shared" si="448"/>
        <v>0.28493989983381268</v>
      </c>
      <c r="Y236" s="566">
        <f t="shared" si="448"/>
        <v>0.29918689482550326</v>
      </c>
      <c r="Z236" s="566">
        <f t="shared" si="448"/>
        <v>0.31414623956677851</v>
      </c>
      <c r="AA236" s="566">
        <f t="shared" si="448"/>
        <v>0.32985355154511736</v>
      </c>
      <c r="AB236" s="566">
        <f t="shared" si="448"/>
        <v>0.34634622912237328</v>
      </c>
      <c r="AC236" s="566">
        <f t="shared" si="448"/>
        <v>0.36366354057849198</v>
      </c>
      <c r="AD236" s="566">
        <f t="shared" si="448"/>
        <v>0.38184671760741662</v>
      </c>
      <c r="AE236" s="566">
        <f t="shared" si="448"/>
        <v>0.40093905348778741</v>
      </c>
      <c r="AF236" s="566">
        <f t="shared" si="448"/>
        <v>0.42098600616217685</v>
      </c>
      <c r="AG236" s="566">
        <f t="shared" si="448"/>
        <v>0.4420353064702856</v>
      </c>
      <c r="AH236" s="566">
        <f t="shared" si="448"/>
        <v>0.46413707179379993</v>
      </c>
      <c r="AI236" s="566">
        <f t="shared" si="448"/>
        <v>0.48734392538348986</v>
      </c>
      <c r="AJ236" s="566">
        <f t="shared" si="448"/>
        <v>0.51171112165266441</v>
      </c>
    </row>
    <row r="237" spans="1:36" s="299" customFormat="1" hidden="1" outlineLevel="1" x14ac:dyDescent="0.25">
      <c r="A237" s="299" t="s">
        <v>423</v>
      </c>
      <c r="C237" s="299" t="s">
        <v>367</v>
      </c>
      <c r="H237" s="561" t="s">
        <v>431</v>
      </c>
      <c r="I237" s="562" t="str">
        <f t="shared" si="445"/>
        <v>tr. VND/tấn</v>
      </c>
      <c r="K237" s="566"/>
      <c r="L237" s="566">
        <f t="shared" ref="L237:AJ237" si="449">-IF($H$9="VND",L205/L190/$H$10/10^3,L205/L190/$H$10*10^3)</f>
        <v>1.7048575542209548</v>
      </c>
      <c r="M237" s="566">
        <f t="shared" si="449"/>
        <v>1.2177553958721106</v>
      </c>
      <c r="N237" s="566">
        <f t="shared" si="449"/>
        <v>0.89505021596600121</v>
      </c>
      <c r="O237" s="566">
        <f t="shared" si="449"/>
        <v>0.93980272676430132</v>
      </c>
      <c r="P237" s="566">
        <f t="shared" si="449"/>
        <v>0.98679286310251635</v>
      </c>
      <c r="Q237" s="566">
        <f t="shared" si="449"/>
        <v>1.0361325062576421</v>
      </c>
      <c r="R237" s="566">
        <f t="shared" si="449"/>
        <v>1.0879391315705245</v>
      </c>
      <c r="S237" s="566">
        <f t="shared" si="449"/>
        <v>1.1423360881490505</v>
      </c>
      <c r="T237" s="566">
        <f t="shared" si="449"/>
        <v>1.1994528925565029</v>
      </c>
      <c r="U237" s="566">
        <f t="shared" si="449"/>
        <v>1.2594255371843281</v>
      </c>
      <c r="V237" s="566">
        <f t="shared" si="449"/>
        <v>1.3223968140435447</v>
      </c>
      <c r="W237" s="566">
        <f t="shared" si="449"/>
        <v>1.3885166547457219</v>
      </c>
      <c r="X237" s="566">
        <f t="shared" si="449"/>
        <v>1.457942487483008</v>
      </c>
      <c r="Y237" s="566">
        <f t="shared" si="449"/>
        <v>1.5308396118571583</v>
      </c>
      <c r="Z237" s="566">
        <f t="shared" si="449"/>
        <v>1.6073815924500163</v>
      </c>
      <c r="AA237" s="566">
        <f t="shared" si="449"/>
        <v>1.6877506720725168</v>
      </c>
      <c r="AB237" s="566">
        <f t="shared" si="449"/>
        <v>1.7721382056761432</v>
      </c>
      <c r="AC237" s="566">
        <f t="shared" si="449"/>
        <v>1.8607451159599502</v>
      </c>
      <c r="AD237" s="566">
        <f t="shared" si="449"/>
        <v>1.9537823717579481</v>
      </c>
      <c r="AE237" s="566">
        <f t="shared" si="449"/>
        <v>2.0514714903458455</v>
      </c>
      <c r="AF237" s="566">
        <f t="shared" si="449"/>
        <v>2.1540450648631375</v>
      </c>
      <c r="AG237" s="566">
        <f t="shared" si="449"/>
        <v>2.2617473181062948</v>
      </c>
      <c r="AH237" s="566">
        <f t="shared" si="449"/>
        <v>2.374834684011609</v>
      </c>
      <c r="AI237" s="566">
        <f t="shared" si="449"/>
        <v>2.4935764182121893</v>
      </c>
      <c r="AJ237" s="566">
        <f t="shared" si="449"/>
        <v>2.6182552391227998</v>
      </c>
    </row>
    <row r="238" spans="1:36" hidden="1" outlineLevel="1" x14ac:dyDescent="0.25">
      <c r="A238" t="s">
        <v>423</v>
      </c>
      <c r="C238" t="s">
        <v>367</v>
      </c>
      <c r="H238" s="559" t="s">
        <v>656</v>
      </c>
      <c r="I238" s="560" t="str">
        <f t="shared" si="445"/>
        <v>tr. VND/tấn</v>
      </c>
      <c r="K238" s="565"/>
      <c r="L238" s="565">
        <f t="shared" ref="L238:AJ238" si="450">-IF($H$9="VND",L206/L190/$H$10/10^3,L206/L190/$H$10*10^3)</f>
        <v>0.81366768286785962</v>
      </c>
      <c r="M238" s="565">
        <f t="shared" si="450"/>
        <v>0.58119120204847119</v>
      </c>
      <c r="N238" s="565">
        <f t="shared" si="450"/>
        <v>0.42717553350562631</v>
      </c>
      <c r="O238" s="565">
        <f t="shared" si="450"/>
        <v>0.44853431018090767</v>
      </c>
      <c r="P238" s="565">
        <f t="shared" si="450"/>
        <v>0.47096102568995302</v>
      </c>
      <c r="Q238" s="565">
        <f t="shared" si="450"/>
        <v>0.49450907697445068</v>
      </c>
      <c r="R238" s="565">
        <f t="shared" si="450"/>
        <v>0.51923453082317328</v>
      </c>
      <c r="S238" s="565">
        <f t="shared" si="450"/>
        <v>0.54519625736433197</v>
      </c>
      <c r="T238" s="565">
        <f t="shared" si="450"/>
        <v>0.57245607023254852</v>
      </c>
      <c r="U238" s="565">
        <f t="shared" si="450"/>
        <v>0.6010788737441759</v>
      </c>
      <c r="V238" s="565">
        <f t="shared" si="450"/>
        <v>0.63113281743138472</v>
      </c>
      <c r="W238" s="565">
        <f t="shared" si="450"/>
        <v>0.662689458302954</v>
      </c>
      <c r="X238" s="565">
        <f t="shared" si="450"/>
        <v>0.69582393121810171</v>
      </c>
      <c r="Y238" s="565">
        <f t="shared" si="450"/>
        <v>0.73061512777900672</v>
      </c>
      <c r="Z238" s="565">
        <f t="shared" si="450"/>
        <v>0.76714588416795737</v>
      </c>
      <c r="AA238" s="565">
        <f t="shared" si="450"/>
        <v>0.80550317837635477</v>
      </c>
      <c r="AB238" s="565">
        <f t="shared" si="450"/>
        <v>0.84577833729517282</v>
      </c>
      <c r="AC238" s="565">
        <f t="shared" si="450"/>
        <v>0.88806725415993137</v>
      </c>
      <c r="AD238" s="565">
        <f t="shared" si="450"/>
        <v>0.9324706168679282</v>
      </c>
      <c r="AE238" s="565">
        <f t="shared" si="450"/>
        <v>0.97909414771132464</v>
      </c>
      <c r="AF238" s="565">
        <f t="shared" si="450"/>
        <v>1.0280488550968905</v>
      </c>
      <c r="AG238" s="565">
        <f t="shared" si="450"/>
        <v>1.0794512978517352</v>
      </c>
      <c r="AH238" s="565">
        <f t="shared" si="450"/>
        <v>1.1334238627443218</v>
      </c>
      <c r="AI238" s="565">
        <f t="shared" si="450"/>
        <v>1.1900950558815382</v>
      </c>
      <c r="AJ238" s="565">
        <f t="shared" si="450"/>
        <v>1.249599808675615</v>
      </c>
    </row>
    <row r="239" spans="1:36" hidden="1" outlineLevel="1" x14ac:dyDescent="0.25">
      <c r="A239" t="s">
        <v>423</v>
      </c>
      <c r="C239" t="s">
        <v>367</v>
      </c>
      <c r="H239" s="559" t="s">
        <v>432</v>
      </c>
      <c r="I239" s="560" t="str">
        <f t="shared" si="445"/>
        <v>tr. VND/tấn</v>
      </c>
      <c r="K239" s="565"/>
      <c r="L239" s="565">
        <f t="shared" ref="L239:AJ239" si="451">-IF($H$9="VND",L207/L190/$H$10/10^3,L207/L190/$H$10*10^3)</f>
        <v>3.8017944425598351</v>
      </c>
      <c r="M239" s="565">
        <f t="shared" si="451"/>
        <v>2.7155674589713112</v>
      </c>
      <c r="N239" s="565">
        <f t="shared" si="451"/>
        <v>1.9959420823439136</v>
      </c>
      <c r="O239" s="565">
        <f t="shared" si="451"/>
        <v>2.0957391864611097</v>
      </c>
      <c r="P239" s="565">
        <f t="shared" si="451"/>
        <v>2.2005261457841652</v>
      </c>
      <c r="Q239" s="565">
        <f t="shared" si="451"/>
        <v>2.310552453073373</v>
      </c>
      <c r="R239" s="565">
        <f t="shared" si="451"/>
        <v>2.4260800757270418</v>
      </c>
      <c r="S239" s="565">
        <f t="shared" si="451"/>
        <v>2.5473840795133937</v>
      </c>
      <c r="T239" s="565">
        <f t="shared" si="451"/>
        <v>2.6747532834890642</v>
      </c>
      <c r="U239" s="565">
        <f t="shared" si="451"/>
        <v>2.8084909476635165</v>
      </c>
      <c r="V239" s="565">
        <f t="shared" si="451"/>
        <v>2.9489154950466929</v>
      </c>
      <c r="W239" s="565">
        <f t="shared" si="451"/>
        <v>3.096361269799027</v>
      </c>
      <c r="X239" s="565">
        <f t="shared" si="451"/>
        <v>3.2511793332889782</v>
      </c>
      <c r="Y239" s="565">
        <f t="shared" si="451"/>
        <v>3.4137382999534274</v>
      </c>
      <c r="Z239" s="565">
        <f t="shared" si="451"/>
        <v>3.5844252149510996</v>
      </c>
      <c r="AA239" s="565">
        <f t="shared" si="451"/>
        <v>3.7636464756986534</v>
      </c>
      <c r="AB239" s="565">
        <f t="shared" si="451"/>
        <v>3.9518287994835872</v>
      </c>
      <c r="AC239" s="565">
        <f t="shared" si="451"/>
        <v>4.1494202394577657</v>
      </c>
      <c r="AD239" s="565">
        <f t="shared" si="451"/>
        <v>4.356891251430655</v>
      </c>
      <c r="AE239" s="565">
        <f t="shared" si="451"/>
        <v>4.5747358140021879</v>
      </c>
      <c r="AF239" s="565">
        <f t="shared" si="451"/>
        <v>4.8034726047022982</v>
      </c>
      <c r="AG239" s="565">
        <f t="shared" si="451"/>
        <v>5.0436462349374125</v>
      </c>
      <c r="AH239" s="565">
        <f t="shared" si="451"/>
        <v>5.2958285466842829</v>
      </c>
      <c r="AI239" s="565">
        <f t="shared" si="451"/>
        <v>5.5606199740184969</v>
      </c>
      <c r="AJ239" s="565">
        <f t="shared" si="451"/>
        <v>5.8386509727194227</v>
      </c>
    </row>
    <row r="240" spans="1:36" hidden="1" outlineLevel="1" x14ac:dyDescent="0.25">
      <c r="A240" t="s">
        <v>423</v>
      </c>
      <c r="C240" t="s">
        <v>367</v>
      </c>
      <c r="H240" s="559" t="s">
        <v>433</v>
      </c>
      <c r="I240" s="560" t="str">
        <f t="shared" si="445"/>
        <v>tr. VND/tấn</v>
      </c>
      <c r="K240" s="565"/>
      <c r="L240" s="565">
        <f t="shared" ref="L240:AJ240" si="452">-IF($H$9="VND",L208/L190/$H$10/10^3,L208/L190/$H$10*10^3)</f>
        <v>0.18714356705960775</v>
      </c>
      <c r="M240" s="565">
        <f t="shared" si="452"/>
        <v>0.1336739764711484</v>
      </c>
      <c r="N240" s="565">
        <f t="shared" si="452"/>
        <v>9.8250372706294054E-2</v>
      </c>
      <c r="O240" s="565">
        <f t="shared" si="452"/>
        <v>0.10316289134160876</v>
      </c>
      <c r="P240" s="565">
        <f t="shared" si="452"/>
        <v>0.1083210359086892</v>
      </c>
      <c r="Q240" s="565">
        <f t="shared" si="452"/>
        <v>0.11373708770412366</v>
      </c>
      <c r="R240" s="565">
        <f t="shared" si="452"/>
        <v>0.11942394208932987</v>
      </c>
      <c r="S240" s="565">
        <f t="shared" si="452"/>
        <v>0.12539513919379636</v>
      </c>
      <c r="T240" s="565">
        <f t="shared" si="452"/>
        <v>0.13166489615348617</v>
      </c>
      <c r="U240" s="565">
        <f t="shared" si="452"/>
        <v>0.13824814096116045</v>
      </c>
      <c r="V240" s="565">
        <f t="shared" si="452"/>
        <v>0.14516054800921852</v>
      </c>
      <c r="W240" s="565">
        <f t="shared" si="452"/>
        <v>0.15241857540967943</v>
      </c>
      <c r="X240" s="565">
        <f t="shared" si="452"/>
        <v>0.16003950418016338</v>
      </c>
      <c r="Y240" s="565">
        <f t="shared" si="452"/>
        <v>0.16804147938917155</v>
      </c>
      <c r="Z240" s="565">
        <f t="shared" si="452"/>
        <v>0.17644355335863013</v>
      </c>
      <c r="AA240" s="565">
        <f t="shared" si="452"/>
        <v>0.18526573102656163</v>
      </c>
      <c r="AB240" s="565">
        <f t="shared" si="452"/>
        <v>0.19452901757788979</v>
      </c>
      <c r="AC240" s="565">
        <f t="shared" si="452"/>
        <v>0.20425546845678422</v>
      </c>
      <c r="AD240" s="565">
        <f t="shared" si="452"/>
        <v>0.21446824187962349</v>
      </c>
      <c r="AE240" s="565">
        <f t="shared" si="452"/>
        <v>0.22519165397360463</v>
      </c>
      <c r="AF240" s="565">
        <f t="shared" si="452"/>
        <v>0.2364512366722849</v>
      </c>
      <c r="AG240" s="565">
        <f t="shared" si="452"/>
        <v>0.24827379850589912</v>
      </c>
      <c r="AH240" s="565">
        <f t="shared" si="452"/>
        <v>0.26068748843119405</v>
      </c>
      <c r="AI240" s="565">
        <f t="shared" si="452"/>
        <v>0.27372186285275374</v>
      </c>
      <c r="AJ240" s="565">
        <f t="shared" si="452"/>
        <v>0.28740795599539148</v>
      </c>
    </row>
    <row r="241" spans="1:36" hidden="1" outlineLevel="1" x14ac:dyDescent="0.25">
      <c r="A241" t="s">
        <v>423</v>
      </c>
      <c r="C241" t="s">
        <v>367</v>
      </c>
      <c r="H241" s="559" t="s">
        <v>520</v>
      </c>
      <c r="I241" s="560" t="str">
        <f t="shared" si="445"/>
        <v>tr. VND/tấn</v>
      </c>
      <c r="K241" s="565"/>
      <c r="L241" s="565">
        <f t="shared" ref="L241:AJ241" si="453">-IF($H$9="VND",L209/L190/$H$10/10^3,L209/L190/$H$10*10^3)</f>
        <v>0.31411059705911676</v>
      </c>
      <c r="M241" s="565">
        <f t="shared" si="453"/>
        <v>0.22436471218508339</v>
      </c>
      <c r="N241" s="565">
        <f t="shared" si="453"/>
        <v>0.15705529852955838</v>
      </c>
      <c r="O241" s="565">
        <f t="shared" si="453"/>
        <v>0.15705529852955838</v>
      </c>
      <c r="P241" s="565">
        <f t="shared" si="453"/>
        <v>0.15705529852955838</v>
      </c>
      <c r="Q241" s="565">
        <f t="shared" si="453"/>
        <v>0.15705529852955838</v>
      </c>
      <c r="R241" s="565">
        <f t="shared" si="453"/>
        <v>0.15705529852955838</v>
      </c>
      <c r="S241" s="565">
        <f t="shared" si="453"/>
        <v>0.15705529852955838</v>
      </c>
      <c r="T241" s="565">
        <f t="shared" si="453"/>
        <v>0.15705529852955838</v>
      </c>
      <c r="U241" s="565">
        <f t="shared" si="453"/>
        <v>0.15705529852955838</v>
      </c>
      <c r="V241" s="565">
        <f t="shared" si="453"/>
        <v>0.15705529852955838</v>
      </c>
      <c r="W241" s="565">
        <f t="shared" si="453"/>
        <v>0.15705529852955838</v>
      </c>
      <c r="X241" s="565">
        <f t="shared" si="453"/>
        <v>0.15705529852955838</v>
      </c>
      <c r="Y241" s="565">
        <f t="shared" si="453"/>
        <v>0.15705529852955838</v>
      </c>
      <c r="Z241" s="565">
        <f t="shared" si="453"/>
        <v>0.15705529852955838</v>
      </c>
      <c r="AA241" s="565">
        <f t="shared" si="453"/>
        <v>0.15705529852955838</v>
      </c>
      <c r="AB241" s="565">
        <f t="shared" si="453"/>
        <v>0.15705529852955838</v>
      </c>
      <c r="AC241" s="565">
        <f t="shared" si="453"/>
        <v>0.15705529852955838</v>
      </c>
      <c r="AD241" s="565">
        <f t="shared" si="453"/>
        <v>0.15705529852955838</v>
      </c>
      <c r="AE241" s="565">
        <f t="shared" si="453"/>
        <v>0.15705529852955838</v>
      </c>
      <c r="AF241" s="565">
        <f t="shared" si="453"/>
        <v>0.15705529852955838</v>
      </c>
      <c r="AG241" s="565">
        <f t="shared" si="453"/>
        <v>0.15705529852955838</v>
      </c>
      <c r="AH241" s="565">
        <f t="shared" si="453"/>
        <v>0.15705529852955838</v>
      </c>
      <c r="AI241" s="565">
        <f t="shared" si="453"/>
        <v>0.15705529852955838</v>
      </c>
      <c r="AJ241" s="565">
        <f t="shared" si="453"/>
        <v>0.15705529852955838</v>
      </c>
    </row>
    <row r="242" spans="1:36" hidden="1" outlineLevel="1" x14ac:dyDescent="0.25">
      <c r="A242" t="s">
        <v>423</v>
      </c>
      <c r="H242" s="247"/>
      <c r="I242" s="275"/>
      <c r="K242" s="279"/>
      <c r="L242" s="279"/>
      <c r="M242" s="279"/>
      <c r="N242" s="279"/>
      <c r="O242" s="279"/>
      <c r="P242" s="279"/>
      <c r="Q242" s="279"/>
      <c r="R242" s="279"/>
      <c r="S242" s="279"/>
      <c r="T242" s="279"/>
      <c r="U242" s="279"/>
      <c r="V242" s="279"/>
      <c r="W242" s="279"/>
      <c r="X242" s="279"/>
      <c r="Y242" s="279"/>
      <c r="Z242" s="279"/>
      <c r="AA242" s="279"/>
      <c r="AB242" s="279"/>
      <c r="AC242" s="279"/>
      <c r="AD242" s="279"/>
      <c r="AE242" s="279"/>
      <c r="AF242" s="279"/>
      <c r="AG242" s="279"/>
      <c r="AH242" s="279"/>
      <c r="AI242" s="279"/>
      <c r="AJ242" s="279"/>
    </row>
    <row r="243" spans="1:36" s="1" customFormat="1" hidden="1" outlineLevel="1" x14ac:dyDescent="0.25">
      <c r="A243" s="1" t="s">
        <v>423</v>
      </c>
      <c r="H243" s="273" t="s">
        <v>435</v>
      </c>
      <c r="I243" s="274" t="str">
        <f t="shared" si="445"/>
        <v>tr. VND/tấn</v>
      </c>
      <c r="K243" s="280">
        <f>K244+K247+K250</f>
        <v>0</v>
      </c>
      <c r="L243" s="280">
        <f t="shared" ref="L243" si="454">L244+L247+L250</f>
        <v>30.828257876394236</v>
      </c>
      <c r="M243" s="280">
        <f t="shared" ref="M243" si="455">M244+M247+M250</f>
        <v>30.620898261575554</v>
      </c>
      <c r="N243" s="280">
        <f t="shared" ref="N243" si="456">N244+N247+N250</f>
        <v>31.144176347803135</v>
      </c>
      <c r="O243" s="280">
        <f t="shared" ref="O243" si="457">O244+O247+O250</f>
        <v>31.84025067853085</v>
      </c>
      <c r="P243" s="280">
        <f t="shared" ref="P243" si="458">P244+P247+P250</f>
        <v>32.554132102184383</v>
      </c>
      <c r="Q243" s="280">
        <f t="shared" ref="Q243" si="459">Q244+Q247+Q250</f>
        <v>33.286371040937809</v>
      </c>
      <c r="R243" s="280">
        <f t="shared" ref="R243" si="460">R244+R247+R250</f>
        <v>34.037538639424454</v>
      </c>
      <c r="S243" s="280">
        <f t="shared" ref="S243" si="461">S244+S247+S250</f>
        <v>34.808227664886921</v>
      </c>
      <c r="T243" s="280">
        <f t="shared" ref="T243" si="462">T244+T247+T250</f>
        <v>35.599053449614992</v>
      </c>
      <c r="U243" s="280">
        <f t="shared" ref="U243" si="463">U244+U247+U250</f>
        <v>36.41065487773183</v>
      </c>
      <c r="V243" s="280">
        <f t="shared" ref="V243" si="464">V244+V247+V250</f>
        <v>37.243695418489907</v>
      </c>
      <c r="W243" s="280">
        <f t="shared" ref="W243" si="465">W244+W247+W250</f>
        <v>38.098864208345987</v>
      </c>
      <c r="X243" s="280">
        <f t="shared" ref="X243" si="466">X244+X247+X250</f>
        <v>38.79583935359809</v>
      </c>
      <c r="Y243" s="280">
        <f t="shared" ref="Y243" si="467">Y244+Y247+Y250</f>
        <v>39.697440439672143</v>
      </c>
      <c r="Z243" s="280">
        <f t="shared" ref="Z243" si="468">Z244+Z247+Z250</f>
        <v>40.623402790709839</v>
      </c>
      <c r="AA243" s="280">
        <f t="shared" ref="AA243" si="469">AA244+AA247+AA250</f>
        <v>41.57453009417258</v>
      </c>
      <c r="AB243" s="280">
        <f t="shared" ref="AB243" si="470">AB244+AB247+AB250</f>
        <v>42.55165793437908</v>
      </c>
      <c r="AC243" s="280">
        <f t="shared" ref="AC243" si="471">AC244+AC247+AC250</f>
        <v>43.555655221597966</v>
      </c>
      <c r="AD243" s="280">
        <f t="shared" ref="AD243" si="472">AD244+AD247+AD250</f>
        <v>44.58742568927984</v>
      </c>
      <c r="AE243" s="280">
        <f t="shared" ref="AE243" si="473">AE244+AE247+AE250</f>
        <v>45.647909462769945</v>
      </c>
      <c r="AF243" s="280">
        <f t="shared" ref="AF243" si="474">AF244+AF247+AF250</f>
        <v>46.738084703007146</v>
      </c>
      <c r="AG243" s="280">
        <f t="shared" ref="AG243" si="475">AG244+AG247+AG250</f>
        <v>47.858969328890261</v>
      </c>
      <c r="AH243" s="280">
        <f t="shared" ref="AH243" si="476">AH244+AH247+AH250</f>
        <v>49.01162282217426</v>
      </c>
      <c r="AI243" s="280">
        <f t="shared" ref="AI243" si="477">AI244+AI247+AI250</f>
        <v>50.19714811895134</v>
      </c>
      <c r="AJ243" s="280">
        <f t="shared" ref="AJ243" si="478">AJ244+AJ247+AJ250</f>
        <v>51.416693591972702</v>
      </c>
    </row>
    <row r="244" spans="1:36" hidden="1" outlineLevel="1" x14ac:dyDescent="0.25">
      <c r="A244" t="s">
        <v>423</v>
      </c>
      <c r="H244" s="557" t="s">
        <v>454</v>
      </c>
      <c r="I244" s="558" t="str">
        <f t="shared" si="445"/>
        <v>tr. VND/tấn</v>
      </c>
      <c r="K244" s="567">
        <f>SUM(K245:K246)</f>
        <v>0</v>
      </c>
      <c r="L244" s="567">
        <f t="shared" ref="L244:AJ244" si="479">SUM(L245:L246)</f>
        <v>27.772260801589791</v>
      </c>
      <c r="M244" s="567">
        <f t="shared" si="479"/>
        <v>27.772260801589788</v>
      </c>
      <c r="N244" s="567">
        <f t="shared" si="479"/>
        <v>28.327706017621583</v>
      </c>
      <c r="O244" s="567">
        <f t="shared" si="479"/>
        <v>28.894260137974015</v>
      </c>
      <c r="P244" s="567">
        <f t="shared" si="479"/>
        <v>29.472145340733494</v>
      </c>
      <c r="Q244" s="567">
        <f t="shared" si="479"/>
        <v>30.061588247548165</v>
      </c>
      <c r="R244" s="567">
        <f t="shared" si="479"/>
        <v>30.662820012499125</v>
      </c>
      <c r="S244" s="567">
        <f t="shared" si="479"/>
        <v>31.276076412749116</v>
      </c>
      <c r="T244" s="567">
        <f t="shared" si="479"/>
        <v>31.901597941004088</v>
      </c>
      <c r="U244" s="567">
        <f t="shared" si="479"/>
        <v>32.53962989982417</v>
      </c>
      <c r="V244" s="567">
        <f t="shared" si="479"/>
        <v>33.190422497820656</v>
      </c>
      <c r="W244" s="567">
        <f t="shared" si="479"/>
        <v>33.854230947777069</v>
      </c>
      <c r="X244" s="567">
        <f t="shared" si="479"/>
        <v>34.531315566732609</v>
      </c>
      <c r="Y244" s="567">
        <f t="shared" si="479"/>
        <v>35.22194187806727</v>
      </c>
      <c r="Z244" s="567">
        <f t="shared" si="479"/>
        <v>35.926380715628611</v>
      </c>
      <c r="AA244" s="567">
        <f t="shared" si="479"/>
        <v>36.644908329941181</v>
      </c>
      <c r="AB244" s="567">
        <f t="shared" si="479"/>
        <v>37.377806496539996</v>
      </c>
      <c r="AC244" s="567">
        <f t="shared" si="479"/>
        <v>38.12536262647081</v>
      </c>
      <c r="AD244" s="567">
        <f t="shared" si="479"/>
        <v>38.88786987900022</v>
      </c>
      <c r="AE244" s="567">
        <f t="shared" si="479"/>
        <v>39.665627276580224</v>
      </c>
      <c r="AF244" s="567">
        <f t="shared" si="479"/>
        <v>40.458939822111823</v>
      </c>
      <c r="AG244" s="567">
        <f t="shared" si="479"/>
        <v>41.268118618554062</v>
      </c>
      <c r="AH244" s="567">
        <f t="shared" si="479"/>
        <v>42.093480990925144</v>
      </c>
      <c r="AI244" s="567">
        <f t="shared" si="479"/>
        <v>42.935350610743654</v>
      </c>
      <c r="AJ244" s="567">
        <f t="shared" si="479"/>
        <v>43.794057622958512</v>
      </c>
    </row>
    <row r="245" spans="1:36" s="299" customFormat="1" hidden="1" outlineLevel="1" x14ac:dyDescent="0.25">
      <c r="A245" s="299" t="s">
        <v>423</v>
      </c>
      <c r="C245" s="299" t="s">
        <v>504</v>
      </c>
      <c r="E245" s="331"/>
      <c r="F245" s="331"/>
      <c r="H245" s="561" t="s">
        <v>167</v>
      </c>
      <c r="I245" s="562" t="str">
        <f t="shared" si="445"/>
        <v>tr. VND/tấn</v>
      </c>
      <c r="K245" s="566"/>
      <c r="L245" s="566">
        <f t="shared" ref="L245:AJ245" si="480">-IF($H$9="VND",L213/L190/$H$10/10^3,L213/L190/$H$10*10^3)</f>
        <v>25.828202545478504</v>
      </c>
      <c r="M245" s="566">
        <f t="shared" si="480"/>
        <v>25.828202545478501</v>
      </c>
      <c r="N245" s="566">
        <f t="shared" si="480"/>
        <v>26.344766596388073</v>
      </c>
      <c r="O245" s="566">
        <f t="shared" si="480"/>
        <v>26.871661928315831</v>
      </c>
      <c r="P245" s="566">
        <f t="shared" si="480"/>
        <v>27.409095166882146</v>
      </c>
      <c r="Q245" s="566">
        <f t="shared" si="480"/>
        <v>27.957277070219792</v>
      </c>
      <c r="R245" s="566">
        <f t="shared" si="480"/>
        <v>28.516422611624186</v>
      </c>
      <c r="S245" s="566">
        <f t="shared" si="480"/>
        <v>29.086751063856674</v>
      </c>
      <c r="T245" s="566">
        <f t="shared" si="480"/>
        <v>29.6684860851338</v>
      </c>
      <c r="U245" s="566">
        <f t="shared" si="480"/>
        <v>30.261855806836476</v>
      </c>
      <c r="V245" s="566">
        <f t="shared" si="480"/>
        <v>30.86709292297321</v>
      </c>
      <c r="W245" s="566">
        <f t="shared" si="480"/>
        <v>31.484434781432675</v>
      </c>
      <c r="X245" s="566">
        <f t="shared" si="480"/>
        <v>32.11412347706132</v>
      </c>
      <c r="Y245" s="566">
        <f t="shared" si="480"/>
        <v>32.756405946602555</v>
      </c>
      <c r="Z245" s="566">
        <f t="shared" si="480"/>
        <v>33.41153406553461</v>
      </c>
      <c r="AA245" s="566">
        <f t="shared" si="480"/>
        <v>34.079764746845299</v>
      </c>
      <c r="AB245" s="566">
        <f t="shared" si="480"/>
        <v>34.761360041782197</v>
      </c>
      <c r="AC245" s="566">
        <f t="shared" si="480"/>
        <v>35.45658724261785</v>
      </c>
      <c r="AD245" s="566">
        <f t="shared" si="480"/>
        <v>36.1657189874702</v>
      </c>
      <c r="AE245" s="566">
        <f t="shared" si="480"/>
        <v>36.889033367219604</v>
      </c>
      <c r="AF245" s="566">
        <f t="shared" si="480"/>
        <v>37.626814034563992</v>
      </c>
      <c r="AG245" s="566">
        <f t="shared" si="480"/>
        <v>38.37935031525528</v>
      </c>
      <c r="AH245" s="566">
        <f t="shared" si="480"/>
        <v>39.146937321560387</v>
      </c>
      <c r="AI245" s="566">
        <f t="shared" si="480"/>
        <v>39.929876067991593</v>
      </c>
      <c r="AJ245" s="566">
        <f t="shared" si="480"/>
        <v>40.728473589351417</v>
      </c>
    </row>
    <row r="246" spans="1:36" s="299" customFormat="1" hidden="1" outlineLevel="1" x14ac:dyDescent="0.25">
      <c r="A246" s="299" t="s">
        <v>423</v>
      </c>
      <c r="C246" s="299" t="s">
        <v>387</v>
      </c>
      <c r="E246" s="331"/>
      <c r="F246" s="331"/>
      <c r="H246" s="641" t="s">
        <v>203</v>
      </c>
      <c r="I246" s="642" t="str">
        <f t="shared" si="445"/>
        <v>tr. VND/tấn</v>
      </c>
      <c r="K246" s="643"/>
      <c r="L246" s="643">
        <f t="shared" ref="L246:AJ246" si="481">-IF($H$9="VND",L214/L190/$H$10/10^3,L214/L190/$H$10*10^3)</f>
        <v>1.9440582561112865</v>
      </c>
      <c r="M246" s="643">
        <f t="shared" si="481"/>
        <v>1.9440582561112874</v>
      </c>
      <c r="N246" s="643">
        <f t="shared" si="481"/>
        <v>1.9829394212335107</v>
      </c>
      <c r="O246" s="643">
        <f t="shared" si="481"/>
        <v>2.022598209658184</v>
      </c>
      <c r="P246" s="643">
        <f t="shared" si="481"/>
        <v>2.0630501738513467</v>
      </c>
      <c r="Q246" s="643">
        <f t="shared" si="481"/>
        <v>2.1043111773283734</v>
      </c>
      <c r="R246" s="643">
        <f t="shared" si="481"/>
        <v>2.1463974008749389</v>
      </c>
      <c r="S246" s="643">
        <f t="shared" si="481"/>
        <v>2.1893253488924409</v>
      </c>
      <c r="T246" s="643">
        <f t="shared" si="481"/>
        <v>2.233111855870288</v>
      </c>
      <c r="U246" s="643">
        <f t="shared" si="481"/>
        <v>2.2777740929876944</v>
      </c>
      <c r="V246" s="643">
        <f t="shared" si="481"/>
        <v>2.3233295748474476</v>
      </c>
      <c r="W246" s="643">
        <f t="shared" si="481"/>
        <v>2.3697961663443956</v>
      </c>
      <c r="X246" s="643">
        <f t="shared" si="481"/>
        <v>2.417192089671286</v>
      </c>
      <c r="Y246" s="643">
        <f t="shared" si="481"/>
        <v>2.4655359314647125</v>
      </c>
      <c r="Z246" s="643">
        <f t="shared" si="481"/>
        <v>2.514846650094003</v>
      </c>
      <c r="AA246" s="643">
        <f t="shared" si="481"/>
        <v>2.565143583095884</v>
      </c>
      <c r="AB246" s="643">
        <f t="shared" si="481"/>
        <v>2.6164464547578024</v>
      </c>
      <c r="AC246" s="643">
        <f t="shared" si="481"/>
        <v>2.6687753838529571</v>
      </c>
      <c r="AD246" s="643">
        <f t="shared" si="481"/>
        <v>2.7221508915300183</v>
      </c>
      <c r="AE246" s="643">
        <f t="shared" si="481"/>
        <v>2.7765939093606202</v>
      </c>
      <c r="AF246" s="643">
        <f t="shared" si="481"/>
        <v>2.8321257875478287</v>
      </c>
      <c r="AG246" s="643">
        <f t="shared" si="481"/>
        <v>2.8887683032987854</v>
      </c>
      <c r="AH246" s="643">
        <f t="shared" si="481"/>
        <v>2.9465436693647611</v>
      </c>
      <c r="AI246" s="643">
        <f t="shared" si="481"/>
        <v>3.0054745427520606</v>
      </c>
      <c r="AJ246" s="643">
        <f t="shared" si="481"/>
        <v>3.0655840336070983</v>
      </c>
    </row>
    <row r="247" spans="1:36" hidden="1" outlineLevel="1" x14ac:dyDescent="0.25">
      <c r="A247" t="s">
        <v>423</v>
      </c>
      <c r="H247" s="559" t="s">
        <v>676</v>
      </c>
      <c r="I247" s="560" t="str">
        <f t="shared" si="445"/>
        <v>tr. VND/tấn</v>
      </c>
      <c r="K247" s="568">
        <f>SUM(K248:K249)</f>
        <v>0</v>
      </c>
      <c r="L247" s="568">
        <f t="shared" ref="L247:AJ247" si="482">SUM(L248:L249)</f>
        <v>0.20420258064516131</v>
      </c>
      <c r="M247" s="568">
        <f t="shared" si="482"/>
        <v>0.20420258064516134</v>
      </c>
      <c r="N247" s="568">
        <f t="shared" si="482"/>
        <v>0.21441270967741941</v>
      </c>
      <c r="O247" s="568">
        <f t="shared" si="482"/>
        <v>0.22513334516129035</v>
      </c>
      <c r="P247" s="568">
        <f t="shared" si="482"/>
        <v>0.23639001241935489</v>
      </c>
      <c r="Q247" s="568">
        <f t="shared" si="482"/>
        <v>0.24820951304032263</v>
      </c>
      <c r="R247" s="568">
        <f t="shared" si="482"/>
        <v>0.26061998869233877</v>
      </c>
      <c r="S247" s="568">
        <f t="shared" si="482"/>
        <v>0.27365098812695565</v>
      </c>
      <c r="T247" s="568">
        <f t="shared" si="482"/>
        <v>0.28733353753330354</v>
      </c>
      <c r="U247" s="568">
        <f t="shared" si="482"/>
        <v>0.30170021440996864</v>
      </c>
      <c r="V247" s="568">
        <f t="shared" si="482"/>
        <v>0.31678522513046709</v>
      </c>
      <c r="W247" s="568">
        <f t="shared" si="482"/>
        <v>0.33262448638699044</v>
      </c>
      <c r="X247" s="568">
        <f t="shared" si="482"/>
        <v>0.34925571070633998</v>
      </c>
      <c r="Y247" s="568">
        <f t="shared" si="482"/>
        <v>0.36671849624165698</v>
      </c>
      <c r="Z247" s="568">
        <f t="shared" si="482"/>
        <v>0.38505442105373988</v>
      </c>
      <c r="AA247" s="568">
        <f t="shared" si="482"/>
        <v>0.40430714210642676</v>
      </c>
      <c r="AB247" s="568">
        <f t="shared" si="482"/>
        <v>0.42452249921174823</v>
      </c>
      <c r="AC247" s="568">
        <f t="shared" si="482"/>
        <v>0.44574862417233563</v>
      </c>
      <c r="AD247" s="568">
        <f t="shared" si="482"/>
        <v>0.46803605538095244</v>
      </c>
      <c r="AE247" s="568">
        <f t="shared" si="482"/>
        <v>0.49143785815000002</v>
      </c>
      <c r="AF247" s="568">
        <f t="shared" si="482"/>
        <v>0.51600975105750013</v>
      </c>
      <c r="AG247" s="568">
        <f t="shared" si="482"/>
        <v>0.54181023861037514</v>
      </c>
      <c r="AH247" s="568">
        <f t="shared" si="482"/>
        <v>0.56890075054089384</v>
      </c>
      <c r="AI247" s="568">
        <f t="shared" si="482"/>
        <v>0.59734578806793848</v>
      </c>
      <c r="AJ247" s="568">
        <f t="shared" si="482"/>
        <v>0.62721307747133548</v>
      </c>
    </row>
    <row r="248" spans="1:36" s="299" customFormat="1" hidden="1" outlineLevel="1" x14ac:dyDescent="0.25">
      <c r="A248" s="299" t="s">
        <v>423</v>
      </c>
      <c r="C248" s="299" t="s">
        <v>367</v>
      </c>
      <c r="E248" s="331"/>
      <c r="F248" s="331"/>
      <c r="H248" s="561" t="s">
        <v>673</v>
      </c>
      <c r="I248" s="562" t="str">
        <f t="shared" si="445"/>
        <v>tr. VND/tấn</v>
      </c>
      <c r="K248" s="566"/>
      <c r="L248" s="566">
        <f>-IF($H$9="VND",L216/L190/$H$10/10^3,L216/L190/$H$10*10^3)</f>
        <v>0.20420258064516131</v>
      </c>
      <c r="M248" s="566">
        <f t="shared" ref="M248:AJ248" si="483">-IF($H$9="VND",M216/M190/$H$10/10^3,M216/M190/$H$10*10^3)</f>
        <v>0.20420258064516134</v>
      </c>
      <c r="N248" s="566">
        <f t="shared" si="483"/>
        <v>0.21441270967741941</v>
      </c>
      <c r="O248" s="566">
        <f t="shared" si="483"/>
        <v>0.22513334516129035</v>
      </c>
      <c r="P248" s="566">
        <f t="shared" si="483"/>
        <v>0.23639001241935489</v>
      </c>
      <c r="Q248" s="566">
        <f t="shared" si="483"/>
        <v>0.24820951304032263</v>
      </c>
      <c r="R248" s="566">
        <f t="shared" si="483"/>
        <v>0.26061998869233877</v>
      </c>
      <c r="S248" s="566">
        <f t="shared" si="483"/>
        <v>0.27365098812695565</v>
      </c>
      <c r="T248" s="566">
        <f t="shared" si="483"/>
        <v>0.28733353753330354</v>
      </c>
      <c r="U248" s="566">
        <f t="shared" si="483"/>
        <v>0.30170021440996864</v>
      </c>
      <c r="V248" s="566">
        <f t="shared" si="483"/>
        <v>0.31678522513046709</v>
      </c>
      <c r="W248" s="566">
        <f t="shared" si="483"/>
        <v>0.33262448638699044</v>
      </c>
      <c r="X248" s="566">
        <f t="shared" si="483"/>
        <v>0.34925571070633998</v>
      </c>
      <c r="Y248" s="566">
        <f t="shared" si="483"/>
        <v>0.36671849624165698</v>
      </c>
      <c r="Z248" s="566">
        <f t="shared" si="483"/>
        <v>0.38505442105373988</v>
      </c>
      <c r="AA248" s="566">
        <f t="shared" si="483"/>
        <v>0.40430714210642676</v>
      </c>
      <c r="AB248" s="566">
        <f t="shared" si="483"/>
        <v>0.42452249921174823</v>
      </c>
      <c r="AC248" s="566">
        <f t="shared" si="483"/>
        <v>0.44574862417233563</v>
      </c>
      <c r="AD248" s="566">
        <f t="shared" si="483"/>
        <v>0.46803605538095244</v>
      </c>
      <c r="AE248" s="566">
        <f t="shared" si="483"/>
        <v>0.49143785815000002</v>
      </c>
      <c r="AF248" s="566">
        <f t="shared" si="483"/>
        <v>0.51600975105750013</v>
      </c>
      <c r="AG248" s="566">
        <f t="shared" si="483"/>
        <v>0.54181023861037514</v>
      </c>
      <c r="AH248" s="566">
        <f t="shared" si="483"/>
        <v>0.56890075054089384</v>
      </c>
      <c r="AI248" s="566">
        <f t="shared" si="483"/>
        <v>0.59734578806793848</v>
      </c>
      <c r="AJ248" s="566">
        <f t="shared" si="483"/>
        <v>0.62721307747133548</v>
      </c>
    </row>
    <row r="249" spans="1:36" s="299" customFormat="1" hidden="1" outlineLevel="1" x14ac:dyDescent="0.25">
      <c r="A249" s="299" t="s">
        <v>423</v>
      </c>
      <c r="C249" s="299" t="s">
        <v>367</v>
      </c>
      <c r="E249" s="331"/>
      <c r="F249" s="331"/>
      <c r="H249" s="561" t="s">
        <v>674</v>
      </c>
      <c r="I249" s="562" t="str">
        <f t="shared" si="445"/>
        <v>tr. VND/tấn</v>
      </c>
      <c r="K249" s="566"/>
      <c r="L249" s="566">
        <f>-IF($H$9="VND",L217/L190/$H$10/10^3,L217/L190/$H$10*10^3)</f>
        <v>0</v>
      </c>
      <c r="M249" s="566">
        <f t="shared" ref="M249:AJ249" si="484">-IF($H$9="VND",M217/M190/$H$10/10^3,M217/M190/$H$10*10^3)</f>
        <v>0</v>
      </c>
      <c r="N249" s="566">
        <f t="shared" si="484"/>
        <v>0</v>
      </c>
      <c r="O249" s="566">
        <f t="shared" si="484"/>
        <v>0</v>
      </c>
      <c r="P249" s="566">
        <f t="shared" si="484"/>
        <v>0</v>
      </c>
      <c r="Q249" s="566">
        <f t="shared" si="484"/>
        <v>0</v>
      </c>
      <c r="R249" s="566">
        <f t="shared" si="484"/>
        <v>0</v>
      </c>
      <c r="S249" s="566">
        <f t="shared" si="484"/>
        <v>0</v>
      </c>
      <c r="T249" s="566">
        <f t="shared" si="484"/>
        <v>0</v>
      </c>
      <c r="U249" s="566">
        <f t="shared" si="484"/>
        <v>0</v>
      </c>
      <c r="V249" s="566">
        <f t="shared" si="484"/>
        <v>0</v>
      </c>
      <c r="W249" s="566">
        <f t="shared" si="484"/>
        <v>0</v>
      </c>
      <c r="X249" s="566">
        <f t="shared" si="484"/>
        <v>0</v>
      </c>
      <c r="Y249" s="566">
        <f t="shared" si="484"/>
        <v>0</v>
      </c>
      <c r="Z249" s="566">
        <f t="shared" si="484"/>
        <v>0</v>
      </c>
      <c r="AA249" s="566">
        <f t="shared" si="484"/>
        <v>0</v>
      </c>
      <c r="AB249" s="566">
        <f t="shared" si="484"/>
        <v>0</v>
      </c>
      <c r="AC249" s="566">
        <f t="shared" si="484"/>
        <v>0</v>
      </c>
      <c r="AD249" s="566">
        <f t="shared" si="484"/>
        <v>0</v>
      </c>
      <c r="AE249" s="566">
        <f t="shared" si="484"/>
        <v>0</v>
      </c>
      <c r="AF249" s="566">
        <f t="shared" si="484"/>
        <v>0</v>
      </c>
      <c r="AG249" s="566">
        <f t="shared" si="484"/>
        <v>0</v>
      </c>
      <c r="AH249" s="566">
        <f t="shared" si="484"/>
        <v>0</v>
      </c>
      <c r="AI249" s="566">
        <f t="shared" si="484"/>
        <v>0</v>
      </c>
      <c r="AJ249" s="566">
        <f t="shared" si="484"/>
        <v>0</v>
      </c>
    </row>
    <row r="250" spans="1:36" hidden="1" outlineLevel="1" x14ac:dyDescent="0.25">
      <c r="A250" t="s">
        <v>423</v>
      </c>
      <c r="H250" s="559" t="s">
        <v>180</v>
      </c>
      <c r="I250" s="560" t="str">
        <f t="shared" si="445"/>
        <v>tr. VND/tấn</v>
      </c>
      <c r="K250" s="568">
        <f>SUM(K251:K253)</f>
        <v>0</v>
      </c>
      <c r="L250" s="568">
        <f>SUM(L251:L253)</f>
        <v>2.8517944941592819</v>
      </c>
      <c r="M250" s="568">
        <f t="shared" ref="M250:AJ250" si="485">SUM(M251:M253)</f>
        <v>2.6444348793406025</v>
      </c>
      <c r="N250" s="568">
        <f t="shared" si="485"/>
        <v>2.6020576205041324</v>
      </c>
      <c r="O250" s="568">
        <f t="shared" si="485"/>
        <v>2.7208571953955469</v>
      </c>
      <c r="P250" s="568">
        <f t="shared" si="485"/>
        <v>2.8455967490315333</v>
      </c>
      <c r="Q250" s="568">
        <f t="shared" si="485"/>
        <v>2.9765732803493177</v>
      </c>
      <c r="R250" s="568">
        <f t="shared" si="485"/>
        <v>3.1140986382329929</v>
      </c>
      <c r="S250" s="568">
        <f t="shared" si="485"/>
        <v>3.2585002640108494</v>
      </c>
      <c r="T250" s="568">
        <f t="shared" si="485"/>
        <v>3.4101219710776007</v>
      </c>
      <c r="U250" s="568">
        <f t="shared" si="485"/>
        <v>3.569324763497689</v>
      </c>
      <c r="V250" s="568">
        <f t="shared" si="485"/>
        <v>3.7364876955387816</v>
      </c>
      <c r="W250" s="568">
        <f t="shared" si="485"/>
        <v>3.9120087741819294</v>
      </c>
      <c r="X250" s="568">
        <f t="shared" si="485"/>
        <v>3.9152680761591467</v>
      </c>
      <c r="Y250" s="568">
        <f t="shared" si="485"/>
        <v>4.1087800653632156</v>
      </c>
      <c r="Z250" s="568">
        <f t="shared" si="485"/>
        <v>4.31196765402749</v>
      </c>
      <c r="AA250" s="568">
        <f t="shared" si="485"/>
        <v>4.5253146221249763</v>
      </c>
      <c r="AB250" s="568">
        <f t="shared" si="485"/>
        <v>4.7493289386273387</v>
      </c>
      <c r="AC250" s="568">
        <f t="shared" si="485"/>
        <v>4.9845439709548183</v>
      </c>
      <c r="AD250" s="568">
        <f t="shared" si="485"/>
        <v>5.2315197548986738</v>
      </c>
      <c r="AE250" s="568">
        <f t="shared" si="485"/>
        <v>5.490844328039719</v>
      </c>
      <c r="AF250" s="568">
        <f t="shared" si="485"/>
        <v>5.7631351298378179</v>
      </c>
      <c r="AG250" s="568">
        <f t="shared" si="485"/>
        <v>6.0490404717258226</v>
      </c>
      <c r="AH250" s="568">
        <f t="shared" si="485"/>
        <v>6.3492410807082234</v>
      </c>
      <c r="AI250" s="568">
        <f t="shared" si="485"/>
        <v>6.6644517201397475</v>
      </c>
      <c r="AJ250" s="568">
        <f t="shared" si="485"/>
        <v>6.9954228915428498</v>
      </c>
    </row>
    <row r="251" spans="1:36" s="299" customFormat="1" hidden="1" outlineLevel="1" x14ac:dyDescent="0.25">
      <c r="A251" s="299" t="s">
        <v>423</v>
      </c>
      <c r="C251" s="299" t="s">
        <v>367</v>
      </c>
      <c r="H251" s="561" t="s">
        <v>73</v>
      </c>
      <c r="I251" s="562" t="str">
        <f t="shared" si="445"/>
        <v>tr. VND/tấn</v>
      </c>
      <c r="K251" s="566"/>
      <c r="L251" s="566">
        <f t="shared" ref="L251:AJ251" si="486">-IF($H$9="VND",L219/L190/$H$10/10^3,L219/L190/$H$10*10^3)</f>
        <v>1.713709677419355</v>
      </c>
      <c r="M251" s="566">
        <f t="shared" si="486"/>
        <v>1.7137096774193543</v>
      </c>
      <c r="N251" s="566">
        <f t="shared" si="486"/>
        <v>1.7993951612903227</v>
      </c>
      <c r="O251" s="566">
        <f t="shared" si="486"/>
        <v>1.8893649193548387</v>
      </c>
      <c r="P251" s="566">
        <f t="shared" si="486"/>
        <v>1.9838331653225811</v>
      </c>
      <c r="Q251" s="566">
        <f t="shared" si="486"/>
        <v>2.0830248235887097</v>
      </c>
      <c r="R251" s="566">
        <f t="shared" si="486"/>
        <v>2.187176064768146</v>
      </c>
      <c r="S251" s="566">
        <f t="shared" si="486"/>
        <v>2.2965348680065523</v>
      </c>
      <c r="T251" s="566">
        <f t="shared" si="486"/>
        <v>2.4113616114068805</v>
      </c>
      <c r="U251" s="566">
        <f t="shared" si="486"/>
        <v>2.5319296919772243</v>
      </c>
      <c r="V251" s="566">
        <f t="shared" si="486"/>
        <v>2.6585261765760855</v>
      </c>
      <c r="W251" s="566">
        <f t="shared" si="486"/>
        <v>2.7914524854048901</v>
      </c>
      <c r="X251" s="566">
        <f t="shared" si="486"/>
        <v>2.9310251096751343</v>
      </c>
      <c r="Y251" s="566">
        <f t="shared" si="486"/>
        <v>3.0775763651588903</v>
      </c>
      <c r="Z251" s="566">
        <f t="shared" si="486"/>
        <v>3.2314551834168355</v>
      </c>
      <c r="AA251" s="566">
        <f t="shared" si="486"/>
        <v>3.3930279425876764</v>
      </c>
      <c r="AB251" s="566">
        <f t="shared" si="486"/>
        <v>3.5626793397170613</v>
      </c>
      <c r="AC251" s="566">
        <f t="shared" si="486"/>
        <v>3.7408133067029143</v>
      </c>
      <c r="AD251" s="566">
        <f t="shared" si="486"/>
        <v>3.9278539720380619</v>
      </c>
      <c r="AE251" s="566">
        <f t="shared" si="486"/>
        <v>4.1242466706399634</v>
      </c>
      <c r="AF251" s="566">
        <f t="shared" si="486"/>
        <v>4.3304590041719617</v>
      </c>
      <c r="AG251" s="566">
        <f t="shared" si="486"/>
        <v>4.546981954380561</v>
      </c>
      <c r="AH251" s="566">
        <f t="shared" si="486"/>
        <v>4.774331052099587</v>
      </c>
      <c r="AI251" s="566">
        <f t="shared" si="486"/>
        <v>5.0130476047045667</v>
      </c>
      <c r="AJ251" s="566">
        <f t="shared" si="486"/>
        <v>5.2636999849397963</v>
      </c>
    </row>
    <row r="252" spans="1:36" s="299" customFormat="1" hidden="1" outlineLevel="1" x14ac:dyDescent="0.25">
      <c r="A252" s="299" t="s">
        <v>423</v>
      </c>
      <c r="C252" s="299" t="s">
        <v>370</v>
      </c>
      <c r="H252" s="561" t="s">
        <v>192</v>
      </c>
      <c r="I252" s="562" t="str">
        <f t="shared" si="445"/>
        <v>tr. VND/tấn</v>
      </c>
      <c r="K252" s="566"/>
      <c r="L252" s="566">
        <f t="shared" ref="L252:AJ252" si="487">-IF($H$9="VND",L220/L190/$H$10/10^3,L220/L190/$H$10*10^3)</f>
        <v>0.3305555555555556</v>
      </c>
      <c r="M252" s="566">
        <f t="shared" si="487"/>
        <v>0.3305555555555556</v>
      </c>
      <c r="N252" s="566">
        <f t="shared" si="487"/>
        <v>0.34708333333333335</v>
      </c>
      <c r="O252" s="566">
        <f t="shared" si="487"/>
        <v>0.36443750000000008</v>
      </c>
      <c r="P252" s="566">
        <f t="shared" si="487"/>
        <v>0.38265937500000008</v>
      </c>
      <c r="Q252" s="566">
        <f t="shared" si="487"/>
        <v>0.40179234375000006</v>
      </c>
      <c r="R252" s="566">
        <f t="shared" si="487"/>
        <v>0.42188196093750002</v>
      </c>
      <c r="S252" s="566">
        <f t="shared" si="487"/>
        <v>0.44297605898437503</v>
      </c>
      <c r="T252" s="566">
        <f t="shared" si="487"/>
        <v>0.46512486193359387</v>
      </c>
      <c r="U252" s="566">
        <f t="shared" si="487"/>
        <v>0.48838110503027343</v>
      </c>
      <c r="V252" s="566">
        <f t="shared" si="487"/>
        <v>0.51280016028178721</v>
      </c>
      <c r="W252" s="566">
        <f t="shared" si="487"/>
        <v>0.5384401682958766</v>
      </c>
      <c r="X252" s="566">
        <f t="shared" si="487"/>
        <v>0.56536217671067046</v>
      </c>
      <c r="Y252" s="566">
        <f t="shared" si="487"/>
        <v>0.59363028554620378</v>
      </c>
      <c r="Z252" s="566">
        <f t="shared" si="487"/>
        <v>0.62331179982351426</v>
      </c>
      <c r="AA252" s="566">
        <f t="shared" si="487"/>
        <v>0.65447738981468984</v>
      </c>
      <c r="AB252" s="566">
        <f t="shared" si="487"/>
        <v>0.68720125930542442</v>
      </c>
      <c r="AC252" s="566">
        <f t="shared" si="487"/>
        <v>0.72156132227069569</v>
      </c>
      <c r="AD252" s="566">
        <f t="shared" si="487"/>
        <v>0.75763938838423039</v>
      </c>
      <c r="AE252" s="566">
        <f t="shared" si="487"/>
        <v>0.79552135780344191</v>
      </c>
      <c r="AF252" s="566">
        <f t="shared" si="487"/>
        <v>0.83529742569361409</v>
      </c>
      <c r="AG252" s="566">
        <f t="shared" si="487"/>
        <v>0.87706229697829474</v>
      </c>
      <c r="AH252" s="566">
        <f t="shared" si="487"/>
        <v>0.9209154118272096</v>
      </c>
      <c r="AI252" s="566">
        <f t="shared" si="487"/>
        <v>0.96696118241856999</v>
      </c>
      <c r="AJ252" s="566">
        <f t="shared" si="487"/>
        <v>1.0153092415394986</v>
      </c>
    </row>
    <row r="253" spans="1:36" s="299" customFormat="1" hidden="1" outlineLevel="1" x14ac:dyDescent="0.25">
      <c r="A253" s="299" t="s">
        <v>423</v>
      </c>
      <c r="C253" s="299" t="s">
        <v>367</v>
      </c>
      <c r="H253" s="561" t="s">
        <v>175</v>
      </c>
      <c r="I253" s="562" t="str">
        <f t="shared" si="445"/>
        <v>tr. VND/tấn</v>
      </c>
      <c r="K253" s="566"/>
      <c r="L253" s="566">
        <f>-IF($H$9="VND",L221/L190/$H$10/10^3,L221/L190/$H$10*10^3)</f>
        <v>0.80752926118437107</v>
      </c>
      <c r="M253" s="566">
        <f t="shared" ref="M253:AJ253" si="488">-IF($H$9="VND",M221/M190/$H$10/10^3,M221/M190/$H$10*10^3)</f>
        <v>0.60016964636569281</v>
      </c>
      <c r="N253" s="566">
        <f t="shared" si="488"/>
        <v>0.45557912588047633</v>
      </c>
      <c r="O253" s="566">
        <f t="shared" si="488"/>
        <v>0.46705477604070839</v>
      </c>
      <c r="P253" s="566">
        <f t="shared" si="488"/>
        <v>0.4791042087089521</v>
      </c>
      <c r="Q253" s="566">
        <f t="shared" si="488"/>
        <v>0.4917561130106079</v>
      </c>
      <c r="R253" s="566">
        <f t="shared" si="488"/>
        <v>0.50504061252734667</v>
      </c>
      <c r="S253" s="566">
        <f t="shared" si="488"/>
        <v>0.51898933701992223</v>
      </c>
      <c r="T253" s="566">
        <f t="shared" si="488"/>
        <v>0.53363549773712671</v>
      </c>
      <c r="U253" s="566">
        <f t="shared" si="488"/>
        <v>0.5490139664901913</v>
      </c>
      <c r="V253" s="566">
        <f t="shared" si="488"/>
        <v>0.565161358680909</v>
      </c>
      <c r="W253" s="566">
        <f t="shared" si="488"/>
        <v>0.5821161204811629</v>
      </c>
      <c r="X253" s="566">
        <f t="shared" si="488"/>
        <v>0.41888078977334192</v>
      </c>
      <c r="Y253" s="566">
        <f t="shared" si="488"/>
        <v>0.4375734146581215</v>
      </c>
      <c r="Z253" s="566">
        <f t="shared" si="488"/>
        <v>0.45720067078714038</v>
      </c>
      <c r="AA253" s="566">
        <f t="shared" si="488"/>
        <v>0.47780928972260989</v>
      </c>
      <c r="AB253" s="566">
        <f t="shared" si="488"/>
        <v>0.49944833960485319</v>
      </c>
      <c r="AC253" s="566">
        <f t="shared" si="488"/>
        <v>0.52216934198120835</v>
      </c>
      <c r="AD253" s="566">
        <f t="shared" si="488"/>
        <v>0.54602639447638168</v>
      </c>
      <c r="AE253" s="566">
        <f t="shared" si="488"/>
        <v>0.57107629959631345</v>
      </c>
      <c r="AF253" s="566">
        <f t="shared" si="488"/>
        <v>0.59737869997224169</v>
      </c>
      <c r="AG253" s="566">
        <f t="shared" si="488"/>
        <v>0.62499622036696645</v>
      </c>
      <c r="AH253" s="566">
        <f t="shared" si="488"/>
        <v>0.65399461678142723</v>
      </c>
      <c r="AI253" s="566">
        <f t="shared" si="488"/>
        <v>0.68444293301661119</v>
      </c>
      <c r="AJ253" s="566">
        <f t="shared" si="488"/>
        <v>0.71641366506355442</v>
      </c>
    </row>
    <row r="254" spans="1:36" hidden="1" outlineLevel="1" x14ac:dyDescent="0.25">
      <c r="A254" t="s">
        <v>423</v>
      </c>
      <c r="H254" s="247"/>
      <c r="I254" s="275"/>
      <c r="K254" s="281"/>
      <c r="L254" s="282"/>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row>
    <row r="255" spans="1:36" s="16" customFormat="1" hidden="1" outlineLevel="1" x14ac:dyDescent="0.25">
      <c r="A255" s="16" t="s">
        <v>423</v>
      </c>
      <c r="H255" s="276" t="s">
        <v>464</v>
      </c>
      <c r="I255" s="277" t="str">
        <f t="shared" si="445"/>
        <v>tr. VND/tấn</v>
      </c>
      <c r="K255" s="283">
        <f>K233+K243</f>
        <v>0</v>
      </c>
      <c r="L255" s="283">
        <f t="shared" ref="L255:AJ255" si="489">L233+L243</f>
        <v>48.9722241730286</v>
      </c>
      <c r="M255" s="283">
        <f t="shared" si="489"/>
        <v>43.580874187742964</v>
      </c>
      <c r="N255" s="283">
        <f t="shared" si="489"/>
        <v>40.387176000191388</v>
      </c>
      <c r="O255" s="283">
        <f t="shared" si="489"/>
        <v>41.262817660193718</v>
      </c>
      <c r="P255" s="283">
        <f t="shared" si="489"/>
        <v>42.165244779585606</v>
      </c>
      <c r="Q255" s="283">
        <f t="shared" si="489"/>
        <v>43.095456698864297</v>
      </c>
      <c r="R255" s="283">
        <f t="shared" si="489"/>
        <v>44.054495926902476</v>
      </c>
      <c r="S255" s="283">
        <f t="shared" si="489"/>
        <v>45.043450163394049</v>
      </c>
      <c r="T255" s="283">
        <f t="shared" si="489"/>
        <v>46.06345441970268</v>
      </c>
      <c r="U255" s="283">
        <f t="shared" si="489"/>
        <v>47.115693242979113</v>
      </c>
      <c r="V255" s="283">
        <f t="shared" si="489"/>
        <v>48.201403048654761</v>
      </c>
      <c r="W255" s="283">
        <f t="shared" si="489"/>
        <v>49.321874566674289</v>
      </c>
      <c r="X255" s="283">
        <f t="shared" si="489"/>
        <v>45.77147181154583</v>
      </c>
      <c r="Y255" s="283">
        <f t="shared" si="489"/>
        <v>46.965569155420084</v>
      </c>
      <c r="Z255" s="283">
        <f t="shared" si="489"/>
        <v>48.198652577147996</v>
      </c>
      <c r="AA255" s="283">
        <f t="shared" si="489"/>
        <v>49.472257004835463</v>
      </c>
      <c r="AB255" s="283">
        <f t="shared" si="489"/>
        <v>50.787985825477925</v>
      </c>
      <c r="AC255" s="283">
        <f t="shared" si="489"/>
        <v>52.147514142154563</v>
      </c>
      <c r="AD255" s="283">
        <f t="shared" si="489"/>
        <v>53.552592190767086</v>
      </c>
      <c r="AE255" s="283">
        <f t="shared" si="489"/>
        <v>55.005048924234373</v>
      </c>
      <c r="AF255" s="283">
        <f t="shared" si="489"/>
        <v>56.50679577244761</v>
      </c>
      <c r="AG255" s="283">
        <f t="shared" si="489"/>
        <v>58.059830586705566</v>
      </c>
      <c r="AH255" s="283">
        <f t="shared" si="489"/>
        <v>59.666241777783142</v>
      </c>
      <c r="AI255" s="283">
        <f t="shared" si="489"/>
        <v>61.328212657243483</v>
      </c>
      <c r="AJ255" s="283">
        <f t="shared" si="489"/>
        <v>63.048025992082273</v>
      </c>
    </row>
    <row r="256" spans="1:36" hidden="1" outlineLevel="1" x14ac:dyDescent="0.25">
      <c r="A256" t="s">
        <v>423</v>
      </c>
      <c r="H256" s="247"/>
      <c r="I256" s="275"/>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row>
    <row r="257" spans="1:36" hidden="1" outlineLevel="1" x14ac:dyDescent="0.25">
      <c r="A257" t="s">
        <v>423</v>
      </c>
      <c r="C257" t="s">
        <v>367</v>
      </c>
      <c r="H257" s="569" t="s">
        <v>166</v>
      </c>
      <c r="I257" s="570" t="str">
        <f t="shared" si="445"/>
        <v>tr. VND/tấn</v>
      </c>
      <c r="K257" s="571"/>
      <c r="L257" s="571">
        <f>-IF($H$9="VND",L225/L190/$H$10/10^3,L225/L190/$H$10*10^3)</f>
        <v>0.93333333333333335</v>
      </c>
      <c r="M257" s="571">
        <f t="shared" ref="M257:AJ257" si="490">-IF($H$9="VND",M225/M190/$H$10/10^3,M225/M190/$H$10*10^3)</f>
        <v>0.93333333333333335</v>
      </c>
      <c r="N257" s="571">
        <f t="shared" si="490"/>
        <v>0.98</v>
      </c>
      <c r="O257" s="571">
        <f t="shared" si="490"/>
        <v>1.0290000000000001</v>
      </c>
      <c r="P257" s="571">
        <f t="shared" si="490"/>
        <v>1.0804500000000004</v>
      </c>
      <c r="Q257" s="571">
        <f t="shared" si="490"/>
        <v>1.1344725</v>
      </c>
      <c r="R257" s="571">
        <f t="shared" si="490"/>
        <v>1.1911961250000003</v>
      </c>
      <c r="S257" s="571">
        <f t="shared" si="490"/>
        <v>1.2507559312500001</v>
      </c>
      <c r="T257" s="571">
        <f t="shared" si="490"/>
        <v>1.3132937278125003</v>
      </c>
      <c r="U257" s="571">
        <f t="shared" si="490"/>
        <v>1.378958414203125</v>
      </c>
      <c r="V257" s="571">
        <f t="shared" si="490"/>
        <v>1.4479063349132817</v>
      </c>
      <c r="W257" s="571">
        <f t="shared" si="490"/>
        <v>1.5203016516589456</v>
      </c>
      <c r="X257" s="571">
        <f t="shared" si="490"/>
        <v>1.5963167342418931</v>
      </c>
      <c r="Y257" s="571">
        <f t="shared" si="490"/>
        <v>1.6761325709539874</v>
      </c>
      <c r="Z257" s="571">
        <f t="shared" si="490"/>
        <v>1.7599391995016869</v>
      </c>
      <c r="AA257" s="571">
        <f t="shared" si="490"/>
        <v>1.8479361594767709</v>
      </c>
      <c r="AB257" s="571">
        <f t="shared" si="490"/>
        <v>1.94033296745061</v>
      </c>
      <c r="AC257" s="571">
        <f t="shared" si="490"/>
        <v>2.0373496158231403</v>
      </c>
      <c r="AD257" s="571">
        <f t="shared" si="490"/>
        <v>2.1392170966142974</v>
      </c>
      <c r="AE257" s="571">
        <f t="shared" si="490"/>
        <v>2.2461779514450129</v>
      </c>
      <c r="AF257" s="571">
        <f t="shared" si="490"/>
        <v>2.3584868490172628</v>
      </c>
      <c r="AG257" s="571">
        <f t="shared" si="490"/>
        <v>2.4764111914681264</v>
      </c>
      <c r="AH257" s="571">
        <f t="shared" si="490"/>
        <v>2.6002317510415329</v>
      </c>
      <c r="AI257" s="571">
        <f t="shared" si="490"/>
        <v>2.7302433385936089</v>
      </c>
      <c r="AJ257" s="571">
        <f t="shared" si="490"/>
        <v>2.8667555055232903</v>
      </c>
    </row>
    <row r="258" spans="1:36" hidden="1" outlineLevel="1" x14ac:dyDescent="0.25">
      <c r="A258" t="s">
        <v>423</v>
      </c>
      <c r="C258" t="s">
        <v>367</v>
      </c>
      <c r="H258" s="559" t="s">
        <v>469</v>
      </c>
      <c r="I258" s="560" t="str">
        <f t="shared" si="445"/>
        <v>tr. VND/tấn</v>
      </c>
      <c r="K258" s="572"/>
      <c r="L258" s="572">
        <f t="shared" ref="L258:AJ258" si="491">-IF($H$9="VND",L226/L190/$H$10/10^3,L226/L190/$H$10*10^3)</f>
        <v>0.37087222464266623</v>
      </c>
      <c r="M258" s="572">
        <f t="shared" si="491"/>
        <v>0.37087222464266623</v>
      </c>
      <c r="N258" s="572">
        <f t="shared" si="491"/>
        <v>0.38941583587479961</v>
      </c>
      <c r="O258" s="572">
        <f t="shared" si="491"/>
        <v>0.40888662766853956</v>
      </c>
      <c r="P258" s="572">
        <f t="shared" si="491"/>
        <v>0.4293309590519665</v>
      </c>
      <c r="Q258" s="572">
        <f t="shared" si="491"/>
        <v>0.45079750700456472</v>
      </c>
      <c r="R258" s="572">
        <f t="shared" si="491"/>
        <v>0.47333738235479306</v>
      </c>
      <c r="S258" s="572">
        <f t="shared" si="491"/>
        <v>0.49700425147253269</v>
      </c>
      <c r="T258" s="572">
        <f t="shared" si="491"/>
        <v>0.52185446404615943</v>
      </c>
      <c r="U258" s="572">
        <f t="shared" si="491"/>
        <v>0.54794718724846736</v>
      </c>
      <c r="V258" s="572">
        <f t="shared" si="491"/>
        <v>0.57534454661089074</v>
      </c>
      <c r="W258" s="572">
        <f t="shared" si="491"/>
        <v>0.60411177394143523</v>
      </c>
      <c r="X258" s="572">
        <f t="shared" si="491"/>
        <v>0.63431736263850702</v>
      </c>
      <c r="Y258" s="572">
        <f t="shared" si="491"/>
        <v>0.66603323077043242</v>
      </c>
      <c r="Z258" s="572">
        <f t="shared" si="491"/>
        <v>0.69933489230895407</v>
      </c>
      <c r="AA258" s="572">
        <f t="shared" si="491"/>
        <v>0.73430163692440165</v>
      </c>
      <c r="AB258" s="572">
        <f t="shared" si="491"/>
        <v>0.77101671877062206</v>
      </c>
      <c r="AC258" s="572">
        <f t="shared" si="491"/>
        <v>0.80956755470915298</v>
      </c>
      <c r="AD258" s="572">
        <f t="shared" si="491"/>
        <v>0.85004593244461069</v>
      </c>
      <c r="AE258" s="572">
        <f t="shared" si="491"/>
        <v>0.89254822906684139</v>
      </c>
      <c r="AF258" s="572">
        <f t="shared" si="491"/>
        <v>0.93717564052018332</v>
      </c>
      <c r="AG258" s="572">
        <f t="shared" si="491"/>
        <v>0.98403442254619244</v>
      </c>
      <c r="AH258" s="572">
        <f t="shared" si="491"/>
        <v>1.033236143673502</v>
      </c>
      <c r="AI258" s="572">
        <f t="shared" si="491"/>
        <v>1.084897950857177</v>
      </c>
      <c r="AJ258" s="572">
        <f t="shared" si="491"/>
        <v>1.1391428484000361</v>
      </c>
    </row>
    <row r="259" spans="1:36" hidden="1" outlineLevel="1" x14ac:dyDescent="0.25">
      <c r="A259" t="s">
        <v>423</v>
      </c>
      <c r="C259" t="s">
        <v>367</v>
      </c>
      <c r="H259" s="559" t="s">
        <v>468</v>
      </c>
      <c r="I259" s="560" t="str">
        <f t="shared" si="445"/>
        <v>tr. VND/tấn</v>
      </c>
      <c r="K259" s="559"/>
      <c r="L259" s="572">
        <f t="shared" ref="L259:AJ259" si="492">-IF($H$9="VND",L227/L190/$H$10/10^3,L227/L190/$H$10*10^3)</f>
        <v>0.12422064680508108</v>
      </c>
      <c r="M259" s="572">
        <f t="shared" si="492"/>
        <v>0.12422064680508105</v>
      </c>
      <c r="N259" s="572">
        <f t="shared" si="492"/>
        <v>0.13043167914533513</v>
      </c>
      <c r="O259" s="572">
        <f t="shared" si="492"/>
        <v>0.13695326310260192</v>
      </c>
      <c r="P259" s="572">
        <f t="shared" si="492"/>
        <v>0.14380092625773203</v>
      </c>
      <c r="Q259" s="572">
        <f t="shared" si="492"/>
        <v>0.15099097257061855</v>
      </c>
      <c r="R259" s="572">
        <f t="shared" si="492"/>
        <v>0.15854052119914955</v>
      </c>
      <c r="S259" s="572">
        <f t="shared" si="492"/>
        <v>0.16646754725910701</v>
      </c>
      <c r="T259" s="572">
        <f t="shared" si="492"/>
        <v>0.17479092462206236</v>
      </c>
      <c r="U259" s="572">
        <f t="shared" si="492"/>
        <v>0.18353047085316543</v>
      </c>
      <c r="V259" s="572">
        <f t="shared" si="492"/>
        <v>0.19270699439582373</v>
      </c>
      <c r="W259" s="572">
        <f t="shared" si="492"/>
        <v>0.20234234411561494</v>
      </c>
      <c r="X259" s="572">
        <f t="shared" si="492"/>
        <v>0.21245946132139568</v>
      </c>
      <c r="Y259" s="572">
        <f t="shared" si="492"/>
        <v>0.22308243438746542</v>
      </c>
      <c r="Z259" s="572">
        <f t="shared" si="492"/>
        <v>0.23423655610683877</v>
      </c>
      <c r="AA259" s="572">
        <f t="shared" si="492"/>
        <v>0.24594838391218063</v>
      </c>
      <c r="AB259" s="572">
        <f t="shared" si="492"/>
        <v>0.25824580310778977</v>
      </c>
      <c r="AC259" s="572">
        <f t="shared" si="492"/>
        <v>0.27115809326317925</v>
      </c>
      <c r="AD259" s="572">
        <f t="shared" si="492"/>
        <v>0.28471599792633823</v>
      </c>
      <c r="AE259" s="572">
        <f t="shared" si="492"/>
        <v>0.29895179782265513</v>
      </c>
      <c r="AF259" s="572">
        <f t="shared" si="492"/>
        <v>0.31389938771378784</v>
      </c>
      <c r="AG259" s="572">
        <f t="shared" si="492"/>
        <v>0.32959435709947732</v>
      </c>
      <c r="AH259" s="572">
        <f t="shared" si="492"/>
        <v>0.34607407495445114</v>
      </c>
      <c r="AI259" s="572">
        <f t="shared" si="492"/>
        <v>0.36337777870217358</v>
      </c>
      <c r="AJ259" s="572">
        <f t="shared" si="492"/>
        <v>0.38154666763728246</v>
      </c>
    </row>
    <row r="260" spans="1:36" hidden="1" outlineLevel="1" x14ac:dyDescent="0.25">
      <c r="A260" t="s">
        <v>423</v>
      </c>
      <c r="C260" t="s">
        <v>367</v>
      </c>
      <c r="H260" s="559" t="s">
        <v>470</v>
      </c>
      <c r="I260" s="560" t="str">
        <f t="shared" si="445"/>
        <v>tr. VND/tấn</v>
      </c>
      <c r="K260" s="559"/>
      <c r="L260" s="572">
        <f t="shared" ref="L260:AJ260" si="493">-IF($H$9="VND",L228/L190/$H$10/10^3,L228/L190/$H$10*10^3)</f>
        <v>8.7950967176552677</v>
      </c>
      <c r="M260" s="572">
        <f t="shared" si="493"/>
        <v>6.2267561337468216</v>
      </c>
      <c r="N260" s="572">
        <f t="shared" si="493"/>
        <v>4.3168047032015275</v>
      </c>
      <c r="O260" s="572">
        <f t="shared" si="493"/>
        <v>4.2715261455465798</v>
      </c>
      <c r="P260" s="572">
        <f t="shared" si="493"/>
        <v>4.2226253032792354</v>
      </c>
      <c r="Q260" s="572">
        <f t="shared" si="493"/>
        <v>4.1698123936305045</v>
      </c>
      <c r="R260" s="572">
        <f t="shared" si="493"/>
        <v>4.1127744512098756</v>
      </c>
      <c r="S260" s="572">
        <f t="shared" si="493"/>
        <v>4.0511734733955942</v>
      </c>
      <c r="T260" s="572">
        <f t="shared" si="493"/>
        <v>3.9846444173561713</v>
      </c>
      <c r="U260" s="572">
        <f t="shared" si="493"/>
        <v>3.9127930368335946</v>
      </c>
      <c r="V260" s="572">
        <f t="shared" si="493"/>
        <v>3.8351935458692128</v>
      </c>
      <c r="W260" s="572">
        <f t="shared" si="493"/>
        <v>3.7513860956276792</v>
      </c>
      <c r="X260" s="572">
        <f t="shared" si="493"/>
        <v>3.6608740493668237</v>
      </c>
      <c r="Y260" s="572">
        <f t="shared" si="493"/>
        <v>3.5631210394051003</v>
      </c>
      <c r="Z260" s="572">
        <f t="shared" si="493"/>
        <v>3.4575477886464379</v>
      </c>
      <c r="AA260" s="572">
        <f t="shared" si="493"/>
        <v>3.3435286778270821</v>
      </c>
      <c r="AB260" s="572">
        <f t="shared" si="493"/>
        <v>3.2203880381421781</v>
      </c>
      <c r="AC260" s="572">
        <f t="shared" si="493"/>
        <v>3.0873961472824831</v>
      </c>
      <c r="AD260" s="572">
        <f t="shared" si="493"/>
        <v>2.9437649051540111</v>
      </c>
      <c r="AE260" s="572">
        <f t="shared" si="493"/>
        <v>2.7886431636552618</v>
      </c>
      <c r="AF260" s="572">
        <f t="shared" si="493"/>
        <v>2.621111682836613</v>
      </c>
      <c r="AG260" s="572">
        <f t="shared" si="493"/>
        <v>2.4401776835524718</v>
      </c>
      <c r="AH260" s="572">
        <f t="shared" si="493"/>
        <v>2.2447689643255999</v>
      </c>
      <c r="AI260" s="572">
        <f t="shared" si="493"/>
        <v>2.0337275475605772</v>
      </c>
      <c r="AJ260" s="572">
        <f t="shared" si="493"/>
        <v>1.805802817454353</v>
      </c>
    </row>
    <row r="261" spans="1:36" hidden="1" outlineLevel="1" x14ac:dyDescent="0.25">
      <c r="A261" t="s">
        <v>423</v>
      </c>
      <c r="H261" s="247"/>
      <c r="I261" s="275"/>
      <c r="K261" s="247"/>
      <c r="L261" s="247"/>
      <c r="M261" s="247"/>
      <c r="N261" s="247"/>
      <c r="O261" s="247"/>
      <c r="P261" s="247"/>
      <c r="Q261" s="247"/>
      <c r="R261" s="247"/>
      <c r="S261" s="247"/>
      <c r="T261" s="247"/>
      <c r="U261" s="247"/>
      <c r="V261" s="247"/>
      <c r="W261" s="247"/>
      <c r="X261" s="247"/>
      <c r="Y261" s="247"/>
      <c r="Z261" s="247"/>
      <c r="AA261" s="247"/>
      <c r="AB261" s="247"/>
      <c r="AC261" s="247"/>
      <c r="AD261" s="247"/>
      <c r="AE261" s="247"/>
      <c r="AF261" s="247"/>
      <c r="AG261" s="247"/>
      <c r="AH261" s="247"/>
      <c r="AI261" s="247"/>
      <c r="AJ261" s="247"/>
    </row>
    <row r="262" spans="1:36" s="16" customFormat="1" hidden="1" collapsed="1" x14ac:dyDescent="0.25">
      <c r="A262" s="16" t="s">
        <v>423</v>
      </c>
      <c r="H262" s="276" t="s">
        <v>474</v>
      </c>
      <c r="I262" s="277" t="str">
        <f t="shared" si="445"/>
        <v>tr. VND/tấn</v>
      </c>
      <c r="K262" s="283">
        <f t="shared" ref="K262" si="494">K255+SUM(K257:K260)</f>
        <v>0</v>
      </c>
      <c r="L262" s="283">
        <f>L255+SUM(L257:L260)</f>
        <v>59.195747095464952</v>
      </c>
      <c r="M262" s="283">
        <f t="shared" ref="M262:AJ262" si="495">M255+SUM(M257:M260)</f>
        <v>51.236056526270865</v>
      </c>
      <c r="N262" s="283">
        <f t="shared" si="495"/>
        <v>46.203828218413051</v>
      </c>
      <c r="O262" s="283">
        <f t="shared" si="495"/>
        <v>47.109183696511437</v>
      </c>
      <c r="P262" s="283">
        <f t="shared" si="495"/>
        <v>48.041451968174542</v>
      </c>
      <c r="Q262" s="283">
        <f t="shared" si="495"/>
        <v>49.001530072069983</v>
      </c>
      <c r="R262" s="283">
        <f t="shared" si="495"/>
        <v>49.990344406666296</v>
      </c>
      <c r="S262" s="283">
        <f t="shared" si="495"/>
        <v>51.008851366771282</v>
      </c>
      <c r="T262" s="283">
        <f t="shared" si="495"/>
        <v>52.058037953539575</v>
      </c>
      <c r="U262" s="283">
        <f t="shared" si="495"/>
        <v>53.138922352117461</v>
      </c>
      <c r="V262" s="283">
        <f t="shared" si="495"/>
        <v>54.252554470443968</v>
      </c>
      <c r="W262" s="283">
        <f t="shared" si="495"/>
        <v>55.400016432017964</v>
      </c>
      <c r="X262" s="283">
        <f t="shared" si="495"/>
        <v>51.87543941911445</v>
      </c>
      <c r="Y262" s="283">
        <f t="shared" si="495"/>
        <v>53.093938430937072</v>
      </c>
      <c r="Z262" s="283">
        <f t="shared" si="495"/>
        <v>54.349711013711911</v>
      </c>
      <c r="AA262" s="283">
        <f t="shared" si="495"/>
        <v>55.643971862975896</v>
      </c>
      <c r="AB262" s="283">
        <f t="shared" si="495"/>
        <v>56.977969352949124</v>
      </c>
      <c r="AC262" s="283">
        <f t="shared" si="495"/>
        <v>58.352985553232521</v>
      </c>
      <c r="AD262" s="283">
        <f t="shared" si="495"/>
        <v>59.770336122906343</v>
      </c>
      <c r="AE262" s="283">
        <f t="shared" si="495"/>
        <v>61.231370066224144</v>
      </c>
      <c r="AF262" s="283">
        <f t="shared" si="495"/>
        <v>62.737469332535454</v>
      </c>
      <c r="AG262" s="283">
        <f t="shared" si="495"/>
        <v>64.290048241371835</v>
      </c>
      <c r="AH262" s="283">
        <f t="shared" si="495"/>
        <v>65.890552711778227</v>
      </c>
      <c r="AI262" s="283">
        <f t="shared" si="495"/>
        <v>67.540459272957023</v>
      </c>
      <c r="AJ262" s="283">
        <f t="shared" si="495"/>
        <v>69.241273831097232</v>
      </c>
    </row>
    <row r="263" spans="1:36" hidden="1" x14ac:dyDescent="0.25">
      <c r="A263" t="s">
        <v>423</v>
      </c>
    </row>
    <row r="264" spans="1:36" hidden="1" x14ac:dyDescent="0.25">
      <c r="A264" t="s">
        <v>423</v>
      </c>
      <c r="H264" s="569" t="s">
        <v>361</v>
      </c>
      <c r="I264" s="570" t="str">
        <f t="shared" si="445"/>
        <v>tr. VND/tấn</v>
      </c>
      <c r="K264" s="569"/>
      <c r="L264" s="590">
        <f>INDEX('Cover Page'!$H$12:$W$12,MATCH($A264,'Cover Page'!$H$5:$W$5,0))</f>
        <v>6.6666666666666666E-2</v>
      </c>
      <c r="M264" s="590">
        <f>INDEX('Cover Page'!$H$12:$W$12,MATCH($A264,'Cover Page'!$H$5:$W$5,0))</f>
        <v>6.6666666666666666E-2</v>
      </c>
      <c r="N264" s="590">
        <f>INDEX('Cover Page'!$H$12:$W$12,MATCH($A264,'Cover Page'!$H$5:$W$5,0))</f>
        <v>6.6666666666666666E-2</v>
      </c>
      <c r="O264" s="590">
        <f>INDEX('Cover Page'!$H$12:$W$12,MATCH($A264,'Cover Page'!$H$5:$W$5,0))</f>
        <v>6.6666666666666666E-2</v>
      </c>
      <c r="P264" s="590">
        <f>INDEX('Cover Page'!$H$12:$W$12,MATCH($A264,'Cover Page'!$H$5:$W$5,0))</f>
        <v>6.6666666666666666E-2</v>
      </c>
      <c r="Q264" s="590">
        <f>INDEX('Cover Page'!$H$12:$W$12,MATCH($A264,'Cover Page'!$H$5:$W$5,0))</f>
        <v>6.6666666666666666E-2</v>
      </c>
      <c r="R264" s="590">
        <f>INDEX('Cover Page'!$H$12:$W$12,MATCH($A264,'Cover Page'!$H$5:$W$5,0))</f>
        <v>6.6666666666666666E-2</v>
      </c>
      <c r="S264" s="590">
        <f>INDEX('Cover Page'!$H$12:$W$12,MATCH($A264,'Cover Page'!$H$5:$W$5,0))</f>
        <v>6.6666666666666666E-2</v>
      </c>
      <c r="T264" s="590">
        <f>INDEX('Cover Page'!$H$12:$W$12,MATCH($A264,'Cover Page'!$H$5:$W$5,0))</f>
        <v>6.6666666666666666E-2</v>
      </c>
      <c r="U264" s="590">
        <f>INDEX('Cover Page'!$H$12:$W$12,MATCH($A264,'Cover Page'!$H$5:$W$5,0))</f>
        <v>6.6666666666666666E-2</v>
      </c>
      <c r="V264" s="590">
        <f>INDEX('Cover Page'!$H$12:$W$12,MATCH($A264,'Cover Page'!$H$5:$W$5,0))</f>
        <v>6.6666666666666666E-2</v>
      </c>
      <c r="W264" s="590">
        <f>INDEX('Cover Page'!$H$12:$W$12,MATCH($A264,'Cover Page'!$H$5:$W$5,0))</f>
        <v>6.6666666666666666E-2</v>
      </c>
      <c r="X264" s="590">
        <f>INDEX('Cover Page'!$H$12:$W$12,MATCH($A264,'Cover Page'!$H$5:$W$5,0))</f>
        <v>6.6666666666666666E-2</v>
      </c>
      <c r="Y264" s="590">
        <f>INDEX('Cover Page'!$H$12:$W$12,MATCH($A264,'Cover Page'!$H$5:$W$5,0))</f>
        <v>6.6666666666666666E-2</v>
      </c>
      <c r="Z264" s="590">
        <f>INDEX('Cover Page'!$H$12:$W$12,MATCH($A264,'Cover Page'!$H$5:$W$5,0))</f>
        <v>6.6666666666666666E-2</v>
      </c>
      <c r="AA264" s="590">
        <f>INDEX('Cover Page'!$H$12:$W$12,MATCH($A264,'Cover Page'!$H$5:$W$5,0))</f>
        <v>6.6666666666666666E-2</v>
      </c>
      <c r="AB264" s="590">
        <f>INDEX('Cover Page'!$H$12:$W$12,MATCH($A264,'Cover Page'!$H$5:$W$5,0))</f>
        <v>6.6666666666666666E-2</v>
      </c>
      <c r="AC264" s="590">
        <f>INDEX('Cover Page'!$H$12:$W$12,MATCH($A264,'Cover Page'!$H$5:$W$5,0))</f>
        <v>6.6666666666666666E-2</v>
      </c>
      <c r="AD264" s="590">
        <f>INDEX('Cover Page'!$H$12:$W$12,MATCH($A264,'Cover Page'!$H$5:$W$5,0))</f>
        <v>6.6666666666666666E-2</v>
      </c>
      <c r="AE264" s="590">
        <f>INDEX('Cover Page'!$H$12:$W$12,MATCH($A264,'Cover Page'!$H$5:$W$5,0))</f>
        <v>6.6666666666666666E-2</v>
      </c>
      <c r="AF264" s="590">
        <f>INDEX('Cover Page'!$H$12:$W$12,MATCH($A264,'Cover Page'!$H$5:$W$5,0))</f>
        <v>6.6666666666666666E-2</v>
      </c>
      <c r="AG264" s="590">
        <f>INDEX('Cover Page'!$H$12:$W$12,MATCH($A264,'Cover Page'!$H$5:$W$5,0))</f>
        <v>6.6666666666666666E-2</v>
      </c>
      <c r="AH264" s="590">
        <f>INDEX('Cover Page'!$H$12:$W$12,MATCH($A264,'Cover Page'!$H$5:$W$5,0))</f>
        <v>6.6666666666666666E-2</v>
      </c>
      <c r="AI264" s="590">
        <f>INDEX('Cover Page'!$H$12:$W$12,MATCH($A264,'Cover Page'!$H$5:$W$5,0))</f>
        <v>6.6666666666666666E-2</v>
      </c>
      <c r="AJ264" s="590">
        <f>INDEX('Cover Page'!$H$12:$W$12,MATCH($A264,'Cover Page'!$H$5:$W$5,0))</f>
        <v>6.6666666666666666E-2</v>
      </c>
    </row>
    <row r="265" spans="1:36" s="1" customFormat="1" hidden="1" x14ac:dyDescent="0.25">
      <c r="A265" s="1" t="s">
        <v>423</v>
      </c>
      <c r="H265" s="586" t="s">
        <v>490</v>
      </c>
      <c r="I265" s="587" t="str">
        <f t="shared" si="445"/>
        <v>tr. VND/tấn</v>
      </c>
      <c r="K265" s="586"/>
      <c r="L265" s="591">
        <f t="shared" ref="L265:AJ265" si="496">L262*(1+L264)</f>
        <v>63.142130235162618</v>
      </c>
      <c r="M265" s="591">
        <f t="shared" si="496"/>
        <v>54.651793628022254</v>
      </c>
      <c r="N265" s="591">
        <f t="shared" si="496"/>
        <v>49.284083432973922</v>
      </c>
      <c r="O265" s="591">
        <f t="shared" si="496"/>
        <v>50.249795942945532</v>
      </c>
      <c r="P265" s="591">
        <f t="shared" si="496"/>
        <v>51.244215432719514</v>
      </c>
      <c r="Q265" s="591">
        <f t="shared" si="496"/>
        <v>52.268298743541315</v>
      </c>
      <c r="R265" s="591">
        <f t="shared" si="496"/>
        <v>53.323034033777382</v>
      </c>
      <c r="S265" s="591">
        <f t="shared" si="496"/>
        <v>54.409441457889365</v>
      </c>
      <c r="T265" s="591">
        <f t="shared" si="496"/>
        <v>55.528573817108878</v>
      </c>
      <c r="U265" s="591">
        <f t="shared" si="496"/>
        <v>56.681517175591956</v>
      </c>
      <c r="V265" s="591">
        <f t="shared" si="496"/>
        <v>57.86939143514023</v>
      </c>
      <c r="W265" s="591">
        <f t="shared" si="496"/>
        <v>59.093350860819157</v>
      </c>
      <c r="X265" s="591">
        <f t="shared" si="496"/>
        <v>55.333802047055414</v>
      </c>
      <c r="Y265" s="591">
        <f t="shared" si="496"/>
        <v>56.633534326332878</v>
      </c>
      <c r="Z265" s="591">
        <f t="shared" si="496"/>
        <v>57.973025081292704</v>
      </c>
      <c r="AA265" s="591">
        <f t="shared" si="496"/>
        <v>59.353569987174289</v>
      </c>
      <c r="AB265" s="591">
        <f t="shared" si="496"/>
        <v>60.776500643145731</v>
      </c>
      <c r="AC265" s="591">
        <f t="shared" si="496"/>
        <v>62.243184590114687</v>
      </c>
      <c r="AD265" s="591">
        <f t="shared" si="496"/>
        <v>63.755025197766763</v>
      </c>
      <c r="AE265" s="591">
        <f t="shared" si="496"/>
        <v>65.313461403972426</v>
      </c>
      <c r="AF265" s="591">
        <f t="shared" si="496"/>
        <v>66.91996728803781</v>
      </c>
      <c r="AG265" s="591">
        <f t="shared" si="496"/>
        <v>68.576051457463294</v>
      </c>
      <c r="AH265" s="591">
        <f t="shared" si="496"/>
        <v>70.283256225896778</v>
      </c>
      <c r="AI265" s="591">
        <f t="shared" si="496"/>
        <v>72.043156557820822</v>
      </c>
      <c r="AJ265" s="591">
        <f t="shared" si="496"/>
        <v>73.857358753170374</v>
      </c>
    </row>
    <row r="266" spans="1:36" hidden="1" x14ac:dyDescent="0.25">
      <c r="A266" t="s">
        <v>423</v>
      </c>
      <c r="H266" s="559" t="s">
        <v>292</v>
      </c>
      <c r="I266" s="560" t="str">
        <f t="shared" si="445"/>
        <v>tr. VND/tấn</v>
      </c>
      <c r="K266" s="559"/>
      <c r="L266" s="592">
        <f t="shared" ref="L266:AJ266" si="497">Tax_rate</f>
        <v>0.2</v>
      </c>
      <c r="M266" s="592">
        <f t="shared" si="497"/>
        <v>0.2</v>
      </c>
      <c r="N266" s="592">
        <f t="shared" si="497"/>
        <v>0.2</v>
      </c>
      <c r="O266" s="592">
        <f t="shared" si="497"/>
        <v>0.2</v>
      </c>
      <c r="P266" s="592">
        <f t="shared" si="497"/>
        <v>0.2</v>
      </c>
      <c r="Q266" s="592">
        <f t="shared" si="497"/>
        <v>0.2</v>
      </c>
      <c r="R266" s="592">
        <f t="shared" si="497"/>
        <v>0.2</v>
      </c>
      <c r="S266" s="592">
        <f t="shared" si="497"/>
        <v>0.2</v>
      </c>
      <c r="T266" s="592">
        <f t="shared" si="497"/>
        <v>0.2</v>
      </c>
      <c r="U266" s="592">
        <f t="shared" si="497"/>
        <v>0.2</v>
      </c>
      <c r="V266" s="592">
        <f t="shared" si="497"/>
        <v>0.2</v>
      </c>
      <c r="W266" s="592">
        <f t="shared" si="497"/>
        <v>0.2</v>
      </c>
      <c r="X266" s="592">
        <f t="shared" si="497"/>
        <v>0.2</v>
      </c>
      <c r="Y266" s="592">
        <f t="shared" si="497"/>
        <v>0.2</v>
      </c>
      <c r="Z266" s="592">
        <f t="shared" si="497"/>
        <v>0.2</v>
      </c>
      <c r="AA266" s="592">
        <f t="shared" si="497"/>
        <v>0.2</v>
      </c>
      <c r="AB266" s="592">
        <f t="shared" si="497"/>
        <v>0.2</v>
      </c>
      <c r="AC266" s="592">
        <f t="shared" si="497"/>
        <v>0.2</v>
      </c>
      <c r="AD266" s="592">
        <f t="shared" si="497"/>
        <v>0.2</v>
      </c>
      <c r="AE266" s="592">
        <f t="shared" si="497"/>
        <v>0.2</v>
      </c>
      <c r="AF266" s="592">
        <f t="shared" si="497"/>
        <v>0.2</v>
      </c>
      <c r="AG266" s="592">
        <f t="shared" si="497"/>
        <v>0.2</v>
      </c>
      <c r="AH266" s="592">
        <f t="shared" si="497"/>
        <v>0.2</v>
      </c>
      <c r="AI266" s="592">
        <f t="shared" si="497"/>
        <v>0.2</v>
      </c>
      <c r="AJ266" s="592">
        <f t="shared" si="497"/>
        <v>0.2</v>
      </c>
    </row>
    <row r="267" spans="1:36" s="1" customFormat="1" hidden="1" x14ac:dyDescent="0.25">
      <c r="A267" s="1" t="s">
        <v>423</v>
      </c>
      <c r="H267" s="586" t="s">
        <v>491</v>
      </c>
      <c r="I267" s="587" t="str">
        <f t="shared" si="445"/>
        <v>tr. VND/tấn</v>
      </c>
      <c r="K267" s="586"/>
      <c r="L267" s="591">
        <f>(L265-L262)*(1-L266)</f>
        <v>3.1571065117581329</v>
      </c>
      <c r="M267" s="591">
        <f t="shared" ref="M267:AJ267" si="498">(M265-M262)*(1-M266)</f>
        <v>2.7325896814011119</v>
      </c>
      <c r="N267" s="591">
        <f t="shared" si="498"/>
        <v>2.4642041716486975</v>
      </c>
      <c r="O267" s="591">
        <f t="shared" si="498"/>
        <v>2.5124897971472766</v>
      </c>
      <c r="P267" s="591">
        <f t="shared" si="498"/>
        <v>2.5622107716359781</v>
      </c>
      <c r="Q267" s="591">
        <f t="shared" si="498"/>
        <v>2.6134149371770663</v>
      </c>
      <c r="R267" s="591">
        <f t="shared" si="498"/>
        <v>2.6661517016888698</v>
      </c>
      <c r="S267" s="591">
        <f t="shared" si="498"/>
        <v>2.7204720728944665</v>
      </c>
      <c r="T267" s="591">
        <f t="shared" si="498"/>
        <v>2.7764286908554427</v>
      </c>
      <c r="U267" s="591">
        <f t="shared" si="498"/>
        <v>2.8340758587795962</v>
      </c>
      <c r="V267" s="591">
        <f t="shared" si="498"/>
        <v>2.8934695717570094</v>
      </c>
      <c r="W267" s="591">
        <f t="shared" si="498"/>
        <v>2.954667543040955</v>
      </c>
      <c r="X267" s="591">
        <f t="shared" si="498"/>
        <v>2.7666901023527717</v>
      </c>
      <c r="Y267" s="591">
        <f t="shared" si="498"/>
        <v>2.831676716316645</v>
      </c>
      <c r="Z267" s="591">
        <f t="shared" si="498"/>
        <v>2.8986512540646348</v>
      </c>
      <c r="AA267" s="591">
        <f t="shared" si="498"/>
        <v>2.9676784993587151</v>
      </c>
      <c r="AB267" s="591">
        <f t="shared" si="498"/>
        <v>3.0388250321572858</v>
      </c>
      <c r="AC267" s="591">
        <f t="shared" si="498"/>
        <v>3.1121592295057328</v>
      </c>
      <c r="AD267" s="591">
        <f t="shared" si="498"/>
        <v>3.1877512598883357</v>
      </c>
      <c r="AE267" s="591">
        <f t="shared" si="498"/>
        <v>3.2656730701986252</v>
      </c>
      <c r="AF267" s="591">
        <f t="shared" si="498"/>
        <v>3.3459983644018849</v>
      </c>
      <c r="AG267" s="591">
        <f t="shared" si="498"/>
        <v>3.4288025728731668</v>
      </c>
      <c r="AH267" s="591">
        <f t="shared" si="498"/>
        <v>3.5141628112948413</v>
      </c>
      <c r="AI267" s="591">
        <f t="shared" si="498"/>
        <v>3.6021578278910398</v>
      </c>
      <c r="AJ267" s="591">
        <f t="shared" si="498"/>
        <v>3.6928679376585141</v>
      </c>
    </row>
    <row r="268" spans="1:36" s="146" customFormat="1" hidden="1" x14ac:dyDescent="0.25">
      <c r="A268" s="146" t="s">
        <v>423</v>
      </c>
      <c r="H268" s="588" t="s">
        <v>492</v>
      </c>
      <c r="I268" s="589"/>
      <c r="K268" s="588"/>
      <c r="L268" s="593">
        <f>IFERROR(L267/L265,0)</f>
        <v>5.0000000000000031E-2</v>
      </c>
      <c r="M268" s="593">
        <f>IFERROR(M267/M265,0)</f>
        <v>4.9999999999999982E-2</v>
      </c>
      <c r="N268" s="593">
        <f t="shared" ref="N268:AJ268" si="499">IFERROR(N267/N265,0)</f>
        <v>5.0000000000000031E-2</v>
      </c>
      <c r="O268" s="593">
        <f t="shared" si="499"/>
        <v>0.05</v>
      </c>
      <c r="P268" s="593">
        <f t="shared" si="499"/>
        <v>5.0000000000000044E-2</v>
      </c>
      <c r="Q268" s="593">
        <f t="shared" si="499"/>
        <v>5.000000000000001E-2</v>
      </c>
      <c r="R268" s="593">
        <f t="shared" si="499"/>
        <v>5.0000000000000017E-2</v>
      </c>
      <c r="S268" s="593">
        <f t="shared" si="499"/>
        <v>4.9999999999999968E-2</v>
      </c>
      <c r="T268" s="593">
        <f t="shared" si="499"/>
        <v>4.9999999999999982E-2</v>
      </c>
      <c r="U268" s="593">
        <f t="shared" si="499"/>
        <v>4.9999999999999975E-2</v>
      </c>
      <c r="V268" s="593">
        <f t="shared" si="499"/>
        <v>4.9999999999999961E-2</v>
      </c>
      <c r="W268" s="593">
        <f t="shared" si="499"/>
        <v>4.9999999999999954E-2</v>
      </c>
      <c r="X268" s="593">
        <f t="shared" si="499"/>
        <v>5.0000000000000017E-2</v>
      </c>
      <c r="Y268" s="593">
        <f t="shared" si="499"/>
        <v>5.0000000000000017E-2</v>
      </c>
      <c r="Z268" s="593">
        <f t="shared" si="499"/>
        <v>4.9999999999999989E-2</v>
      </c>
      <c r="AA268" s="593">
        <f t="shared" si="499"/>
        <v>5.000000000000001E-2</v>
      </c>
      <c r="AB268" s="593">
        <f t="shared" si="499"/>
        <v>4.9999999999999989E-2</v>
      </c>
      <c r="AC268" s="593">
        <f t="shared" si="499"/>
        <v>4.9999999999999975E-2</v>
      </c>
      <c r="AD268" s="593">
        <f t="shared" si="499"/>
        <v>4.9999999999999961E-2</v>
      </c>
      <c r="AE268" s="593">
        <f t="shared" si="499"/>
        <v>5.0000000000000058E-2</v>
      </c>
      <c r="AF268" s="593">
        <f t="shared" si="499"/>
        <v>4.999999999999992E-2</v>
      </c>
      <c r="AG268" s="593">
        <f t="shared" si="499"/>
        <v>5.0000000000000031E-2</v>
      </c>
      <c r="AH268" s="593">
        <f t="shared" si="499"/>
        <v>5.0000000000000037E-2</v>
      </c>
      <c r="AI268" s="593">
        <f t="shared" si="499"/>
        <v>4.9999999999999982E-2</v>
      </c>
      <c r="AJ268" s="593">
        <f t="shared" si="499"/>
        <v>4.999999999999994E-2</v>
      </c>
    </row>
    <row r="269" spans="1:36" hidden="1" x14ac:dyDescent="0.25">
      <c r="A269" t="s">
        <v>423</v>
      </c>
    </row>
    <row r="270" spans="1:36" s="24" customFormat="1" ht="17.25" hidden="1" x14ac:dyDescent="0.3">
      <c r="A270" s="24" t="s">
        <v>423</v>
      </c>
      <c r="H270" s="645" t="s">
        <v>476</v>
      </c>
      <c r="I270" s="645"/>
      <c r="K270" s="645"/>
      <c r="L270" s="645"/>
      <c r="M270" s="645"/>
      <c r="N270" s="645"/>
      <c r="O270" s="645"/>
      <c r="P270" s="645"/>
      <c r="Q270" s="645"/>
      <c r="R270" s="645"/>
      <c r="S270" s="645"/>
      <c r="T270" s="645"/>
      <c r="U270" s="645"/>
      <c r="V270" s="645"/>
      <c r="W270" s="645"/>
      <c r="X270" s="645"/>
      <c r="Y270" s="645"/>
      <c r="Z270" s="645"/>
      <c r="AA270" s="645"/>
      <c r="AB270" s="645"/>
      <c r="AC270" s="645"/>
      <c r="AD270" s="645"/>
      <c r="AE270" s="645"/>
      <c r="AF270" s="645"/>
      <c r="AG270" s="645"/>
      <c r="AH270" s="645"/>
      <c r="AI270" s="645"/>
      <c r="AJ270" s="645"/>
    </row>
    <row r="271" spans="1:36" s="1" customFormat="1" hidden="1" outlineLevel="1" x14ac:dyDescent="0.25">
      <c r="A271" s="1" t="s">
        <v>423</v>
      </c>
      <c r="H271" s="287" t="s">
        <v>434</v>
      </c>
      <c r="I271" s="288" t="str">
        <f>IF($H$9="USD","USD/1.000 phôi","VND/phôi")</f>
        <v>VND/phôi</v>
      </c>
      <c r="K271" s="293">
        <f t="shared" ref="K271" si="500">SUM(K272:K273,K276:K279,)</f>
        <v>0</v>
      </c>
      <c r="L271" s="293">
        <f>SUM(L272:L273,L276:L279,)</f>
        <v>272.15949444951553</v>
      </c>
      <c r="M271" s="293">
        <f t="shared" ref="M271:AJ271" si="501">SUM(M272:M273,M276:M279,)</f>
        <v>194.39963889251109</v>
      </c>
      <c r="N271" s="293">
        <f t="shared" si="501"/>
        <v>138.64499478582374</v>
      </c>
      <c r="O271" s="293">
        <f t="shared" si="501"/>
        <v>141.33850472494305</v>
      </c>
      <c r="P271" s="293">
        <f t="shared" si="501"/>
        <v>144.16669016101832</v>
      </c>
      <c r="Q271" s="293">
        <f t="shared" si="501"/>
        <v>147.13628486889732</v>
      </c>
      <c r="R271" s="293">
        <f t="shared" si="501"/>
        <v>150.25435931217032</v>
      </c>
      <c r="S271" s="293">
        <f t="shared" si="501"/>
        <v>153.5283374776069</v>
      </c>
      <c r="T271" s="293">
        <f t="shared" si="501"/>
        <v>156.96601455131537</v>
      </c>
      <c r="U271" s="293">
        <f t="shared" si="501"/>
        <v>160.57557547870923</v>
      </c>
      <c r="V271" s="293">
        <f t="shared" si="501"/>
        <v>164.36561445247284</v>
      </c>
      <c r="W271" s="293">
        <f t="shared" si="501"/>
        <v>168.34515537492453</v>
      </c>
      <c r="X271" s="293">
        <f t="shared" si="501"/>
        <v>104.6344868692161</v>
      </c>
      <c r="Y271" s="293">
        <f t="shared" si="501"/>
        <v>109.02193073621915</v>
      </c>
      <c r="Z271" s="293">
        <f t="shared" si="501"/>
        <v>113.62874679657236</v>
      </c>
      <c r="AA271" s="293">
        <f t="shared" si="501"/>
        <v>118.46590365994321</v>
      </c>
      <c r="AB271" s="293">
        <f t="shared" si="501"/>
        <v>123.54491836648263</v>
      </c>
      <c r="AC271" s="293">
        <f t="shared" si="501"/>
        <v>128.87788380834903</v>
      </c>
      <c r="AD271" s="293">
        <f t="shared" si="501"/>
        <v>134.47749752230871</v>
      </c>
      <c r="AE271" s="293">
        <f t="shared" si="501"/>
        <v>140.3570919219664</v>
      </c>
      <c r="AF271" s="293">
        <f t="shared" si="501"/>
        <v>146.53066604160696</v>
      </c>
      <c r="AG271" s="293">
        <f t="shared" si="501"/>
        <v>153.01291886722956</v>
      </c>
      <c r="AH271" s="293">
        <f t="shared" si="501"/>
        <v>159.81928433413327</v>
      </c>
      <c r="AI271" s="293">
        <f t="shared" si="501"/>
        <v>166.96596807438215</v>
      </c>
      <c r="AJ271" s="293">
        <f t="shared" si="501"/>
        <v>174.46998600164355</v>
      </c>
    </row>
    <row r="272" spans="1:36" hidden="1" outlineLevel="1" x14ac:dyDescent="0.25">
      <c r="A272" t="s">
        <v>423</v>
      </c>
      <c r="E272" t="s">
        <v>173</v>
      </c>
      <c r="H272" s="573" t="s">
        <v>190</v>
      </c>
      <c r="I272" s="574" t="str">
        <f t="shared" ref="I272:I279" si="502">IF($H$9="USD","USD/1.000 phôi","VND/phôi")</f>
        <v>VND/phôi</v>
      </c>
      <c r="K272" s="579"/>
      <c r="L272" s="580">
        <f t="shared" ref="L272:AJ272" si="503">-IF($H$9="USD",L202/L191/$H$10*10^3,L202/L191/$H$10)</f>
        <v>164.83793305098908</v>
      </c>
      <c r="M272" s="580">
        <f t="shared" si="503"/>
        <v>117.74138075070651</v>
      </c>
      <c r="N272" s="580">
        <f t="shared" si="503"/>
        <v>82.41896652549454</v>
      </c>
      <c r="O272" s="580">
        <f t="shared" si="503"/>
        <v>82.41896652549454</v>
      </c>
      <c r="P272" s="580">
        <f t="shared" si="503"/>
        <v>82.41896652549454</v>
      </c>
      <c r="Q272" s="580">
        <f t="shared" si="503"/>
        <v>82.41896652549454</v>
      </c>
      <c r="R272" s="580">
        <f t="shared" si="503"/>
        <v>82.41896652549454</v>
      </c>
      <c r="S272" s="580">
        <f t="shared" si="503"/>
        <v>82.41896652549454</v>
      </c>
      <c r="T272" s="580">
        <f t="shared" si="503"/>
        <v>82.41896652549454</v>
      </c>
      <c r="U272" s="580">
        <f t="shared" si="503"/>
        <v>82.41896652549454</v>
      </c>
      <c r="V272" s="580">
        <f t="shared" si="503"/>
        <v>82.41896652549454</v>
      </c>
      <c r="W272" s="580">
        <f t="shared" si="503"/>
        <v>82.41896652549454</v>
      </c>
      <c r="X272" s="580">
        <f t="shared" si="503"/>
        <v>14.529780051211779</v>
      </c>
      <c r="Y272" s="580">
        <f t="shared" si="503"/>
        <v>14.529780051211779</v>
      </c>
      <c r="Z272" s="580">
        <f t="shared" si="503"/>
        <v>14.529780051211779</v>
      </c>
      <c r="AA272" s="580">
        <f t="shared" si="503"/>
        <v>14.529780051211779</v>
      </c>
      <c r="AB272" s="580">
        <f t="shared" si="503"/>
        <v>14.529780051211779</v>
      </c>
      <c r="AC272" s="580">
        <f t="shared" si="503"/>
        <v>14.529780051211779</v>
      </c>
      <c r="AD272" s="580">
        <f t="shared" si="503"/>
        <v>14.529780051211779</v>
      </c>
      <c r="AE272" s="580">
        <f t="shared" si="503"/>
        <v>14.529780051211779</v>
      </c>
      <c r="AF272" s="580">
        <f t="shared" si="503"/>
        <v>14.529780051211779</v>
      </c>
      <c r="AG272" s="580">
        <f t="shared" si="503"/>
        <v>14.529780051211779</v>
      </c>
      <c r="AH272" s="580">
        <f t="shared" si="503"/>
        <v>14.529780051211779</v>
      </c>
      <c r="AI272" s="580">
        <f t="shared" si="503"/>
        <v>14.529780051211779</v>
      </c>
      <c r="AJ272" s="580">
        <f t="shared" si="503"/>
        <v>14.529780051211779</v>
      </c>
    </row>
    <row r="273" spans="1:36" hidden="1" outlineLevel="1" x14ac:dyDescent="0.25">
      <c r="A273" t="s">
        <v>423</v>
      </c>
      <c r="H273" s="575" t="s">
        <v>429</v>
      </c>
      <c r="I273" s="576" t="str">
        <f t="shared" si="502"/>
        <v>VND/phôi</v>
      </c>
      <c r="K273" s="581">
        <f>SUM(K274:K275)</f>
        <v>0</v>
      </c>
      <c r="L273" s="581">
        <f t="shared" ref="L273:AJ273" si="504">SUM(L274:L275)</f>
        <v>30.570817055330142</v>
      </c>
      <c r="M273" s="581">
        <f t="shared" si="504"/>
        <v>21.836297896664394</v>
      </c>
      <c r="N273" s="581">
        <f t="shared" si="504"/>
        <v>16.049678954048325</v>
      </c>
      <c r="O273" s="581">
        <f t="shared" si="504"/>
        <v>16.852162901750741</v>
      </c>
      <c r="P273" s="581">
        <f t="shared" si="504"/>
        <v>17.69477104683828</v>
      </c>
      <c r="Q273" s="581">
        <f t="shared" si="504"/>
        <v>18.579509599180195</v>
      </c>
      <c r="R273" s="581">
        <f t="shared" si="504"/>
        <v>19.508485079139206</v>
      </c>
      <c r="S273" s="581">
        <f t="shared" si="504"/>
        <v>20.483909333096161</v>
      </c>
      <c r="T273" s="581">
        <f t="shared" si="504"/>
        <v>21.508104799750974</v>
      </c>
      <c r="U273" s="581">
        <f t="shared" si="504"/>
        <v>22.58351003973852</v>
      </c>
      <c r="V273" s="581">
        <f t="shared" si="504"/>
        <v>23.712685541725449</v>
      </c>
      <c r="W273" s="581">
        <f t="shared" si="504"/>
        <v>24.898319818811718</v>
      </c>
      <c r="X273" s="581">
        <f t="shared" si="504"/>
        <v>26.143235809752309</v>
      </c>
      <c r="Y273" s="581">
        <f t="shared" si="504"/>
        <v>27.450397600239921</v>
      </c>
      <c r="Z273" s="581">
        <f t="shared" si="504"/>
        <v>28.82291748025192</v>
      </c>
      <c r="AA273" s="581">
        <f t="shared" si="504"/>
        <v>30.264063354264511</v>
      </c>
      <c r="AB273" s="581">
        <f t="shared" si="504"/>
        <v>31.777266521977747</v>
      </c>
      <c r="AC273" s="581">
        <f t="shared" si="504"/>
        <v>33.366129848076632</v>
      </c>
      <c r="AD273" s="581">
        <f t="shared" si="504"/>
        <v>35.034436340480468</v>
      </c>
      <c r="AE273" s="581">
        <f t="shared" si="504"/>
        <v>36.786158157504495</v>
      </c>
      <c r="AF273" s="581">
        <f t="shared" si="504"/>
        <v>38.625466065379712</v>
      </c>
      <c r="AG273" s="581">
        <f t="shared" si="504"/>
        <v>40.556739368648692</v>
      </c>
      <c r="AH273" s="581">
        <f t="shared" si="504"/>
        <v>42.584576337081131</v>
      </c>
      <c r="AI273" s="581">
        <f t="shared" si="504"/>
        <v>44.713805153935184</v>
      </c>
      <c r="AJ273" s="581">
        <f t="shared" si="504"/>
        <v>46.949495411631951</v>
      </c>
    </row>
    <row r="274" spans="1:36" s="299" customFormat="1" hidden="1" outlineLevel="1" x14ac:dyDescent="0.25">
      <c r="A274" s="299" t="s">
        <v>423</v>
      </c>
      <c r="E274" s="299" t="s">
        <v>171</v>
      </c>
      <c r="H274" s="577" t="s">
        <v>430</v>
      </c>
      <c r="I274" s="578" t="str">
        <f t="shared" si="502"/>
        <v>VND/phôi</v>
      </c>
      <c r="K274" s="582"/>
      <c r="L274" s="582">
        <f t="shared" ref="L274:AJ274" si="505">-IF($H$9="USD",L204/L191/$H$10*10^3,L204/L191/$H$10)</f>
        <v>4.9979537420158273</v>
      </c>
      <c r="M274" s="582">
        <f t="shared" si="505"/>
        <v>3.5699669585827345</v>
      </c>
      <c r="N274" s="582">
        <f t="shared" si="505"/>
        <v>2.6239257145583097</v>
      </c>
      <c r="O274" s="582">
        <f t="shared" si="505"/>
        <v>2.7551220002862253</v>
      </c>
      <c r="P274" s="582">
        <f t="shared" si="505"/>
        <v>2.8928781003005364</v>
      </c>
      <c r="Q274" s="582">
        <f t="shared" si="505"/>
        <v>3.0375220053155632</v>
      </c>
      <c r="R274" s="582">
        <f t="shared" si="505"/>
        <v>3.1893981055813421</v>
      </c>
      <c r="S274" s="582">
        <f t="shared" si="505"/>
        <v>3.3488680108604081</v>
      </c>
      <c r="T274" s="582">
        <f t="shared" si="505"/>
        <v>3.5163114114034291</v>
      </c>
      <c r="U274" s="582">
        <f t="shared" si="505"/>
        <v>3.6921269819736002</v>
      </c>
      <c r="V274" s="582">
        <f t="shared" si="505"/>
        <v>3.8767333310722805</v>
      </c>
      <c r="W274" s="582">
        <f t="shared" si="505"/>
        <v>4.0705699976258947</v>
      </c>
      <c r="X274" s="582">
        <f t="shared" si="505"/>
        <v>4.2740984975071896</v>
      </c>
      <c r="Y274" s="582">
        <f t="shared" si="505"/>
        <v>4.4878034223825489</v>
      </c>
      <c r="Z274" s="582">
        <f t="shared" si="505"/>
        <v>4.7121935935016763</v>
      </c>
      <c r="AA274" s="582">
        <f t="shared" si="505"/>
        <v>4.9478032731767598</v>
      </c>
      <c r="AB274" s="582">
        <f t="shared" si="505"/>
        <v>5.1951934368355994</v>
      </c>
      <c r="AC274" s="582">
        <f t="shared" si="505"/>
        <v>5.4549531086773788</v>
      </c>
      <c r="AD274" s="582">
        <f t="shared" si="505"/>
        <v>5.7277007641112485</v>
      </c>
      <c r="AE274" s="582">
        <f t="shared" si="505"/>
        <v>6.0140858023168109</v>
      </c>
      <c r="AF274" s="582">
        <f t="shared" si="505"/>
        <v>6.3147900924326512</v>
      </c>
      <c r="AG274" s="582">
        <f t="shared" si="505"/>
        <v>6.6305295970542835</v>
      </c>
      <c r="AH274" s="582">
        <f t="shared" si="505"/>
        <v>6.9620560769069977</v>
      </c>
      <c r="AI274" s="582">
        <f t="shared" si="505"/>
        <v>7.310158880752347</v>
      </c>
      <c r="AJ274" s="582">
        <f t="shared" si="505"/>
        <v>7.6756668247899658</v>
      </c>
    </row>
    <row r="275" spans="1:36" s="299" customFormat="1" hidden="1" outlineLevel="1" x14ac:dyDescent="0.25">
      <c r="A275" s="299" t="s">
        <v>423</v>
      </c>
      <c r="E275" s="299" t="s">
        <v>171</v>
      </c>
      <c r="H275" s="577" t="s">
        <v>431</v>
      </c>
      <c r="I275" s="578" t="str">
        <f t="shared" si="502"/>
        <v>VND/phôi</v>
      </c>
      <c r="K275" s="582"/>
      <c r="L275" s="582">
        <f t="shared" ref="L275:AJ275" si="506">-IF($H$9="USD",L205/L191/$H$10*10^3,L205/L191/$H$10)</f>
        <v>25.572863313314315</v>
      </c>
      <c r="M275" s="582">
        <f t="shared" si="506"/>
        <v>18.266330938081659</v>
      </c>
      <c r="N275" s="582">
        <f t="shared" si="506"/>
        <v>13.425753239490016</v>
      </c>
      <c r="O275" s="582">
        <f t="shared" si="506"/>
        <v>14.097040901464517</v>
      </c>
      <c r="P275" s="582">
        <f t="shared" si="506"/>
        <v>14.801892946537745</v>
      </c>
      <c r="Q275" s="582">
        <f t="shared" si="506"/>
        <v>15.541987593864631</v>
      </c>
      <c r="R275" s="582">
        <f t="shared" si="506"/>
        <v>16.319086973557862</v>
      </c>
      <c r="S275" s="582">
        <f t="shared" si="506"/>
        <v>17.135041322235754</v>
      </c>
      <c r="T275" s="582">
        <f t="shared" si="506"/>
        <v>17.991793388347546</v>
      </c>
      <c r="U275" s="582">
        <f t="shared" si="506"/>
        <v>18.891383057764919</v>
      </c>
      <c r="V275" s="582">
        <f t="shared" si="506"/>
        <v>19.835952210653168</v>
      </c>
      <c r="W275" s="582">
        <f t="shared" si="506"/>
        <v>20.827749821185822</v>
      </c>
      <c r="X275" s="582">
        <f t="shared" si="506"/>
        <v>21.869137312245119</v>
      </c>
      <c r="Y275" s="582">
        <f t="shared" si="506"/>
        <v>22.962594177857373</v>
      </c>
      <c r="Z275" s="582">
        <f t="shared" si="506"/>
        <v>24.110723886750243</v>
      </c>
      <c r="AA275" s="582">
        <f t="shared" si="506"/>
        <v>25.316260081087751</v>
      </c>
      <c r="AB275" s="582">
        <f t="shared" si="506"/>
        <v>26.582073085142149</v>
      </c>
      <c r="AC275" s="582">
        <f t="shared" si="506"/>
        <v>27.911176739399252</v>
      </c>
      <c r="AD275" s="582">
        <f t="shared" si="506"/>
        <v>29.306735576369221</v>
      </c>
      <c r="AE275" s="582">
        <f t="shared" si="506"/>
        <v>30.772072355187682</v>
      </c>
      <c r="AF275" s="582">
        <f t="shared" si="506"/>
        <v>32.31067597294706</v>
      </c>
      <c r="AG275" s="582">
        <f t="shared" si="506"/>
        <v>33.926209771594408</v>
      </c>
      <c r="AH275" s="582">
        <f t="shared" si="506"/>
        <v>35.622520260174134</v>
      </c>
      <c r="AI275" s="582">
        <f t="shared" si="506"/>
        <v>37.403646273182837</v>
      </c>
      <c r="AJ275" s="582">
        <f t="shared" si="506"/>
        <v>39.273828586841987</v>
      </c>
    </row>
    <row r="276" spans="1:36" hidden="1" outlineLevel="1" x14ac:dyDescent="0.25">
      <c r="A276" t="s">
        <v>423</v>
      </c>
      <c r="E276" t="s">
        <v>172</v>
      </c>
      <c r="H276" s="575" t="s">
        <v>656</v>
      </c>
      <c r="I276" s="576" t="str">
        <f t="shared" si="502"/>
        <v>VND/phôi</v>
      </c>
      <c r="K276" s="581"/>
      <c r="L276" s="581">
        <f t="shared" ref="L276:AJ276" si="507">-IF($H$9="USD",L206/L191/$H$10*10^3,L206/L191/$H$10)</f>
        <v>12.205015243017893</v>
      </c>
      <c r="M276" s="581">
        <f t="shared" si="507"/>
        <v>8.7178680307270682</v>
      </c>
      <c r="N276" s="581">
        <f t="shared" si="507"/>
        <v>6.4076330025843937</v>
      </c>
      <c r="O276" s="581">
        <f t="shared" si="507"/>
        <v>6.7280146527136147</v>
      </c>
      <c r="P276" s="581">
        <f t="shared" si="507"/>
        <v>7.064415385349295</v>
      </c>
      <c r="Q276" s="581">
        <f t="shared" si="507"/>
        <v>7.4176361546167593</v>
      </c>
      <c r="R276" s="581">
        <f t="shared" si="507"/>
        <v>7.7885179623475977</v>
      </c>
      <c r="S276" s="581">
        <f t="shared" si="507"/>
        <v>8.1779438604649766</v>
      </c>
      <c r="T276" s="581">
        <f t="shared" si="507"/>
        <v>8.5868410534882287</v>
      </c>
      <c r="U276" s="581">
        <f t="shared" si="507"/>
        <v>9.0161831061626376</v>
      </c>
      <c r="V276" s="581">
        <f t="shared" si="507"/>
        <v>9.4669922614707716</v>
      </c>
      <c r="W276" s="581">
        <f t="shared" si="507"/>
        <v>9.9403418745443091</v>
      </c>
      <c r="X276" s="581">
        <f t="shared" si="507"/>
        <v>10.437358968271525</v>
      </c>
      <c r="Y276" s="581">
        <f t="shared" si="507"/>
        <v>10.9592269166851</v>
      </c>
      <c r="Z276" s="581">
        <f t="shared" si="507"/>
        <v>11.507188262519358</v>
      </c>
      <c r="AA276" s="581">
        <f t="shared" si="507"/>
        <v>12.082547675645321</v>
      </c>
      <c r="AB276" s="581">
        <f t="shared" si="507"/>
        <v>12.686675059427591</v>
      </c>
      <c r="AC276" s="581">
        <f t="shared" si="507"/>
        <v>13.32100881239897</v>
      </c>
      <c r="AD276" s="581">
        <f t="shared" si="507"/>
        <v>13.987059253018922</v>
      </c>
      <c r="AE276" s="581">
        <f t="shared" si="507"/>
        <v>14.686412215669867</v>
      </c>
      <c r="AF276" s="581">
        <f t="shared" si="507"/>
        <v>15.420732826453358</v>
      </c>
      <c r="AG276" s="581">
        <f t="shared" si="507"/>
        <v>16.191769467776027</v>
      </c>
      <c r="AH276" s="581">
        <f t="shared" si="507"/>
        <v>17.00135794116483</v>
      </c>
      <c r="AI276" s="581">
        <f t="shared" si="507"/>
        <v>17.851425838223069</v>
      </c>
      <c r="AJ276" s="581">
        <f t="shared" si="507"/>
        <v>18.743997130134225</v>
      </c>
    </row>
    <row r="277" spans="1:36" hidden="1" outlineLevel="1" x14ac:dyDescent="0.25">
      <c r="A277" t="s">
        <v>423</v>
      </c>
      <c r="E277" t="s">
        <v>172</v>
      </c>
      <c r="H277" s="575" t="s">
        <v>432</v>
      </c>
      <c r="I277" s="576" t="str">
        <f t="shared" si="502"/>
        <v>VND/phôi</v>
      </c>
      <c r="K277" s="581"/>
      <c r="L277" s="581">
        <f t="shared" ref="L277:AJ277" si="508">-IF($H$9="USD",L207/L191/$H$10*10^3,L207/L191/$H$10)</f>
        <v>57.026916638397523</v>
      </c>
      <c r="M277" s="581">
        <f t="shared" si="508"/>
        <v>40.733511884569666</v>
      </c>
      <c r="N277" s="581">
        <f t="shared" si="508"/>
        <v>29.939131235158701</v>
      </c>
      <c r="O277" s="581">
        <f t="shared" si="508"/>
        <v>31.436087796916631</v>
      </c>
      <c r="P277" s="581">
        <f t="shared" si="508"/>
        <v>33.007892186762469</v>
      </c>
      <c r="Q277" s="581">
        <f t="shared" si="508"/>
        <v>34.65828679610059</v>
      </c>
      <c r="R277" s="581">
        <f t="shared" si="508"/>
        <v>36.391201135905625</v>
      </c>
      <c r="S277" s="581">
        <f t="shared" si="508"/>
        <v>38.2107611927009</v>
      </c>
      <c r="T277" s="581">
        <f t="shared" si="508"/>
        <v>40.121299252335959</v>
      </c>
      <c r="U277" s="581">
        <f t="shared" si="508"/>
        <v>42.127364214952749</v>
      </c>
      <c r="V277" s="581">
        <f t="shared" si="508"/>
        <v>44.233732425700389</v>
      </c>
      <c r="W277" s="581">
        <f t="shared" si="508"/>
        <v>46.4454190469854</v>
      </c>
      <c r="X277" s="581">
        <f t="shared" si="508"/>
        <v>48.767689999334671</v>
      </c>
      <c r="Y277" s="581">
        <f t="shared" si="508"/>
        <v>51.206074499301408</v>
      </c>
      <c r="Z277" s="581">
        <f t="shared" si="508"/>
        <v>53.766378224266475</v>
      </c>
      <c r="AA277" s="581">
        <f t="shared" si="508"/>
        <v>56.454697135479798</v>
      </c>
      <c r="AB277" s="581">
        <f t="shared" si="508"/>
        <v>59.27743199225381</v>
      </c>
      <c r="AC277" s="581">
        <f t="shared" si="508"/>
        <v>62.241303591866483</v>
      </c>
      <c r="AD277" s="581">
        <f t="shared" si="508"/>
        <v>65.353368771459813</v>
      </c>
      <c r="AE277" s="581">
        <f t="shared" si="508"/>
        <v>68.62103721003281</v>
      </c>
      <c r="AF277" s="581">
        <f t="shared" si="508"/>
        <v>72.05208907053445</v>
      </c>
      <c r="AG277" s="581">
        <f t="shared" si="508"/>
        <v>75.654693524061173</v>
      </c>
      <c r="AH277" s="581">
        <f t="shared" si="508"/>
        <v>79.437428200264222</v>
      </c>
      <c r="AI277" s="581">
        <f t="shared" si="508"/>
        <v>83.409299610277429</v>
      </c>
      <c r="AJ277" s="581">
        <f t="shared" si="508"/>
        <v>87.579764590791328</v>
      </c>
    </row>
    <row r="278" spans="1:36" hidden="1" outlineLevel="1" x14ac:dyDescent="0.25">
      <c r="A278" t="s">
        <v>423</v>
      </c>
      <c r="E278" t="s">
        <v>172</v>
      </c>
      <c r="H278" s="575" t="s">
        <v>433</v>
      </c>
      <c r="I278" s="576" t="str">
        <f t="shared" si="502"/>
        <v>VND/phôi</v>
      </c>
      <c r="K278" s="581"/>
      <c r="L278" s="581">
        <f t="shared" ref="L278:AJ278" si="509">-IF($H$9="USD",L208/L191/$H$10*10^3,L208/L191/$H$10)</f>
        <v>2.8071535058941155</v>
      </c>
      <c r="M278" s="581">
        <f t="shared" si="509"/>
        <v>2.0051096470672256</v>
      </c>
      <c r="N278" s="581">
        <f t="shared" si="509"/>
        <v>1.4737555905944109</v>
      </c>
      <c r="O278" s="581">
        <f t="shared" si="509"/>
        <v>1.5474433701241312</v>
      </c>
      <c r="P278" s="581">
        <f t="shared" si="509"/>
        <v>1.624815538630338</v>
      </c>
      <c r="Q278" s="581">
        <f t="shared" si="509"/>
        <v>1.7060563155618549</v>
      </c>
      <c r="R278" s="581">
        <f t="shared" si="509"/>
        <v>1.7913591313399477</v>
      </c>
      <c r="S278" s="581">
        <f t="shared" si="509"/>
        <v>1.8809270879069449</v>
      </c>
      <c r="T278" s="581">
        <f t="shared" si="509"/>
        <v>1.9749734423022924</v>
      </c>
      <c r="U278" s="581">
        <f t="shared" si="509"/>
        <v>2.0737221144174067</v>
      </c>
      <c r="V278" s="581">
        <f t="shared" si="509"/>
        <v>2.1774082201382772</v>
      </c>
      <c r="W278" s="581">
        <f t="shared" si="509"/>
        <v>2.286278631145191</v>
      </c>
      <c r="X278" s="581">
        <f t="shared" si="509"/>
        <v>2.4005925627024509</v>
      </c>
      <c r="Y278" s="581">
        <f t="shared" si="509"/>
        <v>2.5206221908375728</v>
      </c>
      <c r="Z278" s="581">
        <f t="shared" si="509"/>
        <v>2.6466533003794517</v>
      </c>
      <c r="AA278" s="581">
        <f t="shared" si="509"/>
        <v>2.7789859653984244</v>
      </c>
      <c r="AB278" s="581">
        <f t="shared" si="509"/>
        <v>2.9179352636683462</v>
      </c>
      <c r="AC278" s="581">
        <f t="shared" si="509"/>
        <v>3.0638320268517631</v>
      </c>
      <c r="AD278" s="581">
        <f t="shared" si="509"/>
        <v>3.2170236281943518</v>
      </c>
      <c r="AE278" s="581">
        <f t="shared" si="509"/>
        <v>3.3778748096040694</v>
      </c>
      <c r="AF278" s="581">
        <f t="shared" si="509"/>
        <v>3.5467685500842729</v>
      </c>
      <c r="AG278" s="581">
        <f t="shared" si="509"/>
        <v>3.7241069775884865</v>
      </c>
      <c r="AH278" s="581">
        <f t="shared" si="509"/>
        <v>3.9103123264679103</v>
      </c>
      <c r="AI278" s="581">
        <f t="shared" si="509"/>
        <v>4.105827942791306</v>
      </c>
      <c r="AJ278" s="581">
        <f t="shared" si="509"/>
        <v>4.3111193399308716</v>
      </c>
    </row>
    <row r="279" spans="1:36" hidden="1" outlineLevel="1" x14ac:dyDescent="0.25">
      <c r="A279" t="s">
        <v>423</v>
      </c>
      <c r="E279" t="s">
        <v>172</v>
      </c>
      <c r="H279" s="575" t="s">
        <v>520</v>
      </c>
      <c r="I279" s="576" t="str">
        <f t="shared" si="502"/>
        <v>VND/phôi</v>
      </c>
      <c r="K279" s="581"/>
      <c r="L279" s="581">
        <f t="shared" ref="L279:AJ279" si="510">-IF($H$9="USD",L209/L191/$H$10*10^3,L209/L191/$H$10)</f>
        <v>4.7116589558867501</v>
      </c>
      <c r="M279" s="581">
        <f t="shared" si="510"/>
        <v>3.3654706827762508</v>
      </c>
      <c r="N279" s="581">
        <f t="shared" si="510"/>
        <v>2.355829477943375</v>
      </c>
      <c r="O279" s="581">
        <f t="shared" si="510"/>
        <v>2.355829477943375</v>
      </c>
      <c r="P279" s="581">
        <f t="shared" si="510"/>
        <v>2.355829477943375</v>
      </c>
      <c r="Q279" s="581">
        <f t="shared" si="510"/>
        <v>2.355829477943375</v>
      </c>
      <c r="R279" s="581">
        <f t="shared" si="510"/>
        <v>2.355829477943375</v>
      </c>
      <c r="S279" s="581">
        <f t="shared" si="510"/>
        <v>2.355829477943375</v>
      </c>
      <c r="T279" s="581">
        <f t="shared" si="510"/>
        <v>2.355829477943375</v>
      </c>
      <c r="U279" s="581">
        <f t="shared" si="510"/>
        <v>2.355829477943375</v>
      </c>
      <c r="V279" s="581">
        <f t="shared" si="510"/>
        <v>2.355829477943375</v>
      </c>
      <c r="W279" s="581">
        <f t="shared" si="510"/>
        <v>2.355829477943375</v>
      </c>
      <c r="X279" s="581">
        <f t="shared" si="510"/>
        <v>2.355829477943375</v>
      </c>
      <c r="Y279" s="581">
        <f t="shared" si="510"/>
        <v>2.355829477943375</v>
      </c>
      <c r="Z279" s="581">
        <f t="shared" si="510"/>
        <v>2.355829477943375</v>
      </c>
      <c r="AA279" s="581">
        <f t="shared" si="510"/>
        <v>2.355829477943375</v>
      </c>
      <c r="AB279" s="581">
        <f t="shared" si="510"/>
        <v>2.355829477943375</v>
      </c>
      <c r="AC279" s="581">
        <f t="shared" si="510"/>
        <v>2.355829477943375</v>
      </c>
      <c r="AD279" s="581">
        <f t="shared" si="510"/>
        <v>2.355829477943375</v>
      </c>
      <c r="AE279" s="581">
        <f t="shared" si="510"/>
        <v>2.355829477943375</v>
      </c>
      <c r="AF279" s="581">
        <f t="shared" si="510"/>
        <v>2.355829477943375</v>
      </c>
      <c r="AG279" s="581">
        <f t="shared" si="510"/>
        <v>2.355829477943375</v>
      </c>
      <c r="AH279" s="581">
        <f t="shared" si="510"/>
        <v>2.355829477943375</v>
      </c>
      <c r="AI279" s="581">
        <f t="shared" si="510"/>
        <v>2.355829477943375</v>
      </c>
      <c r="AJ279" s="581">
        <f t="shared" si="510"/>
        <v>2.355829477943375</v>
      </c>
    </row>
    <row r="280" spans="1:36" hidden="1" outlineLevel="1" x14ac:dyDescent="0.25">
      <c r="A280" t="s">
        <v>423</v>
      </c>
      <c r="H280" s="289"/>
      <c r="I280" s="290"/>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c r="AJ280" s="294"/>
    </row>
    <row r="281" spans="1:36" s="1" customFormat="1" hidden="1" outlineLevel="1" x14ac:dyDescent="0.25">
      <c r="A281" s="1" t="s">
        <v>423</v>
      </c>
      <c r="H281" s="287" t="s">
        <v>435</v>
      </c>
      <c r="I281" s="288" t="str">
        <f t="shared" ref="I281:I305" si="511">IF($H$9="USD","USD/1.000 phôi","VND/phôi")</f>
        <v>VND/phôi</v>
      </c>
      <c r="K281" s="295">
        <f>K282+K285+K288</f>
        <v>0</v>
      </c>
      <c r="L281" s="295">
        <f t="shared" ref="L281" si="512">L282+L285+L288</f>
        <v>462.42386814591333</v>
      </c>
      <c r="M281" s="295">
        <f t="shared" ref="M281" si="513">M282+M285+M288</f>
        <v>459.31347392363318</v>
      </c>
      <c r="N281" s="295">
        <f t="shared" ref="N281" si="514">N282+N285+N288</f>
        <v>467.16264521704704</v>
      </c>
      <c r="O281" s="295">
        <f t="shared" ref="O281" si="515">O282+O285+O288</f>
        <v>477.60376017796273</v>
      </c>
      <c r="P281" s="295">
        <f t="shared" ref="P281" si="516">P282+P285+P288</f>
        <v>488.31198153276563</v>
      </c>
      <c r="Q281" s="295">
        <f t="shared" ref="Q281" si="517">Q282+Q285+Q288</f>
        <v>499.29556561406702</v>
      </c>
      <c r="R281" s="295">
        <f t="shared" ref="R281" si="518">R282+R285+R288</f>
        <v>510.56307959136677</v>
      </c>
      <c r="S281" s="295">
        <f t="shared" ref="S281" si="519">S282+S285+S288</f>
        <v>522.12341497330374</v>
      </c>
      <c r="T281" s="295">
        <f t="shared" ref="T281" si="520">T282+T285+T288</f>
        <v>533.98580174422489</v>
      </c>
      <c r="U281" s="295">
        <f t="shared" ref="U281" si="521">U282+U285+U288</f>
        <v>546.15982316597729</v>
      </c>
      <c r="V281" s="295">
        <f t="shared" ref="V281" si="522">V282+V285+V288</f>
        <v>558.6554312773485</v>
      </c>
      <c r="W281" s="295">
        <f t="shared" ref="W281" si="523">W282+W285+W288</f>
        <v>571.48296312518983</v>
      </c>
      <c r="X281" s="295">
        <f t="shared" ref="X281" si="524">X282+X285+X288</f>
        <v>581.93759030397132</v>
      </c>
      <c r="Y281" s="295">
        <f t="shared" ref="Y281" si="525">Y282+Y285+Y288</f>
        <v>595.46160659508212</v>
      </c>
      <c r="Z281" s="295">
        <f t="shared" ref="Z281" si="526">Z282+Z285+Z288</f>
        <v>609.35104186064746</v>
      </c>
      <c r="AA281" s="295">
        <f t="shared" ref="AA281" si="527">AA282+AA285+AA288</f>
        <v>623.6179514125887</v>
      </c>
      <c r="AB281" s="295">
        <f t="shared" ref="AB281" si="528">AB282+AB285+AB288</f>
        <v>638.27486901568614</v>
      </c>
      <c r="AC281" s="295">
        <f t="shared" ref="AC281" si="529">AC282+AC285+AC288</f>
        <v>653.33482832396908</v>
      </c>
      <c r="AD281" s="295">
        <f t="shared" ref="AD281" si="530">AD282+AD285+AD288</f>
        <v>668.81138533919761</v>
      </c>
      <c r="AE281" s="295">
        <f t="shared" ref="AE281" si="531">AE282+AE285+AE288</f>
        <v>684.71864194154909</v>
      </c>
      <c r="AF281" s="295">
        <f t="shared" ref="AF281" si="532">AF282+AF285+AF288</f>
        <v>701.07127054510704</v>
      </c>
      <c r="AG281" s="295">
        <f t="shared" ref="AG281" si="533">AG282+AG285+AG288</f>
        <v>717.88453993335384</v>
      </c>
      <c r="AH281" s="295">
        <f t="shared" ref="AH281" si="534">AH282+AH285+AH288</f>
        <v>735.17434233261395</v>
      </c>
      <c r="AI281" s="295">
        <f t="shared" ref="AI281" si="535">AI282+AI285+AI288</f>
        <v>752.95722178427002</v>
      </c>
      <c r="AJ281" s="295">
        <f t="shared" ref="AJ281" si="536">AJ282+AJ285+AJ288</f>
        <v>771.25040387959041</v>
      </c>
    </row>
    <row r="282" spans="1:36" hidden="1" outlineLevel="1" x14ac:dyDescent="0.25">
      <c r="A282" t="s">
        <v>423</v>
      </c>
      <c r="H282" s="573" t="s">
        <v>454</v>
      </c>
      <c r="I282" s="574" t="str">
        <f t="shared" si="511"/>
        <v>VND/phôi</v>
      </c>
      <c r="K282" s="583">
        <f>SUM(K283:K284)</f>
        <v>0</v>
      </c>
      <c r="L282" s="583">
        <f t="shared" ref="L282:AJ282" si="537">SUM(L283:L284)</f>
        <v>416.58391202384672</v>
      </c>
      <c r="M282" s="583">
        <f t="shared" si="537"/>
        <v>416.58391202384672</v>
      </c>
      <c r="N282" s="583">
        <f t="shared" si="537"/>
        <v>424.91559026432373</v>
      </c>
      <c r="O282" s="583">
        <f t="shared" si="537"/>
        <v>433.41390206961017</v>
      </c>
      <c r="P282" s="583">
        <f t="shared" si="537"/>
        <v>442.08218011100234</v>
      </c>
      <c r="Q282" s="583">
        <f t="shared" si="537"/>
        <v>450.92382371322242</v>
      </c>
      <c r="R282" s="583">
        <f t="shared" si="537"/>
        <v>459.94230018748686</v>
      </c>
      <c r="S282" s="583">
        <f t="shared" si="537"/>
        <v>469.14114619123666</v>
      </c>
      <c r="T282" s="583">
        <f t="shared" si="537"/>
        <v>478.52396911506128</v>
      </c>
      <c r="U282" s="583">
        <f t="shared" si="537"/>
        <v>488.09444849736246</v>
      </c>
      <c r="V282" s="583">
        <f t="shared" si="537"/>
        <v>497.85633746730974</v>
      </c>
      <c r="W282" s="583">
        <f t="shared" si="537"/>
        <v>507.81346421665603</v>
      </c>
      <c r="X282" s="583">
        <f t="shared" si="537"/>
        <v>517.96973350098904</v>
      </c>
      <c r="Y282" s="583">
        <f t="shared" si="537"/>
        <v>528.32912817100896</v>
      </c>
      <c r="Z282" s="583">
        <f t="shared" si="537"/>
        <v>538.89571073442903</v>
      </c>
      <c r="AA282" s="583">
        <f t="shared" si="537"/>
        <v>549.67362494911765</v>
      </c>
      <c r="AB282" s="583">
        <f t="shared" si="537"/>
        <v>560.66709744809987</v>
      </c>
      <c r="AC282" s="583">
        <f t="shared" si="537"/>
        <v>571.88043939706188</v>
      </c>
      <c r="AD282" s="583">
        <f t="shared" si="537"/>
        <v>583.31804818500325</v>
      </c>
      <c r="AE282" s="583">
        <f t="shared" si="537"/>
        <v>594.98440914870332</v>
      </c>
      <c r="AF282" s="583">
        <f t="shared" si="537"/>
        <v>606.88409733167737</v>
      </c>
      <c r="AG282" s="583">
        <f t="shared" si="537"/>
        <v>619.02177927831087</v>
      </c>
      <c r="AH282" s="583">
        <f t="shared" si="537"/>
        <v>631.40221486387713</v>
      </c>
      <c r="AI282" s="583">
        <f t="shared" si="537"/>
        <v>644.03025916115473</v>
      </c>
      <c r="AJ282" s="583">
        <f t="shared" si="537"/>
        <v>656.91086434437773</v>
      </c>
    </row>
    <row r="283" spans="1:36" s="299" customFormat="1" hidden="1" outlineLevel="1" x14ac:dyDescent="0.25">
      <c r="A283" s="299" t="s">
        <v>423</v>
      </c>
      <c r="E283" s="299" t="s">
        <v>536</v>
      </c>
      <c r="H283" s="577" t="s">
        <v>167</v>
      </c>
      <c r="I283" s="578" t="str">
        <f t="shared" si="511"/>
        <v>VND/phôi</v>
      </c>
      <c r="K283" s="582"/>
      <c r="L283" s="582">
        <f>-IF($H$9="USD",L213/L191/$H$10*10^3,L213/L191/$H$10)</f>
        <v>387.42303818217744</v>
      </c>
      <c r="M283" s="582">
        <f t="shared" ref="M283:AJ283" si="538">-IF($H$9="USD",M213/M191/$H$10*10^3,M213/M191/$H$10)</f>
        <v>387.42303818217744</v>
      </c>
      <c r="N283" s="582">
        <f t="shared" si="538"/>
        <v>395.17149894582104</v>
      </c>
      <c r="O283" s="582">
        <f t="shared" si="538"/>
        <v>403.07492892473743</v>
      </c>
      <c r="P283" s="582">
        <f t="shared" si="538"/>
        <v>411.13642750323214</v>
      </c>
      <c r="Q283" s="582">
        <f t="shared" si="538"/>
        <v>419.35915605329683</v>
      </c>
      <c r="R283" s="582">
        <f t="shared" si="538"/>
        <v>427.74633917436279</v>
      </c>
      <c r="S283" s="582">
        <f t="shared" si="538"/>
        <v>436.30126595785003</v>
      </c>
      <c r="T283" s="582">
        <f t="shared" si="538"/>
        <v>445.02729127700695</v>
      </c>
      <c r="U283" s="582">
        <f t="shared" si="538"/>
        <v>453.92783710254707</v>
      </c>
      <c r="V283" s="582">
        <f t="shared" si="538"/>
        <v>463.00639384459805</v>
      </c>
      <c r="W283" s="582">
        <f t="shared" si="538"/>
        <v>472.26652172149011</v>
      </c>
      <c r="X283" s="582">
        <f t="shared" si="538"/>
        <v>481.71185215591976</v>
      </c>
      <c r="Y283" s="582">
        <f t="shared" si="538"/>
        <v>491.34608919903832</v>
      </c>
      <c r="Z283" s="582">
        <f t="shared" si="538"/>
        <v>501.17301098301903</v>
      </c>
      <c r="AA283" s="582">
        <f t="shared" si="538"/>
        <v>511.19647120267945</v>
      </c>
      <c r="AB283" s="582">
        <f t="shared" si="538"/>
        <v>521.42040062673289</v>
      </c>
      <c r="AC283" s="582">
        <f t="shared" si="538"/>
        <v>531.84880863926753</v>
      </c>
      <c r="AD283" s="582">
        <f t="shared" si="538"/>
        <v>542.485784812053</v>
      </c>
      <c r="AE283" s="582">
        <f t="shared" si="538"/>
        <v>553.33550050829399</v>
      </c>
      <c r="AF283" s="582">
        <f t="shared" si="538"/>
        <v>564.40221051845992</v>
      </c>
      <c r="AG283" s="582">
        <f t="shared" si="538"/>
        <v>575.69025472882913</v>
      </c>
      <c r="AH283" s="582">
        <f t="shared" si="538"/>
        <v>587.20405982340571</v>
      </c>
      <c r="AI283" s="582">
        <f t="shared" si="538"/>
        <v>598.94814101987379</v>
      </c>
      <c r="AJ283" s="582">
        <f t="shared" si="538"/>
        <v>610.92710384027123</v>
      </c>
    </row>
    <row r="284" spans="1:36" s="299" customFormat="1" hidden="1" outlineLevel="1" x14ac:dyDescent="0.25">
      <c r="A284" s="299" t="s">
        <v>423</v>
      </c>
      <c r="E284" s="299" t="s">
        <v>537</v>
      </c>
      <c r="H284" s="646" t="s">
        <v>203</v>
      </c>
      <c r="I284" s="647" t="str">
        <f t="shared" si="511"/>
        <v>VND/phôi</v>
      </c>
      <c r="K284" s="648"/>
      <c r="L284" s="648">
        <f t="shared" ref="L284:AJ284" si="539">-IF($H$9="USD",L214/L191/$H$10*10^3,L214/L191/$H$10)</f>
        <v>29.160873841669297</v>
      </c>
      <c r="M284" s="648">
        <f t="shared" si="539"/>
        <v>29.160873841669311</v>
      </c>
      <c r="N284" s="648">
        <f t="shared" si="539"/>
        <v>29.744091318502658</v>
      </c>
      <c r="O284" s="648">
        <f t="shared" si="539"/>
        <v>30.338973144872757</v>
      </c>
      <c r="P284" s="648">
        <f t="shared" si="539"/>
        <v>30.945752607770196</v>
      </c>
      <c r="Q284" s="648">
        <f t="shared" si="539"/>
        <v>31.564667659925604</v>
      </c>
      <c r="R284" s="648">
        <f t="shared" si="539"/>
        <v>32.195961013124077</v>
      </c>
      <c r="S284" s="648">
        <f t="shared" si="539"/>
        <v>32.839880233386609</v>
      </c>
      <c r="T284" s="648">
        <f t="shared" si="539"/>
        <v>33.496677838054318</v>
      </c>
      <c r="U284" s="648">
        <f t="shared" si="539"/>
        <v>34.166611394815419</v>
      </c>
      <c r="V284" s="648">
        <f t="shared" si="539"/>
        <v>34.849943622711706</v>
      </c>
      <c r="W284" s="648">
        <f t="shared" si="539"/>
        <v>35.546942495165936</v>
      </c>
      <c r="X284" s="648">
        <f t="shared" si="539"/>
        <v>36.257881345069286</v>
      </c>
      <c r="Y284" s="648">
        <f t="shared" si="539"/>
        <v>36.983038971970686</v>
      </c>
      <c r="Z284" s="648">
        <f t="shared" si="539"/>
        <v>37.72269975141004</v>
      </c>
      <c r="AA284" s="648">
        <f t="shared" si="539"/>
        <v>38.477153746438255</v>
      </c>
      <c r="AB284" s="648">
        <f t="shared" si="539"/>
        <v>39.246696821367031</v>
      </c>
      <c r="AC284" s="648">
        <f t="shared" si="539"/>
        <v>40.031630757794346</v>
      </c>
      <c r="AD284" s="648">
        <f t="shared" si="539"/>
        <v>40.832263372950273</v>
      </c>
      <c r="AE284" s="648">
        <f t="shared" si="539"/>
        <v>41.648908640409303</v>
      </c>
      <c r="AF284" s="648">
        <f t="shared" si="539"/>
        <v>42.481886813217429</v>
      </c>
      <c r="AG284" s="648">
        <f t="shared" si="539"/>
        <v>43.331524549481777</v>
      </c>
      <c r="AH284" s="648">
        <f t="shared" si="539"/>
        <v>44.198155040471406</v>
      </c>
      <c r="AI284" s="648">
        <f t="shared" si="539"/>
        <v>45.082118141280908</v>
      </c>
      <c r="AJ284" s="648">
        <f t="shared" si="539"/>
        <v>45.983760504106463</v>
      </c>
    </row>
    <row r="285" spans="1:36" hidden="1" outlineLevel="1" x14ac:dyDescent="0.25">
      <c r="A285" t="s">
        <v>423</v>
      </c>
      <c r="E285" t="s">
        <v>177</v>
      </c>
      <c r="H285" s="575" t="s">
        <v>676</v>
      </c>
      <c r="I285" s="576" t="str">
        <f t="shared" si="511"/>
        <v>VND/phôi</v>
      </c>
      <c r="K285" s="584">
        <f>SUM(K286:K287)</f>
        <v>0</v>
      </c>
      <c r="L285" s="584">
        <f t="shared" ref="L285" si="540">SUM(L286:L287)</f>
        <v>3.0630387096774192</v>
      </c>
      <c r="M285" s="584">
        <f t="shared" ref="M285" si="541">SUM(M286:M287)</f>
        <v>3.0630387096774196</v>
      </c>
      <c r="N285" s="584">
        <f t="shared" ref="N285" si="542">SUM(N286:N287)</f>
        <v>3.2161906451612912</v>
      </c>
      <c r="O285" s="584">
        <f t="shared" ref="O285" si="543">SUM(O286:O287)</f>
        <v>3.377000177419355</v>
      </c>
      <c r="P285" s="584">
        <f t="shared" ref="P285" si="544">SUM(P286:P287)</f>
        <v>3.5458501862903229</v>
      </c>
      <c r="Q285" s="584">
        <f t="shared" ref="Q285" si="545">SUM(Q286:Q287)</f>
        <v>3.7231426956048392</v>
      </c>
      <c r="R285" s="584">
        <f t="shared" ref="R285" si="546">SUM(R286:R287)</f>
        <v>3.9092998303850814</v>
      </c>
      <c r="S285" s="584">
        <f t="shared" ref="S285" si="547">SUM(S286:S287)</f>
        <v>4.1047648219043342</v>
      </c>
      <c r="T285" s="584">
        <f t="shared" ref="T285" si="548">SUM(T286:T287)</f>
        <v>4.3100030629995523</v>
      </c>
      <c r="U285" s="584">
        <f t="shared" ref="U285" si="549">SUM(U286:U287)</f>
        <v>4.525503216149529</v>
      </c>
      <c r="V285" s="584">
        <f t="shared" ref="V285" si="550">SUM(V286:V287)</f>
        <v>4.7517783769570059</v>
      </c>
      <c r="W285" s="584">
        <f t="shared" ref="W285" si="551">SUM(W286:W287)</f>
        <v>4.9893672958048558</v>
      </c>
      <c r="X285" s="584">
        <f t="shared" ref="X285" si="552">SUM(X286:X287)</f>
        <v>5.2388356605950994</v>
      </c>
      <c r="Y285" s="584">
        <f t="shared" ref="Y285" si="553">SUM(Y286:Y287)</f>
        <v>5.5007774436248544</v>
      </c>
      <c r="Z285" s="584">
        <f t="shared" ref="Z285" si="554">SUM(Z286:Z287)</f>
        <v>5.7758163158060976</v>
      </c>
      <c r="AA285" s="584">
        <f t="shared" ref="AA285" si="555">SUM(AA286:AA287)</f>
        <v>6.0646071315964001</v>
      </c>
      <c r="AB285" s="584">
        <f t="shared" ref="AB285" si="556">SUM(AB286:AB287)</f>
        <v>6.3678374881762236</v>
      </c>
      <c r="AC285" s="584">
        <f t="shared" ref="AC285" si="557">SUM(AC286:AC287)</f>
        <v>6.6862293625850331</v>
      </c>
      <c r="AD285" s="584">
        <f t="shared" ref="AD285" si="558">SUM(AD286:AD287)</f>
        <v>7.0205408307142863</v>
      </c>
      <c r="AE285" s="584">
        <f t="shared" ref="AE285" si="559">SUM(AE286:AE287)</f>
        <v>7.37156787225</v>
      </c>
      <c r="AF285" s="584">
        <f t="shared" ref="AF285" si="560">SUM(AF286:AF287)</f>
        <v>7.7401462658625002</v>
      </c>
      <c r="AG285" s="584">
        <f t="shared" ref="AG285" si="561">SUM(AG286:AG287)</f>
        <v>8.1271535791556264</v>
      </c>
      <c r="AH285" s="584">
        <f t="shared" ref="AH285" si="562">SUM(AH286:AH287)</f>
        <v>8.5335112581134069</v>
      </c>
      <c r="AI285" s="584">
        <f t="shared" ref="AI285" si="563">SUM(AI286:AI287)</f>
        <v>8.9601868210190769</v>
      </c>
      <c r="AJ285" s="584">
        <f t="shared" ref="AJ285" si="564">SUM(AJ286:AJ287)</f>
        <v>9.4081961620700323</v>
      </c>
    </row>
    <row r="286" spans="1:36" s="299" customFormat="1" hidden="1" outlineLevel="1" x14ac:dyDescent="0.25">
      <c r="A286" s="299" t="s">
        <v>423</v>
      </c>
      <c r="H286" s="577" t="s">
        <v>673</v>
      </c>
      <c r="I286" s="578" t="str">
        <f t="shared" si="511"/>
        <v>VND/phôi</v>
      </c>
      <c r="K286" s="582"/>
      <c r="L286" s="582">
        <f>-IF($H$9="USD",L216/L191/$H$10*10^3,L216/L191/$H$10)</f>
        <v>3.0630387096774192</v>
      </c>
      <c r="M286" s="582">
        <f t="shared" ref="M286:AJ286" si="565">-IF($H$9="USD",M216/M191/$H$10*10^3,M216/M191/$H$10)</f>
        <v>3.0630387096774196</v>
      </c>
      <c r="N286" s="582">
        <f t="shared" si="565"/>
        <v>3.2161906451612912</v>
      </c>
      <c r="O286" s="582">
        <f t="shared" si="565"/>
        <v>3.377000177419355</v>
      </c>
      <c r="P286" s="582">
        <f t="shared" si="565"/>
        <v>3.5458501862903229</v>
      </c>
      <c r="Q286" s="582">
        <f t="shared" si="565"/>
        <v>3.7231426956048392</v>
      </c>
      <c r="R286" s="582">
        <f t="shared" si="565"/>
        <v>3.9092998303850814</v>
      </c>
      <c r="S286" s="582">
        <f t="shared" si="565"/>
        <v>4.1047648219043342</v>
      </c>
      <c r="T286" s="582">
        <f t="shared" si="565"/>
        <v>4.3100030629995523</v>
      </c>
      <c r="U286" s="582">
        <f t="shared" si="565"/>
        <v>4.525503216149529</v>
      </c>
      <c r="V286" s="582">
        <f t="shared" si="565"/>
        <v>4.7517783769570059</v>
      </c>
      <c r="W286" s="582">
        <f t="shared" si="565"/>
        <v>4.9893672958048558</v>
      </c>
      <c r="X286" s="582">
        <f t="shared" si="565"/>
        <v>5.2388356605950994</v>
      </c>
      <c r="Y286" s="582">
        <f t="shared" si="565"/>
        <v>5.5007774436248544</v>
      </c>
      <c r="Z286" s="582">
        <f t="shared" si="565"/>
        <v>5.7758163158060976</v>
      </c>
      <c r="AA286" s="582">
        <f t="shared" si="565"/>
        <v>6.0646071315964001</v>
      </c>
      <c r="AB286" s="582">
        <f t="shared" si="565"/>
        <v>6.3678374881762236</v>
      </c>
      <c r="AC286" s="582">
        <f t="shared" si="565"/>
        <v>6.6862293625850331</v>
      </c>
      <c r="AD286" s="582">
        <f t="shared" si="565"/>
        <v>7.0205408307142863</v>
      </c>
      <c r="AE286" s="582">
        <f t="shared" si="565"/>
        <v>7.37156787225</v>
      </c>
      <c r="AF286" s="582">
        <f t="shared" si="565"/>
        <v>7.7401462658625002</v>
      </c>
      <c r="AG286" s="582">
        <f t="shared" si="565"/>
        <v>8.1271535791556264</v>
      </c>
      <c r="AH286" s="582">
        <f t="shared" si="565"/>
        <v>8.5335112581134069</v>
      </c>
      <c r="AI286" s="582">
        <f t="shared" si="565"/>
        <v>8.9601868210190769</v>
      </c>
      <c r="AJ286" s="582">
        <f t="shared" si="565"/>
        <v>9.4081961620700323</v>
      </c>
    </row>
    <row r="287" spans="1:36" s="299" customFormat="1" hidden="1" outlineLevel="1" x14ac:dyDescent="0.25">
      <c r="A287" s="299" t="s">
        <v>423</v>
      </c>
      <c r="H287" s="577" t="s">
        <v>674</v>
      </c>
      <c r="I287" s="578" t="str">
        <f t="shared" si="511"/>
        <v>VND/phôi</v>
      </c>
      <c r="K287" s="582"/>
      <c r="L287" s="582">
        <f>-IF($H$9="USD",L217/L191/$H$10*10^3,L217/L191/$H$10)</f>
        <v>0</v>
      </c>
      <c r="M287" s="582">
        <f t="shared" ref="M287:AJ287" si="566">-IF($H$9="USD",M217/M191/$H$10*10^3,M217/M191/$H$10)</f>
        <v>0</v>
      </c>
      <c r="N287" s="582">
        <f t="shared" si="566"/>
        <v>0</v>
      </c>
      <c r="O287" s="582">
        <f t="shared" si="566"/>
        <v>0</v>
      </c>
      <c r="P287" s="582">
        <f t="shared" si="566"/>
        <v>0</v>
      </c>
      <c r="Q287" s="582">
        <f t="shared" si="566"/>
        <v>0</v>
      </c>
      <c r="R287" s="582">
        <f t="shared" si="566"/>
        <v>0</v>
      </c>
      <c r="S287" s="582">
        <f t="shared" si="566"/>
        <v>0</v>
      </c>
      <c r="T287" s="582">
        <f t="shared" si="566"/>
        <v>0</v>
      </c>
      <c r="U287" s="582">
        <f t="shared" si="566"/>
        <v>0</v>
      </c>
      <c r="V287" s="582">
        <f t="shared" si="566"/>
        <v>0</v>
      </c>
      <c r="W287" s="582">
        <f t="shared" si="566"/>
        <v>0</v>
      </c>
      <c r="X287" s="582">
        <f t="shared" si="566"/>
        <v>0</v>
      </c>
      <c r="Y287" s="582">
        <f t="shared" si="566"/>
        <v>0</v>
      </c>
      <c r="Z287" s="582">
        <f t="shared" si="566"/>
        <v>0</v>
      </c>
      <c r="AA287" s="582">
        <f t="shared" si="566"/>
        <v>0</v>
      </c>
      <c r="AB287" s="582">
        <f t="shared" si="566"/>
        <v>0</v>
      </c>
      <c r="AC287" s="582">
        <f t="shared" si="566"/>
        <v>0</v>
      </c>
      <c r="AD287" s="582">
        <f t="shared" si="566"/>
        <v>0</v>
      </c>
      <c r="AE287" s="582">
        <f t="shared" si="566"/>
        <v>0</v>
      </c>
      <c r="AF287" s="582">
        <f t="shared" si="566"/>
        <v>0</v>
      </c>
      <c r="AG287" s="582">
        <f t="shared" si="566"/>
        <v>0</v>
      </c>
      <c r="AH287" s="582">
        <f t="shared" si="566"/>
        <v>0</v>
      </c>
      <c r="AI287" s="582">
        <f t="shared" si="566"/>
        <v>0</v>
      </c>
      <c r="AJ287" s="582">
        <f t="shared" si="566"/>
        <v>0</v>
      </c>
    </row>
    <row r="288" spans="1:36" hidden="1" outlineLevel="1" x14ac:dyDescent="0.25">
      <c r="A288" t="s">
        <v>423</v>
      </c>
      <c r="H288" s="575" t="s">
        <v>180</v>
      </c>
      <c r="I288" s="576" t="str">
        <f t="shared" si="511"/>
        <v>VND/phôi</v>
      </c>
      <c r="K288" s="584">
        <f>SUM(K289:K291)</f>
        <v>0</v>
      </c>
      <c r="L288" s="584">
        <f>SUM(L289:L291)</f>
        <v>42.776917412389217</v>
      </c>
      <c r="M288" s="584">
        <f t="shared" ref="M288:AJ288" si="567">SUM(M289:M291)</f>
        <v>39.666523190109039</v>
      </c>
      <c r="N288" s="584">
        <f t="shared" si="567"/>
        <v>39.030864307561984</v>
      </c>
      <c r="O288" s="584">
        <f t="shared" si="567"/>
        <v>40.812857930933205</v>
      </c>
      <c r="P288" s="584">
        <f t="shared" si="567"/>
        <v>42.683951235472996</v>
      </c>
      <c r="Q288" s="584">
        <f t="shared" si="567"/>
        <v>44.648599205239762</v>
      </c>
      <c r="R288" s="584">
        <f t="shared" si="567"/>
        <v>46.71147957349487</v>
      </c>
      <c r="S288" s="584">
        <f t="shared" si="567"/>
        <v>48.877503960162734</v>
      </c>
      <c r="T288" s="584">
        <f t="shared" si="567"/>
        <v>51.151829566164011</v>
      </c>
      <c r="U288" s="584">
        <f t="shared" si="567"/>
        <v>53.539871452465327</v>
      </c>
      <c r="V288" s="584">
        <f t="shared" si="567"/>
        <v>56.047315433081721</v>
      </c>
      <c r="W288" s="584">
        <f t="shared" si="567"/>
        <v>58.680131612728935</v>
      </c>
      <c r="X288" s="584">
        <f t="shared" si="567"/>
        <v>58.72902114238719</v>
      </c>
      <c r="Y288" s="584">
        <f t="shared" si="567"/>
        <v>61.631700980448223</v>
      </c>
      <c r="Z288" s="584">
        <f t="shared" si="567"/>
        <v>64.679514810412343</v>
      </c>
      <c r="AA288" s="584">
        <f t="shared" si="567"/>
        <v>67.879719331874639</v>
      </c>
      <c r="AB288" s="584">
        <f t="shared" si="567"/>
        <v>71.239934079410077</v>
      </c>
      <c r="AC288" s="584">
        <f t="shared" si="567"/>
        <v>74.768159564322275</v>
      </c>
      <c r="AD288" s="584">
        <f t="shared" si="567"/>
        <v>78.472796323480082</v>
      </c>
      <c r="AE288" s="584">
        <f t="shared" si="567"/>
        <v>82.362664920595776</v>
      </c>
      <c r="AF288" s="584">
        <f t="shared" si="567"/>
        <v>86.447026947567252</v>
      </c>
      <c r="AG288" s="584">
        <f t="shared" si="567"/>
        <v>90.735607075887316</v>
      </c>
      <c r="AH288" s="584">
        <f t="shared" si="567"/>
        <v>95.238616210623363</v>
      </c>
      <c r="AI288" s="584">
        <f t="shared" si="567"/>
        <v>99.966775802096208</v>
      </c>
      <c r="AJ288" s="584">
        <f t="shared" si="567"/>
        <v>104.93134337314272</v>
      </c>
    </row>
    <row r="289" spans="1:36" s="299" customFormat="1" hidden="1" outlineLevel="1" x14ac:dyDescent="0.25">
      <c r="A289" s="299" t="s">
        <v>423</v>
      </c>
      <c r="E289" s="299" t="s">
        <v>174</v>
      </c>
      <c r="H289" s="577" t="s">
        <v>73</v>
      </c>
      <c r="I289" s="578" t="str">
        <f t="shared" si="511"/>
        <v>VND/phôi</v>
      </c>
      <c r="K289" s="582"/>
      <c r="L289" s="582">
        <f t="shared" ref="L289:AJ289" si="568">-IF($H$9="USD",L219/L191/$H$10*10^3,L219/L191/$H$10)</f>
        <v>25.70564516129032</v>
      </c>
      <c r="M289" s="582">
        <f t="shared" si="568"/>
        <v>25.705645161290317</v>
      </c>
      <c r="N289" s="582">
        <f t="shared" si="568"/>
        <v>26.990927419354836</v>
      </c>
      <c r="O289" s="582">
        <f t="shared" si="568"/>
        <v>28.34047379032258</v>
      </c>
      <c r="P289" s="582">
        <f t="shared" si="568"/>
        <v>29.757497479838712</v>
      </c>
      <c r="Q289" s="582">
        <f t="shared" si="568"/>
        <v>31.245372353830643</v>
      </c>
      <c r="R289" s="582">
        <f t="shared" si="568"/>
        <v>32.807640971522176</v>
      </c>
      <c r="S289" s="582">
        <f t="shared" si="568"/>
        <v>34.448023020098283</v>
      </c>
      <c r="T289" s="582">
        <f t="shared" si="568"/>
        <v>36.1704241711032</v>
      </c>
      <c r="U289" s="582">
        <f t="shared" si="568"/>
        <v>37.978945379658356</v>
      </c>
      <c r="V289" s="582">
        <f t="shared" si="568"/>
        <v>39.877892648641286</v>
      </c>
      <c r="W289" s="582">
        <f t="shared" si="568"/>
        <v>41.871787281073345</v>
      </c>
      <c r="X289" s="582">
        <f t="shared" si="568"/>
        <v>43.965376645127009</v>
      </c>
      <c r="Y289" s="582">
        <f t="shared" si="568"/>
        <v>46.163645477383348</v>
      </c>
      <c r="Z289" s="582">
        <f t="shared" si="568"/>
        <v>48.471827751252533</v>
      </c>
      <c r="AA289" s="582">
        <f t="shared" si="568"/>
        <v>50.89541913881515</v>
      </c>
      <c r="AB289" s="582">
        <f t="shared" si="568"/>
        <v>53.440190095755916</v>
      </c>
      <c r="AC289" s="582">
        <f t="shared" si="568"/>
        <v>56.112199600543711</v>
      </c>
      <c r="AD289" s="582">
        <f t="shared" si="568"/>
        <v>58.917809580570911</v>
      </c>
      <c r="AE289" s="582">
        <f t="shared" si="568"/>
        <v>61.863700059599445</v>
      </c>
      <c r="AF289" s="582">
        <f t="shared" si="568"/>
        <v>64.956885062579431</v>
      </c>
      <c r="AG289" s="582">
        <f t="shared" si="568"/>
        <v>68.204729315708391</v>
      </c>
      <c r="AH289" s="582">
        <f t="shared" si="568"/>
        <v>71.614965781493808</v>
      </c>
      <c r="AI289" s="582">
        <f t="shared" si="568"/>
        <v>75.195714070568499</v>
      </c>
      <c r="AJ289" s="582">
        <f t="shared" si="568"/>
        <v>78.955499774096921</v>
      </c>
    </row>
    <row r="290" spans="1:36" s="299" customFormat="1" hidden="1" outlineLevel="1" x14ac:dyDescent="0.25">
      <c r="A290" s="299" t="s">
        <v>423</v>
      </c>
      <c r="E290" s="299" t="s">
        <v>306</v>
      </c>
      <c r="H290" s="577" t="s">
        <v>192</v>
      </c>
      <c r="I290" s="578" t="str">
        <f t="shared" si="511"/>
        <v>VND/phôi</v>
      </c>
      <c r="K290" s="582"/>
      <c r="L290" s="582">
        <f t="shared" ref="L290:AJ290" si="569">-IF($H$9="USD",L220/L191/$H$10*10^3,L220/L191/$H$10)</f>
        <v>4.958333333333333</v>
      </c>
      <c r="M290" s="582">
        <f t="shared" si="569"/>
        <v>4.958333333333333</v>
      </c>
      <c r="N290" s="582">
        <f t="shared" si="569"/>
        <v>5.2062499999999998</v>
      </c>
      <c r="O290" s="582">
        <f t="shared" si="569"/>
        <v>5.4665624999999993</v>
      </c>
      <c r="P290" s="582">
        <f t="shared" si="569"/>
        <v>5.7398906250000001</v>
      </c>
      <c r="Q290" s="582">
        <f t="shared" si="569"/>
        <v>6.0268851562500005</v>
      </c>
      <c r="R290" s="582">
        <f t="shared" si="569"/>
        <v>6.3282294140625002</v>
      </c>
      <c r="S290" s="582">
        <f t="shared" si="569"/>
        <v>6.6446408847656242</v>
      </c>
      <c r="T290" s="582">
        <f t="shared" si="569"/>
        <v>6.9768729290039069</v>
      </c>
      <c r="U290" s="582">
        <f t="shared" si="569"/>
        <v>7.3257165754541012</v>
      </c>
      <c r="V290" s="582">
        <f t="shared" si="569"/>
        <v>7.6920024042268071</v>
      </c>
      <c r="W290" s="582">
        <f t="shared" si="569"/>
        <v>8.0766025244381474</v>
      </c>
      <c r="X290" s="582">
        <f t="shared" si="569"/>
        <v>8.480432650660056</v>
      </c>
      <c r="Y290" s="582">
        <f t="shared" si="569"/>
        <v>8.9044542831930578</v>
      </c>
      <c r="Z290" s="582">
        <f t="shared" si="569"/>
        <v>9.3496769973527112</v>
      </c>
      <c r="AA290" s="582">
        <f t="shared" si="569"/>
        <v>9.8171608472203449</v>
      </c>
      <c r="AB290" s="582">
        <f t="shared" si="569"/>
        <v>10.308018889581366</v>
      </c>
      <c r="AC290" s="582">
        <f t="shared" si="569"/>
        <v>10.823419834060434</v>
      </c>
      <c r="AD290" s="582">
        <f t="shared" si="569"/>
        <v>11.364590825763454</v>
      </c>
      <c r="AE290" s="582">
        <f t="shared" si="569"/>
        <v>11.932820367051628</v>
      </c>
      <c r="AF290" s="582">
        <f t="shared" si="569"/>
        <v>12.529461385404209</v>
      </c>
      <c r="AG290" s="582">
        <f t="shared" si="569"/>
        <v>13.155934454674419</v>
      </c>
      <c r="AH290" s="582">
        <f t="shared" si="569"/>
        <v>13.81373117740814</v>
      </c>
      <c r="AI290" s="582">
        <f t="shared" si="569"/>
        <v>14.504417736278546</v>
      </c>
      <c r="AJ290" s="582">
        <f t="shared" si="569"/>
        <v>15.229638623092477</v>
      </c>
    </row>
    <row r="291" spans="1:36" s="299" customFormat="1" hidden="1" outlineLevel="1" x14ac:dyDescent="0.25">
      <c r="A291" s="299" t="s">
        <v>423</v>
      </c>
      <c r="E291" s="299" t="s">
        <v>172</v>
      </c>
      <c r="H291" s="577" t="s">
        <v>175</v>
      </c>
      <c r="I291" s="578" t="str">
        <f t="shared" si="511"/>
        <v>VND/phôi</v>
      </c>
      <c r="K291" s="582"/>
      <c r="L291" s="582">
        <f t="shared" ref="L291:AJ291" si="570">-IF($H$9="USD",L221/L191/$H$10*10^3,L221/L191/$H$10)</f>
        <v>12.112938917765565</v>
      </c>
      <c r="M291" s="582">
        <f t="shared" si="570"/>
        <v>9.0025446954853905</v>
      </c>
      <c r="N291" s="582">
        <f t="shared" si="570"/>
        <v>6.8336868882071444</v>
      </c>
      <c r="O291" s="582">
        <f t="shared" si="570"/>
        <v>7.0058216406106242</v>
      </c>
      <c r="P291" s="582">
        <f t="shared" si="570"/>
        <v>7.1865631306342808</v>
      </c>
      <c r="Q291" s="582">
        <f t="shared" si="570"/>
        <v>7.3763416951591179</v>
      </c>
      <c r="R291" s="582">
        <f t="shared" si="570"/>
        <v>7.5756091879101994</v>
      </c>
      <c r="S291" s="582">
        <f t="shared" si="570"/>
        <v>7.7848400552988322</v>
      </c>
      <c r="T291" s="582">
        <f t="shared" si="570"/>
        <v>8.0045324660568991</v>
      </c>
      <c r="U291" s="582">
        <f t="shared" si="570"/>
        <v>8.2352094973528676</v>
      </c>
      <c r="V291" s="582">
        <f t="shared" si="570"/>
        <v>8.4774203802136334</v>
      </c>
      <c r="W291" s="582">
        <f t="shared" si="570"/>
        <v>8.7317418072174409</v>
      </c>
      <c r="X291" s="582">
        <f t="shared" si="570"/>
        <v>6.2832118466001274</v>
      </c>
      <c r="Y291" s="582">
        <f t="shared" si="570"/>
        <v>6.5636012198718223</v>
      </c>
      <c r="Z291" s="582">
        <f t="shared" si="570"/>
        <v>6.8580100618071045</v>
      </c>
      <c r="AA291" s="582">
        <f t="shared" si="570"/>
        <v>7.1671393458391472</v>
      </c>
      <c r="AB291" s="582">
        <f t="shared" si="570"/>
        <v>7.4917250940727973</v>
      </c>
      <c r="AC291" s="582">
        <f t="shared" si="570"/>
        <v>7.832540129718125</v>
      </c>
      <c r="AD291" s="582">
        <f t="shared" si="570"/>
        <v>8.1903959171457235</v>
      </c>
      <c r="AE291" s="582">
        <f t="shared" si="570"/>
        <v>8.5661444939446998</v>
      </c>
      <c r="AF291" s="582">
        <f t="shared" si="570"/>
        <v>8.9606804995836224</v>
      </c>
      <c r="AG291" s="582">
        <f t="shared" si="570"/>
        <v>9.3749433055044946</v>
      </c>
      <c r="AH291" s="582">
        <f t="shared" si="570"/>
        <v>9.8099192517214089</v>
      </c>
      <c r="AI291" s="582">
        <f t="shared" si="570"/>
        <v>10.266643995249167</v>
      </c>
      <c r="AJ291" s="582">
        <f t="shared" si="570"/>
        <v>10.746204975953315</v>
      </c>
    </row>
    <row r="292" spans="1:36" hidden="1" outlineLevel="1" x14ac:dyDescent="0.25">
      <c r="A292" t="s">
        <v>423</v>
      </c>
      <c r="H292" s="289"/>
      <c r="I292" s="290"/>
      <c r="K292" s="296"/>
      <c r="L292" s="297"/>
      <c r="M292" s="296"/>
      <c r="N292" s="296"/>
      <c r="O292" s="296"/>
      <c r="P292" s="296"/>
      <c r="Q292" s="296"/>
      <c r="R292" s="296"/>
      <c r="S292" s="296"/>
      <c r="T292" s="296"/>
      <c r="U292" s="296"/>
      <c r="V292" s="296"/>
      <c r="W292" s="296"/>
      <c r="X292" s="296"/>
      <c r="Y292" s="296"/>
      <c r="Z292" s="296"/>
      <c r="AA292" s="296"/>
      <c r="AB292" s="296"/>
      <c r="AC292" s="296"/>
      <c r="AD292" s="296"/>
      <c r="AE292" s="296"/>
      <c r="AF292" s="296"/>
      <c r="AG292" s="296"/>
      <c r="AH292" s="296"/>
      <c r="AI292" s="296"/>
      <c r="AJ292" s="296"/>
    </row>
    <row r="293" spans="1:36" s="16" customFormat="1" hidden="1" outlineLevel="1" x14ac:dyDescent="0.25">
      <c r="A293" s="16" t="s">
        <v>423</v>
      </c>
      <c r="H293" s="291" t="s">
        <v>464</v>
      </c>
      <c r="I293" s="292" t="str">
        <f t="shared" si="511"/>
        <v>VND/phôi</v>
      </c>
      <c r="K293" s="298">
        <f>K271+K281</f>
        <v>0</v>
      </c>
      <c r="L293" s="298">
        <f t="shared" ref="L293:AJ293" si="571">L271+L281</f>
        <v>734.58336259542887</v>
      </c>
      <c r="M293" s="298">
        <f t="shared" si="571"/>
        <v>653.7131128161443</v>
      </c>
      <c r="N293" s="298">
        <f t="shared" si="571"/>
        <v>605.80764000287081</v>
      </c>
      <c r="O293" s="298">
        <f t="shared" si="571"/>
        <v>618.94226490290578</v>
      </c>
      <c r="P293" s="298">
        <f t="shared" si="571"/>
        <v>632.47867169378401</v>
      </c>
      <c r="Q293" s="298">
        <f t="shared" si="571"/>
        <v>646.43185048296436</v>
      </c>
      <c r="R293" s="298">
        <f t="shared" si="571"/>
        <v>660.8174389035371</v>
      </c>
      <c r="S293" s="298">
        <f t="shared" si="571"/>
        <v>675.65175245091064</v>
      </c>
      <c r="T293" s="298">
        <f t="shared" si="571"/>
        <v>690.95181629554031</v>
      </c>
      <c r="U293" s="298">
        <f t="shared" si="571"/>
        <v>706.73539864468648</v>
      </c>
      <c r="V293" s="298">
        <f t="shared" si="571"/>
        <v>723.02104572982137</v>
      </c>
      <c r="W293" s="298">
        <f t="shared" si="571"/>
        <v>739.82811850011433</v>
      </c>
      <c r="X293" s="298">
        <f t="shared" si="571"/>
        <v>686.57207717318738</v>
      </c>
      <c r="Y293" s="298">
        <f t="shared" si="571"/>
        <v>704.48353733130125</v>
      </c>
      <c r="Z293" s="298">
        <f t="shared" si="571"/>
        <v>722.97978865721984</v>
      </c>
      <c r="AA293" s="298">
        <f t="shared" si="571"/>
        <v>742.08385507253195</v>
      </c>
      <c r="AB293" s="298">
        <f t="shared" si="571"/>
        <v>761.81978738216878</v>
      </c>
      <c r="AC293" s="298">
        <f t="shared" si="571"/>
        <v>782.21271213231807</v>
      </c>
      <c r="AD293" s="298">
        <f t="shared" si="571"/>
        <v>803.28888286150629</v>
      </c>
      <c r="AE293" s="298">
        <f t="shared" si="571"/>
        <v>825.07573386351555</v>
      </c>
      <c r="AF293" s="298">
        <f t="shared" si="571"/>
        <v>847.60193658671403</v>
      </c>
      <c r="AG293" s="298">
        <f t="shared" si="571"/>
        <v>870.89745880058342</v>
      </c>
      <c r="AH293" s="298">
        <f t="shared" si="571"/>
        <v>894.99362666674722</v>
      </c>
      <c r="AI293" s="298">
        <f t="shared" si="571"/>
        <v>919.92318985865222</v>
      </c>
      <c r="AJ293" s="298">
        <f t="shared" si="571"/>
        <v>945.72038988123393</v>
      </c>
    </row>
    <row r="294" spans="1:36" hidden="1" outlineLevel="1" x14ac:dyDescent="0.25">
      <c r="A294" t="s">
        <v>423</v>
      </c>
      <c r="H294" s="289"/>
      <c r="I294" s="290"/>
      <c r="K294" s="296"/>
      <c r="L294" s="296"/>
      <c r="M294" s="296"/>
      <c r="N294" s="296"/>
      <c r="O294" s="296"/>
      <c r="P294" s="296"/>
      <c r="Q294" s="296"/>
      <c r="R294" s="296"/>
      <c r="S294" s="296"/>
      <c r="T294" s="296"/>
      <c r="U294" s="296"/>
      <c r="V294" s="296"/>
      <c r="W294" s="296"/>
      <c r="X294" s="296"/>
      <c r="Y294" s="296"/>
      <c r="Z294" s="296"/>
      <c r="AA294" s="296"/>
      <c r="AB294" s="296"/>
      <c r="AC294" s="296"/>
      <c r="AD294" s="296"/>
      <c r="AE294" s="296"/>
      <c r="AF294" s="296"/>
      <c r="AG294" s="296"/>
      <c r="AH294" s="296"/>
      <c r="AI294" s="296"/>
      <c r="AJ294" s="296"/>
    </row>
    <row r="295" spans="1:36" hidden="1" outlineLevel="1" x14ac:dyDescent="0.25">
      <c r="A295" t="s">
        <v>423</v>
      </c>
      <c r="E295" t="s">
        <v>172</v>
      </c>
      <c r="H295" s="594" t="s">
        <v>166</v>
      </c>
      <c r="I295" s="595" t="str">
        <f t="shared" si="511"/>
        <v>VND/phôi</v>
      </c>
      <c r="K295" s="605"/>
      <c r="L295" s="605">
        <f>-IF($H$9="USD",L225/L191/$H$10*10^3,L225/L191/$H$10)</f>
        <v>13.999999999999998</v>
      </c>
      <c r="M295" s="605">
        <f t="shared" ref="M295:AJ295" si="572">-IF($H$9="USD",M225/M191/$H$10*10^3,M225/M191/$H$10)</f>
        <v>14</v>
      </c>
      <c r="N295" s="605">
        <f t="shared" si="572"/>
        <v>14.7</v>
      </c>
      <c r="O295" s="605">
        <f t="shared" si="572"/>
        <v>15.435</v>
      </c>
      <c r="P295" s="605">
        <f t="shared" si="572"/>
        <v>16.206750000000003</v>
      </c>
      <c r="Q295" s="605">
        <f t="shared" si="572"/>
        <v>17.017087499999999</v>
      </c>
      <c r="R295" s="605">
        <f t="shared" si="572"/>
        <v>17.867941875000003</v>
      </c>
      <c r="S295" s="605">
        <f t="shared" si="572"/>
        <v>18.761338968749996</v>
      </c>
      <c r="T295" s="605">
        <f t="shared" si="572"/>
        <v>19.699405917187505</v>
      </c>
      <c r="U295" s="605">
        <f t="shared" si="572"/>
        <v>20.684376213046875</v>
      </c>
      <c r="V295" s="605">
        <f t="shared" si="572"/>
        <v>21.718595023699219</v>
      </c>
      <c r="W295" s="605">
        <f t="shared" si="572"/>
        <v>22.804524774884179</v>
      </c>
      <c r="X295" s="605">
        <f t="shared" si="572"/>
        <v>23.944751013628391</v>
      </c>
      <c r="Y295" s="605">
        <f t="shared" si="572"/>
        <v>25.141988564309809</v>
      </c>
      <c r="Z295" s="605">
        <f t="shared" si="572"/>
        <v>26.399087992525303</v>
      </c>
      <c r="AA295" s="605">
        <f t="shared" si="572"/>
        <v>27.719042392151561</v>
      </c>
      <c r="AB295" s="605">
        <f t="shared" si="572"/>
        <v>29.104994511759148</v>
      </c>
      <c r="AC295" s="605">
        <f t="shared" si="572"/>
        <v>30.560244237347103</v>
      </c>
      <c r="AD295" s="605">
        <f t="shared" si="572"/>
        <v>32.088256449214462</v>
      </c>
      <c r="AE295" s="605">
        <f t="shared" si="572"/>
        <v>33.692669271675186</v>
      </c>
      <c r="AF295" s="605">
        <f t="shared" si="572"/>
        <v>35.377302735258944</v>
      </c>
      <c r="AG295" s="605">
        <f t="shared" si="572"/>
        <v>37.146167872021891</v>
      </c>
      <c r="AH295" s="605">
        <f t="shared" si="572"/>
        <v>39.003476265622986</v>
      </c>
      <c r="AI295" s="605">
        <f t="shared" si="572"/>
        <v>40.953650078904126</v>
      </c>
      <c r="AJ295" s="605">
        <f t="shared" si="572"/>
        <v>43.001332582849344</v>
      </c>
    </row>
    <row r="296" spans="1:36" hidden="1" outlineLevel="1" x14ac:dyDescent="0.25">
      <c r="A296" t="s">
        <v>423</v>
      </c>
      <c r="E296" t="s">
        <v>171</v>
      </c>
      <c r="H296" s="575" t="s">
        <v>469</v>
      </c>
      <c r="I296" s="576" t="str">
        <f t="shared" si="511"/>
        <v>VND/phôi</v>
      </c>
      <c r="K296" s="585"/>
      <c r="L296" s="585">
        <f t="shared" ref="L296:AJ296" si="573">-IF($H$9="USD",L226/L191/$H$10*10^3,L226/L191/$H$10)</f>
        <v>5.5630833696399931</v>
      </c>
      <c r="M296" s="585">
        <f t="shared" si="573"/>
        <v>5.5630833696399939</v>
      </c>
      <c r="N296" s="585">
        <f t="shared" si="573"/>
        <v>5.8412375381219928</v>
      </c>
      <c r="O296" s="585">
        <f t="shared" si="573"/>
        <v>6.1332994150280928</v>
      </c>
      <c r="P296" s="585">
        <f t="shared" si="573"/>
        <v>6.439964385779497</v>
      </c>
      <c r="Q296" s="585">
        <f t="shared" si="573"/>
        <v>6.7619626050684714</v>
      </c>
      <c r="R296" s="585">
        <f t="shared" si="573"/>
        <v>7.100060735321895</v>
      </c>
      <c r="S296" s="585">
        <f t="shared" si="573"/>
        <v>7.45506377208799</v>
      </c>
      <c r="T296" s="585">
        <f t="shared" si="573"/>
        <v>7.8278169606923909</v>
      </c>
      <c r="U296" s="585">
        <f t="shared" si="573"/>
        <v>8.2192078087270097</v>
      </c>
      <c r="V296" s="585">
        <f t="shared" si="573"/>
        <v>8.6301681991633608</v>
      </c>
      <c r="W296" s="585">
        <f t="shared" si="573"/>
        <v>9.0616766091215286</v>
      </c>
      <c r="X296" s="585">
        <f t="shared" si="573"/>
        <v>9.5147604395776053</v>
      </c>
      <c r="Y296" s="585">
        <f t="shared" si="573"/>
        <v>9.9904984615564842</v>
      </c>
      <c r="Z296" s="585">
        <f t="shared" si="573"/>
        <v>10.490023384634309</v>
      </c>
      <c r="AA296" s="585">
        <f t="shared" si="573"/>
        <v>11.014524553866023</v>
      </c>
      <c r="AB296" s="585">
        <f t="shared" si="573"/>
        <v>11.56525078155933</v>
      </c>
      <c r="AC296" s="585">
        <f t="shared" si="573"/>
        <v>12.143513320637293</v>
      </c>
      <c r="AD296" s="585">
        <f t="shared" si="573"/>
        <v>12.750688986669159</v>
      </c>
      <c r="AE296" s="585">
        <f t="shared" si="573"/>
        <v>13.388223436002619</v>
      </c>
      <c r="AF296" s="585">
        <f t="shared" si="573"/>
        <v>14.057634607802749</v>
      </c>
      <c r="AG296" s="585">
        <f t="shared" si="573"/>
        <v>14.760516338192884</v>
      </c>
      <c r="AH296" s="585">
        <f t="shared" si="573"/>
        <v>15.49854215510253</v>
      </c>
      <c r="AI296" s="585">
        <f t="shared" si="573"/>
        <v>16.273469262857652</v>
      </c>
      <c r="AJ296" s="585">
        <f t="shared" si="573"/>
        <v>17.087142726000543</v>
      </c>
    </row>
    <row r="297" spans="1:36" hidden="1" outlineLevel="1" x14ac:dyDescent="0.25">
      <c r="A297" t="s">
        <v>423</v>
      </c>
      <c r="E297" t="s">
        <v>182</v>
      </c>
      <c r="H297" s="575" t="s">
        <v>468</v>
      </c>
      <c r="I297" s="576" t="str">
        <f t="shared" si="511"/>
        <v>VND/phôi</v>
      </c>
      <c r="K297" s="575"/>
      <c r="L297" s="585">
        <f t="shared" ref="L297:AJ297" si="574">-IF($H$9="USD",L227/L191/$H$10*10^3,L227/L191/$H$10)</f>
        <v>1.8633097020762159</v>
      </c>
      <c r="M297" s="585">
        <f t="shared" si="574"/>
        <v>1.8633097020762155</v>
      </c>
      <c r="N297" s="585">
        <f t="shared" si="574"/>
        <v>1.956475187180027</v>
      </c>
      <c r="O297" s="585">
        <f t="shared" si="574"/>
        <v>2.0542989465390282</v>
      </c>
      <c r="P297" s="585">
        <f t="shared" si="574"/>
        <v>2.1570138938659795</v>
      </c>
      <c r="Q297" s="585">
        <f t="shared" si="574"/>
        <v>2.2648645885592784</v>
      </c>
      <c r="R297" s="585">
        <f t="shared" si="574"/>
        <v>2.3781078179872424</v>
      </c>
      <c r="S297" s="585">
        <f t="shared" si="574"/>
        <v>2.4970132088866044</v>
      </c>
      <c r="T297" s="585">
        <f t="shared" si="574"/>
        <v>2.6218638693309351</v>
      </c>
      <c r="U297" s="585">
        <f t="shared" si="574"/>
        <v>2.7529570627974813</v>
      </c>
      <c r="V297" s="585">
        <f t="shared" si="574"/>
        <v>2.8906049159373555</v>
      </c>
      <c r="W297" s="585">
        <f t="shared" si="574"/>
        <v>3.0351351617342233</v>
      </c>
      <c r="X297" s="585">
        <f t="shared" si="574"/>
        <v>3.1868919198209351</v>
      </c>
      <c r="Y297" s="585">
        <f t="shared" si="574"/>
        <v>3.3462365158119809</v>
      </c>
      <c r="Z297" s="585">
        <f t="shared" si="574"/>
        <v>3.5135483416025814</v>
      </c>
      <c r="AA297" s="585">
        <f t="shared" si="574"/>
        <v>3.6892257586827091</v>
      </c>
      <c r="AB297" s="585">
        <f t="shared" si="574"/>
        <v>3.8736870466168458</v>
      </c>
      <c r="AC297" s="585">
        <f t="shared" si="574"/>
        <v>4.0673713989476878</v>
      </c>
      <c r="AD297" s="585">
        <f t="shared" si="574"/>
        <v>4.2707399688950733</v>
      </c>
      <c r="AE297" s="585">
        <f t="shared" si="574"/>
        <v>4.4842769673398264</v>
      </c>
      <c r="AF297" s="585">
        <f t="shared" si="574"/>
        <v>4.7084908157068179</v>
      </c>
      <c r="AG297" s="585">
        <f t="shared" si="574"/>
        <v>4.9439153564921581</v>
      </c>
      <c r="AH297" s="585">
        <f t="shared" si="574"/>
        <v>5.191111124316766</v>
      </c>
      <c r="AI297" s="585">
        <f t="shared" si="574"/>
        <v>5.4506666805326036</v>
      </c>
      <c r="AJ297" s="585">
        <f t="shared" si="574"/>
        <v>5.723200014559235</v>
      </c>
    </row>
    <row r="298" spans="1:36" hidden="1" outlineLevel="1" x14ac:dyDescent="0.25">
      <c r="A298" t="s">
        <v>423</v>
      </c>
      <c r="E298" t="s">
        <v>182</v>
      </c>
      <c r="H298" s="575" t="s">
        <v>470</v>
      </c>
      <c r="I298" s="576" t="str">
        <f t="shared" si="511"/>
        <v>VND/phôi</v>
      </c>
      <c r="K298" s="575"/>
      <c r="L298" s="585">
        <f t="shared" ref="L298:AJ298" si="575">-IF($H$9="USD",L228/L191/$H$10*10^3,L228/L191/$H$10)</f>
        <v>131.92645076482901</v>
      </c>
      <c r="M298" s="585">
        <f t="shared" si="575"/>
        <v>93.401342006202313</v>
      </c>
      <c r="N298" s="585">
        <f t="shared" si="575"/>
        <v>64.7520705480229</v>
      </c>
      <c r="O298" s="585">
        <f t="shared" si="575"/>
        <v>64.07289218319869</v>
      </c>
      <c r="P298" s="585">
        <f t="shared" si="575"/>
        <v>63.339379549188521</v>
      </c>
      <c r="Q298" s="585">
        <f t="shared" si="575"/>
        <v>62.547185904457557</v>
      </c>
      <c r="R298" s="585">
        <f t="shared" si="575"/>
        <v>61.691616768148116</v>
      </c>
      <c r="S298" s="585">
        <f t="shared" si="575"/>
        <v>60.767602100933907</v>
      </c>
      <c r="T298" s="585">
        <f t="shared" si="575"/>
        <v>59.769666260342561</v>
      </c>
      <c r="U298" s="585">
        <f t="shared" si="575"/>
        <v>58.691895552503915</v>
      </c>
      <c r="V298" s="585">
        <f t="shared" si="575"/>
        <v>57.527903188038181</v>
      </c>
      <c r="W298" s="585">
        <f t="shared" si="575"/>
        <v>56.270791434415187</v>
      </c>
      <c r="X298" s="585">
        <f t="shared" si="575"/>
        <v>54.913110740502347</v>
      </c>
      <c r="Y298" s="585">
        <f t="shared" si="575"/>
        <v>53.446815591076501</v>
      </c>
      <c r="Z298" s="585">
        <f t="shared" si="575"/>
        <v>51.863216829696555</v>
      </c>
      <c r="AA298" s="585">
        <f t="shared" si="575"/>
        <v>50.152930167406225</v>
      </c>
      <c r="AB298" s="585">
        <f t="shared" si="575"/>
        <v>48.305820572132667</v>
      </c>
      <c r="AC298" s="585">
        <f t="shared" si="575"/>
        <v>46.31094220923724</v>
      </c>
      <c r="AD298" s="585">
        <f t="shared" si="575"/>
        <v>44.156473577310166</v>
      </c>
      <c r="AE298" s="585">
        <f t="shared" si="575"/>
        <v>41.829647454828923</v>
      </c>
      <c r="AF298" s="585">
        <f t="shared" si="575"/>
        <v>39.316675242549188</v>
      </c>
      <c r="AG298" s="585">
        <f t="shared" si="575"/>
        <v>36.602665253287078</v>
      </c>
      <c r="AH298" s="585">
        <f t="shared" si="575"/>
        <v>33.67153446488399</v>
      </c>
      <c r="AI298" s="585">
        <f t="shared" si="575"/>
        <v>30.505913213408657</v>
      </c>
      <c r="AJ298" s="585">
        <f t="shared" si="575"/>
        <v>27.087042261815295</v>
      </c>
    </row>
    <row r="299" spans="1:36" hidden="1" outlineLevel="1" x14ac:dyDescent="0.25">
      <c r="A299" t="s">
        <v>423</v>
      </c>
      <c r="H299" s="289"/>
      <c r="I299" s="290"/>
      <c r="K299" s="289"/>
      <c r="L299" s="289"/>
      <c r="M299" s="289"/>
      <c r="N299" s="289"/>
      <c r="O299" s="289"/>
      <c r="P299" s="289"/>
      <c r="Q299" s="289"/>
      <c r="R299" s="289"/>
      <c r="S299" s="289"/>
      <c r="T299" s="289"/>
      <c r="U299" s="289"/>
      <c r="V299" s="289"/>
      <c r="W299" s="289"/>
      <c r="X299" s="289"/>
      <c r="Y299" s="289"/>
      <c r="Z299" s="289"/>
      <c r="AA299" s="289"/>
      <c r="AB299" s="289"/>
      <c r="AC299" s="289"/>
      <c r="AD299" s="289"/>
      <c r="AE299" s="289"/>
      <c r="AF299" s="289"/>
      <c r="AG299" s="289"/>
      <c r="AH299" s="289"/>
      <c r="AI299" s="289"/>
      <c r="AJ299" s="289"/>
    </row>
    <row r="300" spans="1:36" s="16" customFormat="1" hidden="1" collapsed="1" x14ac:dyDescent="0.25">
      <c r="A300" s="16" t="s">
        <v>423</v>
      </c>
      <c r="H300" s="291" t="s">
        <v>487</v>
      </c>
      <c r="I300" s="292" t="str">
        <f t="shared" si="511"/>
        <v>VND/phôi</v>
      </c>
      <c r="K300" s="298">
        <f>K293+SUM(K295:K298)</f>
        <v>0</v>
      </c>
      <c r="L300" s="298">
        <f t="shared" ref="L300:AJ300" si="576">L293+SUM(L295:L298)</f>
        <v>887.93620643197414</v>
      </c>
      <c r="M300" s="298">
        <f t="shared" si="576"/>
        <v>768.54084789406284</v>
      </c>
      <c r="N300" s="298">
        <f t="shared" si="576"/>
        <v>693.05742327619578</v>
      </c>
      <c r="O300" s="298">
        <f t="shared" si="576"/>
        <v>706.63775544767157</v>
      </c>
      <c r="P300" s="298">
        <f t="shared" si="576"/>
        <v>720.621779522618</v>
      </c>
      <c r="Q300" s="298">
        <f t="shared" si="576"/>
        <v>735.02295108104965</v>
      </c>
      <c r="R300" s="298">
        <f t="shared" si="576"/>
        <v>749.85516609999434</v>
      </c>
      <c r="S300" s="298">
        <f t="shared" si="576"/>
        <v>765.1327705015691</v>
      </c>
      <c r="T300" s="298">
        <f t="shared" si="576"/>
        <v>780.8705693030937</v>
      </c>
      <c r="U300" s="298">
        <f t="shared" si="576"/>
        <v>797.08383528176182</v>
      </c>
      <c r="V300" s="298">
        <f t="shared" si="576"/>
        <v>813.78831705665948</v>
      </c>
      <c r="W300" s="298">
        <f t="shared" si="576"/>
        <v>831.00024648026942</v>
      </c>
      <c r="X300" s="298">
        <f t="shared" si="576"/>
        <v>778.13159128671668</v>
      </c>
      <c r="Y300" s="298">
        <f t="shared" si="576"/>
        <v>796.40907646405606</v>
      </c>
      <c r="Z300" s="298">
        <f t="shared" si="576"/>
        <v>815.24566520567862</v>
      </c>
      <c r="AA300" s="298">
        <f t="shared" si="576"/>
        <v>834.6595779446385</v>
      </c>
      <c r="AB300" s="298">
        <f t="shared" si="576"/>
        <v>854.66954029423675</v>
      </c>
      <c r="AC300" s="298">
        <f t="shared" si="576"/>
        <v>875.29478329848735</v>
      </c>
      <c r="AD300" s="298">
        <f t="shared" si="576"/>
        <v>896.55504184359518</v>
      </c>
      <c r="AE300" s="298">
        <f t="shared" si="576"/>
        <v>918.47055099336217</v>
      </c>
      <c r="AF300" s="298">
        <f t="shared" si="576"/>
        <v>941.06203998803176</v>
      </c>
      <c r="AG300" s="298">
        <f t="shared" si="576"/>
        <v>964.35072362057747</v>
      </c>
      <c r="AH300" s="298">
        <f t="shared" si="576"/>
        <v>988.35829067667351</v>
      </c>
      <c r="AI300" s="298">
        <f t="shared" si="576"/>
        <v>1013.1068890943552</v>
      </c>
      <c r="AJ300" s="298">
        <f t="shared" si="576"/>
        <v>1038.6191074664584</v>
      </c>
    </row>
    <row r="301" spans="1:36" hidden="1" x14ac:dyDescent="0.25">
      <c r="A301" t="s">
        <v>423</v>
      </c>
    </row>
    <row r="302" spans="1:36" hidden="1" x14ac:dyDescent="0.25">
      <c r="A302" t="s">
        <v>423</v>
      </c>
      <c r="H302" s="594" t="s">
        <v>361</v>
      </c>
      <c r="I302" s="595" t="str">
        <f t="shared" si="511"/>
        <v>VND/phôi</v>
      </c>
      <c r="K302" s="594"/>
      <c r="L302" s="600">
        <f>INDEX('Cover Page'!$H$12:$W$12,MATCH($A302,'Cover Page'!$H$5:$W$5,0))</f>
        <v>6.6666666666666666E-2</v>
      </c>
      <c r="M302" s="600">
        <f>INDEX('Cover Page'!$H$12:$W$12,MATCH($A302,'Cover Page'!$H$5:$W$5,0))</f>
        <v>6.6666666666666666E-2</v>
      </c>
      <c r="N302" s="600">
        <f>INDEX('Cover Page'!$H$12:$W$12,MATCH($A302,'Cover Page'!$H$5:$W$5,0))</f>
        <v>6.6666666666666666E-2</v>
      </c>
      <c r="O302" s="600">
        <f>INDEX('Cover Page'!$H$12:$W$12,MATCH($A302,'Cover Page'!$H$5:$W$5,0))</f>
        <v>6.6666666666666666E-2</v>
      </c>
      <c r="P302" s="600">
        <f>INDEX('Cover Page'!$H$12:$W$12,MATCH($A302,'Cover Page'!$H$5:$W$5,0))</f>
        <v>6.6666666666666666E-2</v>
      </c>
      <c r="Q302" s="600">
        <f>INDEX('Cover Page'!$H$12:$W$12,MATCH($A302,'Cover Page'!$H$5:$W$5,0))</f>
        <v>6.6666666666666666E-2</v>
      </c>
      <c r="R302" s="600">
        <f>INDEX('Cover Page'!$H$12:$W$12,MATCH($A302,'Cover Page'!$H$5:$W$5,0))</f>
        <v>6.6666666666666666E-2</v>
      </c>
      <c r="S302" s="600">
        <f>INDEX('Cover Page'!$H$12:$W$12,MATCH($A302,'Cover Page'!$H$5:$W$5,0))</f>
        <v>6.6666666666666666E-2</v>
      </c>
      <c r="T302" s="600">
        <f>INDEX('Cover Page'!$H$12:$W$12,MATCH($A302,'Cover Page'!$H$5:$W$5,0))</f>
        <v>6.6666666666666666E-2</v>
      </c>
      <c r="U302" s="600">
        <f>INDEX('Cover Page'!$H$12:$W$12,MATCH($A302,'Cover Page'!$H$5:$W$5,0))</f>
        <v>6.6666666666666666E-2</v>
      </c>
      <c r="V302" s="600">
        <f>INDEX('Cover Page'!$H$12:$W$12,MATCH($A302,'Cover Page'!$H$5:$W$5,0))</f>
        <v>6.6666666666666666E-2</v>
      </c>
      <c r="W302" s="600">
        <f>INDEX('Cover Page'!$H$12:$W$12,MATCH($A302,'Cover Page'!$H$5:$W$5,0))</f>
        <v>6.6666666666666666E-2</v>
      </c>
      <c r="X302" s="600">
        <f>INDEX('Cover Page'!$H$12:$W$12,MATCH($A302,'Cover Page'!$H$5:$W$5,0))</f>
        <v>6.6666666666666666E-2</v>
      </c>
      <c r="Y302" s="600">
        <f>INDEX('Cover Page'!$H$12:$W$12,MATCH($A302,'Cover Page'!$H$5:$W$5,0))</f>
        <v>6.6666666666666666E-2</v>
      </c>
      <c r="Z302" s="600">
        <f>INDEX('Cover Page'!$H$12:$W$12,MATCH($A302,'Cover Page'!$H$5:$W$5,0))</f>
        <v>6.6666666666666666E-2</v>
      </c>
      <c r="AA302" s="600">
        <f>INDEX('Cover Page'!$H$12:$W$12,MATCH($A302,'Cover Page'!$H$5:$W$5,0))</f>
        <v>6.6666666666666666E-2</v>
      </c>
      <c r="AB302" s="600">
        <f>INDEX('Cover Page'!$H$12:$W$12,MATCH($A302,'Cover Page'!$H$5:$W$5,0))</f>
        <v>6.6666666666666666E-2</v>
      </c>
      <c r="AC302" s="600">
        <f>INDEX('Cover Page'!$H$12:$W$12,MATCH($A302,'Cover Page'!$H$5:$W$5,0))</f>
        <v>6.6666666666666666E-2</v>
      </c>
      <c r="AD302" s="600">
        <f>INDEX('Cover Page'!$H$12:$W$12,MATCH($A302,'Cover Page'!$H$5:$W$5,0))</f>
        <v>6.6666666666666666E-2</v>
      </c>
      <c r="AE302" s="600">
        <f>INDEX('Cover Page'!$H$12:$W$12,MATCH($A302,'Cover Page'!$H$5:$W$5,0))</f>
        <v>6.6666666666666666E-2</v>
      </c>
      <c r="AF302" s="600">
        <f>INDEX('Cover Page'!$H$12:$W$12,MATCH($A302,'Cover Page'!$H$5:$W$5,0))</f>
        <v>6.6666666666666666E-2</v>
      </c>
      <c r="AG302" s="600">
        <f>INDEX('Cover Page'!$H$12:$W$12,MATCH($A302,'Cover Page'!$H$5:$W$5,0))</f>
        <v>6.6666666666666666E-2</v>
      </c>
      <c r="AH302" s="600">
        <f>INDEX('Cover Page'!$H$12:$W$12,MATCH($A302,'Cover Page'!$H$5:$W$5,0))</f>
        <v>6.6666666666666666E-2</v>
      </c>
      <c r="AI302" s="600">
        <f>INDEX('Cover Page'!$H$12:$W$12,MATCH($A302,'Cover Page'!$H$5:$W$5,0))</f>
        <v>6.6666666666666666E-2</v>
      </c>
      <c r="AJ302" s="600">
        <f>INDEX('Cover Page'!$H$12:$W$12,MATCH($A302,'Cover Page'!$H$5:$W$5,0))</f>
        <v>6.6666666666666666E-2</v>
      </c>
    </row>
    <row r="303" spans="1:36" s="1" customFormat="1" hidden="1" x14ac:dyDescent="0.25">
      <c r="A303" s="1" t="s">
        <v>423</v>
      </c>
      <c r="H303" s="596" t="s">
        <v>490</v>
      </c>
      <c r="I303" s="597" t="str">
        <f t="shared" si="511"/>
        <v>VND/phôi</v>
      </c>
      <c r="K303" s="596"/>
      <c r="L303" s="601">
        <f>L300*(1+L302)</f>
        <v>947.13195352743912</v>
      </c>
      <c r="M303" s="601">
        <f t="shared" ref="M303:AJ303" si="577">M300*(1+M302)</f>
        <v>819.77690442033372</v>
      </c>
      <c r="N303" s="601">
        <f t="shared" si="577"/>
        <v>739.26125149460881</v>
      </c>
      <c r="O303" s="601">
        <f t="shared" si="577"/>
        <v>753.74693914418299</v>
      </c>
      <c r="P303" s="601">
        <f t="shared" si="577"/>
        <v>768.66323149079255</v>
      </c>
      <c r="Q303" s="601">
        <f t="shared" si="577"/>
        <v>784.02448115311961</v>
      </c>
      <c r="R303" s="601">
        <f t="shared" si="577"/>
        <v>799.84551050666062</v>
      </c>
      <c r="S303" s="601">
        <f t="shared" si="577"/>
        <v>816.14162186834039</v>
      </c>
      <c r="T303" s="601">
        <f t="shared" si="577"/>
        <v>832.92860725663331</v>
      </c>
      <c r="U303" s="601">
        <f t="shared" si="577"/>
        <v>850.22275763387927</v>
      </c>
      <c r="V303" s="601">
        <f t="shared" si="577"/>
        <v>868.04087152710338</v>
      </c>
      <c r="W303" s="601">
        <f t="shared" si="577"/>
        <v>886.40026291228742</v>
      </c>
      <c r="X303" s="601">
        <f t="shared" si="577"/>
        <v>830.00703070583108</v>
      </c>
      <c r="Y303" s="601">
        <f t="shared" si="577"/>
        <v>849.50301489499316</v>
      </c>
      <c r="Z303" s="601">
        <f t="shared" si="577"/>
        <v>869.59537621939046</v>
      </c>
      <c r="AA303" s="601">
        <f t="shared" si="577"/>
        <v>890.30354980761433</v>
      </c>
      <c r="AB303" s="601">
        <f t="shared" si="577"/>
        <v>911.64750964718587</v>
      </c>
      <c r="AC303" s="601">
        <f t="shared" si="577"/>
        <v>933.64776885171977</v>
      </c>
      <c r="AD303" s="601">
        <f t="shared" si="577"/>
        <v>956.32537796650149</v>
      </c>
      <c r="AE303" s="601">
        <f t="shared" si="577"/>
        <v>979.70192105958631</v>
      </c>
      <c r="AF303" s="601">
        <f t="shared" si="577"/>
        <v>1003.7995093205672</v>
      </c>
      <c r="AG303" s="601">
        <f t="shared" si="577"/>
        <v>1028.6407718619494</v>
      </c>
      <c r="AH303" s="601">
        <f t="shared" si="577"/>
        <v>1054.2488433884516</v>
      </c>
      <c r="AI303" s="601">
        <f t="shared" si="577"/>
        <v>1080.6473483673121</v>
      </c>
      <c r="AJ303" s="601">
        <f t="shared" si="577"/>
        <v>1107.8603812975557</v>
      </c>
    </row>
    <row r="304" spans="1:36" hidden="1" x14ac:dyDescent="0.25">
      <c r="A304" t="s">
        <v>423</v>
      </c>
      <c r="H304" s="575" t="s">
        <v>292</v>
      </c>
      <c r="I304" s="576" t="str">
        <f t="shared" si="511"/>
        <v>VND/phôi</v>
      </c>
      <c r="K304" s="575"/>
      <c r="L304" s="602">
        <f t="shared" ref="L304:AJ304" si="578">Tax_rate</f>
        <v>0.2</v>
      </c>
      <c r="M304" s="602">
        <f t="shared" si="578"/>
        <v>0.2</v>
      </c>
      <c r="N304" s="602">
        <f t="shared" si="578"/>
        <v>0.2</v>
      </c>
      <c r="O304" s="602">
        <f t="shared" si="578"/>
        <v>0.2</v>
      </c>
      <c r="P304" s="602">
        <f t="shared" si="578"/>
        <v>0.2</v>
      </c>
      <c r="Q304" s="602">
        <f t="shared" si="578"/>
        <v>0.2</v>
      </c>
      <c r="R304" s="602">
        <f t="shared" si="578"/>
        <v>0.2</v>
      </c>
      <c r="S304" s="602">
        <f t="shared" si="578"/>
        <v>0.2</v>
      </c>
      <c r="T304" s="602">
        <f t="shared" si="578"/>
        <v>0.2</v>
      </c>
      <c r="U304" s="602">
        <f t="shared" si="578"/>
        <v>0.2</v>
      </c>
      <c r="V304" s="602">
        <f t="shared" si="578"/>
        <v>0.2</v>
      </c>
      <c r="W304" s="602">
        <f t="shared" si="578"/>
        <v>0.2</v>
      </c>
      <c r="X304" s="602">
        <f t="shared" si="578"/>
        <v>0.2</v>
      </c>
      <c r="Y304" s="602">
        <f t="shared" si="578"/>
        <v>0.2</v>
      </c>
      <c r="Z304" s="602">
        <f t="shared" si="578"/>
        <v>0.2</v>
      </c>
      <c r="AA304" s="602">
        <f t="shared" si="578"/>
        <v>0.2</v>
      </c>
      <c r="AB304" s="602">
        <f t="shared" si="578"/>
        <v>0.2</v>
      </c>
      <c r="AC304" s="602">
        <f t="shared" si="578"/>
        <v>0.2</v>
      </c>
      <c r="AD304" s="602">
        <f t="shared" si="578"/>
        <v>0.2</v>
      </c>
      <c r="AE304" s="602">
        <f t="shared" si="578"/>
        <v>0.2</v>
      </c>
      <c r="AF304" s="602">
        <f t="shared" si="578"/>
        <v>0.2</v>
      </c>
      <c r="AG304" s="602">
        <f t="shared" si="578"/>
        <v>0.2</v>
      </c>
      <c r="AH304" s="602">
        <f t="shared" si="578"/>
        <v>0.2</v>
      </c>
      <c r="AI304" s="602">
        <f t="shared" si="578"/>
        <v>0.2</v>
      </c>
      <c r="AJ304" s="602">
        <f t="shared" si="578"/>
        <v>0.2</v>
      </c>
    </row>
    <row r="305" spans="1:36" s="1" customFormat="1" hidden="1" x14ac:dyDescent="0.25">
      <c r="A305" s="1" t="s">
        <v>423</v>
      </c>
      <c r="H305" s="596" t="s">
        <v>491</v>
      </c>
      <c r="I305" s="597" t="str">
        <f t="shared" si="511"/>
        <v>VND/phôi</v>
      </c>
      <c r="K305" s="596"/>
      <c r="L305" s="601">
        <f>(L303-L300)*(1-L304)</f>
        <v>47.35659767637199</v>
      </c>
      <c r="M305" s="601">
        <f t="shared" ref="M305:AJ305" si="579">(M303-M300)*(1-M304)</f>
        <v>40.98884522101671</v>
      </c>
      <c r="N305" s="601">
        <f t="shared" si="579"/>
        <v>36.963062574730429</v>
      </c>
      <c r="O305" s="601">
        <f t="shared" si="579"/>
        <v>37.687346957209137</v>
      </c>
      <c r="P305" s="601">
        <f t="shared" si="579"/>
        <v>38.433161574539646</v>
      </c>
      <c r="Q305" s="601">
        <f t="shared" si="579"/>
        <v>39.201224057655963</v>
      </c>
      <c r="R305" s="601">
        <f t="shared" si="579"/>
        <v>39.992275525333028</v>
      </c>
      <c r="S305" s="601">
        <f t="shared" si="579"/>
        <v>40.80708109341704</v>
      </c>
      <c r="T305" s="601">
        <f t="shared" si="579"/>
        <v>41.646430362831694</v>
      </c>
      <c r="U305" s="601">
        <f t="shared" si="579"/>
        <v>42.511137881693962</v>
      </c>
      <c r="V305" s="601">
        <f t="shared" si="579"/>
        <v>43.402043576355119</v>
      </c>
      <c r="W305" s="601">
        <f t="shared" si="579"/>
        <v>44.320013145614396</v>
      </c>
      <c r="X305" s="601">
        <f t="shared" si="579"/>
        <v>41.500351535291522</v>
      </c>
      <c r="Y305" s="601">
        <f t="shared" si="579"/>
        <v>42.475150744749683</v>
      </c>
      <c r="Z305" s="601">
        <f t="shared" si="579"/>
        <v>43.479768810969475</v>
      </c>
      <c r="AA305" s="601">
        <f t="shared" si="579"/>
        <v>44.515177490380665</v>
      </c>
      <c r="AB305" s="601">
        <f t="shared" si="579"/>
        <v>45.582375482359296</v>
      </c>
      <c r="AC305" s="601">
        <f t="shared" si="579"/>
        <v>46.682388442585946</v>
      </c>
      <c r="AD305" s="601">
        <f t="shared" si="579"/>
        <v>47.816268898325056</v>
      </c>
      <c r="AE305" s="601">
        <f t="shared" si="579"/>
        <v>48.985096052979316</v>
      </c>
      <c r="AF305" s="601">
        <f t="shared" si="579"/>
        <v>50.189975466028322</v>
      </c>
      <c r="AG305" s="601">
        <f t="shared" si="579"/>
        <v>51.432038593097516</v>
      </c>
      <c r="AH305" s="601">
        <f t="shared" si="579"/>
        <v>52.712442169422502</v>
      </c>
      <c r="AI305" s="601">
        <f t="shared" si="579"/>
        <v>54.032367418365538</v>
      </c>
      <c r="AJ305" s="601">
        <f t="shared" si="579"/>
        <v>55.393019064877812</v>
      </c>
    </row>
    <row r="306" spans="1:36" s="146" customFormat="1" hidden="1" x14ac:dyDescent="0.25">
      <c r="A306" s="146" t="s">
        <v>423</v>
      </c>
      <c r="H306" s="598" t="s">
        <v>492</v>
      </c>
      <c r="I306" s="599"/>
      <c r="K306" s="598"/>
      <c r="L306" s="603">
        <f>IFERROR(L305/L303,0)</f>
        <v>5.0000000000000037E-2</v>
      </c>
      <c r="M306" s="603">
        <f>IFERROR(M305/M303,0)</f>
        <v>5.0000000000000031E-2</v>
      </c>
      <c r="N306" s="603">
        <f t="shared" ref="N306:AJ306" si="580">IFERROR(N305/N303,0)</f>
        <v>4.9999999999999982E-2</v>
      </c>
      <c r="O306" s="603">
        <f t="shared" si="580"/>
        <v>4.9999999999999982E-2</v>
      </c>
      <c r="P306" s="603">
        <f t="shared" si="580"/>
        <v>5.0000000000000024E-2</v>
      </c>
      <c r="Q306" s="603">
        <f t="shared" si="580"/>
        <v>4.9999999999999975E-2</v>
      </c>
      <c r="R306" s="603">
        <f t="shared" si="580"/>
        <v>4.9999999999999996E-2</v>
      </c>
      <c r="S306" s="603">
        <f t="shared" si="580"/>
        <v>5.0000000000000024E-2</v>
      </c>
      <c r="T306" s="603">
        <f t="shared" si="580"/>
        <v>5.0000000000000037E-2</v>
      </c>
      <c r="U306" s="603">
        <f t="shared" si="580"/>
        <v>4.9999999999999996E-2</v>
      </c>
      <c r="V306" s="603">
        <f t="shared" si="580"/>
        <v>4.999999999999994E-2</v>
      </c>
      <c r="W306" s="603">
        <f t="shared" si="580"/>
        <v>5.0000000000000031E-2</v>
      </c>
      <c r="X306" s="603">
        <f t="shared" si="580"/>
        <v>4.9999999999999961E-2</v>
      </c>
      <c r="Y306" s="603">
        <f t="shared" si="580"/>
        <v>5.0000000000000031E-2</v>
      </c>
      <c r="Z306" s="603">
        <f t="shared" si="580"/>
        <v>4.9999999999999947E-2</v>
      </c>
      <c r="AA306" s="603">
        <f t="shared" si="580"/>
        <v>4.999999999999994E-2</v>
      </c>
      <c r="AB306" s="603">
        <f t="shared" si="580"/>
        <v>0.05</v>
      </c>
      <c r="AC306" s="603">
        <f t="shared" si="580"/>
        <v>4.9999999999999954E-2</v>
      </c>
      <c r="AD306" s="603">
        <f t="shared" si="580"/>
        <v>4.9999999999999982E-2</v>
      </c>
      <c r="AE306" s="603">
        <f t="shared" si="580"/>
        <v>0.05</v>
      </c>
      <c r="AF306" s="603">
        <f t="shared" si="580"/>
        <v>4.9999999999999961E-2</v>
      </c>
      <c r="AG306" s="603">
        <f t="shared" si="580"/>
        <v>5.0000000000000044E-2</v>
      </c>
      <c r="AH306" s="603">
        <f t="shared" si="580"/>
        <v>4.9999999999999926E-2</v>
      </c>
      <c r="AI306" s="603">
        <f t="shared" si="580"/>
        <v>4.999999999999994E-2</v>
      </c>
      <c r="AJ306" s="603">
        <f t="shared" si="580"/>
        <v>5.0000000000000024E-2</v>
      </c>
    </row>
    <row r="307" spans="1:36" hidden="1" x14ac:dyDescent="0.25">
      <c r="A307" t="s">
        <v>423</v>
      </c>
      <c r="L307" s="64"/>
    </row>
    <row r="308" spans="1:36" hidden="1" x14ac:dyDescent="0.25">
      <c r="A308" t="s">
        <v>423</v>
      </c>
      <c r="H308" s="1" t="s">
        <v>493</v>
      </c>
    </row>
    <row r="309" spans="1:36" hidden="1" x14ac:dyDescent="0.25">
      <c r="A309" t="s">
        <v>423</v>
      </c>
      <c r="H309" t="s">
        <v>493</v>
      </c>
      <c r="I309" s="65" t="s">
        <v>475</v>
      </c>
      <c r="K309" s="15"/>
      <c r="L309" s="15">
        <f t="shared" ref="L309:AJ309" si="581">L310*PHOI_KG*10^3/10^6</f>
        <v>49.233333333333334</v>
      </c>
      <c r="M309" s="15">
        <f t="shared" si="581"/>
        <v>50.218000000000004</v>
      </c>
      <c r="N309" s="15">
        <f t="shared" si="581"/>
        <v>51.222360000000009</v>
      </c>
      <c r="O309" s="15">
        <f t="shared" si="581"/>
        <v>52.246807200000006</v>
      </c>
      <c r="P309" s="15">
        <f t="shared" si="581"/>
        <v>53.291743344000004</v>
      </c>
      <c r="Q309" s="15">
        <f t="shared" si="581"/>
        <v>54.357578210880007</v>
      </c>
      <c r="R309" s="15">
        <f t="shared" si="581"/>
        <v>55.444729775097606</v>
      </c>
      <c r="S309" s="15">
        <f t="shared" si="581"/>
        <v>56.553624370599543</v>
      </c>
      <c r="T309" s="15">
        <f t="shared" si="581"/>
        <v>57.684696858011542</v>
      </c>
      <c r="U309" s="15">
        <f t="shared" si="581"/>
        <v>58.838390795171769</v>
      </c>
      <c r="V309" s="15">
        <f t="shared" si="581"/>
        <v>60.015158611075208</v>
      </c>
      <c r="W309" s="15">
        <f t="shared" si="581"/>
        <v>61.215461783296703</v>
      </c>
      <c r="X309" s="15">
        <f t="shared" si="581"/>
        <v>62.439771018962645</v>
      </c>
      <c r="Y309" s="15">
        <f t="shared" si="581"/>
        <v>63.688566439341905</v>
      </c>
      <c r="Z309" s="15">
        <f t="shared" si="581"/>
        <v>64.962337768128734</v>
      </c>
      <c r="AA309" s="15">
        <f t="shared" si="581"/>
        <v>66.261584523491294</v>
      </c>
      <c r="AB309" s="15">
        <f t="shared" si="581"/>
        <v>67.586816213961143</v>
      </c>
      <c r="AC309" s="15">
        <f t="shared" si="581"/>
        <v>68.938552538240359</v>
      </c>
      <c r="AD309" s="15">
        <f t="shared" si="581"/>
        <v>70.317323589005156</v>
      </c>
      <c r="AE309" s="15">
        <f t="shared" si="581"/>
        <v>71.723670060785267</v>
      </c>
      <c r="AF309" s="15">
        <f t="shared" si="581"/>
        <v>73.158143462000965</v>
      </c>
      <c r="AG309" s="15">
        <f t="shared" si="581"/>
        <v>74.621306331241001</v>
      </c>
      <c r="AH309" s="15">
        <f t="shared" si="581"/>
        <v>76.113732457865822</v>
      </c>
      <c r="AI309" s="15">
        <f t="shared" si="581"/>
        <v>77.636007107023119</v>
      </c>
      <c r="AJ309" s="15">
        <f t="shared" si="581"/>
        <v>79.188727249163577</v>
      </c>
    </row>
    <row r="310" spans="1:36" hidden="1" x14ac:dyDescent="0.25">
      <c r="A310" t="s">
        <v>423</v>
      </c>
      <c r="F310" t="s">
        <v>570</v>
      </c>
      <c r="H310" t="s">
        <v>493</v>
      </c>
      <c r="I310" s="65" t="s">
        <v>368</v>
      </c>
      <c r="K310" s="27"/>
      <c r="L310" s="27">
        <f>INDEX('Cover Page'!$H$14:$W$14,MATCH($A310,'Cover Page'!$H$5:$W$5,0))</f>
        <v>738.5</v>
      </c>
      <c r="M310" s="27">
        <f>$L310*POWER(1+INDEX('Cover Page'!$H$17:$W$17,MATCH($A310,'Cover Page'!$H$5:$W$5,0)),M$12+1)</f>
        <v>753.27</v>
      </c>
      <c r="N310" s="27">
        <f>$L310*POWER(1+INDEX('Cover Page'!$H$17:$W$17,MATCH($A310,'Cover Page'!$H$5:$W$5,0)),N$12+1)</f>
        <v>768.33540000000005</v>
      </c>
      <c r="O310" s="27">
        <f>$L310*POWER(1+INDEX('Cover Page'!$H$17:$W$17,MATCH($A310,'Cover Page'!$H$5:$W$5,0)),O$12+1)</f>
        <v>783.70210799999995</v>
      </c>
      <c r="P310" s="27">
        <f>$L310*POWER(1+INDEX('Cover Page'!$H$17:$W$17,MATCH($A310,'Cover Page'!$H$5:$W$5,0)),P$12+1)</f>
        <v>799.37615015999995</v>
      </c>
      <c r="Q310" s="27">
        <f>$L310*POWER(1+INDEX('Cover Page'!$H$17:$W$17,MATCH($A310,'Cover Page'!$H$5:$W$5,0)),Q$12+1)</f>
        <v>815.36367316320002</v>
      </c>
      <c r="R310" s="27">
        <f>$L310*POWER(1+INDEX('Cover Page'!$H$17:$W$17,MATCH($A310,'Cover Page'!$H$5:$W$5,0)),R$12+1)</f>
        <v>831.670946626464</v>
      </c>
      <c r="S310" s="27">
        <f>$L310*POWER(1+INDEX('Cover Page'!$H$17:$W$17,MATCH($A310,'Cover Page'!$H$5:$W$5,0)),S$12+1)</f>
        <v>848.30436555899314</v>
      </c>
      <c r="T310" s="27">
        <f>$L310*POWER(1+INDEX('Cover Page'!$H$17:$W$17,MATCH($A310,'Cover Page'!$H$5:$W$5,0)),T$12+1)</f>
        <v>865.27045287017313</v>
      </c>
      <c r="U310" s="27">
        <f>$L310*POWER(1+INDEX('Cover Page'!$H$17:$W$17,MATCH($A310,'Cover Page'!$H$5:$W$5,0)),U$12+1)</f>
        <v>882.57586192757651</v>
      </c>
      <c r="V310" s="27">
        <f>$L310*POWER(1+INDEX('Cover Page'!$H$17:$W$17,MATCH($A310,'Cover Page'!$H$5:$W$5,0)),V$12+1)</f>
        <v>900.22737916612812</v>
      </c>
      <c r="W310" s="27">
        <f>$L310*POWER(1+INDEX('Cover Page'!$H$17:$W$17,MATCH($A310,'Cover Page'!$H$5:$W$5,0)),W$12+1)</f>
        <v>918.23192674945051</v>
      </c>
      <c r="X310" s="27">
        <f>$L310*POWER(1+INDEX('Cover Page'!$H$17:$W$17,MATCH($A310,'Cover Page'!$H$5:$W$5,0)),X$12+1)</f>
        <v>936.59656528443963</v>
      </c>
      <c r="Y310" s="27">
        <f>$L310*POWER(1+INDEX('Cover Page'!$H$17:$W$17,MATCH($A310,'Cover Page'!$H$5:$W$5,0)),Y$12+1)</f>
        <v>955.32849659012845</v>
      </c>
      <c r="Z310" s="27">
        <f>$L310*POWER(1+INDEX('Cover Page'!$H$17:$W$17,MATCH($A310,'Cover Page'!$H$5:$W$5,0)),Z$12+1)</f>
        <v>974.43506652193105</v>
      </c>
      <c r="AA310" s="27">
        <f>$L310*POWER(1+INDEX('Cover Page'!$H$17:$W$17,MATCH($A310,'Cover Page'!$H$5:$W$5,0)),AA$12+1)</f>
        <v>993.92376785236945</v>
      </c>
      <c r="AB310" s="27">
        <f>$L310*POWER(1+INDEX('Cover Page'!$H$17:$W$17,MATCH($A310,'Cover Page'!$H$5:$W$5,0)),AB$12+1)</f>
        <v>1013.802243209417</v>
      </c>
      <c r="AC310" s="27">
        <f>$L310*POWER(1+INDEX('Cover Page'!$H$17:$W$17,MATCH($A310,'Cover Page'!$H$5:$W$5,0)),AC$12+1)</f>
        <v>1034.0782880736053</v>
      </c>
      <c r="AD310" s="27">
        <f>$L310*POWER(1+INDEX('Cover Page'!$H$17:$W$17,MATCH($A310,'Cover Page'!$H$5:$W$5,0)),AD$12+1)</f>
        <v>1054.7598538350774</v>
      </c>
      <c r="AE310" s="27">
        <f>$L310*POWER(1+INDEX('Cover Page'!$H$17:$W$17,MATCH($A310,'Cover Page'!$H$5:$W$5,0)),AE$12+1)</f>
        <v>1075.855050911779</v>
      </c>
      <c r="AF310" s="27">
        <f>$L310*POWER(1+INDEX('Cover Page'!$H$17:$W$17,MATCH($A310,'Cover Page'!$H$5:$W$5,0)),AF$12+1)</f>
        <v>1097.3721519300145</v>
      </c>
      <c r="AG310" s="27">
        <f>$L310*POWER(1+INDEX('Cover Page'!$H$17:$W$17,MATCH($A310,'Cover Page'!$H$5:$W$5,0)),AG$12+1)</f>
        <v>1119.3195949686149</v>
      </c>
      <c r="AH310" s="27">
        <f>$L310*POWER(1+INDEX('Cover Page'!$H$17:$W$17,MATCH($A310,'Cover Page'!$H$5:$W$5,0)),AH$12+1)</f>
        <v>1141.7059868679871</v>
      </c>
      <c r="AI310" s="27">
        <f>$L310*POWER(1+INDEX('Cover Page'!$H$17:$W$17,MATCH($A310,'Cover Page'!$H$5:$W$5,0)),AI$12+1)</f>
        <v>1164.5401066053466</v>
      </c>
      <c r="AJ310" s="27">
        <f>$L310*POWER(1+INDEX('Cover Page'!$H$17:$W$17,MATCH($A310,'Cover Page'!$H$5:$W$5,0)),AJ$12+1)</f>
        <v>1187.8309087374537</v>
      </c>
    </row>
    <row r="311" spans="1:36" hidden="1" x14ac:dyDescent="0.25">
      <c r="A311" t="s">
        <v>423</v>
      </c>
      <c r="H311" t="s">
        <v>493</v>
      </c>
      <c r="I311" s="65" t="s">
        <v>369</v>
      </c>
      <c r="K311" s="15"/>
      <c r="L311" s="15">
        <f t="shared" ref="L311:AJ311" si="582">L309/EXR*10^6</f>
        <v>1893.5897435897436</v>
      </c>
      <c r="M311" s="15">
        <f t="shared" si="582"/>
        <v>1931.4615384615386</v>
      </c>
      <c r="N311" s="15">
        <f t="shared" si="582"/>
        <v>1970.0907692307696</v>
      </c>
      <c r="O311" s="15">
        <f t="shared" si="582"/>
        <v>2009.4925846153851</v>
      </c>
      <c r="P311" s="15">
        <f t="shared" si="582"/>
        <v>2049.6824363076926</v>
      </c>
      <c r="Q311" s="15">
        <f t="shared" si="582"/>
        <v>2090.6760850338464</v>
      </c>
      <c r="R311" s="15">
        <f t="shared" si="582"/>
        <v>2132.4896067345235</v>
      </c>
      <c r="S311" s="15">
        <f t="shared" si="582"/>
        <v>2175.1393988692134</v>
      </c>
      <c r="T311" s="15">
        <f t="shared" si="582"/>
        <v>2218.6421868465977</v>
      </c>
      <c r="U311" s="15">
        <f t="shared" si="582"/>
        <v>2263.0150305835296</v>
      </c>
      <c r="V311" s="15">
        <f t="shared" si="582"/>
        <v>2308.2753311952006</v>
      </c>
      <c r="W311" s="15">
        <f t="shared" si="582"/>
        <v>2354.4408378191038</v>
      </c>
      <c r="X311" s="15">
        <f t="shared" si="582"/>
        <v>2401.5296545754863</v>
      </c>
      <c r="Y311" s="15">
        <f t="shared" si="582"/>
        <v>2449.560247666996</v>
      </c>
      <c r="Z311" s="15">
        <f t="shared" si="582"/>
        <v>2498.551452620336</v>
      </c>
      <c r="AA311" s="15">
        <f t="shared" si="582"/>
        <v>2548.5224816727423</v>
      </c>
      <c r="AB311" s="15">
        <f t="shared" si="582"/>
        <v>2599.4929313061975</v>
      </c>
      <c r="AC311" s="15">
        <f t="shared" si="582"/>
        <v>2651.4827899323213</v>
      </c>
      <c r="AD311" s="15">
        <f t="shared" si="582"/>
        <v>2704.5124457309676</v>
      </c>
      <c r="AE311" s="15">
        <f t="shared" si="582"/>
        <v>2758.6026946455872</v>
      </c>
      <c r="AF311" s="15">
        <f t="shared" si="582"/>
        <v>2813.7747485384989</v>
      </c>
      <c r="AG311" s="15">
        <f t="shared" si="582"/>
        <v>2870.0502435092694</v>
      </c>
      <c r="AH311" s="15">
        <f t="shared" si="582"/>
        <v>2927.4512483794547</v>
      </c>
      <c r="AI311" s="15">
        <f t="shared" si="582"/>
        <v>2986.0002733470428</v>
      </c>
      <c r="AJ311" s="15">
        <f t="shared" si="582"/>
        <v>3045.7202788139834</v>
      </c>
    </row>
    <row r="312" spans="1:36" hidden="1" x14ac:dyDescent="0.25">
      <c r="A312" t="s">
        <v>423</v>
      </c>
      <c r="H312" t="s">
        <v>493</v>
      </c>
      <c r="I312" s="65" t="s">
        <v>494</v>
      </c>
      <c r="K312" s="15"/>
      <c r="L312" s="15">
        <f t="shared" ref="L312:AJ312" si="583">L310*1000/EXR</f>
        <v>28.403846153846153</v>
      </c>
      <c r="M312" s="15">
        <f t="shared" si="583"/>
        <v>28.971923076923076</v>
      </c>
      <c r="N312" s="15">
        <f t="shared" si="583"/>
        <v>29.551361538461538</v>
      </c>
      <c r="O312" s="15">
        <f t="shared" si="583"/>
        <v>30.14238876923077</v>
      </c>
      <c r="P312" s="15">
        <f t="shared" si="583"/>
        <v>30.745236544615384</v>
      </c>
      <c r="Q312" s="15">
        <f t="shared" si="583"/>
        <v>31.360141275507694</v>
      </c>
      <c r="R312" s="15">
        <f t="shared" si="583"/>
        <v>31.987344101017847</v>
      </c>
      <c r="S312" s="15">
        <f t="shared" si="583"/>
        <v>32.627090983038201</v>
      </c>
      <c r="T312" s="15">
        <f t="shared" si="583"/>
        <v>33.27963280269897</v>
      </c>
      <c r="U312" s="15">
        <f t="shared" si="583"/>
        <v>33.945225458752944</v>
      </c>
      <c r="V312" s="15">
        <f t="shared" si="583"/>
        <v>34.624129967928006</v>
      </c>
      <c r="W312" s="15">
        <f t="shared" si="583"/>
        <v>35.316612567286555</v>
      </c>
      <c r="X312" s="15">
        <f t="shared" si="583"/>
        <v>36.02294481863229</v>
      </c>
      <c r="Y312" s="15">
        <f t="shared" si="583"/>
        <v>36.743403715004938</v>
      </c>
      <c r="Z312" s="15">
        <f t="shared" si="583"/>
        <v>37.47827178930504</v>
      </c>
      <c r="AA312" s="15">
        <f t="shared" si="583"/>
        <v>38.227837225091136</v>
      </c>
      <c r="AB312" s="15">
        <f t="shared" si="583"/>
        <v>38.992393969592968</v>
      </c>
      <c r="AC312" s="15">
        <f t="shared" si="583"/>
        <v>39.77224184898482</v>
      </c>
      <c r="AD312" s="15">
        <f t="shared" si="583"/>
        <v>40.56768668596451</v>
      </c>
      <c r="AE312" s="15">
        <f t="shared" si="583"/>
        <v>41.379040419683811</v>
      </c>
      <c r="AF312" s="15">
        <f t="shared" si="583"/>
        <v>42.206621228077488</v>
      </c>
      <c r="AG312" s="15">
        <f t="shared" si="583"/>
        <v>43.050753652639031</v>
      </c>
      <c r="AH312" s="15">
        <f t="shared" si="583"/>
        <v>43.911768725691807</v>
      </c>
      <c r="AI312" s="15">
        <f t="shared" si="583"/>
        <v>44.790004100205635</v>
      </c>
      <c r="AJ312" s="15">
        <f t="shared" si="583"/>
        <v>45.685804182209758</v>
      </c>
    </row>
    <row r="313" spans="1:36" hidden="1" x14ac:dyDescent="0.25">
      <c r="A313" t="s">
        <v>423</v>
      </c>
    </row>
    <row r="314" spans="1:36" s="16" customFormat="1" hidden="1" x14ac:dyDescent="0.25">
      <c r="A314" s="16" t="s">
        <v>423</v>
      </c>
      <c r="D314" s="16" t="s">
        <v>723</v>
      </c>
      <c r="H314" s="270" t="s">
        <v>497</v>
      </c>
      <c r="I314" s="271" t="str">
        <f>IF($H$9="USD","USD","tr. VND")</f>
        <v>tr. VND</v>
      </c>
      <c r="K314" s="270"/>
      <c r="L314" s="272">
        <f t="shared" ref="L314:AJ314" si="584">IF($H$9="USD",L311*L190/10^3,L309*L190/10^3)</f>
        <v>152479.94065920002</v>
      </c>
      <c r="M314" s="272">
        <f t="shared" si="584"/>
        <v>217741.35526133759</v>
      </c>
      <c r="N314" s="272">
        <f t="shared" si="584"/>
        <v>317280.26052366343</v>
      </c>
      <c r="O314" s="272">
        <f t="shared" si="584"/>
        <v>323625.86573413666</v>
      </c>
      <c r="P314" s="272">
        <f t="shared" si="584"/>
        <v>330098.38304881938</v>
      </c>
      <c r="Q314" s="272">
        <f t="shared" si="584"/>
        <v>336700.35070979578</v>
      </c>
      <c r="R314" s="272">
        <f t="shared" si="584"/>
        <v>343434.35772399168</v>
      </c>
      <c r="S314" s="272">
        <f t="shared" si="584"/>
        <v>350303.04487847141</v>
      </c>
      <c r="T314" s="272">
        <f t="shared" si="584"/>
        <v>357309.10577604093</v>
      </c>
      <c r="U314" s="272">
        <f t="shared" si="584"/>
        <v>364455.28789156169</v>
      </c>
      <c r="V314" s="272">
        <f t="shared" si="584"/>
        <v>371744.39364939294</v>
      </c>
      <c r="W314" s="272">
        <f t="shared" si="584"/>
        <v>379179.28152238077</v>
      </c>
      <c r="X314" s="272">
        <f t="shared" si="584"/>
        <v>386762.86715282837</v>
      </c>
      <c r="Y314" s="272">
        <f t="shared" si="584"/>
        <v>394498.12449588499</v>
      </c>
      <c r="Z314" s="272">
        <f t="shared" si="584"/>
        <v>402388.08698580263</v>
      </c>
      <c r="AA314" s="272">
        <f t="shared" si="584"/>
        <v>410435.84872551862</v>
      </c>
      <c r="AB314" s="272">
        <f t="shared" si="584"/>
        <v>418644.56570002914</v>
      </c>
      <c r="AC314" s="272">
        <f t="shared" si="584"/>
        <v>427017.45701402967</v>
      </c>
      <c r="AD314" s="272">
        <f t="shared" si="584"/>
        <v>435557.80615431024</v>
      </c>
      <c r="AE314" s="272">
        <f t="shared" si="584"/>
        <v>444268.96227739652</v>
      </c>
      <c r="AF314" s="272">
        <f t="shared" si="584"/>
        <v>453154.34152294439</v>
      </c>
      <c r="AG314" s="272">
        <f t="shared" si="584"/>
        <v>462217.4283534034</v>
      </c>
      <c r="AH314" s="272">
        <f t="shared" si="584"/>
        <v>471461.77692047146</v>
      </c>
      <c r="AI314" s="272">
        <f t="shared" si="584"/>
        <v>480891.01245888072</v>
      </c>
      <c r="AJ314" s="272">
        <f t="shared" si="584"/>
        <v>490508.83270805835</v>
      </c>
    </row>
    <row r="315" spans="1:36" hidden="1" x14ac:dyDescent="0.25">
      <c r="A315" t="s">
        <v>423</v>
      </c>
    </row>
    <row r="316" spans="1:36" s="1" customFormat="1" hidden="1" x14ac:dyDescent="0.25">
      <c r="A316" s="1" t="s">
        <v>423</v>
      </c>
      <c r="H316" s="266" t="s">
        <v>495</v>
      </c>
      <c r="I316" s="267" t="str">
        <f>IF($H$9="USD","USD","tr. VND")</f>
        <v>tr. VND</v>
      </c>
      <c r="K316" s="266"/>
      <c r="L316" s="269">
        <f>L314+L230</f>
        <v>-30854.467012976791</v>
      </c>
      <c r="M316" s="269">
        <f t="shared" ref="M316:AJ316" si="585">M314+M230</f>
        <v>-4414.2141814262723</v>
      </c>
      <c r="N316" s="269">
        <f t="shared" si="585"/>
        <v>31085.663977766701</v>
      </c>
      <c r="O316" s="269">
        <f t="shared" si="585"/>
        <v>31823.338941418333</v>
      </c>
      <c r="P316" s="269">
        <f t="shared" si="585"/>
        <v>32521.223456846725</v>
      </c>
      <c r="Q316" s="269">
        <f t="shared" si="585"/>
        <v>33176.299351668393</v>
      </c>
      <c r="R316" s="269">
        <f t="shared" si="585"/>
        <v>33785.417358597741</v>
      </c>
      <c r="S316" s="269">
        <f t="shared" si="585"/>
        <v>34345.294187913358</v>
      </c>
      <c r="T316" s="269">
        <f t="shared" si="585"/>
        <v>34852.50978456781</v>
      </c>
      <c r="U316" s="269">
        <f t="shared" si="585"/>
        <v>35303.504806468613</v>
      </c>
      <c r="V316" s="269">
        <f t="shared" si="585"/>
        <v>35694.578364491987</v>
      </c>
      <c r="W316" s="269">
        <f t="shared" si="585"/>
        <v>36021.886069186265</v>
      </c>
      <c r="X316" s="269">
        <f t="shared" si="585"/>
        <v>65437.318433945649</v>
      </c>
      <c r="Y316" s="269">
        <f t="shared" si="585"/>
        <v>65624.979689689877</v>
      </c>
      <c r="Z316" s="269">
        <f t="shared" si="585"/>
        <v>65736.467071836756</v>
      </c>
      <c r="AA316" s="269">
        <f t="shared" si="585"/>
        <v>65767.350646625215</v>
      </c>
      <c r="AB316" s="269">
        <f t="shared" si="585"/>
        <v>65713.053750696708</v>
      </c>
      <c r="AC316" s="269">
        <f t="shared" si="585"/>
        <v>65568.854125307349</v>
      </c>
      <c r="AD316" s="269">
        <f t="shared" si="585"/>
        <v>65329.88583469484</v>
      </c>
      <c r="AE316" s="269">
        <f t="shared" si="585"/>
        <v>64991.142066995555</v>
      </c>
      <c r="AF316" s="269">
        <f t="shared" si="585"/>
        <v>64547.478925785865</v>
      </c>
      <c r="AG316" s="269">
        <f t="shared" si="585"/>
        <v>63993.620330865204</v>
      </c>
      <c r="AH316" s="269">
        <f t="shared" si="585"/>
        <v>63324.164158365864</v>
      </c>
      <c r="AI316" s="269">
        <f t="shared" si="585"/>
        <v>62533.589762783202</v>
      </c>
      <c r="AJ316" s="269">
        <f t="shared" si="585"/>
        <v>61616.267037112324</v>
      </c>
    </row>
    <row r="317" spans="1:36" s="146" customFormat="1" hidden="1" x14ac:dyDescent="0.25">
      <c r="A317" s="146" t="s">
        <v>423</v>
      </c>
      <c r="H317" s="146" t="s">
        <v>496</v>
      </c>
      <c r="I317" s="144"/>
      <c r="L317" s="147">
        <f>IFERROR(L316/L314,0)</f>
        <v>-0.20235099042921328</v>
      </c>
      <c r="M317" s="147">
        <f t="shared" ref="M317:AJ317" si="586">IFERROR(M316/M314,0)</f>
        <v>-2.0272741373030596E-2</v>
      </c>
      <c r="N317" s="147">
        <f t="shared" si="586"/>
        <v>9.797541116002792E-2</v>
      </c>
      <c r="O317" s="147">
        <f t="shared" si="586"/>
        <v>9.8333731357436269E-2</v>
      </c>
      <c r="P317" s="147">
        <f t="shared" si="586"/>
        <v>9.8519790240950825E-2</v>
      </c>
      <c r="Q317" s="147">
        <f t="shared" si="586"/>
        <v>9.8533604974659683E-2</v>
      </c>
      <c r="R317" s="147">
        <f t="shared" si="586"/>
        <v>9.837518174506614E-2</v>
      </c>
      <c r="S317" s="147">
        <f t="shared" si="586"/>
        <v>9.8044520851448977E-2</v>
      </c>
      <c r="T317" s="147">
        <f t="shared" si="586"/>
        <v>9.7541622144981494E-2</v>
      </c>
      <c r="U317" s="147">
        <f t="shared" si="586"/>
        <v>9.6866490840908454E-2</v>
      </c>
      <c r="V317" s="147">
        <f t="shared" si="586"/>
        <v>9.6019143729594414E-2</v>
      </c>
      <c r="W317" s="147">
        <f t="shared" si="586"/>
        <v>9.4999615813819452E-2</v>
      </c>
      <c r="X317" s="147">
        <f t="shared" si="586"/>
        <v>0.16919235012312664</v>
      </c>
      <c r="Y317" s="147">
        <f t="shared" si="586"/>
        <v>0.16635054925432075</v>
      </c>
      <c r="Z317" s="147">
        <f t="shared" si="586"/>
        <v>0.16336583809986432</v>
      </c>
      <c r="AA317" s="147">
        <f t="shared" si="586"/>
        <v>0.16023783217485837</v>
      </c>
      <c r="AB317" s="147">
        <f t="shared" si="586"/>
        <v>0.15696621701231397</v>
      </c>
      <c r="AC317" s="147">
        <f t="shared" si="586"/>
        <v>0.15355075781633229</v>
      </c>
      <c r="AD317" s="147">
        <f t="shared" si="586"/>
        <v>0.14999130979080569</v>
      </c>
      <c r="AE317" s="147">
        <f t="shared" si="586"/>
        <v>0.14628782918761679</v>
      </c>
      <c r="AF317" s="147">
        <f t="shared" si="586"/>
        <v>0.14244038512100993</v>
      </c>
      <c r="AG317" s="147">
        <f t="shared" si="586"/>
        <v>0.13844917219767142</v>
      </c>
      <c r="AH317" s="147">
        <f t="shared" si="586"/>
        <v>0.13431452401505647</v>
      </c>
      <c r="AI317" s="147">
        <f t="shared" si="586"/>
        <v>0.13003692758373234</v>
      </c>
      <c r="AJ317" s="147">
        <f t="shared" si="586"/>
        <v>0.12561703873288899</v>
      </c>
    </row>
    <row r="318" spans="1:36" hidden="1" x14ac:dyDescent="0.25">
      <c r="A318" t="s">
        <v>423</v>
      </c>
    </row>
    <row r="319" spans="1:36" s="16" customFormat="1" hidden="1" x14ac:dyDescent="0.25">
      <c r="A319" s="16" t="s">
        <v>423</v>
      </c>
      <c r="D319" s="16" t="s">
        <v>488</v>
      </c>
      <c r="H319" s="270" t="s">
        <v>488</v>
      </c>
      <c r="I319" s="271" t="str">
        <f>IF($H$9="USD","USD","tr. VND")</f>
        <v>tr. VND</v>
      </c>
      <c r="K319" s="270"/>
      <c r="L319" s="272">
        <f t="shared" ref="L319:AJ319" si="587">L316*(1-Tax_rate)</f>
        <v>-24683.573610381434</v>
      </c>
      <c r="M319" s="272">
        <f t="shared" si="587"/>
        <v>-3531.3713451410181</v>
      </c>
      <c r="N319" s="272">
        <f t="shared" si="587"/>
        <v>24868.531182213363</v>
      </c>
      <c r="O319" s="272">
        <f t="shared" si="587"/>
        <v>25458.671153134666</v>
      </c>
      <c r="P319" s="272">
        <f t="shared" si="587"/>
        <v>26016.978765477383</v>
      </c>
      <c r="Q319" s="272">
        <f t="shared" si="587"/>
        <v>26541.039481334716</v>
      </c>
      <c r="R319" s="272">
        <f t="shared" si="587"/>
        <v>27028.333886878194</v>
      </c>
      <c r="S319" s="272">
        <f t="shared" si="587"/>
        <v>27476.235350330688</v>
      </c>
      <c r="T319" s="272">
        <f t="shared" si="587"/>
        <v>27882.007827654248</v>
      </c>
      <c r="U319" s="272">
        <f t="shared" si="587"/>
        <v>28242.803845174891</v>
      </c>
      <c r="V319" s="272">
        <f t="shared" si="587"/>
        <v>28555.662691593592</v>
      </c>
      <c r="W319" s="272">
        <f t="shared" si="587"/>
        <v>28817.508855349013</v>
      </c>
      <c r="X319" s="272">
        <f t="shared" si="587"/>
        <v>52349.854747156525</v>
      </c>
      <c r="Y319" s="272">
        <f t="shared" si="587"/>
        <v>52499.983751751904</v>
      </c>
      <c r="Z319" s="272">
        <f t="shared" si="587"/>
        <v>52589.173657469408</v>
      </c>
      <c r="AA319" s="272">
        <f t="shared" si="587"/>
        <v>52613.880517300175</v>
      </c>
      <c r="AB319" s="272">
        <f t="shared" si="587"/>
        <v>52570.443000557367</v>
      </c>
      <c r="AC319" s="272">
        <f t="shared" si="587"/>
        <v>52455.083300245882</v>
      </c>
      <c r="AD319" s="272">
        <f t="shared" si="587"/>
        <v>52263.908667755873</v>
      </c>
      <c r="AE319" s="272">
        <f t="shared" si="587"/>
        <v>51992.91365359645</v>
      </c>
      <c r="AF319" s="272">
        <f t="shared" si="587"/>
        <v>51637.983140628698</v>
      </c>
      <c r="AG319" s="272">
        <f t="shared" si="587"/>
        <v>51194.896264692165</v>
      </c>
      <c r="AH319" s="272">
        <f t="shared" si="587"/>
        <v>50659.331326692693</v>
      </c>
      <c r="AI319" s="272">
        <f t="shared" si="587"/>
        <v>50026.871810226563</v>
      </c>
      <c r="AJ319" s="272">
        <f t="shared" si="587"/>
        <v>49293.013629689864</v>
      </c>
    </row>
    <row r="320" spans="1:36" s="146" customFormat="1" hidden="1" x14ac:dyDescent="0.25">
      <c r="A320" s="146" t="s">
        <v>423</v>
      </c>
      <c r="H320" s="146" t="s">
        <v>489</v>
      </c>
      <c r="I320" s="144"/>
      <c r="L320" s="147">
        <f>IFERROR(L319/L314,0)</f>
        <v>-0.16188079234337063</v>
      </c>
      <c r="M320" s="147">
        <f t="shared" ref="M320:AJ320" si="588">IFERROR(M319/M314,0)</f>
        <v>-1.6218193098424479E-2</v>
      </c>
      <c r="N320" s="147">
        <f t="shared" si="588"/>
        <v>7.8380328928022339E-2</v>
      </c>
      <c r="O320" s="147">
        <f t="shared" si="588"/>
        <v>7.8666985085949007E-2</v>
      </c>
      <c r="P320" s="147">
        <f t="shared" si="588"/>
        <v>7.8815832192760671E-2</v>
      </c>
      <c r="Q320" s="147">
        <f t="shared" si="588"/>
        <v>7.8826883979727744E-2</v>
      </c>
      <c r="R320" s="147">
        <f t="shared" si="588"/>
        <v>7.8700145396052912E-2</v>
      </c>
      <c r="S320" s="147">
        <f t="shared" si="588"/>
        <v>7.8435616681159184E-2</v>
      </c>
      <c r="T320" s="147">
        <f t="shared" si="588"/>
        <v>7.8033297715985203E-2</v>
      </c>
      <c r="U320" s="147">
        <f t="shared" si="588"/>
        <v>7.7493192672726766E-2</v>
      </c>
      <c r="V320" s="147">
        <f t="shared" si="588"/>
        <v>7.6815314983675539E-2</v>
      </c>
      <c r="W320" s="147">
        <f t="shared" si="588"/>
        <v>7.5999692651055564E-2</v>
      </c>
      <c r="X320" s="147">
        <f t="shared" si="588"/>
        <v>0.13535388009850133</v>
      </c>
      <c r="Y320" s="147">
        <f t="shared" si="588"/>
        <v>0.13308043940345662</v>
      </c>
      <c r="Z320" s="147">
        <f t="shared" si="588"/>
        <v>0.13069267047989147</v>
      </c>
      <c r="AA320" s="147">
        <f t="shared" si="588"/>
        <v>0.12819026573988671</v>
      </c>
      <c r="AB320" s="147">
        <f t="shared" si="588"/>
        <v>0.12557297360985117</v>
      </c>
      <c r="AC320" s="147">
        <f t="shared" si="588"/>
        <v>0.12284060625306582</v>
      </c>
      <c r="AD320" s="147">
        <f t="shared" si="588"/>
        <v>0.11999304783264456</v>
      </c>
      <c r="AE320" s="147">
        <f t="shared" si="588"/>
        <v>0.11703026335009345</v>
      </c>
      <c r="AF320" s="147">
        <f t="shared" si="588"/>
        <v>0.11395230809680797</v>
      </c>
      <c r="AG320" s="147">
        <f t="shared" si="588"/>
        <v>0.11075933775813715</v>
      </c>
      <c r="AH320" s="147">
        <f t="shared" si="588"/>
        <v>0.10745161921204519</v>
      </c>
      <c r="AI320" s="147">
        <f t="shared" si="588"/>
        <v>0.10402954206698588</v>
      </c>
      <c r="AJ320" s="147">
        <f t="shared" si="588"/>
        <v>0.10049363098631119</v>
      </c>
    </row>
    <row r="321" spans="1:36" hidden="1" x14ac:dyDescent="0.25">
      <c r="A321" t="s">
        <v>423</v>
      </c>
    </row>
    <row r="322" spans="1:36" s="16" customFormat="1" hidden="1" x14ac:dyDescent="0.25">
      <c r="A322" s="16" t="s">
        <v>423</v>
      </c>
      <c r="H322" s="270" t="s">
        <v>477</v>
      </c>
      <c r="I322" s="271" t="str">
        <f>IF($H$9="USD","USD","tr. VND")</f>
        <v>tr. VND</v>
      </c>
      <c r="K322" s="272">
        <f>SUM(K324:K327)</f>
        <v>-486414</v>
      </c>
      <c r="L322" s="272">
        <f t="shared" ref="L322:AJ322" si="589">SUM(L324:L327)</f>
        <v>0</v>
      </c>
      <c r="M322" s="272">
        <f t="shared" si="589"/>
        <v>0</v>
      </c>
      <c r="N322" s="272">
        <f t="shared" si="589"/>
        <v>0</v>
      </c>
      <c r="O322" s="272">
        <f t="shared" si="589"/>
        <v>0</v>
      </c>
      <c r="P322" s="272">
        <f t="shared" si="589"/>
        <v>0</v>
      </c>
      <c r="Q322" s="272">
        <f t="shared" si="589"/>
        <v>0</v>
      </c>
      <c r="R322" s="272">
        <f t="shared" si="589"/>
        <v>0</v>
      </c>
      <c r="S322" s="272">
        <f t="shared" si="589"/>
        <v>0</v>
      </c>
      <c r="T322" s="272">
        <f t="shared" si="589"/>
        <v>0</v>
      </c>
      <c r="U322" s="272">
        <f t="shared" si="589"/>
        <v>0</v>
      </c>
      <c r="V322" s="272">
        <f t="shared" si="589"/>
        <v>0</v>
      </c>
      <c r="W322" s="272">
        <f t="shared" si="589"/>
        <v>0</v>
      </c>
      <c r="X322" s="272">
        <f t="shared" si="589"/>
        <v>0</v>
      </c>
      <c r="Y322" s="272">
        <f t="shared" si="589"/>
        <v>0</v>
      </c>
      <c r="Z322" s="272">
        <f t="shared" si="589"/>
        <v>0</v>
      </c>
      <c r="AA322" s="272">
        <f t="shared" si="589"/>
        <v>0</v>
      </c>
      <c r="AB322" s="272">
        <f t="shared" si="589"/>
        <v>0</v>
      </c>
      <c r="AC322" s="272">
        <f t="shared" si="589"/>
        <v>0</v>
      </c>
      <c r="AD322" s="272">
        <f t="shared" si="589"/>
        <v>0</v>
      </c>
      <c r="AE322" s="272">
        <f t="shared" si="589"/>
        <v>0</v>
      </c>
      <c r="AF322" s="272">
        <f t="shared" si="589"/>
        <v>0</v>
      </c>
      <c r="AG322" s="272">
        <f t="shared" si="589"/>
        <v>0</v>
      </c>
      <c r="AH322" s="272">
        <f t="shared" si="589"/>
        <v>0</v>
      </c>
      <c r="AI322" s="272">
        <f t="shared" si="589"/>
        <v>0</v>
      </c>
      <c r="AJ322" s="272">
        <f t="shared" si="589"/>
        <v>0</v>
      </c>
    </row>
    <row r="323" spans="1:36" hidden="1" x14ac:dyDescent="0.25">
      <c r="A323" t="s">
        <v>423</v>
      </c>
    </row>
    <row r="324" spans="1:36" hidden="1" outlineLevel="1" x14ac:dyDescent="0.25">
      <c r="A324" t="s">
        <v>423</v>
      </c>
      <c r="B324" t="s">
        <v>480</v>
      </c>
      <c r="H324" s="459" t="s">
        <v>30</v>
      </c>
      <c r="I324" s="494" t="str">
        <f t="shared" ref="I324:I327" si="590">IF($H$9="USD","USD","tr. VND")</f>
        <v>tr. VND</v>
      </c>
      <c r="K324" s="461" cm="1">
        <f t="array" ref="K324">-SUMPRODUCT('W1'!$H$10:$AI$60*('W1'!$A$10:$A$60=$B324)*('W1'!$H$7:$AI$7="Giá trị đầu tư")*('W1'!$H$6:$AI$6=$A324))*$H$10</f>
        <v>-277888</v>
      </c>
      <c r="L324" s="461"/>
      <c r="M324" s="461"/>
      <c r="N324" s="461"/>
      <c r="O324" s="461"/>
      <c r="P324" s="461"/>
      <c r="Q324" s="461"/>
      <c r="R324" s="461"/>
      <c r="S324" s="461"/>
      <c r="T324" s="461"/>
      <c r="U324" s="461"/>
      <c r="V324" s="461"/>
      <c r="W324" s="461"/>
      <c r="X324" s="461"/>
      <c r="Y324" s="461"/>
      <c r="Z324" s="461"/>
      <c r="AA324" s="461"/>
      <c r="AB324" s="461"/>
      <c r="AC324" s="461"/>
      <c r="AD324" s="461"/>
      <c r="AE324" s="461"/>
      <c r="AF324" s="461"/>
      <c r="AG324" s="461"/>
      <c r="AH324" s="461"/>
      <c r="AI324" s="461"/>
      <c r="AJ324" s="461"/>
    </row>
    <row r="325" spans="1:36" hidden="1" outlineLevel="1" x14ac:dyDescent="0.25">
      <c r="A325" t="s">
        <v>423</v>
      </c>
      <c r="B325" t="s">
        <v>481</v>
      </c>
      <c r="H325" s="454" t="s">
        <v>32</v>
      </c>
      <c r="I325" s="497" t="str">
        <f t="shared" si="590"/>
        <v>tr. VND</v>
      </c>
      <c r="K325" s="457" cm="1">
        <f t="array" ref="K325">-SUMPRODUCT('W1'!$H$10:$AI$60*('W1'!$A$10:$A$60=$B325)*('W1'!$H$7:$AI$7="Giá trị đầu tư")*('W1'!$H$6:$AI$6=$A325))*$H$10</f>
        <v>-40872</v>
      </c>
      <c r="L325" s="457"/>
      <c r="M325" s="457"/>
      <c r="N325" s="457"/>
      <c r="O325" s="457"/>
      <c r="P325" s="457"/>
      <c r="Q325" s="457"/>
      <c r="R325" s="457"/>
      <c r="S325" s="457"/>
      <c r="T325" s="457"/>
      <c r="U325" s="457"/>
      <c r="V325" s="457"/>
      <c r="W325" s="457"/>
      <c r="X325" s="457"/>
      <c r="Y325" s="457"/>
      <c r="Z325" s="457"/>
      <c r="AA325" s="457"/>
      <c r="AB325" s="457"/>
      <c r="AC325" s="457"/>
      <c r="AD325" s="457"/>
      <c r="AE325" s="457"/>
      <c r="AF325" s="457"/>
      <c r="AG325" s="457"/>
      <c r="AH325" s="457"/>
      <c r="AI325" s="457"/>
      <c r="AJ325" s="457"/>
    </row>
    <row r="326" spans="1:36" hidden="1" outlineLevel="1" x14ac:dyDescent="0.25">
      <c r="A326" t="s">
        <v>423</v>
      </c>
      <c r="B326" t="s">
        <v>482</v>
      </c>
      <c r="H326" s="454" t="s">
        <v>478</v>
      </c>
      <c r="I326" s="497" t="str">
        <f t="shared" si="590"/>
        <v>tr. VND</v>
      </c>
      <c r="K326" s="457" cm="1">
        <f t="array" ref="K326">-SUMPRODUCT('W1'!$H$10:$AI$60*('W1'!$A$10:$A$60=$B326)*('W1'!$H$7:$AI$7="Giá trị đầu tư")*('W1'!$H$6:$AI$6=$A326))*$H$10</f>
        <v>-150000</v>
      </c>
      <c r="L326" s="457"/>
      <c r="M326" s="457"/>
      <c r="N326" s="457"/>
      <c r="O326" s="457"/>
      <c r="P326" s="457"/>
      <c r="Q326" s="457"/>
      <c r="R326" s="457"/>
      <c r="S326" s="457"/>
      <c r="T326" s="457"/>
      <c r="U326" s="457"/>
      <c r="V326" s="457"/>
      <c r="W326" s="457"/>
      <c r="X326" s="457"/>
      <c r="Y326" s="457"/>
      <c r="Z326" s="457"/>
      <c r="AA326" s="457"/>
      <c r="AB326" s="457"/>
      <c r="AC326" s="457"/>
      <c r="AD326" s="457"/>
      <c r="AE326" s="457"/>
      <c r="AF326" s="457"/>
      <c r="AG326" s="457"/>
      <c r="AH326" s="457"/>
      <c r="AI326" s="457"/>
      <c r="AJ326" s="457"/>
    </row>
    <row r="327" spans="1:36" hidden="1" outlineLevel="1" x14ac:dyDescent="0.25">
      <c r="A327" t="s">
        <v>423</v>
      </c>
      <c r="B327" t="s">
        <v>483</v>
      </c>
      <c r="H327" s="454" t="s">
        <v>479</v>
      </c>
      <c r="I327" s="497" t="str">
        <f t="shared" si="590"/>
        <v>tr. VND</v>
      </c>
      <c r="K327" s="457" cm="1">
        <f t="array" ref="K327">-SUMPRODUCT('W1'!$H$10:$AI$60*('W1'!$A$10:$A$60=$B327)*('W1'!$H$7:$AI$7="Giá trị đầu tư")*('W1'!$H$6:$AI$6=$A327))*$H$10</f>
        <v>-17654</v>
      </c>
      <c r="L327" s="457"/>
      <c r="M327" s="457"/>
      <c r="N327" s="457"/>
      <c r="O327" s="457"/>
      <c r="P327" s="457"/>
      <c r="Q327" s="457"/>
      <c r="R327" s="457"/>
      <c r="S327" s="457"/>
      <c r="T327" s="457"/>
      <c r="U327" s="457"/>
      <c r="V327" s="457"/>
      <c r="W327" s="457"/>
      <c r="X327" s="457"/>
      <c r="Y327" s="457"/>
      <c r="Z327" s="457"/>
      <c r="AA327" s="457"/>
      <c r="AB327" s="457"/>
      <c r="AC327" s="457"/>
      <c r="AD327" s="457"/>
      <c r="AE327" s="457"/>
      <c r="AF327" s="457"/>
      <c r="AG327" s="457"/>
      <c r="AH327" s="457"/>
      <c r="AI327" s="457"/>
      <c r="AJ327" s="457"/>
    </row>
    <row r="328" spans="1:36" hidden="1" collapsed="1" x14ac:dyDescent="0.25">
      <c r="A328" t="s">
        <v>423</v>
      </c>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spans="1:36" s="16" customFormat="1" hidden="1" x14ac:dyDescent="0.25">
      <c r="A329" s="16" t="s">
        <v>423</v>
      </c>
      <c r="H329" s="270" t="s">
        <v>498</v>
      </c>
      <c r="I329" s="271" t="str">
        <f>IF($H$9="USD","USD","tr. VND")</f>
        <v>tr. VND</v>
      </c>
      <c r="K329" s="272">
        <f>K322</f>
        <v>-486414</v>
      </c>
      <c r="L329" s="272">
        <f t="shared" ref="L329:AJ329" si="591">L314+L230-(L202+L228)</f>
        <v>30419.216987023203</v>
      </c>
      <c r="M329" s="272">
        <f t="shared" si="591"/>
        <v>56619.017736290072</v>
      </c>
      <c r="N329" s="272">
        <f t="shared" si="591"/>
        <v>91859.207646616705</v>
      </c>
      <c r="O329" s="272">
        <f t="shared" si="591"/>
        <v>92316.419301492686</v>
      </c>
      <c r="P329" s="272">
        <f t="shared" si="591"/>
        <v>92711.403443443371</v>
      </c>
      <c r="Q329" s="272">
        <f t="shared" si="591"/>
        <v>93039.346934909117</v>
      </c>
      <c r="R329" s="272">
        <f t="shared" si="591"/>
        <v>93295.161946214081</v>
      </c>
      <c r="S329" s="272">
        <f t="shared" si="591"/>
        <v>93473.471540255356</v>
      </c>
      <c r="T329" s="272">
        <f t="shared" si="591"/>
        <v>93568.59452281351</v>
      </c>
      <c r="U329" s="272">
        <f t="shared" si="591"/>
        <v>93574.529521490302</v>
      </c>
      <c r="V329" s="272">
        <f t="shared" si="591"/>
        <v>93484.938254431763</v>
      </c>
      <c r="W329" s="272">
        <f t="shared" si="591"/>
        <v>93293.127948037582</v>
      </c>
      <c r="X329" s="272">
        <f t="shared" si="591"/>
        <v>94113.412860821409</v>
      </c>
      <c r="Y329" s="272">
        <f t="shared" si="591"/>
        <v>93695.574868432057</v>
      </c>
      <c r="Z329" s="272">
        <f t="shared" si="591"/>
        <v>93153.123062594648</v>
      </c>
      <c r="AA329" s="272">
        <f t="shared" si="591"/>
        <v>92477.752314360085</v>
      </c>
      <c r="AB329" s="272">
        <f t="shared" si="591"/>
        <v>91660.70074956672</v>
      </c>
      <c r="AC329" s="272">
        <f t="shared" si="591"/>
        <v>90692.72608180331</v>
      </c>
      <c r="AD329" s="272">
        <f t="shared" si="591"/>
        <v>89564.080745426822</v>
      </c>
      <c r="AE329" s="272">
        <f t="shared" si="591"/>
        <v>88264.485768302446</v>
      </c>
      <c r="AF329" s="272">
        <f t="shared" si="591"/>
        <v>86783.103320913651</v>
      </c>
      <c r="AG329" s="272">
        <f t="shared" si="591"/>
        <v>85108.50787531957</v>
      </c>
      <c r="AH329" s="272">
        <f t="shared" si="591"/>
        <v>83228.655904092928</v>
      </c>
      <c r="AI329" s="272">
        <f t="shared" si="591"/>
        <v>81130.854045884771</v>
      </c>
      <c r="AJ329" s="272">
        <f t="shared" si="591"/>
        <v>78801.725660578377</v>
      </c>
    </row>
    <row r="330" spans="1:36" hidden="1" x14ac:dyDescent="0.25">
      <c r="A330" t="s">
        <v>423</v>
      </c>
      <c r="H330" t="s">
        <v>292</v>
      </c>
      <c r="I330" s="65" t="str">
        <f t="shared" ref="I330:I337" si="592">IF($H$9="USD","USD","tr. VND")</f>
        <v>tr. VND</v>
      </c>
      <c r="L330" s="15">
        <f t="shared" ref="L330:AJ330" si="593">-(L329+L202)*Tax_rate</f>
        <v>723.05660259535944</v>
      </c>
      <c r="M330" s="15">
        <f t="shared" si="593"/>
        <v>-4516.9035472580144</v>
      </c>
      <c r="N330" s="15">
        <f t="shared" si="593"/>
        <v>-11564.941529323341</v>
      </c>
      <c r="O330" s="15">
        <f t="shared" si="593"/>
        <v>-11656.383860298538</v>
      </c>
      <c r="P330" s="15">
        <f t="shared" si="593"/>
        <v>-11735.380688688674</v>
      </c>
      <c r="Q330" s="15">
        <f t="shared" si="593"/>
        <v>-11800.969386981824</v>
      </c>
      <c r="R330" s="15">
        <f t="shared" si="593"/>
        <v>-11852.132389242817</v>
      </c>
      <c r="S330" s="15">
        <f t="shared" si="593"/>
        <v>-11887.794308051072</v>
      </c>
      <c r="T330" s="15">
        <f t="shared" si="593"/>
        <v>-11906.818904562702</v>
      </c>
      <c r="U330" s="15">
        <f t="shared" si="593"/>
        <v>-11908.005904298061</v>
      </c>
      <c r="V330" s="15">
        <f t="shared" si="593"/>
        <v>-11890.087650886353</v>
      </c>
      <c r="W330" s="15">
        <f t="shared" si="593"/>
        <v>-11851.725589607517</v>
      </c>
      <c r="X330" s="15">
        <f t="shared" si="593"/>
        <v>-17622.682572164282</v>
      </c>
      <c r="Y330" s="15">
        <f t="shared" si="593"/>
        <v>-17539.114973686414</v>
      </c>
      <c r="Z330" s="15">
        <f t="shared" si="593"/>
        <v>-17430.624612518932</v>
      </c>
      <c r="AA330" s="15">
        <f t="shared" si="593"/>
        <v>-17295.550462872019</v>
      </c>
      <c r="AB330" s="15">
        <f t="shared" si="593"/>
        <v>-17132.140149913346</v>
      </c>
      <c r="AC330" s="15">
        <f t="shared" si="593"/>
        <v>-16938.545216360664</v>
      </c>
      <c r="AD330" s="15">
        <f t="shared" si="593"/>
        <v>-16712.816149085364</v>
      </c>
      <c r="AE330" s="15">
        <f t="shared" si="593"/>
        <v>-16452.897153660491</v>
      </c>
      <c r="AF330" s="15">
        <f t="shared" si="593"/>
        <v>-16156.62066418273</v>
      </c>
      <c r="AG330" s="15">
        <f t="shared" si="593"/>
        <v>-15821.701575063915</v>
      </c>
      <c r="AH330" s="15">
        <f t="shared" si="593"/>
        <v>-15445.731180818586</v>
      </c>
      <c r="AI330" s="15">
        <f t="shared" si="593"/>
        <v>-15026.170809176954</v>
      </c>
      <c r="AJ330" s="15">
        <f t="shared" si="593"/>
        <v>-14560.345132115675</v>
      </c>
    </row>
    <row r="331" spans="1:36" s="16" customFormat="1" hidden="1" x14ac:dyDescent="0.25">
      <c r="A331" s="16" t="s">
        <v>423</v>
      </c>
      <c r="H331" s="270" t="s">
        <v>499</v>
      </c>
      <c r="I331" s="271" t="str">
        <f t="shared" si="592"/>
        <v>tr. VND</v>
      </c>
      <c r="K331" s="272">
        <f>K329+K330</f>
        <v>-486414</v>
      </c>
      <c r="L331" s="272">
        <f t="shared" ref="L331:AJ331" si="594">L329+L330</f>
        <v>31142.273589618562</v>
      </c>
      <c r="M331" s="272">
        <f t="shared" si="594"/>
        <v>52102.114189032058</v>
      </c>
      <c r="N331" s="272">
        <f t="shared" si="594"/>
        <v>80294.266117293359</v>
      </c>
      <c r="O331" s="272">
        <f t="shared" si="594"/>
        <v>80660.035441194152</v>
      </c>
      <c r="P331" s="272">
        <f t="shared" si="594"/>
        <v>80976.022754754697</v>
      </c>
      <c r="Q331" s="272">
        <f t="shared" si="594"/>
        <v>81238.377547927288</v>
      </c>
      <c r="R331" s="272">
        <f t="shared" si="594"/>
        <v>81443.029556971262</v>
      </c>
      <c r="S331" s="272">
        <f t="shared" si="594"/>
        <v>81585.677232204282</v>
      </c>
      <c r="T331" s="272">
        <f t="shared" si="594"/>
        <v>81661.775618250802</v>
      </c>
      <c r="U331" s="272">
        <f t="shared" si="594"/>
        <v>81666.523617192244</v>
      </c>
      <c r="V331" s="272">
        <f t="shared" si="594"/>
        <v>81594.850603545405</v>
      </c>
      <c r="W331" s="272">
        <f t="shared" si="594"/>
        <v>81441.402358430059</v>
      </c>
      <c r="X331" s="272">
        <f t="shared" si="594"/>
        <v>76490.730288657127</v>
      </c>
      <c r="Y331" s="272">
        <f t="shared" si="594"/>
        <v>76156.45989474564</v>
      </c>
      <c r="Z331" s="272">
        <f t="shared" si="594"/>
        <v>75722.498450075713</v>
      </c>
      <c r="AA331" s="272">
        <f t="shared" si="594"/>
        <v>75182.201851488062</v>
      </c>
      <c r="AB331" s="272">
        <f t="shared" si="594"/>
        <v>74528.56059965337</v>
      </c>
      <c r="AC331" s="272">
        <f t="shared" si="594"/>
        <v>73754.180865442642</v>
      </c>
      <c r="AD331" s="272">
        <f t="shared" si="594"/>
        <v>72851.264596341454</v>
      </c>
      <c r="AE331" s="272">
        <f t="shared" si="594"/>
        <v>71811.588614641951</v>
      </c>
      <c r="AF331" s="272">
        <f t="shared" si="594"/>
        <v>70626.482656730921</v>
      </c>
      <c r="AG331" s="272">
        <f t="shared" si="594"/>
        <v>69286.806300255659</v>
      </c>
      <c r="AH331" s="272">
        <f t="shared" si="594"/>
        <v>67782.924723274336</v>
      </c>
      <c r="AI331" s="272">
        <f t="shared" si="594"/>
        <v>66104.683236707817</v>
      </c>
      <c r="AJ331" s="272">
        <f t="shared" si="594"/>
        <v>64241.380528462701</v>
      </c>
    </row>
    <row r="332" spans="1:36" hidden="1" x14ac:dyDescent="0.25">
      <c r="A332" t="s">
        <v>423</v>
      </c>
      <c r="H332" t="s">
        <v>500</v>
      </c>
      <c r="K332" s="95">
        <f>INDEX('Cover Page'!$H$23:$W$23,MATCH($A332,'Cover Page'!$H$5:$W$5,0))</f>
        <v>7.8540000000000013E-2</v>
      </c>
    </row>
    <row r="333" spans="1:36" s="16" customFormat="1" hidden="1" x14ac:dyDescent="0.25">
      <c r="A333" s="16" t="s">
        <v>423</v>
      </c>
      <c r="D333" s="16" t="s">
        <v>515</v>
      </c>
      <c r="H333" s="270" t="s">
        <v>501</v>
      </c>
      <c r="I333" s="271" t="str">
        <f t="shared" si="592"/>
        <v>tr. VND</v>
      </c>
      <c r="K333" s="272">
        <f>K331/POWER(1+$K332,K$14)</f>
        <v>-486414</v>
      </c>
      <c r="L333" s="272">
        <f t="shared" ref="L333:AJ333" si="595">L331/POWER(1+$K332,L$14)</f>
        <v>28874.472518050847</v>
      </c>
      <c r="M333" s="272">
        <f t="shared" si="595"/>
        <v>44790.182642541367</v>
      </c>
      <c r="N333" s="272">
        <f t="shared" si="595"/>
        <v>63999.379533032792</v>
      </c>
      <c r="O333" s="272">
        <f t="shared" si="595"/>
        <v>59609.212245366631</v>
      </c>
      <c r="P333" s="272">
        <f t="shared" si="595"/>
        <v>55484.944958031061</v>
      </c>
      <c r="Q333" s="272">
        <f t="shared" si="595"/>
        <v>51611.169754108436</v>
      </c>
      <c r="R333" s="272">
        <f t="shared" si="595"/>
        <v>47973.358665331303</v>
      </c>
      <c r="S333" s="272">
        <f t="shared" si="595"/>
        <v>44557.813457194148</v>
      </c>
      <c r="T333" s="272">
        <f t="shared" si="595"/>
        <v>41351.618299091264</v>
      </c>
      <c r="U333" s="272">
        <f t="shared" si="595"/>
        <v>38342.595151780704</v>
      </c>
      <c r="V333" s="272">
        <f t="shared" si="595"/>
        <v>35519.261714375229</v>
      </c>
      <c r="W333" s="272">
        <f t="shared" si="595"/>
        <v>32870.791782360153</v>
      </c>
      <c r="X333" s="272">
        <f t="shared" si="595"/>
        <v>28624.471235637244</v>
      </c>
      <c r="Y333" s="272">
        <f t="shared" si="595"/>
        <v>26424.036278187854</v>
      </c>
      <c r="Z333" s="272">
        <f t="shared" si="595"/>
        <v>24360.213351629554</v>
      </c>
      <c r="AA333" s="272">
        <f t="shared" si="595"/>
        <v>22425.128319806117</v>
      </c>
      <c r="AB333" s="272">
        <f t="shared" si="595"/>
        <v>20611.346922597462</v>
      </c>
      <c r="AC333" s="272">
        <f t="shared" si="595"/>
        <v>18911.850545529524</v>
      </c>
      <c r="AD333" s="272">
        <f t="shared" si="595"/>
        <v>17320.013315735348</v>
      </c>
      <c r="AE333" s="272">
        <f t="shared" si="595"/>
        <v>15829.580451849075</v>
      </c>
      <c r="AF333" s="272">
        <f t="shared" si="595"/>
        <v>14434.647799366872</v>
      </c>
      <c r="AG333" s="272">
        <f t="shared" si="595"/>
        <v>13129.642486745139</v>
      </c>
      <c r="AH333" s="272">
        <f t="shared" si="595"/>
        <v>11909.304641036204</v>
      </c>
      <c r="AI333" s="272">
        <f t="shared" si="595"/>
        <v>10768.670105203062</v>
      </c>
      <c r="AJ333" s="272">
        <f t="shared" si="595"/>
        <v>9703.0541024098711</v>
      </c>
    </row>
    <row r="334" spans="1:36" hidden="1" x14ac:dyDescent="0.25">
      <c r="A334" t="s">
        <v>423</v>
      </c>
      <c r="H334" t="s">
        <v>503</v>
      </c>
      <c r="I334" s="65" t="str">
        <f t="shared" si="592"/>
        <v>tr. VND</v>
      </c>
      <c r="K334" s="15">
        <f>SUM($K333:K333)</f>
        <v>-486414</v>
      </c>
      <c r="L334" s="15">
        <f>SUM($K333:L333)</f>
        <v>-457539.52748194913</v>
      </c>
      <c r="M334" s="15">
        <f>SUM($K333:M333)</f>
        <v>-412749.34483940777</v>
      </c>
      <c r="N334" s="15">
        <f>SUM($K333:N333)</f>
        <v>-348749.965306375</v>
      </c>
      <c r="O334" s="15">
        <f>SUM($K333:O333)</f>
        <v>-289140.75306100835</v>
      </c>
      <c r="P334" s="15">
        <f>SUM($K333:P333)</f>
        <v>-233655.80810297729</v>
      </c>
      <c r="Q334" s="15">
        <f>SUM($K333:Q333)</f>
        <v>-182044.63834886884</v>
      </c>
      <c r="R334" s="15">
        <f>SUM($K333:R333)</f>
        <v>-134071.27968353755</v>
      </c>
      <c r="S334" s="15">
        <f>SUM($K333:S333)</f>
        <v>-89513.4662263434</v>
      </c>
      <c r="T334" s="15">
        <f>SUM($K333:T333)</f>
        <v>-48161.847927252136</v>
      </c>
      <c r="U334" s="15">
        <f>SUM($K333:U333)</f>
        <v>-9819.252775471432</v>
      </c>
      <c r="V334" s="15">
        <f>SUM($K333:V333)</f>
        <v>25700.008938903797</v>
      </c>
      <c r="W334" s="15">
        <f>SUM($K333:W333)</f>
        <v>58570.80072126395</v>
      </c>
      <c r="X334" s="15">
        <f>SUM($K333:X333)</f>
        <v>87195.271956901197</v>
      </c>
      <c r="Y334" s="15">
        <f>SUM($K333:Y333)</f>
        <v>113619.30823508905</v>
      </c>
      <c r="Z334" s="15">
        <f>SUM($K333:Z333)</f>
        <v>137979.52158671859</v>
      </c>
      <c r="AA334" s="15">
        <f>SUM($K333:AA333)</f>
        <v>160404.64990652472</v>
      </c>
      <c r="AB334" s="15">
        <f>SUM($K333:AB333)</f>
        <v>181015.99682912219</v>
      </c>
      <c r="AC334" s="15">
        <f>SUM($K333:AC333)</f>
        <v>199927.8473746517</v>
      </c>
      <c r="AD334" s="15">
        <f>SUM($K333:AD333)</f>
        <v>217247.86069038705</v>
      </c>
      <c r="AE334" s="15">
        <f>SUM($K333:AE333)</f>
        <v>233077.44114223612</v>
      </c>
      <c r="AF334" s="15">
        <f>SUM($K333:AF333)</f>
        <v>247512.088941603</v>
      </c>
      <c r="AG334" s="15">
        <f>SUM($K333:AG333)</f>
        <v>260641.73142834814</v>
      </c>
      <c r="AH334" s="15">
        <f>SUM($K333:AH333)</f>
        <v>272551.03606938437</v>
      </c>
      <c r="AI334" s="15">
        <f>SUM($K333:AI333)</f>
        <v>283319.70617458742</v>
      </c>
      <c r="AJ334" s="15">
        <f>SUM($K333:AJ333)</f>
        <v>293022.76027699729</v>
      </c>
    </row>
    <row r="335" spans="1:36" hidden="1" x14ac:dyDescent="0.25">
      <c r="A335" t="s">
        <v>423</v>
      </c>
    </row>
    <row r="336" spans="1:36" ht="15.75" hidden="1" thickBot="1" x14ac:dyDescent="0.3">
      <c r="A336" t="s">
        <v>423</v>
      </c>
    </row>
    <row r="337" spans="1:36" hidden="1" x14ac:dyDescent="0.25">
      <c r="A337" t="s">
        <v>423</v>
      </c>
      <c r="D337" t="s">
        <v>544</v>
      </c>
      <c r="H337" s="96" t="s">
        <v>401</v>
      </c>
      <c r="I337" s="310" t="str">
        <f t="shared" si="592"/>
        <v>tr. VND</v>
      </c>
      <c r="J337" s="311"/>
      <c r="K337" s="97">
        <f>SUM(K333:AJ333)</f>
        <v>293022.76027699729</v>
      </c>
      <c r="L337" s="263"/>
      <c r="M337" s="70"/>
      <c r="N337" s="70"/>
    </row>
    <row r="338" spans="1:36" hidden="1" x14ac:dyDescent="0.25">
      <c r="A338" t="s">
        <v>423</v>
      </c>
      <c r="D338" t="s">
        <v>516</v>
      </c>
      <c r="H338" s="212" t="s">
        <v>402</v>
      </c>
      <c r="I338" s="255"/>
      <c r="J338" s="48"/>
      <c r="K338" s="314">
        <f>IFERROR(IRR(K331:AJ331),0)</f>
        <v>0.13870388131184574</v>
      </c>
    </row>
    <row r="339" spans="1:36" ht="15.75" hidden="1" thickBot="1" x14ac:dyDescent="0.3">
      <c r="A339" t="s">
        <v>423</v>
      </c>
      <c r="D339" t="s">
        <v>517</v>
      </c>
      <c r="H339" s="98" t="s">
        <v>403</v>
      </c>
      <c r="I339" s="312" t="s">
        <v>290</v>
      </c>
      <c r="J339" s="313"/>
      <c r="K339" s="315" cm="1">
        <f t="array" ref="K339">ROUNDUP(IF(K337&lt;0,0,INDEX(K$14:AJ$14,,MATCH(_xlfn.MINIFS(K334:AJ334,K334:AJ334,"&gt;"&amp;0),K334:AJ334))-1-INDEX(K334:AJ334,,MATCH(_xlfn.MINIFS(K334:AJ334,K334:AJ334,"&gt;"&amp;0),K334:AJ334)-1)/INDEX(K333:AJ333,,MATCH(_xlfn.MINIFS(K334:AJ334,K334:AJ334,"&gt;"&amp;0),K334:AJ334))),1)</f>
        <v>10.299999999999999</v>
      </c>
    </row>
    <row r="340" spans="1:36" hidden="1" x14ac:dyDescent="0.25">
      <c r="A340" t="s">
        <v>423</v>
      </c>
      <c r="H340" s="316" t="str">
        <f>INT(K339)&amp;" năm "&amp;IF(MOD(K339,1)*12=0,,TEXT(MOD(K339,1)*12,"00")&amp;" tháng")</f>
        <v>10 năm 04 tháng</v>
      </c>
    </row>
    <row r="341" spans="1:36" hidden="1" x14ac:dyDescent="0.25">
      <c r="A341" t="s">
        <v>423</v>
      </c>
    </row>
    <row r="342" spans="1:36" hidden="1" x14ac:dyDescent="0.25">
      <c r="A342" t="s">
        <v>423</v>
      </c>
    </row>
    <row r="343" spans="1:36" s="304" customFormat="1" hidden="1" x14ac:dyDescent="0.25">
      <c r="I343" s="305"/>
    </row>
    <row r="344" spans="1:36" s="632" customFormat="1" ht="19.5" hidden="1" x14ac:dyDescent="0.3">
      <c r="A344" s="632" t="s">
        <v>424</v>
      </c>
      <c r="H344" s="633" t="s">
        <v>424</v>
      </c>
      <c r="K344" s="634"/>
      <c r="L344" s="634"/>
      <c r="M344" s="634"/>
      <c r="N344" s="634"/>
      <c r="O344" s="634"/>
      <c r="P344" s="634"/>
      <c r="Q344" s="634"/>
      <c r="R344" s="634"/>
      <c r="S344" s="634"/>
      <c r="T344" s="634"/>
      <c r="U344" s="634"/>
      <c r="V344" s="634"/>
      <c r="W344" s="634"/>
      <c r="X344" s="634"/>
      <c r="Y344" s="634"/>
      <c r="Z344" s="634"/>
      <c r="AA344" s="634"/>
      <c r="AB344" s="634"/>
      <c r="AC344" s="634"/>
      <c r="AD344" s="634"/>
      <c r="AE344" s="634"/>
      <c r="AF344" s="634"/>
      <c r="AG344" s="634"/>
      <c r="AH344" s="634"/>
      <c r="AI344" s="634"/>
      <c r="AJ344" s="634"/>
    </row>
    <row r="345" spans="1:36" hidden="1" x14ac:dyDescent="0.25">
      <c r="A345" t="s">
        <v>424</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row>
    <row r="346" spans="1:36" s="24" customFormat="1" ht="17.25" hidden="1" x14ac:dyDescent="0.3">
      <c r="A346" s="24" t="s">
        <v>424</v>
      </c>
      <c r="H346" s="24" t="s">
        <v>669</v>
      </c>
      <c r="K346" s="635"/>
      <c r="L346" s="635"/>
      <c r="M346" s="635"/>
      <c r="N346" s="635"/>
      <c r="O346" s="635"/>
      <c r="P346" s="635"/>
      <c r="Q346" s="635"/>
      <c r="R346" s="635"/>
      <c r="S346" s="635"/>
      <c r="T346" s="635"/>
      <c r="U346" s="635"/>
      <c r="V346" s="635"/>
      <c r="W346" s="635"/>
      <c r="X346" s="635"/>
      <c r="Y346" s="635"/>
      <c r="Z346" s="635"/>
      <c r="AA346" s="635"/>
      <c r="AB346" s="635"/>
      <c r="AC346" s="635"/>
      <c r="AD346" s="635"/>
      <c r="AE346" s="635"/>
      <c r="AF346" s="635"/>
      <c r="AG346" s="635"/>
      <c r="AH346" s="635"/>
      <c r="AI346" s="635"/>
      <c r="AJ346" s="635"/>
    </row>
    <row r="347" spans="1:36" hidden="1" x14ac:dyDescent="0.25">
      <c r="A347" t="s">
        <v>424</v>
      </c>
      <c r="H347" s="459" t="s">
        <v>427</v>
      </c>
      <c r="I347" s="494" t="s">
        <v>436</v>
      </c>
      <c r="K347" s="549"/>
      <c r="L347" s="549">
        <f t="shared" ref="L347:AA348" si="596">Capacity*24*365</f>
        <v>7568640</v>
      </c>
      <c r="M347" s="549">
        <f t="shared" si="596"/>
        <v>7568640</v>
      </c>
      <c r="N347" s="549">
        <f t="shared" si="596"/>
        <v>7568640</v>
      </c>
      <c r="O347" s="549">
        <f t="shared" si="596"/>
        <v>7568640</v>
      </c>
      <c r="P347" s="549">
        <f t="shared" si="596"/>
        <v>7568640</v>
      </c>
      <c r="Q347" s="549">
        <f t="shared" si="596"/>
        <v>7568640</v>
      </c>
      <c r="R347" s="549">
        <f t="shared" si="596"/>
        <v>7568640</v>
      </c>
      <c r="S347" s="549">
        <f t="shared" si="596"/>
        <v>7568640</v>
      </c>
      <c r="T347" s="549">
        <f t="shared" si="596"/>
        <v>7568640</v>
      </c>
      <c r="U347" s="549">
        <f t="shared" si="596"/>
        <v>7568640</v>
      </c>
      <c r="V347" s="549">
        <f t="shared" si="596"/>
        <v>7568640</v>
      </c>
      <c r="W347" s="549">
        <f t="shared" si="596"/>
        <v>7568640</v>
      </c>
      <c r="X347" s="549">
        <f t="shared" si="596"/>
        <v>7568640</v>
      </c>
      <c r="Y347" s="549">
        <f t="shared" si="596"/>
        <v>7568640</v>
      </c>
      <c r="Z347" s="549">
        <f t="shared" si="596"/>
        <v>7568640</v>
      </c>
      <c r="AA347" s="549">
        <f t="shared" si="596"/>
        <v>7568640</v>
      </c>
      <c r="AB347" s="549">
        <f t="shared" ref="AA347:AJ348" si="597">Capacity*24*365</f>
        <v>7568640</v>
      </c>
      <c r="AC347" s="549">
        <f t="shared" si="597"/>
        <v>7568640</v>
      </c>
      <c r="AD347" s="549">
        <f t="shared" si="597"/>
        <v>7568640</v>
      </c>
      <c r="AE347" s="549">
        <f t="shared" si="597"/>
        <v>7568640</v>
      </c>
      <c r="AF347" s="549">
        <f t="shared" si="597"/>
        <v>7568640</v>
      </c>
      <c r="AG347" s="549">
        <f t="shared" si="597"/>
        <v>7568640</v>
      </c>
      <c r="AH347" s="549">
        <f t="shared" si="597"/>
        <v>7568640</v>
      </c>
      <c r="AI347" s="549">
        <f t="shared" si="597"/>
        <v>7568640</v>
      </c>
      <c r="AJ347" s="549">
        <f t="shared" si="597"/>
        <v>7568640</v>
      </c>
    </row>
    <row r="348" spans="1:36" hidden="1" x14ac:dyDescent="0.25">
      <c r="A348" t="s">
        <v>424</v>
      </c>
      <c r="H348" s="454" t="s">
        <v>427</v>
      </c>
      <c r="I348" s="497" t="s">
        <v>320</v>
      </c>
      <c r="K348" s="550"/>
      <c r="L348" s="550">
        <f t="shared" si="596"/>
        <v>7568640</v>
      </c>
      <c r="M348" s="550">
        <f t="shared" si="596"/>
        <v>7568640</v>
      </c>
      <c r="N348" s="550">
        <f t="shared" si="596"/>
        <v>7568640</v>
      </c>
      <c r="O348" s="550">
        <f t="shared" si="596"/>
        <v>7568640</v>
      </c>
      <c r="P348" s="550">
        <f t="shared" si="596"/>
        <v>7568640</v>
      </c>
      <c r="Q348" s="550">
        <f t="shared" si="596"/>
        <v>7568640</v>
      </c>
      <c r="R348" s="550">
        <f t="shared" si="596"/>
        <v>7568640</v>
      </c>
      <c r="S348" s="550">
        <f t="shared" si="596"/>
        <v>7568640</v>
      </c>
      <c r="T348" s="550">
        <f t="shared" si="596"/>
        <v>7568640</v>
      </c>
      <c r="U348" s="550">
        <f t="shared" si="596"/>
        <v>7568640</v>
      </c>
      <c r="V348" s="550">
        <f t="shared" si="596"/>
        <v>7568640</v>
      </c>
      <c r="W348" s="550">
        <f t="shared" si="596"/>
        <v>7568640</v>
      </c>
      <c r="X348" s="550">
        <f t="shared" si="596"/>
        <v>7568640</v>
      </c>
      <c r="Y348" s="550">
        <f t="shared" si="596"/>
        <v>7568640</v>
      </c>
      <c r="Z348" s="550">
        <f t="shared" si="596"/>
        <v>7568640</v>
      </c>
      <c r="AA348" s="550">
        <f t="shared" si="597"/>
        <v>7568640</v>
      </c>
      <c r="AB348" s="550">
        <f t="shared" si="597"/>
        <v>7568640</v>
      </c>
      <c r="AC348" s="550">
        <f t="shared" si="597"/>
        <v>7568640</v>
      </c>
      <c r="AD348" s="550">
        <f t="shared" si="597"/>
        <v>7568640</v>
      </c>
      <c r="AE348" s="550">
        <f t="shared" si="597"/>
        <v>7568640</v>
      </c>
      <c r="AF348" s="550">
        <f t="shared" si="597"/>
        <v>7568640</v>
      </c>
      <c r="AG348" s="550">
        <f t="shared" si="597"/>
        <v>7568640</v>
      </c>
      <c r="AH348" s="550">
        <f t="shared" si="597"/>
        <v>7568640</v>
      </c>
      <c r="AI348" s="550">
        <f t="shared" si="597"/>
        <v>7568640</v>
      </c>
      <c r="AJ348" s="550">
        <f t="shared" si="597"/>
        <v>7568640</v>
      </c>
    </row>
    <row r="349" spans="1:36" s="250" customFormat="1" hidden="1" x14ac:dyDescent="0.25">
      <c r="A349" s="250" t="s">
        <v>424</v>
      </c>
      <c r="H349" s="537" t="s">
        <v>460</v>
      </c>
      <c r="I349" s="548"/>
      <c r="K349" s="551"/>
      <c r="L349" s="552">
        <v>0.88</v>
      </c>
      <c r="M349" s="552">
        <v>0.88</v>
      </c>
      <c r="N349" s="552">
        <v>0.88</v>
      </c>
      <c r="O349" s="552">
        <v>0.88</v>
      </c>
      <c r="P349" s="552">
        <v>0.88</v>
      </c>
      <c r="Q349" s="552">
        <v>0.88</v>
      </c>
      <c r="R349" s="552">
        <v>0.88</v>
      </c>
      <c r="S349" s="552">
        <v>0.88</v>
      </c>
      <c r="T349" s="552">
        <v>0.88</v>
      </c>
      <c r="U349" s="552">
        <v>0.88</v>
      </c>
      <c r="V349" s="552">
        <v>0.88</v>
      </c>
      <c r="W349" s="552">
        <v>0.88</v>
      </c>
      <c r="X349" s="552">
        <v>0.88</v>
      </c>
      <c r="Y349" s="552">
        <v>0.88</v>
      </c>
      <c r="Z349" s="552">
        <v>0.88</v>
      </c>
      <c r="AA349" s="552">
        <v>0.88</v>
      </c>
      <c r="AB349" s="552">
        <v>0.88</v>
      </c>
      <c r="AC349" s="552">
        <v>0.88</v>
      </c>
      <c r="AD349" s="552">
        <v>0.88</v>
      </c>
      <c r="AE349" s="552">
        <v>0.88</v>
      </c>
      <c r="AF349" s="552">
        <v>0.88</v>
      </c>
      <c r="AG349" s="552">
        <v>0.88</v>
      </c>
      <c r="AH349" s="552">
        <v>0.88</v>
      </c>
      <c r="AI349" s="552">
        <v>0.88</v>
      </c>
      <c r="AJ349" s="552">
        <v>0.88</v>
      </c>
    </row>
    <row r="350" spans="1:36" s="250" customFormat="1" hidden="1" x14ac:dyDescent="0.25">
      <c r="A350" s="250" t="s">
        <v>424</v>
      </c>
      <c r="H350" s="537" t="s">
        <v>461</v>
      </c>
      <c r="I350" s="548"/>
      <c r="K350" s="551"/>
      <c r="L350" s="552">
        <v>0.5</v>
      </c>
      <c r="M350" s="552">
        <v>0.7</v>
      </c>
      <c r="N350" s="552">
        <v>1</v>
      </c>
      <c r="O350" s="552">
        <v>1</v>
      </c>
      <c r="P350" s="552">
        <v>1</v>
      </c>
      <c r="Q350" s="552">
        <v>1</v>
      </c>
      <c r="R350" s="552">
        <v>1</v>
      </c>
      <c r="S350" s="552">
        <v>1</v>
      </c>
      <c r="T350" s="552">
        <v>1</v>
      </c>
      <c r="U350" s="552">
        <v>1</v>
      </c>
      <c r="V350" s="552">
        <v>1</v>
      </c>
      <c r="W350" s="552">
        <v>1</v>
      </c>
      <c r="X350" s="552">
        <v>1</v>
      </c>
      <c r="Y350" s="552">
        <v>1</v>
      </c>
      <c r="Z350" s="552">
        <v>1</v>
      </c>
      <c r="AA350" s="552">
        <v>1</v>
      </c>
      <c r="AB350" s="552">
        <v>1</v>
      </c>
      <c r="AC350" s="552">
        <v>1</v>
      </c>
      <c r="AD350" s="552">
        <v>1</v>
      </c>
      <c r="AE350" s="552">
        <v>1</v>
      </c>
      <c r="AF350" s="552">
        <v>1</v>
      </c>
      <c r="AG350" s="552">
        <v>1</v>
      </c>
      <c r="AH350" s="552">
        <v>1</v>
      </c>
      <c r="AI350" s="552">
        <v>1</v>
      </c>
      <c r="AJ350" s="552">
        <v>1</v>
      </c>
    </row>
    <row r="351" spans="1:36" hidden="1" x14ac:dyDescent="0.25">
      <c r="A351" t="s">
        <v>424</v>
      </c>
      <c r="B351" t="s">
        <v>437</v>
      </c>
      <c r="H351" s="454" t="s">
        <v>70</v>
      </c>
      <c r="I351" s="497"/>
      <c r="K351" s="550"/>
      <c r="L351" s="553" cm="1">
        <f t="array" ref="L351">SUMPRODUCT('W2'!$M$12:$R$112*('W2'!$M$7:$R$7=$A351)*('W2'!$A$12:$A$112=$B351))</f>
        <v>7.0000000000000007E-2</v>
      </c>
      <c r="M351" s="553">
        <f>L351</f>
        <v>7.0000000000000007E-2</v>
      </c>
      <c r="N351" s="553">
        <f t="shared" ref="N351" si="598">M351</f>
        <v>7.0000000000000007E-2</v>
      </c>
      <c r="O351" s="553">
        <f t="shared" ref="O351" si="599">N351</f>
        <v>7.0000000000000007E-2</v>
      </c>
      <c r="P351" s="553">
        <f t="shared" ref="P351" si="600">O351</f>
        <v>7.0000000000000007E-2</v>
      </c>
      <c r="Q351" s="553">
        <f t="shared" ref="Q351" si="601">P351</f>
        <v>7.0000000000000007E-2</v>
      </c>
      <c r="R351" s="553">
        <f t="shared" ref="R351" si="602">Q351</f>
        <v>7.0000000000000007E-2</v>
      </c>
      <c r="S351" s="553">
        <f t="shared" ref="S351" si="603">R351</f>
        <v>7.0000000000000007E-2</v>
      </c>
      <c r="T351" s="553">
        <f t="shared" ref="T351" si="604">S351</f>
        <v>7.0000000000000007E-2</v>
      </c>
      <c r="U351" s="553">
        <f t="shared" ref="U351" si="605">T351</f>
        <v>7.0000000000000007E-2</v>
      </c>
      <c r="V351" s="553">
        <f t="shared" ref="V351" si="606">U351</f>
        <v>7.0000000000000007E-2</v>
      </c>
      <c r="W351" s="553">
        <f t="shared" ref="W351" si="607">V351</f>
        <v>7.0000000000000007E-2</v>
      </c>
      <c r="X351" s="553">
        <f t="shared" ref="X351" si="608">W351</f>
        <v>7.0000000000000007E-2</v>
      </c>
      <c r="Y351" s="553">
        <f t="shared" ref="Y351" si="609">X351</f>
        <v>7.0000000000000007E-2</v>
      </c>
      <c r="Z351" s="553">
        <f t="shared" ref="Z351" si="610">Y351</f>
        <v>7.0000000000000007E-2</v>
      </c>
      <c r="AA351" s="553">
        <f t="shared" ref="AA351" si="611">Z351</f>
        <v>7.0000000000000007E-2</v>
      </c>
      <c r="AB351" s="553">
        <f t="shared" ref="AB351" si="612">AA351</f>
        <v>7.0000000000000007E-2</v>
      </c>
      <c r="AC351" s="553">
        <f t="shared" ref="AC351" si="613">AB351</f>
        <v>7.0000000000000007E-2</v>
      </c>
      <c r="AD351" s="553">
        <f t="shared" ref="AD351" si="614">AC351</f>
        <v>7.0000000000000007E-2</v>
      </c>
      <c r="AE351" s="553">
        <f t="shared" ref="AE351" si="615">AD351</f>
        <v>7.0000000000000007E-2</v>
      </c>
      <c r="AF351" s="553">
        <f t="shared" ref="AF351" si="616">AE351</f>
        <v>7.0000000000000007E-2</v>
      </c>
      <c r="AG351" s="553">
        <f t="shared" ref="AG351" si="617">AF351</f>
        <v>7.0000000000000007E-2</v>
      </c>
      <c r="AH351" s="553">
        <f t="shared" ref="AH351" si="618">AG351</f>
        <v>7.0000000000000007E-2</v>
      </c>
      <c r="AI351" s="553">
        <f t="shared" ref="AI351" si="619">AH351</f>
        <v>7.0000000000000007E-2</v>
      </c>
      <c r="AJ351" s="553">
        <f t="shared" ref="AJ351" si="620">AI351</f>
        <v>7.0000000000000007E-2</v>
      </c>
    </row>
    <row r="352" spans="1:36" hidden="1" x14ac:dyDescent="0.25">
      <c r="A352" t="s">
        <v>424</v>
      </c>
      <c r="H352" s="454" t="s">
        <v>59</v>
      </c>
      <c r="I352" s="497"/>
      <c r="K352" s="550"/>
      <c r="L352" s="550">
        <f>365*L349*L350</f>
        <v>160.6</v>
      </c>
      <c r="M352" s="550">
        <f t="shared" ref="M352:AJ352" si="621">365*M349*M350</f>
        <v>224.83999999999997</v>
      </c>
      <c r="N352" s="550">
        <f t="shared" si="621"/>
        <v>321.2</v>
      </c>
      <c r="O352" s="550">
        <f t="shared" si="621"/>
        <v>321.2</v>
      </c>
      <c r="P352" s="550">
        <f t="shared" si="621"/>
        <v>321.2</v>
      </c>
      <c r="Q352" s="550">
        <f t="shared" si="621"/>
        <v>321.2</v>
      </c>
      <c r="R352" s="550">
        <f t="shared" si="621"/>
        <v>321.2</v>
      </c>
      <c r="S352" s="550">
        <f t="shared" si="621"/>
        <v>321.2</v>
      </c>
      <c r="T352" s="550">
        <f t="shared" si="621"/>
        <v>321.2</v>
      </c>
      <c r="U352" s="550">
        <f t="shared" si="621"/>
        <v>321.2</v>
      </c>
      <c r="V352" s="550">
        <f t="shared" si="621"/>
        <v>321.2</v>
      </c>
      <c r="W352" s="550">
        <f t="shared" si="621"/>
        <v>321.2</v>
      </c>
      <c r="X352" s="550">
        <f t="shared" si="621"/>
        <v>321.2</v>
      </c>
      <c r="Y352" s="550">
        <f t="shared" si="621"/>
        <v>321.2</v>
      </c>
      <c r="Z352" s="550">
        <f t="shared" si="621"/>
        <v>321.2</v>
      </c>
      <c r="AA352" s="550">
        <f t="shared" si="621"/>
        <v>321.2</v>
      </c>
      <c r="AB352" s="550">
        <f t="shared" si="621"/>
        <v>321.2</v>
      </c>
      <c r="AC352" s="550">
        <f t="shared" si="621"/>
        <v>321.2</v>
      </c>
      <c r="AD352" s="550">
        <f t="shared" si="621"/>
        <v>321.2</v>
      </c>
      <c r="AE352" s="550">
        <f t="shared" si="621"/>
        <v>321.2</v>
      </c>
      <c r="AF352" s="550">
        <f t="shared" si="621"/>
        <v>321.2</v>
      </c>
      <c r="AG352" s="550">
        <f t="shared" si="621"/>
        <v>321.2</v>
      </c>
      <c r="AH352" s="550">
        <f t="shared" si="621"/>
        <v>321.2</v>
      </c>
      <c r="AI352" s="550">
        <f t="shared" si="621"/>
        <v>321.2</v>
      </c>
      <c r="AJ352" s="550">
        <f t="shared" si="621"/>
        <v>321.2</v>
      </c>
    </row>
    <row r="353" spans="1:36" hidden="1" x14ac:dyDescent="0.25">
      <c r="A353" t="s">
        <v>424</v>
      </c>
      <c r="C353" t="s">
        <v>574</v>
      </c>
      <c r="H353" s="454" t="s">
        <v>202</v>
      </c>
      <c r="I353" s="497" t="s">
        <v>436</v>
      </c>
      <c r="K353" s="550"/>
      <c r="L353" s="550">
        <f>L347*L349*(1-L351)*L350</f>
        <v>3097087.4879999999</v>
      </c>
      <c r="M353" s="550">
        <f t="shared" ref="M353:AJ353" si="622">M347*M349*(1-M351)*M350</f>
        <v>4335922.4831999997</v>
      </c>
      <c r="N353" s="550">
        <f t="shared" si="622"/>
        <v>6194174.9759999998</v>
      </c>
      <c r="O353" s="550">
        <f t="shared" si="622"/>
        <v>6194174.9759999998</v>
      </c>
      <c r="P353" s="550">
        <f t="shared" si="622"/>
        <v>6194174.9759999998</v>
      </c>
      <c r="Q353" s="550">
        <f t="shared" si="622"/>
        <v>6194174.9759999998</v>
      </c>
      <c r="R353" s="550">
        <f t="shared" si="622"/>
        <v>6194174.9759999998</v>
      </c>
      <c r="S353" s="550">
        <f t="shared" si="622"/>
        <v>6194174.9759999998</v>
      </c>
      <c r="T353" s="550">
        <f t="shared" si="622"/>
        <v>6194174.9759999998</v>
      </c>
      <c r="U353" s="550">
        <f t="shared" si="622"/>
        <v>6194174.9759999998</v>
      </c>
      <c r="V353" s="550">
        <f t="shared" si="622"/>
        <v>6194174.9759999998</v>
      </c>
      <c r="W353" s="550">
        <f t="shared" si="622"/>
        <v>6194174.9759999998</v>
      </c>
      <c r="X353" s="550">
        <f t="shared" si="622"/>
        <v>6194174.9759999998</v>
      </c>
      <c r="Y353" s="550">
        <f t="shared" si="622"/>
        <v>6194174.9759999998</v>
      </c>
      <c r="Z353" s="550">
        <f t="shared" si="622"/>
        <v>6194174.9759999998</v>
      </c>
      <c r="AA353" s="550">
        <f t="shared" si="622"/>
        <v>6194174.9759999998</v>
      </c>
      <c r="AB353" s="550">
        <f t="shared" si="622"/>
        <v>6194174.9759999998</v>
      </c>
      <c r="AC353" s="550">
        <f t="shared" si="622"/>
        <v>6194174.9759999998</v>
      </c>
      <c r="AD353" s="550">
        <f t="shared" si="622"/>
        <v>6194174.9759999998</v>
      </c>
      <c r="AE353" s="550">
        <f t="shared" si="622"/>
        <v>6194174.9759999998</v>
      </c>
      <c r="AF353" s="550">
        <f t="shared" si="622"/>
        <v>6194174.9759999998</v>
      </c>
      <c r="AG353" s="550">
        <f t="shared" si="622"/>
        <v>6194174.9759999998</v>
      </c>
      <c r="AH353" s="550">
        <f t="shared" si="622"/>
        <v>6194174.9759999998</v>
      </c>
      <c r="AI353" s="550">
        <f t="shared" si="622"/>
        <v>6194174.9759999998</v>
      </c>
      <c r="AJ353" s="550">
        <f t="shared" si="622"/>
        <v>6194174.9759999998</v>
      </c>
    </row>
    <row r="354" spans="1:36" hidden="1" x14ac:dyDescent="0.25">
      <c r="A354" t="s">
        <v>424</v>
      </c>
      <c r="C354" t="s">
        <v>575</v>
      </c>
      <c r="H354" s="454" t="s">
        <v>202</v>
      </c>
      <c r="I354" s="497" t="s">
        <v>320</v>
      </c>
      <c r="K354" s="550"/>
      <c r="L354" s="550">
        <f t="shared" ref="L354:AJ354" si="623">L353*PHOI_KG</f>
        <v>206472499.20000002</v>
      </c>
      <c r="M354" s="550">
        <f t="shared" si="623"/>
        <v>289061498.88</v>
      </c>
      <c r="N354" s="550">
        <f t="shared" si="623"/>
        <v>412944998.40000004</v>
      </c>
      <c r="O354" s="550">
        <f t="shared" si="623"/>
        <v>412944998.40000004</v>
      </c>
      <c r="P354" s="550">
        <f t="shared" si="623"/>
        <v>412944998.40000004</v>
      </c>
      <c r="Q354" s="550">
        <f t="shared" si="623"/>
        <v>412944998.40000004</v>
      </c>
      <c r="R354" s="550">
        <f t="shared" si="623"/>
        <v>412944998.40000004</v>
      </c>
      <c r="S354" s="550">
        <f t="shared" si="623"/>
        <v>412944998.40000004</v>
      </c>
      <c r="T354" s="550">
        <f t="shared" si="623"/>
        <v>412944998.40000004</v>
      </c>
      <c r="U354" s="550">
        <f t="shared" si="623"/>
        <v>412944998.40000004</v>
      </c>
      <c r="V354" s="550">
        <f t="shared" si="623"/>
        <v>412944998.40000004</v>
      </c>
      <c r="W354" s="550">
        <f t="shared" si="623"/>
        <v>412944998.40000004</v>
      </c>
      <c r="X354" s="550">
        <f t="shared" si="623"/>
        <v>412944998.40000004</v>
      </c>
      <c r="Y354" s="550">
        <f t="shared" si="623"/>
        <v>412944998.40000004</v>
      </c>
      <c r="Z354" s="550">
        <f t="shared" si="623"/>
        <v>412944998.40000004</v>
      </c>
      <c r="AA354" s="550">
        <f t="shared" si="623"/>
        <v>412944998.40000004</v>
      </c>
      <c r="AB354" s="550">
        <f t="shared" si="623"/>
        <v>412944998.40000004</v>
      </c>
      <c r="AC354" s="550">
        <f t="shared" si="623"/>
        <v>412944998.40000004</v>
      </c>
      <c r="AD354" s="550">
        <f t="shared" si="623"/>
        <v>412944998.40000004</v>
      </c>
      <c r="AE354" s="550">
        <f t="shared" si="623"/>
        <v>412944998.40000004</v>
      </c>
      <c r="AF354" s="550">
        <f t="shared" si="623"/>
        <v>412944998.40000004</v>
      </c>
      <c r="AG354" s="550">
        <f t="shared" si="623"/>
        <v>412944998.40000004</v>
      </c>
      <c r="AH354" s="550">
        <f t="shared" si="623"/>
        <v>412944998.40000004</v>
      </c>
      <c r="AI354" s="550">
        <f t="shared" si="623"/>
        <v>412944998.40000004</v>
      </c>
      <c r="AJ354" s="550">
        <f t="shared" si="623"/>
        <v>412944998.40000004</v>
      </c>
    </row>
    <row r="355" spans="1:36" hidden="1" x14ac:dyDescent="0.25">
      <c r="A355" t="s">
        <v>424</v>
      </c>
      <c r="K355" s="243"/>
      <c r="L355" s="243"/>
      <c r="M355" s="243"/>
      <c r="N355" s="243"/>
      <c r="O355" s="243"/>
      <c r="P355" s="243"/>
      <c r="Q355" s="243"/>
      <c r="R355" s="243"/>
      <c r="S355" s="243"/>
      <c r="T355" s="243"/>
      <c r="U355" s="243"/>
      <c r="V355" s="243"/>
      <c r="W355" s="243"/>
      <c r="X355" s="243"/>
      <c r="Y355" s="243"/>
      <c r="Z355" s="243"/>
      <c r="AA355" s="243"/>
      <c r="AB355" s="243"/>
      <c r="AC355" s="243"/>
      <c r="AD355" s="243"/>
      <c r="AE355" s="243"/>
      <c r="AF355" s="243"/>
      <c r="AG355" s="243"/>
      <c r="AH355" s="243"/>
      <c r="AI355" s="243"/>
      <c r="AJ355" s="243"/>
    </row>
    <row r="356" spans="1:36" s="24" customFormat="1" ht="17.25" hidden="1" x14ac:dyDescent="0.3">
      <c r="A356" s="24" t="s">
        <v>424</v>
      </c>
      <c r="H356" s="24" t="s">
        <v>670</v>
      </c>
      <c r="K356" s="636"/>
      <c r="L356" s="636"/>
      <c r="M356" s="636"/>
      <c r="N356" s="636"/>
      <c r="O356" s="636"/>
      <c r="P356" s="636"/>
      <c r="Q356" s="636"/>
      <c r="R356" s="636"/>
      <c r="S356" s="636"/>
      <c r="T356" s="636"/>
      <c r="U356" s="636"/>
      <c r="V356" s="636"/>
      <c r="W356" s="636"/>
      <c r="X356" s="636"/>
      <c r="Y356" s="636"/>
      <c r="Z356" s="636"/>
      <c r="AA356" s="636"/>
      <c r="AB356" s="636"/>
      <c r="AC356" s="636"/>
      <c r="AD356" s="636"/>
      <c r="AE356" s="636"/>
      <c r="AF356" s="636"/>
      <c r="AG356" s="636"/>
      <c r="AH356" s="636"/>
      <c r="AI356" s="636"/>
      <c r="AJ356" s="636"/>
    </row>
    <row r="357" spans="1:36" s="250" customFormat="1" hidden="1" x14ac:dyDescent="0.25">
      <c r="A357" s="250" t="s">
        <v>424</v>
      </c>
      <c r="B357" s="250" t="s">
        <v>665</v>
      </c>
      <c r="H357" s="626" t="s">
        <v>663</v>
      </c>
      <c r="I357" s="627" t="s">
        <v>71</v>
      </c>
      <c r="K357" s="628"/>
      <c r="L357" s="631" cm="1">
        <f t="array" ref="L357">SUMPRODUCT('W2'!$M$12:$R$112*('W2'!$M$7:$R$7=$A357)*('W2'!$A$12:$A$112=$B357))</f>
        <v>2.0000000000000001E-4</v>
      </c>
      <c r="M357" s="630">
        <f>L357</f>
        <v>2.0000000000000001E-4</v>
      </c>
      <c r="N357" s="630">
        <f t="shared" ref="N357:AJ357" si="624">M357</f>
        <v>2.0000000000000001E-4</v>
      </c>
      <c r="O357" s="630">
        <f t="shared" si="624"/>
        <v>2.0000000000000001E-4</v>
      </c>
      <c r="P357" s="630">
        <f t="shared" si="624"/>
        <v>2.0000000000000001E-4</v>
      </c>
      <c r="Q357" s="630">
        <f t="shared" si="624"/>
        <v>2.0000000000000001E-4</v>
      </c>
      <c r="R357" s="630">
        <f t="shared" si="624"/>
        <v>2.0000000000000001E-4</v>
      </c>
      <c r="S357" s="630">
        <f t="shared" si="624"/>
        <v>2.0000000000000001E-4</v>
      </c>
      <c r="T357" s="630">
        <f t="shared" si="624"/>
        <v>2.0000000000000001E-4</v>
      </c>
      <c r="U357" s="630">
        <f t="shared" si="624"/>
        <v>2.0000000000000001E-4</v>
      </c>
      <c r="V357" s="630">
        <f t="shared" si="624"/>
        <v>2.0000000000000001E-4</v>
      </c>
      <c r="W357" s="630">
        <f t="shared" si="624"/>
        <v>2.0000000000000001E-4</v>
      </c>
      <c r="X357" s="630">
        <f t="shared" si="624"/>
        <v>2.0000000000000001E-4</v>
      </c>
      <c r="Y357" s="630">
        <f t="shared" si="624"/>
        <v>2.0000000000000001E-4</v>
      </c>
      <c r="Z357" s="630">
        <f t="shared" si="624"/>
        <v>2.0000000000000001E-4</v>
      </c>
      <c r="AA357" s="630">
        <f t="shared" si="624"/>
        <v>2.0000000000000001E-4</v>
      </c>
      <c r="AB357" s="630">
        <f t="shared" si="624"/>
        <v>2.0000000000000001E-4</v>
      </c>
      <c r="AC357" s="630">
        <f t="shared" si="624"/>
        <v>2.0000000000000001E-4</v>
      </c>
      <c r="AD357" s="630">
        <f t="shared" si="624"/>
        <v>2.0000000000000001E-4</v>
      </c>
      <c r="AE357" s="630">
        <f t="shared" si="624"/>
        <v>2.0000000000000001E-4</v>
      </c>
      <c r="AF357" s="630">
        <f t="shared" si="624"/>
        <v>2.0000000000000001E-4</v>
      </c>
      <c r="AG357" s="630">
        <f t="shared" si="624"/>
        <v>2.0000000000000001E-4</v>
      </c>
      <c r="AH357" s="630">
        <f t="shared" si="624"/>
        <v>2.0000000000000001E-4</v>
      </c>
      <c r="AI357" s="630">
        <f t="shared" si="624"/>
        <v>2.0000000000000001E-4</v>
      </c>
      <c r="AJ357" s="630">
        <f t="shared" si="624"/>
        <v>2.0000000000000001E-4</v>
      </c>
    </row>
    <row r="358" spans="1:36" s="250" customFormat="1" hidden="1" x14ac:dyDescent="0.25">
      <c r="A358" s="250" t="s">
        <v>424</v>
      </c>
      <c r="B358" s="250" t="s">
        <v>666</v>
      </c>
      <c r="H358" s="537" t="s">
        <v>664</v>
      </c>
      <c r="I358" s="548" t="s">
        <v>71</v>
      </c>
      <c r="K358" s="629"/>
      <c r="L358" s="631" cm="1">
        <f t="array" ref="L358">SUMPRODUCT('W2'!$M$12:$R$112*('W2'!$M$7:$R$7=$A358)*('W2'!$A$12:$A$112=$B358))</f>
        <v>5.0000000000000001E-3</v>
      </c>
      <c r="M358" s="630">
        <f>L358</f>
        <v>5.0000000000000001E-3</v>
      </c>
      <c r="N358" s="630">
        <f t="shared" ref="N358:AJ358" si="625">M358</f>
        <v>5.0000000000000001E-3</v>
      </c>
      <c r="O358" s="630">
        <f t="shared" si="625"/>
        <v>5.0000000000000001E-3</v>
      </c>
      <c r="P358" s="630">
        <f t="shared" si="625"/>
        <v>5.0000000000000001E-3</v>
      </c>
      <c r="Q358" s="630">
        <f t="shared" si="625"/>
        <v>5.0000000000000001E-3</v>
      </c>
      <c r="R358" s="630">
        <f t="shared" si="625"/>
        <v>5.0000000000000001E-3</v>
      </c>
      <c r="S358" s="630">
        <f t="shared" si="625"/>
        <v>5.0000000000000001E-3</v>
      </c>
      <c r="T358" s="630">
        <f t="shared" si="625"/>
        <v>5.0000000000000001E-3</v>
      </c>
      <c r="U358" s="630">
        <f t="shared" si="625"/>
        <v>5.0000000000000001E-3</v>
      </c>
      <c r="V358" s="630">
        <f t="shared" si="625"/>
        <v>5.0000000000000001E-3</v>
      </c>
      <c r="W358" s="630">
        <f t="shared" si="625"/>
        <v>5.0000000000000001E-3</v>
      </c>
      <c r="X358" s="630">
        <f t="shared" si="625"/>
        <v>5.0000000000000001E-3</v>
      </c>
      <c r="Y358" s="630">
        <f t="shared" si="625"/>
        <v>5.0000000000000001E-3</v>
      </c>
      <c r="Z358" s="630">
        <f t="shared" si="625"/>
        <v>5.0000000000000001E-3</v>
      </c>
      <c r="AA358" s="630">
        <f t="shared" si="625"/>
        <v>5.0000000000000001E-3</v>
      </c>
      <c r="AB358" s="630">
        <f t="shared" si="625"/>
        <v>5.0000000000000001E-3</v>
      </c>
      <c r="AC358" s="630">
        <f t="shared" si="625"/>
        <v>5.0000000000000001E-3</v>
      </c>
      <c r="AD358" s="630">
        <f t="shared" si="625"/>
        <v>5.0000000000000001E-3</v>
      </c>
      <c r="AE358" s="630">
        <f t="shared" si="625"/>
        <v>5.0000000000000001E-3</v>
      </c>
      <c r="AF358" s="630">
        <f t="shared" si="625"/>
        <v>5.0000000000000001E-3</v>
      </c>
      <c r="AG358" s="630">
        <f t="shared" si="625"/>
        <v>5.0000000000000001E-3</v>
      </c>
      <c r="AH358" s="630">
        <f t="shared" si="625"/>
        <v>5.0000000000000001E-3</v>
      </c>
      <c r="AI358" s="630">
        <f t="shared" si="625"/>
        <v>5.0000000000000001E-3</v>
      </c>
      <c r="AJ358" s="630">
        <f t="shared" si="625"/>
        <v>5.0000000000000001E-3</v>
      </c>
    </row>
    <row r="359" spans="1:36" hidden="1" x14ac:dyDescent="0.25">
      <c r="A359" t="s">
        <v>424</v>
      </c>
      <c r="H359" s="454" t="s">
        <v>671</v>
      </c>
      <c r="I359" s="497" t="s">
        <v>436</v>
      </c>
      <c r="K359" s="550"/>
      <c r="L359" s="550">
        <f>L357*L353/(1-L351)</f>
        <v>666.04032000000007</v>
      </c>
      <c r="M359" s="550">
        <f>M357*M353/(1-M351)</f>
        <v>932.45644800000014</v>
      </c>
      <c r="N359" s="550">
        <f t="shared" ref="N359:AJ359" si="626">N357*N353/(1-N351)</f>
        <v>1332.0806400000001</v>
      </c>
      <c r="O359" s="550">
        <f t="shared" si="626"/>
        <v>1332.0806400000001</v>
      </c>
      <c r="P359" s="550">
        <f t="shared" si="626"/>
        <v>1332.0806400000001</v>
      </c>
      <c r="Q359" s="550">
        <f t="shared" si="626"/>
        <v>1332.0806400000001</v>
      </c>
      <c r="R359" s="550">
        <f t="shared" si="626"/>
        <v>1332.0806400000001</v>
      </c>
      <c r="S359" s="550">
        <f t="shared" si="626"/>
        <v>1332.0806400000001</v>
      </c>
      <c r="T359" s="550">
        <f t="shared" si="626"/>
        <v>1332.0806400000001</v>
      </c>
      <c r="U359" s="550">
        <f t="shared" si="626"/>
        <v>1332.0806400000001</v>
      </c>
      <c r="V359" s="550">
        <f t="shared" si="626"/>
        <v>1332.0806400000001</v>
      </c>
      <c r="W359" s="550">
        <f t="shared" si="626"/>
        <v>1332.0806400000001</v>
      </c>
      <c r="X359" s="550">
        <f t="shared" si="626"/>
        <v>1332.0806400000001</v>
      </c>
      <c r="Y359" s="550">
        <f t="shared" si="626"/>
        <v>1332.0806400000001</v>
      </c>
      <c r="Z359" s="550">
        <f t="shared" si="626"/>
        <v>1332.0806400000001</v>
      </c>
      <c r="AA359" s="550">
        <f t="shared" si="626"/>
        <v>1332.0806400000001</v>
      </c>
      <c r="AB359" s="550">
        <f t="shared" si="626"/>
        <v>1332.0806400000001</v>
      </c>
      <c r="AC359" s="550">
        <f t="shared" si="626"/>
        <v>1332.0806400000001</v>
      </c>
      <c r="AD359" s="550">
        <f t="shared" si="626"/>
        <v>1332.0806400000001</v>
      </c>
      <c r="AE359" s="550">
        <f t="shared" si="626"/>
        <v>1332.0806400000001</v>
      </c>
      <c r="AF359" s="550">
        <f t="shared" si="626"/>
        <v>1332.0806400000001</v>
      </c>
      <c r="AG359" s="550">
        <f t="shared" si="626"/>
        <v>1332.0806400000001</v>
      </c>
      <c r="AH359" s="550">
        <f t="shared" si="626"/>
        <v>1332.0806400000001</v>
      </c>
      <c r="AI359" s="550">
        <f t="shared" si="626"/>
        <v>1332.0806400000001</v>
      </c>
      <c r="AJ359" s="550">
        <f t="shared" si="626"/>
        <v>1332.0806400000001</v>
      </c>
    </row>
    <row r="360" spans="1:36" hidden="1" x14ac:dyDescent="0.25">
      <c r="A360" t="s">
        <v>424</v>
      </c>
      <c r="H360" s="454" t="s">
        <v>675</v>
      </c>
      <c r="I360" s="497" t="s">
        <v>436</v>
      </c>
      <c r="K360" s="550"/>
      <c r="L360" s="550">
        <f>L358*L353/(1-L351)</f>
        <v>16651.008000000002</v>
      </c>
      <c r="M360" s="550">
        <f t="shared" ref="M360:AJ360" si="627">M358*M353/(1-M351)</f>
        <v>23311.411200000002</v>
      </c>
      <c r="N360" s="550">
        <f t="shared" si="627"/>
        <v>33302.016000000003</v>
      </c>
      <c r="O360" s="550">
        <f t="shared" si="627"/>
        <v>33302.016000000003</v>
      </c>
      <c r="P360" s="550">
        <f t="shared" si="627"/>
        <v>33302.016000000003</v>
      </c>
      <c r="Q360" s="550">
        <f t="shared" si="627"/>
        <v>33302.016000000003</v>
      </c>
      <c r="R360" s="550">
        <f t="shared" si="627"/>
        <v>33302.016000000003</v>
      </c>
      <c r="S360" s="550">
        <f t="shared" si="627"/>
        <v>33302.016000000003</v>
      </c>
      <c r="T360" s="550">
        <f t="shared" si="627"/>
        <v>33302.016000000003</v>
      </c>
      <c r="U360" s="550">
        <f t="shared" si="627"/>
        <v>33302.016000000003</v>
      </c>
      <c r="V360" s="550">
        <f t="shared" si="627"/>
        <v>33302.016000000003</v>
      </c>
      <c r="W360" s="550">
        <f t="shared" si="627"/>
        <v>33302.016000000003</v>
      </c>
      <c r="X360" s="550">
        <f t="shared" si="627"/>
        <v>33302.016000000003</v>
      </c>
      <c r="Y360" s="550">
        <f t="shared" si="627"/>
        <v>33302.016000000003</v>
      </c>
      <c r="Z360" s="550">
        <f t="shared" si="627"/>
        <v>33302.016000000003</v>
      </c>
      <c r="AA360" s="550">
        <f t="shared" si="627"/>
        <v>33302.016000000003</v>
      </c>
      <c r="AB360" s="550">
        <f t="shared" si="627"/>
        <v>33302.016000000003</v>
      </c>
      <c r="AC360" s="550">
        <f t="shared" si="627"/>
        <v>33302.016000000003</v>
      </c>
      <c r="AD360" s="550">
        <f t="shared" si="627"/>
        <v>33302.016000000003</v>
      </c>
      <c r="AE360" s="550">
        <f t="shared" si="627"/>
        <v>33302.016000000003</v>
      </c>
      <c r="AF360" s="550">
        <f t="shared" si="627"/>
        <v>33302.016000000003</v>
      </c>
      <c r="AG360" s="550">
        <f t="shared" si="627"/>
        <v>33302.016000000003</v>
      </c>
      <c r="AH360" s="550">
        <f t="shared" si="627"/>
        <v>33302.016000000003</v>
      </c>
      <c r="AI360" s="550">
        <f t="shared" si="627"/>
        <v>33302.016000000003</v>
      </c>
      <c r="AJ360" s="550">
        <f t="shared" si="627"/>
        <v>33302.016000000003</v>
      </c>
    </row>
    <row r="361" spans="1:36" hidden="1" x14ac:dyDescent="0.25">
      <c r="A361" t="s">
        <v>424</v>
      </c>
      <c r="K361" s="243"/>
      <c r="L361" s="243"/>
      <c r="M361" s="243"/>
      <c r="N361" s="243"/>
      <c r="O361" s="243"/>
      <c r="P361" s="243"/>
      <c r="Q361" s="243"/>
      <c r="R361" s="243"/>
      <c r="S361" s="243"/>
      <c r="T361" s="243"/>
      <c r="U361" s="243"/>
      <c r="V361" s="243"/>
      <c r="W361" s="243"/>
      <c r="X361" s="243"/>
      <c r="Y361" s="243"/>
      <c r="Z361" s="243"/>
      <c r="AA361" s="243"/>
      <c r="AB361" s="243"/>
      <c r="AC361" s="243"/>
      <c r="AD361" s="243"/>
      <c r="AE361" s="243"/>
      <c r="AF361" s="243"/>
      <c r="AG361" s="243"/>
      <c r="AH361" s="243"/>
      <c r="AI361" s="243"/>
      <c r="AJ361" s="243"/>
    </row>
    <row r="362" spans="1:36" hidden="1" x14ac:dyDescent="0.25">
      <c r="A362" t="s">
        <v>424</v>
      </c>
      <c r="K362" s="243"/>
      <c r="L362" s="243"/>
      <c r="M362" s="243"/>
      <c r="N362" s="243"/>
      <c r="O362" s="243"/>
      <c r="P362" s="243"/>
      <c r="Q362" s="243"/>
      <c r="R362" s="243"/>
      <c r="S362" s="243"/>
      <c r="T362" s="243"/>
      <c r="U362" s="243"/>
      <c r="V362" s="243"/>
      <c r="W362" s="243"/>
      <c r="X362" s="243"/>
      <c r="Y362" s="243"/>
      <c r="Z362" s="243"/>
      <c r="AA362" s="243"/>
      <c r="AB362" s="243"/>
      <c r="AC362" s="243"/>
      <c r="AD362" s="243"/>
      <c r="AE362" s="243"/>
      <c r="AF362" s="243"/>
      <c r="AG362" s="243"/>
      <c r="AH362" s="243"/>
      <c r="AI362" s="243"/>
      <c r="AJ362" s="243"/>
    </row>
    <row r="363" spans="1:36" hidden="1" x14ac:dyDescent="0.25">
      <c r="A363" t="s">
        <v>424</v>
      </c>
      <c r="K363" s="243"/>
      <c r="L363" s="243"/>
      <c r="M363" s="243"/>
      <c r="N363" s="243"/>
      <c r="O363" s="243"/>
      <c r="P363" s="243"/>
      <c r="Q363" s="243"/>
      <c r="R363" s="243"/>
      <c r="S363" s="243"/>
      <c r="T363" s="243"/>
      <c r="U363" s="243"/>
      <c r="V363" s="243"/>
      <c r="W363" s="243"/>
      <c r="X363" s="243"/>
      <c r="Y363" s="243"/>
      <c r="Z363" s="243"/>
      <c r="AA363" s="243"/>
      <c r="AB363" s="243"/>
      <c r="AC363" s="243"/>
      <c r="AD363" s="243"/>
      <c r="AE363" s="243"/>
      <c r="AF363" s="243"/>
      <c r="AG363" s="243"/>
      <c r="AH363" s="243"/>
      <c r="AI363" s="243"/>
      <c r="AJ363" s="243"/>
    </row>
    <row r="364" spans="1:36" s="1" customFormat="1" hidden="1" x14ac:dyDescent="0.25">
      <c r="A364" s="1" t="s">
        <v>424</v>
      </c>
      <c r="H364" s="266" t="s">
        <v>434</v>
      </c>
      <c r="I364" s="267" t="str">
        <f t="shared" ref="I364:I372" si="628">IF($H$9="USD","USD","tr. VND")</f>
        <v>tr. VND</v>
      </c>
      <c r="K364" s="268">
        <f t="shared" ref="K364" si="629">SUM(K365:K366,K369:K372,)</f>
        <v>0</v>
      </c>
      <c r="L364" s="268">
        <f>SUM(L365:L366,L369:L372,)</f>
        <v>-56193.450999999994</v>
      </c>
      <c r="M364" s="268">
        <f t="shared" ref="M364:AJ364" si="630">SUM(M365:M366,M369:M372,)</f>
        <v>-56193.450999999994</v>
      </c>
      <c r="N364" s="268">
        <f t="shared" si="630"/>
        <v>-57252.757150000005</v>
      </c>
      <c r="O364" s="268">
        <f t="shared" si="630"/>
        <v>-58365.028607500004</v>
      </c>
      <c r="P364" s="268">
        <f t="shared" si="630"/>
        <v>-59532.913637874997</v>
      </c>
      <c r="Q364" s="268">
        <f t="shared" si="630"/>
        <v>-60759.19291976875</v>
      </c>
      <c r="R364" s="268">
        <f t="shared" si="630"/>
        <v>-62046.786165757192</v>
      </c>
      <c r="S364" s="268">
        <f t="shared" si="630"/>
        <v>-63398.759074045047</v>
      </c>
      <c r="T364" s="268">
        <f t="shared" si="630"/>
        <v>-64818.330627747309</v>
      </c>
      <c r="U364" s="268">
        <f t="shared" si="630"/>
        <v>-66308.88075913467</v>
      </c>
      <c r="V364" s="268">
        <f t="shared" si="630"/>
        <v>-67873.958397091395</v>
      </c>
      <c r="W364" s="268">
        <f t="shared" si="630"/>
        <v>-69517.289916945956</v>
      </c>
      <c r="X364" s="268">
        <f t="shared" si="630"/>
        <v>-43208.288012793273</v>
      </c>
      <c r="Y364" s="268">
        <f t="shared" si="630"/>
        <v>-45020.061013432925</v>
      </c>
      <c r="Z364" s="268">
        <f t="shared" si="630"/>
        <v>-46922.422664104583</v>
      </c>
      <c r="AA364" s="268">
        <f t="shared" si="630"/>
        <v>-48919.902397309801</v>
      </c>
      <c r="AB364" s="268">
        <f t="shared" si="630"/>
        <v>-51017.256117175311</v>
      </c>
      <c r="AC364" s="268">
        <f t="shared" si="630"/>
        <v>-53219.477523034067</v>
      </c>
      <c r="AD364" s="268">
        <f t="shared" si="630"/>
        <v>-55531.809999185774</v>
      </c>
      <c r="AE364" s="268">
        <f t="shared" si="630"/>
        <v>-57959.759099145063</v>
      </c>
      <c r="AF364" s="268">
        <f t="shared" si="630"/>
        <v>-60509.105654102314</v>
      </c>
      <c r="AG364" s="268">
        <f t="shared" si="630"/>
        <v>-63185.919536807436</v>
      </c>
      <c r="AH364" s="268">
        <f t="shared" si="630"/>
        <v>-65996.574113647803</v>
      </c>
      <c r="AI364" s="268">
        <f t="shared" si="630"/>
        <v>-68947.761419330185</v>
      </c>
      <c r="AJ364" s="268">
        <f t="shared" si="630"/>
        <v>-72046.508090296702</v>
      </c>
    </row>
    <row r="365" spans="1:36" hidden="1" x14ac:dyDescent="0.25">
      <c r="A365" t="s">
        <v>424</v>
      </c>
      <c r="B365" t="s">
        <v>173</v>
      </c>
      <c r="H365" s="459" t="s">
        <v>190</v>
      </c>
      <c r="I365" s="494" t="str">
        <f t="shared" si="628"/>
        <v>tr. VND</v>
      </c>
      <c r="K365" s="493"/>
      <c r="L365" s="549" cm="1">
        <f t="array" ref="L365">-SUMPRODUCT('W1'!$AO$10:$HQ$60*('W1'!$AO$7:$HQ$7=$A365)*('W1'!$AO$8:$HQ$8=L$14)*('W1'!$A$10:$A$60=$B365))*$H$10</f>
        <v>-34034.5</v>
      </c>
      <c r="M365" s="549" cm="1">
        <f t="array" ref="M365">-SUMPRODUCT('W1'!$AO$10:$HQ$60*('W1'!$AO$7:$HQ$7=$A365)*('W1'!$AO$8:$HQ$8=M$14)*('W1'!$A$10:$A$60=$B365))*$H$10</f>
        <v>-34034.5</v>
      </c>
      <c r="N365" s="549" cm="1">
        <f t="array" ref="N365">-SUMPRODUCT('W1'!$AO$10:$HQ$60*('W1'!$AO$7:$HQ$7=$A365)*('W1'!$AO$8:$HQ$8=N$14)*('W1'!$A$10:$A$60=$B365))*$H$10</f>
        <v>-34034.5</v>
      </c>
      <c r="O365" s="549" cm="1">
        <f t="array" ref="O365">-SUMPRODUCT('W1'!$AO$10:$HQ$60*('W1'!$AO$7:$HQ$7=$A365)*('W1'!$AO$8:$HQ$8=O$14)*('W1'!$A$10:$A$60=$B365))*$H$10</f>
        <v>-34034.5</v>
      </c>
      <c r="P365" s="549" cm="1">
        <f t="array" ref="P365">-SUMPRODUCT('W1'!$AO$10:$HQ$60*('W1'!$AO$7:$HQ$7=$A365)*('W1'!$AO$8:$HQ$8=P$14)*('W1'!$A$10:$A$60=$B365))*$H$10</f>
        <v>-34034.5</v>
      </c>
      <c r="Q365" s="549" cm="1">
        <f t="array" ref="Q365">-SUMPRODUCT('W1'!$AO$10:$HQ$60*('W1'!$AO$7:$HQ$7=$A365)*('W1'!$AO$8:$HQ$8=Q$14)*('W1'!$A$10:$A$60=$B365))*$H$10</f>
        <v>-34034.5</v>
      </c>
      <c r="R365" s="549" cm="1">
        <f t="array" ref="R365">-SUMPRODUCT('W1'!$AO$10:$HQ$60*('W1'!$AO$7:$HQ$7=$A365)*('W1'!$AO$8:$HQ$8=R$14)*('W1'!$A$10:$A$60=$B365))*$H$10</f>
        <v>-34034.5</v>
      </c>
      <c r="S365" s="549" cm="1">
        <f t="array" ref="S365">-SUMPRODUCT('W1'!$AO$10:$HQ$60*('W1'!$AO$7:$HQ$7=$A365)*('W1'!$AO$8:$HQ$8=S$14)*('W1'!$A$10:$A$60=$B365))*$H$10</f>
        <v>-34034.5</v>
      </c>
      <c r="T365" s="549" cm="1">
        <f t="array" ref="T365">-SUMPRODUCT('W1'!$AO$10:$HQ$60*('W1'!$AO$7:$HQ$7=$A365)*('W1'!$AO$8:$HQ$8=T$14)*('W1'!$A$10:$A$60=$B365))*$H$10</f>
        <v>-34034.5</v>
      </c>
      <c r="U365" s="549" cm="1">
        <f t="array" ref="U365">-SUMPRODUCT('W1'!$AO$10:$HQ$60*('W1'!$AO$7:$HQ$7=$A365)*('W1'!$AO$8:$HQ$8=U$14)*('W1'!$A$10:$A$60=$B365))*$H$10</f>
        <v>-34034.5</v>
      </c>
      <c r="V365" s="549" cm="1">
        <f t="array" ref="V365">-SUMPRODUCT('W1'!$AO$10:$HQ$60*('W1'!$AO$7:$HQ$7=$A365)*('W1'!$AO$8:$HQ$8=V$14)*('W1'!$A$10:$A$60=$B365))*$H$10</f>
        <v>-34034.5</v>
      </c>
      <c r="W365" s="549" cm="1">
        <f t="array" ref="W365">-SUMPRODUCT('W1'!$AO$10:$HQ$60*('W1'!$AO$7:$HQ$7=$A365)*('W1'!$AO$8:$HQ$8=W$14)*('W1'!$A$10:$A$60=$B365))*$H$10</f>
        <v>-34034.5</v>
      </c>
      <c r="X365" s="549" cm="1">
        <f t="array" ref="X365">-SUMPRODUCT('W1'!$AO$10:$HQ$60*('W1'!$AO$7:$HQ$7=$A365)*('W1'!$AO$8:$HQ$8=X$14)*('W1'!$A$10:$A$60=$B365))*$H$10</f>
        <v>-6000</v>
      </c>
      <c r="Y365" s="549" cm="1">
        <f t="array" ref="Y365">-SUMPRODUCT('W1'!$AO$10:$HQ$60*('W1'!$AO$7:$HQ$7=$A365)*('W1'!$AO$8:$HQ$8=Y$14)*('W1'!$A$10:$A$60=$B365))*$H$10</f>
        <v>-6000</v>
      </c>
      <c r="Z365" s="549" cm="1">
        <f t="array" ref="Z365">-SUMPRODUCT('W1'!$AO$10:$HQ$60*('W1'!$AO$7:$HQ$7=$A365)*('W1'!$AO$8:$HQ$8=Z$14)*('W1'!$A$10:$A$60=$B365))*$H$10</f>
        <v>-6000</v>
      </c>
      <c r="AA365" s="549" cm="1">
        <f t="array" ref="AA365">-SUMPRODUCT('W1'!$AO$10:$HQ$60*('W1'!$AO$7:$HQ$7=$A365)*('W1'!$AO$8:$HQ$8=AA$14)*('W1'!$A$10:$A$60=$B365))*$H$10</f>
        <v>-6000</v>
      </c>
      <c r="AB365" s="549" cm="1">
        <f t="array" ref="AB365">-SUMPRODUCT('W1'!$AO$10:$HQ$60*('W1'!$AO$7:$HQ$7=$A365)*('W1'!$AO$8:$HQ$8=AB$14)*('W1'!$A$10:$A$60=$B365))*$H$10</f>
        <v>-6000</v>
      </c>
      <c r="AC365" s="549" cm="1">
        <f t="array" ref="AC365">-SUMPRODUCT('W1'!$AO$10:$HQ$60*('W1'!$AO$7:$HQ$7=$A365)*('W1'!$AO$8:$HQ$8=AC$14)*('W1'!$A$10:$A$60=$B365))*$H$10</f>
        <v>-6000</v>
      </c>
      <c r="AD365" s="549" cm="1">
        <f t="array" ref="AD365">-SUMPRODUCT('W1'!$AO$10:$HQ$60*('W1'!$AO$7:$HQ$7=$A365)*('W1'!$AO$8:$HQ$8=AD$14)*('W1'!$A$10:$A$60=$B365))*$H$10</f>
        <v>-6000</v>
      </c>
      <c r="AE365" s="549" cm="1">
        <f t="array" ref="AE365">-SUMPRODUCT('W1'!$AO$10:$HQ$60*('W1'!$AO$7:$HQ$7=$A365)*('W1'!$AO$8:$HQ$8=AE$14)*('W1'!$A$10:$A$60=$B365))*$H$10</f>
        <v>-6000</v>
      </c>
      <c r="AF365" s="549" cm="1">
        <f t="array" ref="AF365">-SUMPRODUCT('W1'!$AO$10:$HQ$60*('W1'!$AO$7:$HQ$7=$A365)*('W1'!$AO$8:$HQ$8=AF$14)*('W1'!$A$10:$A$60=$B365))*$H$10</f>
        <v>-6000</v>
      </c>
      <c r="AG365" s="549" cm="1">
        <f t="array" ref="AG365">-SUMPRODUCT('W1'!$AO$10:$HQ$60*('W1'!$AO$7:$HQ$7=$A365)*('W1'!$AO$8:$HQ$8=AG$14)*('W1'!$A$10:$A$60=$B365))*$H$10</f>
        <v>-6000</v>
      </c>
      <c r="AH365" s="549" cm="1">
        <f t="array" ref="AH365">-SUMPRODUCT('W1'!$AO$10:$HQ$60*('W1'!$AO$7:$HQ$7=$A365)*('W1'!$AO$8:$HQ$8=AH$14)*('W1'!$A$10:$A$60=$B365))*$H$10</f>
        <v>-6000</v>
      </c>
      <c r="AI365" s="549" cm="1">
        <f t="array" ref="AI365">-SUMPRODUCT('W1'!$AO$10:$HQ$60*('W1'!$AO$7:$HQ$7=$A365)*('W1'!$AO$8:$HQ$8=AI$14)*('W1'!$A$10:$A$60=$B365))*$H$10</f>
        <v>-6000</v>
      </c>
      <c r="AJ365" s="549" cm="1">
        <f t="array" ref="AJ365">-SUMPRODUCT('W1'!$AO$10:$HQ$60*('W1'!$AO$7:$HQ$7=$A365)*('W1'!$AO$8:$HQ$8=AJ$14)*('W1'!$A$10:$A$60=$B365))*$H$10</f>
        <v>-6000</v>
      </c>
    </row>
    <row r="366" spans="1:36" hidden="1" x14ac:dyDescent="0.25">
      <c r="A366" t="s">
        <v>424</v>
      </c>
      <c r="H366" s="454" t="s">
        <v>429</v>
      </c>
      <c r="I366" s="497" t="str">
        <f t="shared" si="628"/>
        <v>tr. VND</v>
      </c>
      <c r="K366" s="550">
        <f>SUM(K367:K368)</f>
        <v>0</v>
      </c>
      <c r="L366" s="550">
        <f t="shared" ref="L366:AJ366" si="631">SUM(L367:L368)</f>
        <v>-6312.0329999999994</v>
      </c>
      <c r="M366" s="550">
        <f t="shared" si="631"/>
        <v>-6312.0329999999994</v>
      </c>
      <c r="N366" s="550">
        <f t="shared" si="631"/>
        <v>-6627.63465</v>
      </c>
      <c r="O366" s="550">
        <f t="shared" si="631"/>
        <v>-6959.0163825</v>
      </c>
      <c r="P366" s="550">
        <f t="shared" si="631"/>
        <v>-7306.9672016250006</v>
      </c>
      <c r="Q366" s="550">
        <f t="shared" si="631"/>
        <v>-7672.3155617062503</v>
      </c>
      <c r="R366" s="550">
        <f t="shared" si="631"/>
        <v>-8055.9313397915639</v>
      </c>
      <c r="S366" s="550">
        <f t="shared" si="631"/>
        <v>-8458.7279067811396</v>
      </c>
      <c r="T366" s="550">
        <f t="shared" si="631"/>
        <v>-8881.6643021201999</v>
      </c>
      <c r="U366" s="550">
        <f t="shared" si="631"/>
        <v>-9325.7475172262075</v>
      </c>
      <c r="V366" s="550">
        <f t="shared" si="631"/>
        <v>-9792.0348930875189</v>
      </c>
      <c r="W366" s="550">
        <f t="shared" si="631"/>
        <v>-10281.636637741894</v>
      </c>
      <c r="X366" s="550">
        <f t="shared" si="631"/>
        <v>-10795.71846962899</v>
      </c>
      <c r="Y366" s="550">
        <f t="shared" si="631"/>
        <v>-11335.504393110437</v>
      </c>
      <c r="Z366" s="550">
        <f t="shared" si="631"/>
        <v>-11902.279612765962</v>
      </c>
      <c r="AA366" s="550">
        <f t="shared" si="631"/>
        <v>-12497.393593404257</v>
      </c>
      <c r="AB366" s="550">
        <f t="shared" si="631"/>
        <v>-13122.263273074474</v>
      </c>
      <c r="AC366" s="550">
        <f t="shared" si="631"/>
        <v>-13778.376436728196</v>
      </c>
      <c r="AD366" s="550">
        <f t="shared" si="631"/>
        <v>-14467.295258564609</v>
      </c>
      <c r="AE366" s="550">
        <f t="shared" si="631"/>
        <v>-15190.66002149284</v>
      </c>
      <c r="AF366" s="550">
        <f t="shared" si="631"/>
        <v>-15950.193022567481</v>
      </c>
      <c r="AG366" s="550">
        <f t="shared" si="631"/>
        <v>-16747.702673695854</v>
      </c>
      <c r="AH366" s="550">
        <f t="shared" si="631"/>
        <v>-17585.087807380645</v>
      </c>
      <c r="AI366" s="550">
        <f t="shared" si="631"/>
        <v>-18464.342197749676</v>
      </c>
      <c r="AJ366" s="550">
        <f t="shared" si="631"/>
        <v>-19387.559307637166</v>
      </c>
    </row>
    <row r="367" spans="1:36" s="299" customFormat="1" hidden="1" x14ac:dyDescent="0.25">
      <c r="A367" s="299" t="s">
        <v>424</v>
      </c>
      <c r="B367" s="299" t="s">
        <v>449</v>
      </c>
      <c r="H367" s="554" t="s">
        <v>430</v>
      </c>
      <c r="I367" s="555" t="str">
        <f t="shared" si="628"/>
        <v>tr. VND</v>
      </c>
      <c r="K367" s="556"/>
      <c r="L367" s="556" cm="1">
        <f t="array" ref="L367">-SUMPRODUCT('W2'!$M$12:$R$112*('W2'!$M$7:$R$7=$A367)*('W2'!$A$12:$A$112=$B367))*$H$10*POWER(1+Inflation,L$11+1)</f>
        <v>-1031.94</v>
      </c>
      <c r="M367" s="556" cm="1">
        <f t="array" ref="M367">-SUMPRODUCT('W2'!$M$12:$R$112*('W2'!$M$7:$R$7=$A367)*('W2'!$A$12:$A$112=$B367))*$H$10*POWER(1+Inflation,M$11+1)</f>
        <v>-1031.94</v>
      </c>
      <c r="N367" s="556" cm="1">
        <f t="array" ref="N367">-SUMPRODUCT('W2'!$M$12:$R$112*('W2'!$M$7:$R$7=$A367)*('W2'!$A$12:$A$112=$B367))*$H$10*POWER(1+Inflation,N$11+1)</f>
        <v>-1083.537</v>
      </c>
      <c r="O367" s="556" cm="1">
        <f t="array" ref="O367">-SUMPRODUCT('W2'!$M$12:$R$112*('W2'!$M$7:$R$7=$A367)*('W2'!$A$12:$A$112=$B367))*$H$10*POWER(1+Inflation,O$11+1)</f>
        <v>-1137.7138500000001</v>
      </c>
      <c r="P367" s="556" cm="1">
        <f t="array" ref="P367">-SUMPRODUCT('W2'!$M$12:$R$112*('W2'!$M$7:$R$7=$A367)*('W2'!$A$12:$A$112=$B367))*$H$10*POWER(1+Inflation,P$11+1)</f>
        <v>-1194.5995425000001</v>
      </c>
      <c r="Q367" s="556" cm="1">
        <f t="array" ref="Q367">-SUMPRODUCT('W2'!$M$12:$R$112*('W2'!$M$7:$R$7=$A367)*('W2'!$A$12:$A$112=$B367))*$H$10*POWER(1+Inflation,Q$11+1)</f>
        <v>-1254.3295196250001</v>
      </c>
      <c r="R367" s="556" cm="1">
        <f t="array" ref="R367">-SUMPRODUCT('W2'!$M$12:$R$112*('W2'!$M$7:$R$7=$A367)*('W2'!$A$12:$A$112=$B367))*$H$10*POWER(1+Inflation,R$11+1)</f>
        <v>-1317.0459956062502</v>
      </c>
      <c r="S367" s="556" cm="1">
        <f t="array" ref="S367">-SUMPRODUCT('W2'!$M$12:$R$112*('W2'!$M$7:$R$7=$A367)*('W2'!$A$12:$A$112=$B367))*$H$10*POWER(1+Inflation,S$11+1)</f>
        <v>-1382.8982953865625</v>
      </c>
      <c r="T367" s="556" cm="1">
        <f t="array" ref="T367">-SUMPRODUCT('W2'!$M$12:$R$112*('W2'!$M$7:$R$7=$A367)*('W2'!$A$12:$A$112=$B367))*$H$10*POWER(1+Inflation,T$11+1)</f>
        <v>-1452.0432101558908</v>
      </c>
      <c r="U367" s="556" cm="1">
        <f t="array" ref="U367">-SUMPRODUCT('W2'!$M$12:$R$112*('W2'!$M$7:$R$7=$A367)*('W2'!$A$12:$A$112=$B367))*$H$10*POWER(1+Inflation,U$11+1)</f>
        <v>-1524.6453706636853</v>
      </c>
      <c r="V367" s="556" cm="1">
        <f t="array" ref="V367">-SUMPRODUCT('W2'!$M$12:$R$112*('W2'!$M$7:$R$7=$A367)*('W2'!$A$12:$A$112=$B367))*$H$10*POWER(1+Inflation,V$11+1)</f>
        <v>-1600.8776391968697</v>
      </c>
      <c r="W367" s="556" cm="1">
        <f t="array" ref="W367">-SUMPRODUCT('W2'!$M$12:$R$112*('W2'!$M$7:$R$7=$A367)*('W2'!$A$12:$A$112=$B367))*$H$10*POWER(1+Inflation,W$11+1)</f>
        <v>-1680.9215211567132</v>
      </c>
      <c r="X367" s="556" cm="1">
        <f t="array" ref="X367">-SUMPRODUCT('W2'!$M$12:$R$112*('W2'!$M$7:$R$7=$A367)*('W2'!$A$12:$A$112=$B367))*$H$10*POWER(1+Inflation,X$11+1)</f>
        <v>-1764.967597214549</v>
      </c>
      <c r="Y367" s="556" cm="1">
        <f t="array" ref="Y367">-SUMPRODUCT('W2'!$M$12:$R$112*('W2'!$M$7:$R$7=$A367)*('W2'!$A$12:$A$112=$B367))*$H$10*POWER(1+Inflation,Y$11+1)</f>
        <v>-1853.215977075276</v>
      </c>
      <c r="Z367" s="556" cm="1">
        <f t="array" ref="Z367">-SUMPRODUCT('W2'!$M$12:$R$112*('W2'!$M$7:$R$7=$A367)*('W2'!$A$12:$A$112=$B367))*$H$10*POWER(1+Inflation,Z$11+1)</f>
        <v>-1945.8767759290402</v>
      </c>
      <c r="AA367" s="556" cm="1">
        <f t="array" ref="AA367">-SUMPRODUCT('W2'!$M$12:$R$112*('W2'!$M$7:$R$7=$A367)*('W2'!$A$12:$A$112=$B367))*$H$10*POWER(1+Inflation,AA$11+1)</f>
        <v>-2043.1706147254918</v>
      </c>
      <c r="AB367" s="556" cm="1">
        <f t="array" ref="AB367">-SUMPRODUCT('W2'!$M$12:$R$112*('W2'!$M$7:$R$7=$A367)*('W2'!$A$12:$A$112=$B367))*$H$10*POWER(1+Inflation,AB$11+1)</f>
        <v>-2145.329145461767</v>
      </c>
      <c r="AC367" s="556" cm="1">
        <f t="array" ref="AC367">-SUMPRODUCT('W2'!$M$12:$R$112*('W2'!$M$7:$R$7=$A367)*('W2'!$A$12:$A$112=$B367))*$H$10*POWER(1+Inflation,AC$11+1)</f>
        <v>-2252.5956027348552</v>
      </c>
      <c r="AD367" s="556" cm="1">
        <f t="array" ref="AD367">-SUMPRODUCT('W2'!$M$12:$R$112*('W2'!$M$7:$R$7=$A367)*('W2'!$A$12:$A$112=$B367))*$H$10*POWER(1+Inflation,AD$11+1)</f>
        <v>-2365.2253828715984</v>
      </c>
      <c r="AE367" s="556" cm="1">
        <f t="array" ref="AE367">-SUMPRODUCT('W2'!$M$12:$R$112*('W2'!$M$7:$R$7=$A367)*('W2'!$A$12:$A$112=$B367))*$H$10*POWER(1+Inflation,AE$11+1)</f>
        <v>-2483.4866520151782</v>
      </c>
      <c r="AF367" s="556" cm="1">
        <f t="array" ref="AF367">-SUMPRODUCT('W2'!$M$12:$R$112*('W2'!$M$7:$R$7=$A367)*('W2'!$A$12:$A$112=$B367))*$H$10*POWER(1+Inflation,AF$11+1)</f>
        <v>-2607.6609846159372</v>
      </c>
      <c r="AG367" s="556" cm="1">
        <f t="array" ref="AG367">-SUMPRODUCT('W2'!$M$12:$R$112*('W2'!$M$7:$R$7=$A367)*('W2'!$A$12:$A$112=$B367))*$H$10*POWER(1+Inflation,AG$11+1)</f>
        <v>-2738.0440338467338</v>
      </c>
      <c r="AH367" s="556" cm="1">
        <f t="array" ref="AH367">-SUMPRODUCT('W2'!$M$12:$R$112*('W2'!$M$7:$R$7=$A367)*('W2'!$A$12:$A$112=$B367))*$H$10*POWER(1+Inflation,AH$11+1)</f>
        <v>-2874.9462355390706</v>
      </c>
      <c r="AI367" s="556" cm="1">
        <f t="array" ref="AI367">-SUMPRODUCT('W2'!$M$12:$R$112*('W2'!$M$7:$R$7=$A367)*('W2'!$A$12:$A$112=$B367))*$H$10*POWER(1+Inflation,AI$11+1)</f>
        <v>-3018.6935473160238</v>
      </c>
      <c r="AJ367" s="556" cm="1">
        <f t="array" ref="AJ367">-SUMPRODUCT('W2'!$M$12:$R$112*('W2'!$M$7:$R$7=$A367)*('W2'!$A$12:$A$112=$B367))*$H$10*POWER(1+Inflation,AJ$11+1)</f>
        <v>-3169.6282246818255</v>
      </c>
    </row>
    <row r="368" spans="1:36" s="299" customFormat="1" hidden="1" x14ac:dyDescent="0.25">
      <c r="A368" s="299" t="s">
        <v>424</v>
      </c>
      <c r="B368" s="299" t="s">
        <v>450</v>
      </c>
      <c r="H368" s="554" t="s">
        <v>431</v>
      </c>
      <c r="I368" s="555" t="str">
        <f t="shared" si="628"/>
        <v>tr. VND</v>
      </c>
      <c r="K368" s="556"/>
      <c r="L368" s="556" cm="1">
        <f t="array" ref="L368">-SUMPRODUCT('W2'!$M$12:$R$112*('W2'!$M$7:$R$7=$A368)*('W2'!$A$12:$A$112=$B368))*$H$10*POWER(1+Inflation,L$11+1)</f>
        <v>-5280.0929999999998</v>
      </c>
      <c r="M368" s="556" cm="1">
        <f t="array" ref="M368">-SUMPRODUCT('W2'!$M$12:$R$112*('W2'!$M$7:$R$7=$A368)*('W2'!$A$12:$A$112=$B368))*$H$10*POWER(1+Inflation,M$11+1)</f>
        <v>-5280.0929999999998</v>
      </c>
      <c r="N368" s="556" cm="1">
        <f t="array" ref="N368">-SUMPRODUCT('W2'!$M$12:$R$112*('W2'!$M$7:$R$7=$A368)*('W2'!$A$12:$A$112=$B368))*$H$10*POWER(1+Inflation,N$11+1)</f>
        <v>-5544.0976499999997</v>
      </c>
      <c r="O368" s="556" cm="1">
        <f t="array" ref="O368">-SUMPRODUCT('W2'!$M$12:$R$112*('W2'!$M$7:$R$7=$A368)*('W2'!$A$12:$A$112=$B368))*$H$10*POWER(1+Inflation,O$11+1)</f>
        <v>-5821.3025324999999</v>
      </c>
      <c r="P368" s="556" cm="1">
        <f t="array" ref="P368">-SUMPRODUCT('W2'!$M$12:$R$112*('W2'!$M$7:$R$7=$A368)*('W2'!$A$12:$A$112=$B368))*$H$10*POWER(1+Inflation,P$11+1)</f>
        <v>-6112.3676591250005</v>
      </c>
      <c r="Q368" s="556" cm="1">
        <f t="array" ref="Q368">-SUMPRODUCT('W2'!$M$12:$R$112*('W2'!$M$7:$R$7=$A368)*('W2'!$A$12:$A$112=$B368))*$H$10*POWER(1+Inflation,Q$11+1)</f>
        <v>-6417.9860420812502</v>
      </c>
      <c r="R368" s="556" cm="1">
        <f t="array" ref="R368">-SUMPRODUCT('W2'!$M$12:$R$112*('W2'!$M$7:$R$7=$A368)*('W2'!$A$12:$A$112=$B368))*$H$10*POWER(1+Inflation,R$11+1)</f>
        <v>-6738.8853441853134</v>
      </c>
      <c r="S368" s="556" cm="1">
        <f t="array" ref="S368">-SUMPRODUCT('W2'!$M$12:$R$112*('W2'!$M$7:$R$7=$A368)*('W2'!$A$12:$A$112=$B368))*$H$10*POWER(1+Inflation,S$11+1)</f>
        <v>-7075.829611394578</v>
      </c>
      <c r="T368" s="556" cm="1">
        <f t="array" ref="T368">-SUMPRODUCT('W2'!$M$12:$R$112*('W2'!$M$7:$R$7=$A368)*('W2'!$A$12:$A$112=$B368))*$H$10*POWER(1+Inflation,T$11+1)</f>
        <v>-7429.6210919643081</v>
      </c>
      <c r="U368" s="556" cm="1">
        <f t="array" ref="U368">-SUMPRODUCT('W2'!$M$12:$R$112*('W2'!$M$7:$R$7=$A368)*('W2'!$A$12:$A$112=$B368))*$H$10*POWER(1+Inflation,U$11+1)</f>
        <v>-7801.1021465625226</v>
      </c>
      <c r="V368" s="556" cm="1">
        <f t="array" ref="V368">-SUMPRODUCT('W2'!$M$12:$R$112*('W2'!$M$7:$R$7=$A368)*('W2'!$A$12:$A$112=$B368))*$H$10*POWER(1+Inflation,V$11+1)</f>
        <v>-8191.1572538906494</v>
      </c>
      <c r="W368" s="556" cm="1">
        <f t="array" ref="W368">-SUMPRODUCT('W2'!$M$12:$R$112*('W2'!$M$7:$R$7=$A368)*('W2'!$A$12:$A$112=$B368))*$H$10*POWER(1+Inflation,W$11+1)</f>
        <v>-8600.715116585181</v>
      </c>
      <c r="X368" s="556" cm="1">
        <f t="array" ref="X368">-SUMPRODUCT('W2'!$M$12:$R$112*('W2'!$M$7:$R$7=$A368)*('W2'!$A$12:$A$112=$B368))*$H$10*POWER(1+Inflation,X$11+1)</f>
        <v>-9030.7508724144409</v>
      </c>
      <c r="Y368" s="556" cm="1">
        <f t="array" ref="Y368">-SUMPRODUCT('W2'!$M$12:$R$112*('W2'!$M$7:$R$7=$A368)*('W2'!$A$12:$A$112=$B368))*$H$10*POWER(1+Inflation,Y$11+1)</f>
        <v>-9482.2884160351623</v>
      </c>
      <c r="Z368" s="556" cm="1">
        <f t="array" ref="Z368">-SUMPRODUCT('W2'!$M$12:$R$112*('W2'!$M$7:$R$7=$A368)*('W2'!$A$12:$A$112=$B368))*$H$10*POWER(1+Inflation,Z$11+1)</f>
        <v>-9956.4028368369218</v>
      </c>
      <c r="AA368" s="556" cm="1">
        <f t="array" ref="AA368">-SUMPRODUCT('W2'!$M$12:$R$112*('W2'!$M$7:$R$7=$A368)*('W2'!$A$12:$A$112=$B368))*$H$10*POWER(1+Inflation,AA$11+1)</f>
        <v>-10454.222978678765</v>
      </c>
      <c r="AB368" s="556" cm="1">
        <f t="array" ref="AB368">-SUMPRODUCT('W2'!$M$12:$R$112*('W2'!$M$7:$R$7=$A368)*('W2'!$A$12:$A$112=$B368))*$H$10*POWER(1+Inflation,AB$11+1)</f>
        <v>-10976.934127612707</v>
      </c>
      <c r="AC368" s="556" cm="1">
        <f t="array" ref="AC368">-SUMPRODUCT('W2'!$M$12:$R$112*('W2'!$M$7:$R$7=$A368)*('W2'!$A$12:$A$112=$B368))*$H$10*POWER(1+Inflation,AC$11+1)</f>
        <v>-11525.780833993342</v>
      </c>
      <c r="AD368" s="556" cm="1">
        <f t="array" ref="AD368">-SUMPRODUCT('W2'!$M$12:$R$112*('W2'!$M$7:$R$7=$A368)*('W2'!$A$12:$A$112=$B368))*$H$10*POWER(1+Inflation,AD$11+1)</f>
        <v>-12102.069875693011</v>
      </c>
      <c r="AE368" s="556" cm="1">
        <f t="array" ref="AE368">-SUMPRODUCT('W2'!$M$12:$R$112*('W2'!$M$7:$R$7=$A368)*('W2'!$A$12:$A$112=$B368))*$H$10*POWER(1+Inflation,AE$11+1)</f>
        <v>-12707.173369477661</v>
      </c>
      <c r="AF368" s="556" cm="1">
        <f t="array" ref="AF368">-SUMPRODUCT('W2'!$M$12:$R$112*('W2'!$M$7:$R$7=$A368)*('W2'!$A$12:$A$112=$B368))*$H$10*POWER(1+Inflation,AF$11+1)</f>
        <v>-13342.532037951543</v>
      </c>
      <c r="AG368" s="556" cm="1">
        <f t="array" ref="AG368">-SUMPRODUCT('W2'!$M$12:$R$112*('W2'!$M$7:$R$7=$A368)*('W2'!$A$12:$A$112=$B368))*$H$10*POWER(1+Inflation,AG$11+1)</f>
        <v>-14009.65863984912</v>
      </c>
      <c r="AH368" s="556" cm="1">
        <f t="array" ref="AH368">-SUMPRODUCT('W2'!$M$12:$R$112*('W2'!$M$7:$R$7=$A368)*('W2'!$A$12:$A$112=$B368))*$H$10*POWER(1+Inflation,AH$11+1)</f>
        <v>-14710.141571841576</v>
      </c>
      <c r="AI368" s="556" cm="1">
        <f t="array" ref="AI368">-SUMPRODUCT('W2'!$M$12:$R$112*('W2'!$M$7:$R$7=$A368)*('W2'!$A$12:$A$112=$B368))*$H$10*POWER(1+Inflation,AI$11+1)</f>
        <v>-15445.648650433654</v>
      </c>
      <c r="AJ368" s="556" cm="1">
        <f t="array" ref="AJ368">-SUMPRODUCT('W2'!$M$12:$R$112*('W2'!$M$7:$R$7=$A368)*('W2'!$A$12:$A$112=$B368))*$H$10*POWER(1+Inflation,AJ$11+1)</f>
        <v>-16217.93108295534</v>
      </c>
    </row>
    <row r="369" spans="1:36" hidden="1" x14ac:dyDescent="0.25">
      <c r="A369" t="s">
        <v>424</v>
      </c>
      <c r="B369" t="s">
        <v>451</v>
      </c>
      <c r="H369" s="454" t="s">
        <v>656</v>
      </c>
      <c r="I369" s="497" t="str">
        <f t="shared" si="628"/>
        <v>tr. VND</v>
      </c>
      <c r="K369" s="550"/>
      <c r="L369" s="550" cm="1">
        <f t="array" ref="L369">-SUMPRODUCT('W2'!$M$12:$R$112*('W2'!$M$7:$R$7=$A369)*('W2'!$A$12:$A$112=$B369))*$H$10*POWER(1+Inflation,L$11+1)</f>
        <v>-2520</v>
      </c>
      <c r="M369" s="550" cm="1">
        <f t="array" ref="M369">-SUMPRODUCT('W2'!$M$12:$R$112*('W2'!$M$7:$R$7=$A369)*('W2'!$A$12:$A$112=$B369))*$H$10*POWER(1+Inflation,M$11+1)</f>
        <v>-2520</v>
      </c>
      <c r="N369" s="550" cm="1">
        <f t="array" ref="N369">-SUMPRODUCT('W2'!$M$12:$R$112*('W2'!$M$7:$R$7=$A369)*('W2'!$A$12:$A$112=$B369))*$H$10*POWER(1+Inflation,N$11+1)</f>
        <v>-2646</v>
      </c>
      <c r="O369" s="550" cm="1">
        <f t="array" ref="O369">-SUMPRODUCT('W2'!$M$12:$R$112*('W2'!$M$7:$R$7=$A369)*('W2'!$A$12:$A$112=$B369))*$H$10*POWER(1+Inflation,O$11+1)</f>
        <v>-2778.3</v>
      </c>
      <c r="P369" s="550" cm="1">
        <f t="array" ref="P369">-SUMPRODUCT('W2'!$M$12:$R$112*('W2'!$M$7:$R$7=$A369)*('W2'!$A$12:$A$112=$B369))*$H$10*POWER(1+Inflation,P$11+1)</f>
        <v>-2917.2150000000001</v>
      </c>
      <c r="Q369" s="550" cm="1">
        <f t="array" ref="Q369">-SUMPRODUCT('W2'!$M$12:$R$112*('W2'!$M$7:$R$7=$A369)*('W2'!$A$12:$A$112=$B369))*$H$10*POWER(1+Inflation,Q$11+1)</f>
        <v>-3063.07575</v>
      </c>
      <c r="R369" s="550" cm="1">
        <f t="array" ref="R369">-SUMPRODUCT('W2'!$M$12:$R$112*('W2'!$M$7:$R$7=$A369)*('W2'!$A$12:$A$112=$B369))*$H$10*POWER(1+Inflation,R$11+1)</f>
        <v>-3216.2295375000003</v>
      </c>
      <c r="S369" s="550" cm="1">
        <f t="array" ref="S369">-SUMPRODUCT('W2'!$M$12:$R$112*('W2'!$M$7:$R$7=$A369)*('W2'!$A$12:$A$112=$B369))*$H$10*POWER(1+Inflation,S$11+1)</f>
        <v>-3377.041014375</v>
      </c>
      <c r="T369" s="550" cm="1">
        <f t="array" ref="T369">-SUMPRODUCT('W2'!$M$12:$R$112*('W2'!$M$7:$R$7=$A369)*('W2'!$A$12:$A$112=$B369))*$H$10*POWER(1+Inflation,T$11+1)</f>
        <v>-3545.8930650937505</v>
      </c>
      <c r="U369" s="550" cm="1">
        <f t="array" ref="U369">-SUMPRODUCT('W2'!$M$12:$R$112*('W2'!$M$7:$R$7=$A369)*('W2'!$A$12:$A$112=$B369))*$H$10*POWER(1+Inflation,U$11+1)</f>
        <v>-3723.1877183484376</v>
      </c>
      <c r="V369" s="550" cm="1">
        <f t="array" ref="V369">-SUMPRODUCT('W2'!$M$12:$R$112*('W2'!$M$7:$R$7=$A369)*('W2'!$A$12:$A$112=$B369))*$H$10*POWER(1+Inflation,V$11+1)</f>
        <v>-3909.3471042658598</v>
      </c>
      <c r="W369" s="550" cm="1">
        <f t="array" ref="W369">-SUMPRODUCT('W2'!$M$12:$R$112*('W2'!$M$7:$R$7=$A369)*('W2'!$A$12:$A$112=$B369))*$H$10*POWER(1+Inflation,W$11+1)</f>
        <v>-4104.8144594791529</v>
      </c>
      <c r="X369" s="550" cm="1">
        <f t="array" ref="X369">-SUMPRODUCT('W2'!$M$12:$R$112*('W2'!$M$7:$R$7=$A369)*('W2'!$A$12:$A$112=$B369))*$H$10*POWER(1+Inflation,X$11+1)</f>
        <v>-4310.0551824531103</v>
      </c>
      <c r="Y369" s="550" cm="1">
        <f t="array" ref="Y369">-SUMPRODUCT('W2'!$M$12:$R$112*('W2'!$M$7:$R$7=$A369)*('W2'!$A$12:$A$112=$B369))*$H$10*POWER(1+Inflation,Y$11+1)</f>
        <v>-4525.5579415757657</v>
      </c>
      <c r="Z369" s="550" cm="1">
        <f t="array" ref="Z369">-SUMPRODUCT('W2'!$M$12:$R$112*('W2'!$M$7:$R$7=$A369)*('W2'!$A$12:$A$112=$B369))*$H$10*POWER(1+Inflation,Z$11+1)</f>
        <v>-4751.8358386545551</v>
      </c>
      <c r="AA369" s="550" cm="1">
        <f t="array" ref="AA369">-SUMPRODUCT('W2'!$M$12:$R$112*('W2'!$M$7:$R$7=$A369)*('W2'!$A$12:$A$112=$B369))*$H$10*POWER(1+Inflation,AA$11+1)</f>
        <v>-4989.4276305872809</v>
      </c>
      <c r="AB369" s="550" cm="1">
        <f t="array" ref="AB369">-SUMPRODUCT('W2'!$M$12:$R$112*('W2'!$M$7:$R$7=$A369)*('W2'!$A$12:$A$112=$B369))*$H$10*POWER(1+Inflation,AB$11+1)</f>
        <v>-5238.8990121166471</v>
      </c>
      <c r="AC369" s="550" cm="1">
        <f t="array" ref="AC369">-SUMPRODUCT('W2'!$M$12:$R$112*('W2'!$M$7:$R$7=$A369)*('W2'!$A$12:$A$112=$B369))*$H$10*POWER(1+Inflation,AC$11+1)</f>
        <v>-5500.8439627224789</v>
      </c>
      <c r="AD369" s="550" cm="1">
        <f t="array" ref="AD369">-SUMPRODUCT('W2'!$M$12:$R$112*('W2'!$M$7:$R$7=$A369)*('W2'!$A$12:$A$112=$B369))*$H$10*POWER(1+Inflation,AD$11+1)</f>
        <v>-5775.8861608586039</v>
      </c>
      <c r="AE369" s="550" cm="1">
        <f t="array" ref="AE369">-SUMPRODUCT('W2'!$M$12:$R$112*('W2'!$M$7:$R$7=$A369)*('W2'!$A$12:$A$112=$B369))*$H$10*POWER(1+Inflation,AE$11+1)</f>
        <v>-6064.6804689015335</v>
      </c>
      <c r="AF369" s="550" cm="1">
        <f t="array" ref="AF369">-SUMPRODUCT('W2'!$M$12:$R$112*('W2'!$M$7:$R$7=$A369)*('W2'!$A$12:$A$112=$B369))*$H$10*POWER(1+Inflation,AF$11+1)</f>
        <v>-6367.9144923466101</v>
      </c>
      <c r="AG369" s="550" cm="1">
        <f t="array" ref="AG369">-SUMPRODUCT('W2'!$M$12:$R$112*('W2'!$M$7:$R$7=$A369)*('W2'!$A$12:$A$112=$B369))*$H$10*POWER(1+Inflation,AG$11+1)</f>
        <v>-6686.3102169639405</v>
      </c>
      <c r="AH369" s="550" cm="1">
        <f t="array" ref="AH369">-SUMPRODUCT('W2'!$M$12:$R$112*('W2'!$M$7:$R$7=$A369)*('W2'!$A$12:$A$112=$B369))*$H$10*POWER(1+Inflation,AH$11+1)</f>
        <v>-7020.6257278121375</v>
      </c>
      <c r="AI369" s="550" cm="1">
        <f t="array" ref="AI369">-SUMPRODUCT('W2'!$M$12:$R$112*('W2'!$M$7:$R$7=$A369)*('W2'!$A$12:$A$112=$B369))*$H$10*POWER(1+Inflation,AI$11+1)</f>
        <v>-7371.657014202744</v>
      </c>
      <c r="AJ369" s="550" cm="1">
        <f t="array" ref="AJ369">-SUMPRODUCT('W2'!$M$12:$R$112*('W2'!$M$7:$R$7=$A369)*('W2'!$A$12:$A$112=$B369))*$H$10*POWER(1+Inflation,AJ$11+1)</f>
        <v>-7740.2398649128827</v>
      </c>
    </row>
    <row r="370" spans="1:36" hidden="1" x14ac:dyDescent="0.25">
      <c r="A370" t="s">
        <v>424</v>
      </c>
      <c r="B370" t="s">
        <v>452</v>
      </c>
      <c r="H370" s="454" t="s">
        <v>432</v>
      </c>
      <c r="I370" s="497" t="str">
        <f t="shared" si="628"/>
        <v>tr. VND</v>
      </c>
      <c r="K370" s="550"/>
      <c r="L370" s="550" cm="1">
        <f t="array" ref="L370">-SUMPRODUCT('W2'!$M$12:$R$112*('W2'!$M$7:$R$7=$A370)*('W2'!$A$12:$A$112=$B370))*$H$10*POWER(1+Inflation,L$11+1)</f>
        <v>-11774.49</v>
      </c>
      <c r="M370" s="550" cm="1">
        <f t="array" ref="M370">-SUMPRODUCT('W2'!$M$12:$R$112*('W2'!$M$7:$R$7=$A370)*('W2'!$A$12:$A$112=$B370))*$H$10*POWER(1+Inflation,M$11+1)</f>
        <v>-11774.49</v>
      </c>
      <c r="N370" s="550" cm="1">
        <f t="array" ref="N370">-SUMPRODUCT('W2'!$M$12:$R$112*('W2'!$M$7:$R$7=$A370)*('W2'!$A$12:$A$112=$B370))*$H$10*POWER(1+Inflation,N$11+1)</f>
        <v>-12363.2145</v>
      </c>
      <c r="O370" s="550" cm="1">
        <f t="array" ref="O370">-SUMPRODUCT('W2'!$M$12:$R$112*('W2'!$M$7:$R$7=$A370)*('W2'!$A$12:$A$112=$B370))*$H$10*POWER(1+Inflation,O$11+1)</f>
        <v>-12981.375225</v>
      </c>
      <c r="P370" s="550" cm="1">
        <f t="array" ref="P370">-SUMPRODUCT('W2'!$M$12:$R$112*('W2'!$M$7:$R$7=$A370)*('W2'!$A$12:$A$112=$B370))*$H$10*POWER(1+Inflation,P$11+1)</f>
        <v>-13630.443986250002</v>
      </c>
      <c r="Q370" s="550" cm="1">
        <f t="array" ref="Q370">-SUMPRODUCT('W2'!$M$12:$R$112*('W2'!$M$7:$R$7=$A370)*('W2'!$A$12:$A$112=$B370))*$H$10*POWER(1+Inflation,Q$11+1)</f>
        <v>-14311.9661855625</v>
      </c>
      <c r="R370" s="550" cm="1">
        <f t="array" ref="R370">-SUMPRODUCT('W2'!$M$12:$R$112*('W2'!$M$7:$R$7=$A370)*('W2'!$A$12:$A$112=$B370))*$H$10*POWER(1+Inflation,R$11+1)</f>
        <v>-15027.564494840626</v>
      </c>
      <c r="S370" s="550" cm="1">
        <f t="array" ref="S370">-SUMPRODUCT('W2'!$M$12:$R$112*('W2'!$M$7:$R$7=$A370)*('W2'!$A$12:$A$112=$B370))*$H$10*POWER(1+Inflation,S$11+1)</f>
        <v>-15778.942719582656</v>
      </c>
      <c r="T370" s="550" cm="1">
        <f t="array" ref="T370">-SUMPRODUCT('W2'!$M$12:$R$112*('W2'!$M$7:$R$7=$A370)*('W2'!$A$12:$A$112=$B370))*$H$10*POWER(1+Inflation,T$11+1)</f>
        <v>-16567.889855561793</v>
      </c>
      <c r="U370" s="550" cm="1">
        <f t="array" ref="U370">-SUMPRODUCT('W2'!$M$12:$R$112*('W2'!$M$7:$R$7=$A370)*('W2'!$A$12:$A$112=$B370))*$H$10*POWER(1+Inflation,U$11+1)</f>
        <v>-17396.284348339879</v>
      </c>
      <c r="V370" s="550" cm="1">
        <f t="array" ref="V370">-SUMPRODUCT('W2'!$M$12:$R$112*('W2'!$M$7:$R$7=$A370)*('W2'!$A$12:$A$112=$B370))*$H$10*POWER(1+Inflation,V$11+1)</f>
        <v>-18266.098565756874</v>
      </c>
      <c r="W370" s="550" cm="1">
        <f t="array" ref="W370">-SUMPRODUCT('W2'!$M$12:$R$112*('W2'!$M$7:$R$7=$A370)*('W2'!$A$12:$A$112=$B370))*$H$10*POWER(1+Inflation,W$11+1)</f>
        <v>-19179.403494044716</v>
      </c>
      <c r="X370" s="550" cm="1">
        <f t="array" ref="X370">-SUMPRODUCT('W2'!$M$12:$R$112*('W2'!$M$7:$R$7=$A370)*('W2'!$A$12:$A$112=$B370))*$H$10*POWER(1+Inflation,X$11+1)</f>
        <v>-20138.373668746954</v>
      </c>
      <c r="Y370" s="550" cm="1">
        <f t="array" ref="Y370">-SUMPRODUCT('W2'!$M$12:$R$112*('W2'!$M$7:$R$7=$A370)*('W2'!$A$12:$A$112=$B370))*$H$10*POWER(1+Inflation,Y$11+1)</f>
        <v>-21145.2923521843</v>
      </c>
      <c r="Z370" s="550" cm="1">
        <f t="array" ref="Z370">-SUMPRODUCT('W2'!$M$12:$R$112*('W2'!$M$7:$R$7=$A370)*('W2'!$A$12:$A$112=$B370))*$H$10*POWER(1+Inflation,Z$11+1)</f>
        <v>-22202.556969793517</v>
      </c>
      <c r="AA370" s="550" cm="1">
        <f t="array" ref="AA370">-SUMPRODUCT('W2'!$M$12:$R$112*('W2'!$M$7:$R$7=$A370)*('W2'!$A$12:$A$112=$B370))*$H$10*POWER(1+Inflation,AA$11+1)</f>
        <v>-23312.684818283189</v>
      </c>
      <c r="AB370" s="550" cm="1">
        <f t="array" ref="AB370">-SUMPRODUCT('W2'!$M$12:$R$112*('W2'!$M$7:$R$7=$A370)*('W2'!$A$12:$A$112=$B370))*$H$10*POWER(1+Inflation,AB$11+1)</f>
        <v>-24478.319059197358</v>
      </c>
      <c r="AC370" s="550" cm="1">
        <f t="array" ref="AC370">-SUMPRODUCT('W2'!$M$12:$R$112*('W2'!$M$7:$R$7=$A370)*('W2'!$A$12:$A$112=$B370))*$H$10*POWER(1+Inflation,AC$11+1)</f>
        <v>-25702.23501215722</v>
      </c>
      <c r="AD370" s="550" cm="1">
        <f t="array" ref="AD370">-SUMPRODUCT('W2'!$M$12:$R$112*('W2'!$M$7:$R$7=$A370)*('W2'!$A$12:$A$112=$B370))*$H$10*POWER(1+Inflation,AD$11+1)</f>
        <v>-26987.346762765086</v>
      </c>
      <c r="AE370" s="550" cm="1">
        <f t="array" ref="AE370">-SUMPRODUCT('W2'!$M$12:$R$112*('W2'!$M$7:$R$7=$A370)*('W2'!$A$12:$A$112=$B370))*$H$10*POWER(1+Inflation,AE$11+1)</f>
        <v>-28336.71410090334</v>
      </c>
      <c r="AF370" s="550" cm="1">
        <f t="array" ref="AF370">-SUMPRODUCT('W2'!$M$12:$R$112*('W2'!$M$7:$R$7=$A370)*('W2'!$A$12:$A$112=$B370))*$H$10*POWER(1+Inflation,AF$11+1)</f>
        <v>-29753.549805948507</v>
      </c>
      <c r="AG370" s="550" cm="1">
        <f t="array" ref="AG370">-SUMPRODUCT('W2'!$M$12:$R$112*('W2'!$M$7:$R$7=$A370)*('W2'!$A$12:$A$112=$B370))*$H$10*POWER(1+Inflation,AG$11+1)</f>
        <v>-31241.227296245932</v>
      </c>
      <c r="AH370" s="550" cm="1">
        <f t="array" ref="AH370">-SUMPRODUCT('W2'!$M$12:$R$112*('W2'!$M$7:$R$7=$A370)*('W2'!$A$12:$A$112=$B370))*$H$10*POWER(1+Inflation,AH$11+1)</f>
        <v>-32803.288661058228</v>
      </c>
      <c r="AI370" s="550" cm="1">
        <f t="array" ref="AI370">-SUMPRODUCT('W2'!$M$12:$R$112*('W2'!$M$7:$R$7=$A370)*('W2'!$A$12:$A$112=$B370))*$H$10*POWER(1+Inflation,AI$11+1)</f>
        <v>-34443.453094111137</v>
      </c>
      <c r="AJ370" s="550" cm="1">
        <f t="array" ref="AJ370">-SUMPRODUCT('W2'!$M$12:$R$112*('W2'!$M$7:$R$7=$A370)*('W2'!$A$12:$A$112=$B370))*$H$10*POWER(1+Inflation,AJ$11+1)</f>
        <v>-36165.625748816703</v>
      </c>
    </row>
    <row r="371" spans="1:36" hidden="1" x14ac:dyDescent="0.25">
      <c r="A371" t="s">
        <v>424</v>
      </c>
      <c r="B371" t="s">
        <v>453</v>
      </c>
      <c r="H371" s="454" t="s">
        <v>433</v>
      </c>
      <c r="I371" s="497" t="str">
        <f t="shared" si="628"/>
        <v>tr. VND</v>
      </c>
      <c r="K371" s="550"/>
      <c r="L371" s="550" cm="1">
        <f t="array" ref="L371">-SUMPRODUCT('W2'!$M$12:$R$112*('W2'!$M$7:$R$7=$A371)*('W2'!$A$12:$A$112=$B371))*$H$10*POWER(1+Inflation,L$11+1)</f>
        <v>-579.6</v>
      </c>
      <c r="M371" s="550" cm="1">
        <f t="array" ref="M371">-SUMPRODUCT('W2'!$M$12:$R$112*('W2'!$M$7:$R$7=$A371)*('W2'!$A$12:$A$112=$B371))*$H$10*POWER(1+Inflation,M$11+1)</f>
        <v>-579.6</v>
      </c>
      <c r="N371" s="550" cm="1">
        <f t="array" ref="N371">-SUMPRODUCT('W2'!$M$12:$R$112*('W2'!$M$7:$R$7=$A371)*('W2'!$A$12:$A$112=$B371))*$H$10*POWER(1+Inflation,N$11+1)</f>
        <v>-608.58000000000004</v>
      </c>
      <c r="O371" s="550" cm="1">
        <f t="array" ref="O371">-SUMPRODUCT('W2'!$M$12:$R$112*('W2'!$M$7:$R$7=$A371)*('W2'!$A$12:$A$112=$B371))*$H$10*POWER(1+Inflation,O$11+1)</f>
        <v>-639.00900000000001</v>
      </c>
      <c r="P371" s="550" cm="1">
        <f t="array" ref="P371">-SUMPRODUCT('W2'!$M$12:$R$112*('W2'!$M$7:$R$7=$A371)*('W2'!$A$12:$A$112=$B371))*$H$10*POWER(1+Inflation,P$11+1)</f>
        <v>-670.95945000000006</v>
      </c>
      <c r="Q371" s="550" cm="1">
        <f t="array" ref="Q371">-SUMPRODUCT('W2'!$M$12:$R$112*('W2'!$M$7:$R$7=$A371)*('W2'!$A$12:$A$112=$B371))*$H$10*POWER(1+Inflation,Q$11+1)</f>
        <v>-704.50742250000008</v>
      </c>
      <c r="R371" s="550" cm="1">
        <f t="array" ref="R371">-SUMPRODUCT('W2'!$M$12:$R$112*('W2'!$M$7:$R$7=$A371)*('W2'!$A$12:$A$112=$B371))*$H$10*POWER(1+Inflation,R$11+1)</f>
        <v>-739.73279362500011</v>
      </c>
      <c r="S371" s="550" cm="1">
        <f t="array" ref="S371">-SUMPRODUCT('W2'!$M$12:$R$112*('W2'!$M$7:$R$7=$A371)*('W2'!$A$12:$A$112=$B371))*$H$10*POWER(1+Inflation,S$11+1)</f>
        <v>-776.71943330625004</v>
      </c>
      <c r="T371" s="550" cm="1">
        <f t="array" ref="T371">-SUMPRODUCT('W2'!$M$12:$R$112*('W2'!$M$7:$R$7=$A371)*('W2'!$A$12:$A$112=$B371))*$H$10*POWER(1+Inflation,T$11+1)</f>
        <v>-815.55540497156267</v>
      </c>
      <c r="U371" s="550" cm="1">
        <f t="array" ref="U371">-SUMPRODUCT('W2'!$M$12:$R$112*('W2'!$M$7:$R$7=$A371)*('W2'!$A$12:$A$112=$B371))*$H$10*POWER(1+Inflation,U$11+1)</f>
        <v>-856.33317522014067</v>
      </c>
      <c r="V371" s="550" cm="1">
        <f t="array" ref="V371">-SUMPRODUCT('W2'!$M$12:$R$112*('W2'!$M$7:$R$7=$A371)*('W2'!$A$12:$A$112=$B371))*$H$10*POWER(1+Inflation,V$11+1)</f>
        <v>-899.14983398114782</v>
      </c>
      <c r="W371" s="550" cm="1">
        <f t="array" ref="W371">-SUMPRODUCT('W2'!$M$12:$R$112*('W2'!$M$7:$R$7=$A371)*('W2'!$A$12:$A$112=$B371))*$H$10*POWER(1+Inflation,W$11+1)</f>
        <v>-944.10732568020512</v>
      </c>
      <c r="X371" s="550" cm="1">
        <f t="array" ref="X371">-SUMPRODUCT('W2'!$M$12:$R$112*('W2'!$M$7:$R$7=$A371)*('W2'!$A$12:$A$112=$B371))*$H$10*POWER(1+Inflation,X$11+1)</f>
        <v>-991.31269196421545</v>
      </c>
      <c r="Y371" s="550" cm="1">
        <f t="array" ref="Y371">-SUMPRODUCT('W2'!$M$12:$R$112*('W2'!$M$7:$R$7=$A371)*('W2'!$A$12:$A$112=$B371))*$H$10*POWER(1+Inflation,Y$11+1)</f>
        <v>-1040.8783265624261</v>
      </c>
      <c r="Z371" s="550" cm="1">
        <f t="array" ref="Z371">-SUMPRODUCT('W2'!$M$12:$R$112*('W2'!$M$7:$R$7=$A371)*('W2'!$A$12:$A$112=$B371))*$H$10*POWER(1+Inflation,Z$11+1)</f>
        <v>-1092.9222428905475</v>
      </c>
      <c r="AA371" s="550" cm="1">
        <f t="array" ref="AA371">-SUMPRODUCT('W2'!$M$12:$R$112*('W2'!$M$7:$R$7=$A371)*('W2'!$A$12:$A$112=$B371))*$H$10*POWER(1+Inflation,AA$11+1)</f>
        <v>-1147.5683550350748</v>
      </c>
      <c r="AB371" s="550" cm="1">
        <f t="array" ref="AB371">-SUMPRODUCT('W2'!$M$12:$R$112*('W2'!$M$7:$R$7=$A371)*('W2'!$A$12:$A$112=$B371))*$H$10*POWER(1+Inflation,AB$11+1)</f>
        <v>-1204.9467727868289</v>
      </c>
      <c r="AC371" s="550" cm="1">
        <f t="array" ref="AC371">-SUMPRODUCT('W2'!$M$12:$R$112*('W2'!$M$7:$R$7=$A371)*('W2'!$A$12:$A$112=$B371))*$H$10*POWER(1+Inflation,AC$11+1)</f>
        <v>-1265.1941114261701</v>
      </c>
      <c r="AD371" s="550" cm="1">
        <f t="array" ref="AD371">-SUMPRODUCT('W2'!$M$12:$R$112*('W2'!$M$7:$R$7=$A371)*('W2'!$A$12:$A$112=$B371))*$H$10*POWER(1+Inflation,AD$11+1)</f>
        <v>-1328.453816997479</v>
      </c>
      <c r="AE371" s="550" cm="1">
        <f t="array" ref="AE371">-SUMPRODUCT('W2'!$M$12:$R$112*('W2'!$M$7:$R$7=$A371)*('W2'!$A$12:$A$112=$B371))*$H$10*POWER(1+Inflation,AE$11+1)</f>
        <v>-1394.8765078473527</v>
      </c>
      <c r="AF371" s="550" cm="1">
        <f t="array" ref="AF371">-SUMPRODUCT('W2'!$M$12:$R$112*('W2'!$M$7:$R$7=$A371)*('W2'!$A$12:$A$112=$B371))*$H$10*POWER(1+Inflation,AF$11+1)</f>
        <v>-1464.6203332397204</v>
      </c>
      <c r="AG371" s="550" cm="1">
        <f t="array" ref="AG371">-SUMPRODUCT('W2'!$M$12:$R$112*('W2'!$M$7:$R$7=$A371)*('W2'!$A$12:$A$112=$B371))*$H$10*POWER(1+Inflation,AG$11+1)</f>
        <v>-1537.8513499017065</v>
      </c>
      <c r="AH371" s="550" cm="1">
        <f t="array" ref="AH371">-SUMPRODUCT('W2'!$M$12:$R$112*('W2'!$M$7:$R$7=$A371)*('W2'!$A$12:$A$112=$B371))*$H$10*POWER(1+Inflation,AH$11+1)</f>
        <v>-1614.7439173967916</v>
      </c>
      <c r="AI371" s="550" cm="1">
        <f t="array" ref="AI371">-SUMPRODUCT('W2'!$M$12:$R$112*('W2'!$M$7:$R$7=$A371)*('W2'!$A$12:$A$112=$B371))*$H$10*POWER(1+Inflation,AI$11+1)</f>
        <v>-1695.4811132666312</v>
      </c>
      <c r="AJ371" s="550" cm="1">
        <f t="array" ref="AJ371">-SUMPRODUCT('W2'!$M$12:$R$112*('W2'!$M$7:$R$7=$A371)*('W2'!$A$12:$A$112=$B371))*$H$10*POWER(1+Inflation,AJ$11+1)</f>
        <v>-1780.255168929963</v>
      </c>
    </row>
    <row r="372" spans="1:36" hidden="1" x14ac:dyDescent="0.25">
      <c r="A372" t="s">
        <v>424</v>
      </c>
      <c r="B372" t="s">
        <v>521</v>
      </c>
      <c r="H372" s="454" t="s">
        <v>520</v>
      </c>
      <c r="I372" s="497" t="str">
        <f t="shared" si="628"/>
        <v>tr. VND</v>
      </c>
      <c r="K372" s="550"/>
      <c r="L372" s="550" cm="1">
        <f t="array" ref="L372">-SUMPRODUCT('W2'!$M$12:$R$112*('W2'!$M$7:$R$7=$A372)*('W2'!$A$12:$A$112=$B372))*$H$10</f>
        <v>-972.82799999999997</v>
      </c>
      <c r="M372" s="550" cm="1">
        <f t="array" ref="M372">-SUMPRODUCT('W2'!$M$12:$R$112*('W2'!$M$7:$R$7=$A372)*('W2'!$A$12:$A$112=$B372))*$H$10</f>
        <v>-972.82799999999997</v>
      </c>
      <c r="N372" s="550" cm="1">
        <f t="array" ref="N372">-SUMPRODUCT('W2'!$M$12:$R$112*('W2'!$M$7:$R$7=$A372)*('W2'!$A$12:$A$112=$B372))*$H$10</f>
        <v>-972.82799999999997</v>
      </c>
      <c r="O372" s="550" cm="1">
        <f t="array" ref="O372">-SUMPRODUCT('W2'!$M$12:$R$112*('W2'!$M$7:$R$7=$A372)*('W2'!$A$12:$A$112=$B372))*$H$10</f>
        <v>-972.82799999999997</v>
      </c>
      <c r="P372" s="550" cm="1">
        <f t="array" ref="P372">-SUMPRODUCT('W2'!$M$12:$R$112*('W2'!$M$7:$R$7=$A372)*('W2'!$A$12:$A$112=$B372))*$H$10</f>
        <v>-972.82799999999997</v>
      </c>
      <c r="Q372" s="550" cm="1">
        <f t="array" ref="Q372">-SUMPRODUCT('W2'!$M$12:$R$112*('W2'!$M$7:$R$7=$A372)*('W2'!$A$12:$A$112=$B372))*$H$10</f>
        <v>-972.82799999999997</v>
      </c>
      <c r="R372" s="550" cm="1">
        <f t="array" ref="R372">-SUMPRODUCT('W2'!$M$12:$R$112*('W2'!$M$7:$R$7=$A372)*('W2'!$A$12:$A$112=$B372))*$H$10</f>
        <v>-972.82799999999997</v>
      </c>
      <c r="S372" s="550" cm="1">
        <f t="array" ref="S372">-SUMPRODUCT('W2'!$M$12:$R$112*('W2'!$M$7:$R$7=$A372)*('W2'!$A$12:$A$112=$B372))*$H$10</f>
        <v>-972.82799999999997</v>
      </c>
      <c r="T372" s="550" cm="1">
        <f t="array" ref="T372">-SUMPRODUCT('W2'!$M$12:$R$112*('W2'!$M$7:$R$7=$A372)*('W2'!$A$12:$A$112=$B372))*$H$10</f>
        <v>-972.82799999999997</v>
      </c>
      <c r="U372" s="550" cm="1">
        <f t="array" ref="U372">-SUMPRODUCT('W2'!$M$12:$R$112*('W2'!$M$7:$R$7=$A372)*('W2'!$A$12:$A$112=$B372))*$H$10</f>
        <v>-972.82799999999997</v>
      </c>
      <c r="V372" s="550" cm="1">
        <f t="array" ref="V372">-SUMPRODUCT('W2'!$M$12:$R$112*('W2'!$M$7:$R$7=$A372)*('W2'!$A$12:$A$112=$B372))*$H$10</f>
        <v>-972.82799999999997</v>
      </c>
      <c r="W372" s="550" cm="1">
        <f t="array" ref="W372">-SUMPRODUCT('W2'!$M$12:$R$112*('W2'!$M$7:$R$7=$A372)*('W2'!$A$12:$A$112=$B372))*$H$10</f>
        <v>-972.82799999999997</v>
      </c>
      <c r="X372" s="550" cm="1">
        <f t="array" ref="X372">-SUMPRODUCT('W2'!$M$12:$R$112*('W2'!$M$7:$R$7=$A372)*('W2'!$A$12:$A$112=$B372))*$H$10</f>
        <v>-972.82799999999997</v>
      </c>
      <c r="Y372" s="550" cm="1">
        <f t="array" ref="Y372">-SUMPRODUCT('W2'!$M$12:$R$112*('W2'!$M$7:$R$7=$A372)*('W2'!$A$12:$A$112=$B372))*$H$10</f>
        <v>-972.82799999999997</v>
      </c>
      <c r="Z372" s="550" cm="1">
        <f t="array" ref="Z372">-SUMPRODUCT('W2'!$M$12:$R$112*('W2'!$M$7:$R$7=$A372)*('W2'!$A$12:$A$112=$B372))*$H$10</f>
        <v>-972.82799999999997</v>
      </c>
      <c r="AA372" s="550" cm="1">
        <f t="array" ref="AA372">-SUMPRODUCT('W2'!$M$12:$R$112*('W2'!$M$7:$R$7=$A372)*('W2'!$A$12:$A$112=$B372))*$H$10</f>
        <v>-972.82799999999997</v>
      </c>
      <c r="AB372" s="550" cm="1">
        <f t="array" ref="AB372">-SUMPRODUCT('W2'!$M$12:$R$112*('W2'!$M$7:$R$7=$A372)*('W2'!$A$12:$A$112=$B372))*$H$10</f>
        <v>-972.82799999999997</v>
      </c>
      <c r="AC372" s="550" cm="1">
        <f t="array" ref="AC372">-SUMPRODUCT('W2'!$M$12:$R$112*('W2'!$M$7:$R$7=$A372)*('W2'!$A$12:$A$112=$B372))*$H$10</f>
        <v>-972.82799999999997</v>
      </c>
      <c r="AD372" s="550" cm="1">
        <f t="array" ref="AD372">-SUMPRODUCT('W2'!$M$12:$R$112*('W2'!$M$7:$R$7=$A372)*('W2'!$A$12:$A$112=$B372))*$H$10</f>
        <v>-972.82799999999997</v>
      </c>
      <c r="AE372" s="550" cm="1">
        <f t="array" ref="AE372">-SUMPRODUCT('W2'!$M$12:$R$112*('W2'!$M$7:$R$7=$A372)*('W2'!$A$12:$A$112=$B372))*$H$10</f>
        <v>-972.82799999999997</v>
      </c>
      <c r="AF372" s="550" cm="1">
        <f t="array" ref="AF372">-SUMPRODUCT('W2'!$M$12:$R$112*('W2'!$M$7:$R$7=$A372)*('W2'!$A$12:$A$112=$B372))*$H$10</f>
        <v>-972.82799999999997</v>
      </c>
      <c r="AG372" s="550" cm="1">
        <f t="array" ref="AG372">-SUMPRODUCT('W2'!$M$12:$R$112*('W2'!$M$7:$R$7=$A372)*('W2'!$A$12:$A$112=$B372))*$H$10</f>
        <v>-972.82799999999997</v>
      </c>
      <c r="AH372" s="550" cm="1">
        <f t="array" ref="AH372">-SUMPRODUCT('W2'!$M$12:$R$112*('W2'!$M$7:$R$7=$A372)*('W2'!$A$12:$A$112=$B372))*$H$10</f>
        <v>-972.82799999999997</v>
      </c>
      <c r="AI372" s="550" cm="1">
        <f t="array" ref="AI372">-SUMPRODUCT('W2'!$M$12:$R$112*('W2'!$M$7:$R$7=$A372)*('W2'!$A$12:$A$112=$B372))*$H$10</f>
        <v>-972.82799999999997</v>
      </c>
      <c r="AJ372" s="550" cm="1">
        <f t="array" ref="AJ372">-SUMPRODUCT('W2'!$M$12:$R$112*('W2'!$M$7:$R$7=$A372)*('W2'!$A$12:$A$112=$B372))*$H$10</f>
        <v>-972.82799999999997</v>
      </c>
    </row>
    <row r="373" spans="1:36" hidden="1" x14ac:dyDescent="0.25">
      <c r="A373" t="s">
        <v>424</v>
      </c>
      <c r="K373" s="243"/>
      <c r="L373" s="243"/>
      <c r="M373" s="243"/>
      <c r="N373" s="243"/>
      <c r="O373" s="243"/>
      <c r="P373" s="243"/>
      <c r="Q373" s="243"/>
      <c r="R373" s="243"/>
      <c r="S373" s="243"/>
      <c r="T373" s="243"/>
      <c r="U373" s="243"/>
      <c r="V373" s="243"/>
      <c r="W373" s="243"/>
      <c r="X373" s="243"/>
      <c r="Y373" s="243"/>
      <c r="Z373" s="243"/>
      <c r="AA373" s="243"/>
      <c r="AB373" s="243"/>
      <c r="AC373" s="243"/>
      <c r="AD373" s="243"/>
      <c r="AE373" s="243"/>
      <c r="AF373" s="243"/>
      <c r="AG373" s="243"/>
      <c r="AH373" s="243"/>
      <c r="AI373" s="243"/>
      <c r="AJ373" s="243"/>
    </row>
    <row r="374" spans="1:36" s="1" customFormat="1" hidden="1" x14ac:dyDescent="0.25">
      <c r="A374" s="1" t="s">
        <v>424</v>
      </c>
      <c r="H374" s="266" t="s">
        <v>435</v>
      </c>
      <c r="I374" s="267" t="str">
        <f t="shared" ref="I374:I377" si="632">IF($H$9="USD","USD","tr. VND")</f>
        <v>tr. VND</v>
      </c>
      <c r="K374" s="269">
        <f>K375+K378+K381</f>
        <v>0</v>
      </c>
      <c r="L374" s="269">
        <f t="shared" ref="L374" si="633">L375+L378+L381</f>
        <v>-95477.81174581802</v>
      </c>
      <c r="M374" s="269">
        <f t="shared" ref="M374" si="634">M375+M378+M381</f>
        <v>-132769.8412281452</v>
      </c>
      <c r="N374" s="269">
        <f t="shared" ref="N374" si="635">N375+N378+N381</f>
        <v>-192912.47778169322</v>
      </c>
      <c r="O374" s="269">
        <f t="shared" ref="O374" si="636">O375+O378+O381</f>
        <v>-197224.0839825228</v>
      </c>
      <c r="P374" s="269">
        <f t="shared" ref="P374" si="637">P375+P378+P381</f>
        <v>-201645.99043274875</v>
      </c>
      <c r="Q374" s="269">
        <f t="shared" ref="Q374" si="638">Q375+Q378+Q381</f>
        <v>-206181.606543628</v>
      </c>
      <c r="R374" s="269">
        <f t="shared" ref="R374" si="639">R375+R378+R381</f>
        <v>-210834.47008495603</v>
      </c>
      <c r="S374" s="269">
        <f t="shared" ref="S374" si="640">S375+S378+S381</f>
        <v>-215608.25276075347</v>
      </c>
      <c r="T374" s="269">
        <f t="shared" ref="T374" si="641">T375+T378+T381</f>
        <v>-220506.76604689166</v>
      </c>
      <c r="U374" s="269">
        <f t="shared" ref="U374" si="642">U375+U378+U381</f>
        <v>-225533.96730341885</v>
      </c>
      <c r="V374" s="269">
        <f t="shared" ref="V374" si="643">V375+V378+V381</f>
        <v>-230693.966174976</v>
      </c>
      <c r="W374" s="269">
        <f t="shared" ref="W374" si="644">W375+W378+W381</f>
        <v>-235991.03129335877</v>
      </c>
      <c r="X374" s="269">
        <f t="shared" ref="X374" si="645">X375+X378+X381</f>
        <v>-240308.21729697334</v>
      </c>
      <c r="Y374" s="269">
        <f t="shared" ref="Y374" si="646">Y375+Y378+Y381</f>
        <v>-245892.89218266759</v>
      </c>
      <c r="Z374" s="269">
        <f t="shared" ref="Z374" si="647">Z375+Z378+Z381</f>
        <v>-251628.46500618343</v>
      </c>
      <c r="AA374" s="269">
        <f t="shared" ref="AA374" si="648">AA375+AA378+AA381</f>
        <v>-257519.91394828274</v>
      </c>
      <c r="AB374" s="269">
        <f t="shared" ref="AB374" si="649">AB375+AB378+AB381</f>
        <v>-263572.41476444277</v>
      </c>
      <c r="AC374" s="269">
        <f t="shared" ref="AC374" si="650">AC375+AC378+AC381</f>
        <v>-269791.34963690577</v>
      </c>
      <c r="AD374" s="269">
        <f t="shared" ref="AD374" si="651">AD375+AD378+AD381</f>
        <v>-276182.31644879677</v>
      </c>
      <c r="AE374" s="269">
        <f t="shared" ref="AE374" si="652">AE375+AE378+AE381</f>
        <v>-282751.13850100315</v>
      </c>
      <c r="AF374" s="269">
        <f t="shared" ref="AF374" si="653">AF375+AF378+AF381</f>
        <v>-289503.87469353521</v>
      </c>
      <c r="AG374" s="269">
        <f t="shared" ref="AG374" si="654">AG375+AG378+AG381</f>
        <v>-296446.83019416354</v>
      </c>
      <c r="AH374" s="269">
        <f t="shared" ref="AH374" si="655">AH375+AH378+AH381</f>
        <v>-303586.56761826226</v>
      </c>
      <c r="AI374" s="269">
        <f t="shared" ref="AI374" si="656">AI375+AI378+AI381</f>
        <v>-310929.91874497384</v>
      </c>
      <c r="AJ374" s="269">
        <f t="shared" ref="AJ374" si="657">AJ375+AJ378+AJ381</f>
        <v>-318483.9967960568</v>
      </c>
    </row>
    <row r="375" spans="1:36" hidden="1" x14ac:dyDescent="0.25">
      <c r="A375" t="s">
        <v>424</v>
      </c>
      <c r="H375" s="637" t="s">
        <v>454</v>
      </c>
      <c r="I375" s="638" t="str">
        <f t="shared" si="632"/>
        <v>tr. VND</v>
      </c>
      <c r="K375" s="639">
        <f>SUM(K376:K377)</f>
        <v>0</v>
      </c>
      <c r="L375" s="639">
        <f t="shared" ref="L375:AJ375" si="658">SUM(L376:L377)</f>
        <v>-86013.121442076575</v>
      </c>
      <c r="M375" s="639">
        <f t="shared" si="658"/>
        <v>-120418.3700189072</v>
      </c>
      <c r="N375" s="639">
        <f t="shared" si="658"/>
        <v>-175466.7677418362</v>
      </c>
      <c r="O375" s="639">
        <f t="shared" si="658"/>
        <v>-178976.10309667294</v>
      </c>
      <c r="P375" s="639">
        <f t="shared" si="658"/>
        <v>-182555.62515860639</v>
      </c>
      <c r="Q375" s="639">
        <f t="shared" si="658"/>
        <v>-186206.73766177852</v>
      </c>
      <c r="R375" s="639">
        <f t="shared" si="658"/>
        <v>-189930.87241501408</v>
      </c>
      <c r="S375" s="639">
        <f t="shared" si="658"/>
        <v>-193729.4898633144</v>
      </c>
      <c r="T375" s="639">
        <f t="shared" si="658"/>
        <v>-197604.07966058064</v>
      </c>
      <c r="U375" s="639">
        <f t="shared" si="658"/>
        <v>-201556.16125379226</v>
      </c>
      <c r="V375" s="639">
        <f t="shared" si="658"/>
        <v>-205587.2844788681</v>
      </c>
      <c r="W375" s="639">
        <f t="shared" si="658"/>
        <v>-209699.03016844549</v>
      </c>
      <c r="X375" s="639">
        <f t="shared" si="658"/>
        <v>-213893.01077181436</v>
      </c>
      <c r="Y375" s="639">
        <f t="shared" si="658"/>
        <v>-218170.8709872507</v>
      </c>
      <c r="Z375" s="639">
        <f t="shared" si="658"/>
        <v>-222534.28840699568</v>
      </c>
      <c r="AA375" s="639">
        <f t="shared" si="658"/>
        <v>-226984.97417513561</v>
      </c>
      <c r="AB375" s="639">
        <f t="shared" si="658"/>
        <v>-231524.67365863826</v>
      </c>
      <c r="AC375" s="639">
        <f t="shared" si="658"/>
        <v>-236155.16713181106</v>
      </c>
      <c r="AD375" s="639">
        <f t="shared" si="658"/>
        <v>-240878.27047444732</v>
      </c>
      <c r="AE375" s="639">
        <f t="shared" si="658"/>
        <v>-245695.83588393623</v>
      </c>
      <c r="AF375" s="639">
        <f t="shared" si="658"/>
        <v>-250609.75260161492</v>
      </c>
      <c r="AG375" s="639">
        <f t="shared" si="658"/>
        <v>-255621.94765364725</v>
      </c>
      <c r="AH375" s="639">
        <f t="shared" si="658"/>
        <v>-260734.38660672019</v>
      </c>
      <c r="AI375" s="639">
        <f t="shared" si="658"/>
        <v>-265949.07433885464</v>
      </c>
      <c r="AJ375" s="639">
        <f t="shared" si="658"/>
        <v>-271268.05582563166</v>
      </c>
    </row>
    <row r="376" spans="1:36" s="299" customFormat="1" hidden="1" x14ac:dyDescent="0.25">
      <c r="A376" s="299" t="s">
        <v>424</v>
      </c>
      <c r="B376" s="299" t="s">
        <v>459</v>
      </c>
      <c r="H376" s="554" t="s">
        <v>167</v>
      </c>
      <c r="I376" s="555" t="str">
        <f t="shared" si="632"/>
        <v>tr. VND</v>
      </c>
      <c r="K376" s="556"/>
      <c r="L376" s="556" cm="1">
        <f t="array" ref="L376">-SUMPRODUCT('W2'!$M$12:$R$112*('W2'!$M$7:$R$7=$A376)*('W2'!$A$12:$A$112=$B376))*L353*$H$10*POWER(1+INDEX('Cover Page'!$H$8:$W$8,MATCH($A376,'Cover Page'!$H$5:$W$5,0)),1+L$13)</f>
        <v>-79992.202941131211</v>
      </c>
      <c r="M376" s="556" cm="1">
        <f t="array" ref="M376">-SUMPRODUCT('W2'!$M$12:$R$112*('W2'!$M$7:$R$7=$A376)*('W2'!$A$12:$A$112=$B376))*M353*$H$10*POWER(1+INDEX('Cover Page'!$H$8:$W$8,MATCH($A353,'Cover Page'!$H$5:$W$5,0)),1+M$13)</f>
        <v>-111989.08411758368</v>
      </c>
      <c r="N376" s="556" cm="1">
        <f t="array" ref="N376">-SUMPRODUCT('W2'!$M$12:$R$112*('W2'!$M$7:$R$7=$A376)*('W2'!$A$12:$A$112=$B376))*N353*$H$10*POWER(1+INDEX('Cover Page'!$H$8:$W$8,MATCH($A353,'Cover Page'!$H$5:$W$5,0)),1+N$13)</f>
        <v>-163184.09399990767</v>
      </c>
      <c r="O376" s="556" cm="1">
        <f t="array" ref="O376">-SUMPRODUCT('W2'!$M$12:$R$112*('W2'!$M$7:$R$7=$A376)*('W2'!$A$12:$A$112=$B376))*O353*$H$10*POWER(1+INDEX('Cover Page'!$H$8:$W$8,MATCH($A353,'Cover Page'!$H$5:$W$5,0)),1+O$13)</f>
        <v>-166447.77587990582</v>
      </c>
      <c r="P376" s="556" cm="1">
        <f t="array" ref="P376">-SUMPRODUCT('W2'!$M$12:$R$112*('W2'!$M$7:$R$7=$A376)*('W2'!$A$12:$A$112=$B376))*P353*$H$10*POWER(1+INDEX('Cover Page'!$H$8:$W$8,MATCH($A353,'Cover Page'!$H$5:$W$5,0)),1+P$13)</f>
        <v>-169776.73139750393</v>
      </c>
      <c r="Q376" s="556" cm="1">
        <f t="array" ref="Q376">-SUMPRODUCT('W2'!$M$12:$R$112*('W2'!$M$7:$R$7=$A376)*('W2'!$A$12:$A$112=$B376))*Q353*$H$10*POWER(1+INDEX('Cover Page'!$H$8:$W$8,MATCH($A353,'Cover Page'!$H$5:$W$5,0)),1+Q$13)</f>
        <v>-173172.26602545401</v>
      </c>
      <c r="R376" s="556" cm="1">
        <f t="array" ref="R376">-SUMPRODUCT('W2'!$M$12:$R$112*('W2'!$M$7:$R$7=$A376)*('W2'!$A$12:$A$112=$B376))*R353*$H$10*POWER(1+INDEX('Cover Page'!$H$8:$W$8,MATCH($A353,'Cover Page'!$H$5:$W$5,0)),1+R$13)</f>
        <v>-176635.71134596309</v>
      </c>
      <c r="S376" s="556" cm="1">
        <f t="array" ref="S376">-SUMPRODUCT('W2'!$M$12:$R$112*('W2'!$M$7:$R$7=$A376)*('W2'!$A$12:$A$112=$B376))*S353*$H$10*POWER(1+INDEX('Cover Page'!$H$8:$W$8,MATCH($A353,'Cover Page'!$H$5:$W$5,0)),1+S$13)</f>
        <v>-180168.42557288238</v>
      </c>
      <c r="T376" s="556" cm="1">
        <f t="array" ref="T376">-SUMPRODUCT('W2'!$M$12:$R$112*('W2'!$M$7:$R$7=$A376)*('W2'!$A$12:$A$112=$B376))*T353*$H$10*POWER(1+INDEX('Cover Page'!$H$8:$W$8,MATCH($A353,'Cover Page'!$H$5:$W$5,0)),1+T$13)</f>
        <v>-183771.79408433998</v>
      </c>
      <c r="U376" s="556" cm="1">
        <f t="array" ref="U376">-SUMPRODUCT('W2'!$M$12:$R$112*('W2'!$M$7:$R$7=$A376)*('W2'!$A$12:$A$112=$B376))*U353*$H$10*POWER(1+INDEX('Cover Page'!$H$8:$W$8,MATCH($A353,'Cover Page'!$H$5:$W$5,0)),1+U$13)</f>
        <v>-187447.22996602679</v>
      </c>
      <c r="V376" s="556" cm="1">
        <f t="array" ref="V376">-SUMPRODUCT('W2'!$M$12:$R$112*('W2'!$M$7:$R$7=$A376)*('W2'!$A$12:$A$112=$B376))*V353*$H$10*POWER(1+INDEX('Cover Page'!$H$8:$W$8,MATCH($A353,'Cover Page'!$H$5:$W$5,0)),1+V$13)</f>
        <v>-191196.17456534732</v>
      </c>
      <c r="W376" s="556" cm="1">
        <f t="array" ref="W376">-SUMPRODUCT('W2'!$M$12:$R$112*('W2'!$M$7:$R$7=$A376)*('W2'!$A$12:$A$112=$B376))*W353*$H$10*POWER(1+INDEX('Cover Page'!$H$8:$W$8,MATCH($A353,'Cover Page'!$H$5:$W$5,0)),1+W$13)</f>
        <v>-195020.0980566543</v>
      </c>
      <c r="X376" s="556" cm="1">
        <f t="array" ref="X376">-SUMPRODUCT('W2'!$M$12:$R$112*('W2'!$M$7:$R$7=$A376)*('W2'!$A$12:$A$112=$B376))*X353*$H$10*POWER(1+INDEX('Cover Page'!$H$8:$W$8,MATCH($A353,'Cover Page'!$H$5:$W$5,0)),1+X$13)</f>
        <v>-198920.50001778733</v>
      </c>
      <c r="Y376" s="556" cm="1">
        <f t="array" ref="Y376">-SUMPRODUCT('W2'!$M$12:$R$112*('W2'!$M$7:$R$7=$A376)*('W2'!$A$12:$A$112=$B376))*Y353*$H$10*POWER(1+INDEX('Cover Page'!$H$8:$W$8,MATCH($A353,'Cover Page'!$H$5:$W$5,0)),1+Y$13)</f>
        <v>-202898.91001814313</v>
      </c>
      <c r="Z376" s="556" cm="1">
        <f t="array" ref="Z376">-SUMPRODUCT('W2'!$M$12:$R$112*('W2'!$M$7:$R$7=$A376)*('W2'!$A$12:$A$112=$B376))*Z353*$H$10*POWER(1+INDEX('Cover Page'!$H$8:$W$8,MATCH($A353,'Cover Page'!$H$5:$W$5,0)),1+Z$13)</f>
        <v>-206956.88821850598</v>
      </c>
      <c r="AA376" s="556" cm="1">
        <f t="array" ref="AA376">-SUMPRODUCT('W2'!$M$12:$R$112*('W2'!$M$7:$R$7=$A376)*('W2'!$A$12:$A$112=$B376))*AA353*$H$10*POWER(1+INDEX('Cover Page'!$H$8:$W$8,MATCH($A353,'Cover Page'!$H$5:$W$5,0)),1+AA$13)</f>
        <v>-211096.0259828761</v>
      </c>
      <c r="AB376" s="556" cm="1">
        <f t="array" ref="AB376">-SUMPRODUCT('W2'!$M$12:$R$112*('W2'!$M$7:$R$7=$A376)*('W2'!$A$12:$A$112=$B376))*AB353*$H$10*POWER(1+INDEX('Cover Page'!$H$8:$W$8,MATCH($A353,'Cover Page'!$H$5:$W$5,0)),1+AB$13)</f>
        <v>-215317.94650253357</v>
      </c>
      <c r="AC376" s="556" cm="1">
        <f t="array" ref="AC376">-SUMPRODUCT('W2'!$M$12:$R$112*('W2'!$M$7:$R$7=$A376)*('W2'!$A$12:$A$112=$B376))*AC353*$H$10*POWER(1+INDEX('Cover Page'!$H$8:$W$8,MATCH($A353,'Cover Page'!$H$5:$W$5,0)),1+AC$13)</f>
        <v>-219624.30543258428</v>
      </c>
      <c r="AD376" s="556" cm="1">
        <f t="array" ref="AD376">-SUMPRODUCT('W2'!$M$12:$R$112*('W2'!$M$7:$R$7=$A376)*('W2'!$A$12:$A$112=$B376))*AD353*$H$10*POWER(1+INDEX('Cover Page'!$H$8:$W$8,MATCH($A353,'Cover Page'!$H$5:$W$5,0)),1+AD$13)</f>
        <v>-224016.79154123599</v>
      </c>
      <c r="AE376" s="556" cm="1">
        <f t="array" ref="AE376">-SUMPRODUCT('W2'!$M$12:$R$112*('W2'!$M$7:$R$7=$A376)*('W2'!$A$12:$A$112=$B376))*AE353*$H$10*POWER(1+INDEX('Cover Page'!$H$8:$W$8,MATCH($A353,'Cover Page'!$H$5:$W$5,0)),1+AE$13)</f>
        <v>-228497.12737206067</v>
      </c>
      <c r="AF376" s="556" cm="1">
        <f t="array" ref="AF376">-SUMPRODUCT('W2'!$M$12:$R$112*('W2'!$M$7:$R$7=$A376)*('W2'!$A$12:$A$112=$B376))*AF353*$H$10*POWER(1+INDEX('Cover Page'!$H$8:$W$8,MATCH($A353,'Cover Page'!$H$5:$W$5,0)),1+AF$13)</f>
        <v>-233067.06991950187</v>
      </c>
      <c r="AG376" s="556" cm="1">
        <f t="array" ref="AG376">-SUMPRODUCT('W2'!$M$12:$R$112*('W2'!$M$7:$R$7=$A376)*('W2'!$A$12:$A$112=$B376))*AG353*$H$10*POWER(1+INDEX('Cover Page'!$H$8:$W$8,MATCH($A353,'Cover Page'!$H$5:$W$5,0)),1+AG$13)</f>
        <v>-237728.41131789194</v>
      </c>
      <c r="AH376" s="556" cm="1">
        <f t="array" ref="AH376">-SUMPRODUCT('W2'!$M$12:$R$112*('W2'!$M$7:$R$7=$A376)*('W2'!$A$12:$A$112=$B376))*AH353*$H$10*POWER(1+INDEX('Cover Page'!$H$8:$W$8,MATCH($A353,'Cover Page'!$H$5:$W$5,0)),1+AH$13)</f>
        <v>-242482.97954424977</v>
      </c>
      <c r="AI376" s="556" cm="1">
        <f t="array" ref="AI376">-SUMPRODUCT('W2'!$M$12:$R$112*('W2'!$M$7:$R$7=$A376)*('W2'!$A$12:$A$112=$B376))*AI353*$H$10*POWER(1+INDEX('Cover Page'!$H$8:$W$8,MATCH($A353,'Cover Page'!$H$5:$W$5,0)),1+AI$13)</f>
        <v>-247332.63913513478</v>
      </c>
      <c r="AJ376" s="556" cm="1">
        <f t="array" ref="AJ376">-SUMPRODUCT('W2'!$M$12:$R$112*('W2'!$M$7:$R$7=$A376)*('W2'!$A$12:$A$112=$B376))*AJ353*$H$10*POWER(1+INDEX('Cover Page'!$H$8:$W$8,MATCH($A353,'Cover Page'!$H$5:$W$5,0)),1+AJ$13)</f>
        <v>-252279.29191783743</v>
      </c>
    </row>
    <row r="377" spans="1:36" s="299" customFormat="1" hidden="1" x14ac:dyDescent="0.25">
      <c r="A377" s="299" t="s">
        <v>424</v>
      </c>
      <c r="H377" s="554" t="s">
        <v>203</v>
      </c>
      <c r="I377" s="555" t="str">
        <f t="shared" si="632"/>
        <v>tr. VND</v>
      </c>
      <c r="K377" s="640"/>
      <c r="L377" s="640">
        <f>L376/(1-L351)-L376</f>
        <v>-6020.9185009453649</v>
      </c>
      <c r="M377" s="640">
        <f t="shared" ref="M377:AJ377" si="659">M376/(1-M351)-M376</f>
        <v>-8429.2859013235138</v>
      </c>
      <c r="N377" s="640">
        <f t="shared" si="659"/>
        <v>-12282.673741928535</v>
      </c>
      <c r="O377" s="640">
        <f t="shared" si="659"/>
        <v>-12528.327216767124</v>
      </c>
      <c r="P377" s="640">
        <f t="shared" si="659"/>
        <v>-12778.893761102459</v>
      </c>
      <c r="Q377" s="640">
        <f t="shared" si="659"/>
        <v>-13034.47163632451</v>
      </c>
      <c r="R377" s="640">
        <f t="shared" si="659"/>
        <v>-13295.161069050984</v>
      </c>
      <c r="S377" s="640">
        <f t="shared" si="659"/>
        <v>-13561.064290432027</v>
      </c>
      <c r="T377" s="640">
        <f t="shared" si="659"/>
        <v>-13832.285576240654</v>
      </c>
      <c r="U377" s="640">
        <f t="shared" si="659"/>
        <v>-14108.931287765474</v>
      </c>
      <c r="V377" s="640">
        <f t="shared" si="659"/>
        <v>-14391.109913520777</v>
      </c>
      <c r="W377" s="640">
        <f t="shared" si="659"/>
        <v>-14678.93211179119</v>
      </c>
      <c r="X377" s="640">
        <f t="shared" si="659"/>
        <v>-14972.510754027026</v>
      </c>
      <c r="Y377" s="640">
        <f t="shared" si="659"/>
        <v>-15271.960969107575</v>
      </c>
      <c r="Z377" s="640">
        <f t="shared" si="659"/>
        <v>-15577.400188489701</v>
      </c>
      <c r="AA377" s="640">
        <f t="shared" si="659"/>
        <v>-15888.948192259501</v>
      </c>
      <c r="AB377" s="640">
        <f t="shared" si="659"/>
        <v>-16206.727156104695</v>
      </c>
      <c r="AC377" s="640">
        <f t="shared" si="659"/>
        <v>-16530.861699226778</v>
      </c>
      <c r="AD377" s="640">
        <f t="shared" si="659"/>
        <v>-16861.478933211329</v>
      </c>
      <c r="AE377" s="640">
        <f t="shared" si="659"/>
        <v>-17198.708511875564</v>
      </c>
      <c r="AF377" s="640">
        <f t="shared" si="659"/>
        <v>-17542.682682113053</v>
      </c>
      <c r="AG377" s="640">
        <f t="shared" si="659"/>
        <v>-17893.536335755314</v>
      </c>
      <c r="AH377" s="640">
        <f t="shared" si="659"/>
        <v>-18251.407062470418</v>
      </c>
      <c r="AI377" s="640">
        <f t="shared" si="659"/>
        <v>-18616.435203719855</v>
      </c>
      <c r="AJ377" s="640">
        <f t="shared" si="659"/>
        <v>-18988.763907794229</v>
      </c>
    </row>
    <row r="378" spans="1:36" hidden="1" x14ac:dyDescent="0.25">
      <c r="A378" t="s">
        <v>424</v>
      </c>
      <c r="H378" s="454" t="s">
        <v>676</v>
      </c>
      <c r="I378" s="497" t="s">
        <v>672</v>
      </c>
      <c r="K378" s="617">
        <f t="shared" ref="K378" si="660">SUM(K379:K380)</f>
        <v>0</v>
      </c>
      <c r="L378" s="617">
        <f t="shared" ref="L378" si="661">SUM(L379:L380)</f>
        <v>-632.43325753344004</v>
      </c>
      <c r="M378" s="617">
        <f t="shared" ref="M378" si="662">SUM(M379:M380)</f>
        <v>-885.40656054681608</v>
      </c>
      <c r="N378" s="617">
        <f t="shared" ref="N378" si="663">SUM(N379:N380)</f>
        <v>-1328.1098408202242</v>
      </c>
      <c r="O378" s="617">
        <f t="shared" ref="O378" si="664">SUM(O379:O380)</f>
        <v>-1394.5153328612353</v>
      </c>
      <c r="P378" s="617">
        <f t="shared" ref="P378" si="665">SUM(P379:P380)</f>
        <v>-1464.2410995042972</v>
      </c>
      <c r="Q378" s="617">
        <f t="shared" ref="Q378" si="666">SUM(Q379:Q380)</f>
        <v>-1537.453154479512</v>
      </c>
      <c r="R378" s="617">
        <f t="shared" ref="R378" si="667">SUM(R379:R380)</f>
        <v>-1614.3258122034877</v>
      </c>
      <c r="S378" s="617">
        <f t="shared" ref="S378" si="668">SUM(S379:S380)</f>
        <v>-1695.0421028136618</v>
      </c>
      <c r="T378" s="617">
        <f t="shared" ref="T378" si="669">SUM(T379:T380)</f>
        <v>-1779.7942079543452</v>
      </c>
      <c r="U378" s="617">
        <f t="shared" ref="U378" si="670">SUM(U379:U380)</f>
        <v>-1868.7839183520623</v>
      </c>
      <c r="V378" s="617">
        <f t="shared" ref="V378" si="671">SUM(V379:V380)</f>
        <v>-1962.2231142696655</v>
      </c>
      <c r="W378" s="617">
        <f t="shared" ref="W378" si="672">SUM(W379:W380)</f>
        <v>-2060.3342699831487</v>
      </c>
      <c r="X378" s="617">
        <f t="shared" ref="X378" si="673">SUM(X379:X380)</f>
        <v>-2163.3509834823062</v>
      </c>
      <c r="Y378" s="617">
        <f t="shared" ref="Y378" si="674">SUM(Y379:Y380)</f>
        <v>-2271.5185326564215</v>
      </c>
      <c r="Z378" s="617">
        <f t="shared" ref="Z378" si="675">SUM(Z379:Z380)</f>
        <v>-2385.0944592892429</v>
      </c>
      <c r="AA378" s="617">
        <f t="shared" ref="AA378" si="676">SUM(AA379:AA380)</f>
        <v>-2504.3491822537044</v>
      </c>
      <c r="AB378" s="617">
        <f t="shared" ref="AB378" si="677">SUM(AB379:AB380)</f>
        <v>-2629.5666413663907</v>
      </c>
      <c r="AC378" s="617">
        <f t="shared" ref="AC378" si="678">SUM(AC379:AC380)</f>
        <v>-2761.0449734347098</v>
      </c>
      <c r="AD378" s="617">
        <f t="shared" ref="AD378" si="679">SUM(AD379:AD380)</f>
        <v>-2899.0972221064458</v>
      </c>
      <c r="AE378" s="617">
        <f t="shared" ref="AE378" si="680">SUM(AE379:AE380)</f>
        <v>-3044.0520832117677</v>
      </c>
      <c r="AF378" s="617">
        <f t="shared" ref="AF378" si="681">SUM(AF379:AF380)</f>
        <v>-3196.2546873723563</v>
      </c>
      <c r="AG378" s="617">
        <f t="shared" ref="AG378" si="682">SUM(AG379:AG380)</f>
        <v>-3356.0674217409742</v>
      </c>
      <c r="AH378" s="617">
        <f t="shared" ref="AH378" si="683">SUM(AH379:AH380)</f>
        <v>-3523.8707928280228</v>
      </c>
      <c r="AI378" s="617">
        <f t="shared" ref="AI378" si="684">SUM(AI379:AI380)</f>
        <v>-3700.0643324694233</v>
      </c>
      <c r="AJ378" s="617">
        <f t="shared" ref="AJ378" si="685">SUM(AJ379:AJ380)</f>
        <v>-3885.0675490928957</v>
      </c>
    </row>
    <row r="379" spans="1:36" s="299" customFormat="1" hidden="1" x14ac:dyDescent="0.25">
      <c r="A379" s="299" t="s">
        <v>424</v>
      </c>
      <c r="B379" s="299" t="s">
        <v>667</v>
      </c>
      <c r="H379" s="554" t="s">
        <v>673</v>
      </c>
      <c r="I379" s="555" t="s">
        <v>672</v>
      </c>
      <c r="K379" s="556"/>
      <c r="L379" s="556" cm="1">
        <f t="array" ref="L379">-SUMPRODUCT('W2'!$M$12:$R$112*('W2'!$M$7:$R$7=$A379)*('W2'!$A$12:$A$112=$B379))*L359*$H$10*POWER(1+Inflation,L$11+1)</f>
        <v>-632.43325753344004</v>
      </c>
      <c r="M379" s="556" cm="1">
        <f t="array" ref="M379">-SUMPRODUCT('W2'!$M$12:$R$112*('W2'!$M$7:$R$7=$A379)*('W2'!$A$12:$A$112=$B379))*M359*$H$10*POWER(1+Inflation,M$11+1)</f>
        <v>-885.40656054681608</v>
      </c>
      <c r="N379" s="556" cm="1">
        <f t="array" ref="N379">-SUMPRODUCT('W2'!$M$12:$R$112*('W2'!$M$7:$R$7=$A379)*('W2'!$A$12:$A$112=$B379))*N359*$H$10*POWER(1+Inflation,N$11+1)</f>
        <v>-1328.1098408202242</v>
      </c>
      <c r="O379" s="556" cm="1">
        <f t="array" ref="O379">-SUMPRODUCT('W2'!$M$12:$R$112*('W2'!$M$7:$R$7=$A379)*('W2'!$A$12:$A$112=$B379))*O359*$H$10*POWER(1+Inflation,O$11+1)</f>
        <v>-1394.5153328612353</v>
      </c>
      <c r="P379" s="556" cm="1">
        <f t="array" ref="P379">-SUMPRODUCT('W2'!$M$12:$R$112*('W2'!$M$7:$R$7=$A379)*('W2'!$A$12:$A$112=$B379))*P359*$H$10*POWER(1+Inflation,P$11+1)</f>
        <v>-1464.2410995042972</v>
      </c>
      <c r="Q379" s="556" cm="1">
        <f t="array" ref="Q379">-SUMPRODUCT('W2'!$M$12:$R$112*('W2'!$M$7:$R$7=$A379)*('W2'!$A$12:$A$112=$B379))*Q359*$H$10*POWER(1+Inflation,Q$11+1)</f>
        <v>-1537.453154479512</v>
      </c>
      <c r="R379" s="556" cm="1">
        <f t="array" ref="R379">-SUMPRODUCT('W2'!$M$12:$R$112*('W2'!$M$7:$R$7=$A379)*('W2'!$A$12:$A$112=$B379))*R359*$H$10*POWER(1+Inflation,R$11+1)</f>
        <v>-1614.3258122034877</v>
      </c>
      <c r="S379" s="556" cm="1">
        <f t="array" ref="S379">-SUMPRODUCT('W2'!$M$12:$R$112*('W2'!$M$7:$R$7=$A379)*('W2'!$A$12:$A$112=$B379))*S359*$H$10*POWER(1+Inflation,S$11+1)</f>
        <v>-1695.0421028136618</v>
      </c>
      <c r="T379" s="556" cm="1">
        <f t="array" ref="T379">-SUMPRODUCT('W2'!$M$12:$R$112*('W2'!$M$7:$R$7=$A379)*('W2'!$A$12:$A$112=$B379))*T359*$H$10*POWER(1+Inflation,T$11+1)</f>
        <v>-1779.7942079543452</v>
      </c>
      <c r="U379" s="556" cm="1">
        <f t="array" ref="U379">-SUMPRODUCT('W2'!$M$12:$R$112*('W2'!$M$7:$R$7=$A379)*('W2'!$A$12:$A$112=$B379))*U359*$H$10*POWER(1+Inflation,U$11+1)</f>
        <v>-1868.7839183520623</v>
      </c>
      <c r="V379" s="556" cm="1">
        <f t="array" ref="V379">-SUMPRODUCT('W2'!$M$12:$R$112*('W2'!$M$7:$R$7=$A379)*('W2'!$A$12:$A$112=$B379))*V359*$H$10*POWER(1+Inflation,V$11+1)</f>
        <v>-1962.2231142696655</v>
      </c>
      <c r="W379" s="556" cm="1">
        <f t="array" ref="W379">-SUMPRODUCT('W2'!$M$12:$R$112*('W2'!$M$7:$R$7=$A379)*('W2'!$A$12:$A$112=$B379))*W359*$H$10*POWER(1+Inflation,W$11+1)</f>
        <v>-2060.3342699831487</v>
      </c>
      <c r="X379" s="556" cm="1">
        <f t="array" ref="X379">-SUMPRODUCT('W2'!$M$12:$R$112*('W2'!$M$7:$R$7=$A379)*('W2'!$A$12:$A$112=$B379))*X359*$H$10*POWER(1+Inflation,X$11+1)</f>
        <v>-2163.3509834823062</v>
      </c>
      <c r="Y379" s="556" cm="1">
        <f t="array" ref="Y379">-SUMPRODUCT('W2'!$M$12:$R$112*('W2'!$M$7:$R$7=$A379)*('W2'!$A$12:$A$112=$B379))*Y359*$H$10*POWER(1+Inflation,Y$11+1)</f>
        <v>-2271.5185326564215</v>
      </c>
      <c r="Z379" s="556" cm="1">
        <f t="array" ref="Z379">-SUMPRODUCT('W2'!$M$12:$R$112*('W2'!$M$7:$R$7=$A379)*('W2'!$A$12:$A$112=$B379))*Z359*$H$10*POWER(1+Inflation,Z$11+1)</f>
        <v>-2385.0944592892429</v>
      </c>
      <c r="AA379" s="556" cm="1">
        <f t="array" ref="AA379">-SUMPRODUCT('W2'!$M$12:$R$112*('W2'!$M$7:$R$7=$A379)*('W2'!$A$12:$A$112=$B379))*AA359*$H$10*POWER(1+Inflation,AA$11+1)</f>
        <v>-2504.3491822537044</v>
      </c>
      <c r="AB379" s="556" cm="1">
        <f t="array" ref="AB379">-SUMPRODUCT('W2'!$M$12:$R$112*('W2'!$M$7:$R$7=$A379)*('W2'!$A$12:$A$112=$B379))*AB359*$H$10*POWER(1+Inflation,AB$11+1)</f>
        <v>-2629.5666413663907</v>
      </c>
      <c r="AC379" s="556" cm="1">
        <f t="array" ref="AC379">-SUMPRODUCT('W2'!$M$12:$R$112*('W2'!$M$7:$R$7=$A379)*('W2'!$A$12:$A$112=$B379))*AC359*$H$10*POWER(1+Inflation,AC$11+1)</f>
        <v>-2761.0449734347098</v>
      </c>
      <c r="AD379" s="556" cm="1">
        <f t="array" ref="AD379">-SUMPRODUCT('W2'!$M$12:$R$112*('W2'!$M$7:$R$7=$A379)*('W2'!$A$12:$A$112=$B379))*AD359*$H$10*POWER(1+Inflation,AD$11+1)</f>
        <v>-2899.0972221064458</v>
      </c>
      <c r="AE379" s="556" cm="1">
        <f t="array" ref="AE379">-SUMPRODUCT('W2'!$M$12:$R$112*('W2'!$M$7:$R$7=$A379)*('W2'!$A$12:$A$112=$B379))*AE359*$H$10*POWER(1+Inflation,AE$11+1)</f>
        <v>-3044.0520832117677</v>
      </c>
      <c r="AF379" s="556" cm="1">
        <f t="array" ref="AF379">-SUMPRODUCT('W2'!$M$12:$R$112*('W2'!$M$7:$R$7=$A379)*('W2'!$A$12:$A$112=$B379))*AF359*$H$10*POWER(1+Inflation,AF$11+1)</f>
        <v>-3196.2546873723563</v>
      </c>
      <c r="AG379" s="556" cm="1">
        <f t="array" ref="AG379">-SUMPRODUCT('W2'!$M$12:$R$112*('W2'!$M$7:$R$7=$A379)*('W2'!$A$12:$A$112=$B379))*AG359*$H$10*POWER(1+Inflation,AG$11+1)</f>
        <v>-3356.0674217409742</v>
      </c>
      <c r="AH379" s="556" cm="1">
        <f t="array" ref="AH379">-SUMPRODUCT('W2'!$M$12:$R$112*('W2'!$M$7:$R$7=$A379)*('W2'!$A$12:$A$112=$B379))*AH359*$H$10*POWER(1+Inflation,AH$11+1)</f>
        <v>-3523.8707928280228</v>
      </c>
      <c r="AI379" s="556" cm="1">
        <f t="array" ref="AI379">-SUMPRODUCT('W2'!$M$12:$R$112*('W2'!$M$7:$R$7=$A379)*('W2'!$A$12:$A$112=$B379))*AI359*$H$10*POWER(1+Inflation,AI$11+1)</f>
        <v>-3700.0643324694233</v>
      </c>
      <c r="AJ379" s="556" cm="1">
        <f t="array" ref="AJ379">-SUMPRODUCT('W2'!$M$12:$R$112*('W2'!$M$7:$R$7=$A379)*('W2'!$A$12:$A$112=$B379))*AJ359*$H$10*POWER(1+Inflation,AJ$11+1)</f>
        <v>-3885.0675490928957</v>
      </c>
    </row>
    <row r="380" spans="1:36" s="299" customFormat="1" hidden="1" x14ac:dyDescent="0.25">
      <c r="A380" s="299" t="s">
        <v>424</v>
      </c>
      <c r="B380" s="299" t="s">
        <v>668</v>
      </c>
      <c r="H380" s="554" t="s">
        <v>674</v>
      </c>
      <c r="I380" s="555" t="s">
        <v>672</v>
      </c>
      <c r="K380" s="556"/>
      <c r="L380" s="556" cm="1">
        <f t="array" ref="L380">-SUMPRODUCT('W2'!$M$12:$R$112*('W2'!$M$7:$R$7=$A380)*('W2'!$A$12:$A$112=$B380))*L360*$H$10*POWER(1+Inflation,L$11+1)</f>
        <v>0</v>
      </c>
      <c r="M380" s="556" cm="1">
        <f t="array" ref="M380">-SUMPRODUCT('W2'!$M$12:$R$112*('W2'!$M$7:$R$7=$A380)*('W2'!$A$12:$A$112=$B380))*M360*$H$10*POWER(1+Inflation,M$11+1)</f>
        <v>0</v>
      </c>
      <c r="N380" s="556" cm="1">
        <f t="array" ref="N380">-SUMPRODUCT('W2'!$M$12:$R$112*('W2'!$M$7:$R$7=$A380)*('W2'!$A$12:$A$112=$B380))*N360*$H$10*POWER(1+Inflation,N$11+1)</f>
        <v>0</v>
      </c>
      <c r="O380" s="556" cm="1">
        <f t="array" ref="O380">-SUMPRODUCT('W2'!$M$12:$R$112*('W2'!$M$7:$R$7=$A380)*('W2'!$A$12:$A$112=$B380))*O360*$H$10*POWER(1+Inflation,O$11+1)</f>
        <v>0</v>
      </c>
      <c r="P380" s="556" cm="1">
        <f t="array" ref="P380">-SUMPRODUCT('W2'!$M$12:$R$112*('W2'!$M$7:$R$7=$A380)*('W2'!$A$12:$A$112=$B380))*P360*$H$10*POWER(1+Inflation,P$11+1)</f>
        <v>0</v>
      </c>
      <c r="Q380" s="556" cm="1">
        <f t="array" ref="Q380">-SUMPRODUCT('W2'!$M$12:$R$112*('W2'!$M$7:$R$7=$A380)*('W2'!$A$12:$A$112=$B380))*Q360*$H$10*POWER(1+Inflation,Q$11+1)</f>
        <v>0</v>
      </c>
      <c r="R380" s="556" cm="1">
        <f t="array" ref="R380">-SUMPRODUCT('W2'!$M$12:$R$112*('W2'!$M$7:$R$7=$A380)*('W2'!$A$12:$A$112=$B380))*R360*$H$10*POWER(1+Inflation,R$11+1)</f>
        <v>0</v>
      </c>
      <c r="S380" s="556" cm="1">
        <f t="array" ref="S380">-SUMPRODUCT('W2'!$M$12:$R$112*('W2'!$M$7:$R$7=$A380)*('W2'!$A$12:$A$112=$B380))*S360*$H$10*POWER(1+Inflation,S$11+1)</f>
        <v>0</v>
      </c>
      <c r="T380" s="556" cm="1">
        <f t="array" ref="T380">-SUMPRODUCT('W2'!$M$12:$R$112*('W2'!$M$7:$R$7=$A380)*('W2'!$A$12:$A$112=$B380))*T360*$H$10*POWER(1+Inflation,T$11+1)</f>
        <v>0</v>
      </c>
      <c r="U380" s="556" cm="1">
        <f t="array" ref="U380">-SUMPRODUCT('W2'!$M$12:$R$112*('W2'!$M$7:$R$7=$A380)*('W2'!$A$12:$A$112=$B380))*U360*$H$10*POWER(1+Inflation,U$11+1)</f>
        <v>0</v>
      </c>
      <c r="V380" s="556" cm="1">
        <f t="array" ref="V380">-SUMPRODUCT('W2'!$M$12:$R$112*('W2'!$M$7:$R$7=$A380)*('W2'!$A$12:$A$112=$B380))*V360*$H$10*POWER(1+Inflation,V$11+1)</f>
        <v>0</v>
      </c>
      <c r="W380" s="556" cm="1">
        <f t="array" ref="W380">-SUMPRODUCT('W2'!$M$12:$R$112*('W2'!$M$7:$R$7=$A380)*('W2'!$A$12:$A$112=$B380))*W360*$H$10*POWER(1+Inflation,W$11+1)</f>
        <v>0</v>
      </c>
      <c r="X380" s="556" cm="1">
        <f t="array" ref="X380">-SUMPRODUCT('W2'!$M$12:$R$112*('W2'!$M$7:$R$7=$A380)*('W2'!$A$12:$A$112=$B380))*X360*$H$10*POWER(1+Inflation,X$11+1)</f>
        <v>0</v>
      </c>
      <c r="Y380" s="556" cm="1">
        <f t="array" ref="Y380">-SUMPRODUCT('W2'!$M$12:$R$112*('W2'!$M$7:$R$7=$A380)*('W2'!$A$12:$A$112=$B380))*Y360*$H$10*POWER(1+Inflation,Y$11+1)</f>
        <v>0</v>
      </c>
      <c r="Z380" s="556" cm="1">
        <f t="array" ref="Z380">-SUMPRODUCT('W2'!$M$12:$R$112*('W2'!$M$7:$R$7=$A380)*('W2'!$A$12:$A$112=$B380))*Z360*$H$10*POWER(1+Inflation,Z$11+1)</f>
        <v>0</v>
      </c>
      <c r="AA380" s="556" cm="1">
        <f t="array" ref="AA380">-SUMPRODUCT('W2'!$M$12:$R$112*('W2'!$M$7:$R$7=$A380)*('W2'!$A$12:$A$112=$B380))*AA360*$H$10*POWER(1+Inflation,AA$11+1)</f>
        <v>0</v>
      </c>
      <c r="AB380" s="556" cm="1">
        <f t="array" ref="AB380">-SUMPRODUCT('W2'!$M$12:$R$112*('W2'!$M$7:$R$7=$A380)*('W2'!$A$12:$A$112=$B380))*AB360*$H$10*POWER(1+Inflation,AB$11+1)</f>
        <v>0</v>
      </c>
      <c r="AC380" s="556" cm="1">
        <f t="array" ref="AC380">-SUMPRODUCT('W2'!$M$12:$R$112*('W2'!$M$7:$R$7=$A380)*('W2'!$A$12:$A$112=$B380))*AC360*$H$10*POWER(1+Inflation,AC$11+1)</f>
        <v>0</v>
      </c>
      <c r="AD380" s="556" cm="1">
        <f t="array" ref="AD380">-SUMPRODUCT('W2'!$M$12:$R$112*('W2'!$M$7:$R$7=$A380)*('W2'!$A$12:$A$112=$B380))*AD360*$H$10*POWER(1+Inflation,AD$11+1)</f>
        <v>0</v>
      </c>
      <c r="AE380" s="556" cm="1">
        <f t="array" ref="AE380">-SUMPRODUCT('W2'!$M$12:$R$112*('W2'!$M$7:$R$7=$A380)*('W2'!$A$12:$A$112=$B380))*AE360*$H$10*POWER(1+Inflation,AE$11+1)</f>
        <v>0</v>
      </c>
      <c r="AF380" s="556" cm="1">
        <f t="array" ref="AF380">-SUMPRODUCT('W2'!$M$12:$R$112*('W2'!$M$7:$R$7=$A380)*('W2'!$A$12:$A$112=$B380))*AF360*$H$10*POWER(1+Inflation,AF$11+1)</f>
        <v>0</v>
      </c>
      <c r="AG380" s="556" cm="1">
        <f t="array" ref="AG380">-SUMPRODUCT('W2'!$M$12:$R$112*('W2'!$M$7:$R$7=$A380)*('W2'!$A$12:$A$112=$B380))*AG360*$H$10*POWER(1+Inflation,AG$11+1)</f>
        <v>0</v>
      </c>
      <c r="AH380" s="556" cm="1">
        <f t="array" ref="AH380">-SUMPRODUCT('W2'!$M$12:$R$112*('W2'!$M$7:$R$7=$A380)*('W2'!$A$12:$A$112=$B380))*AH360*$H$10*POWER(1+Inflation,AH$11+1)</f>
        <v>0</v>
      </c>
      <c r="AI380" s="556" cm="1">
        <f t="array" ref="AI380">-SUMPRODUCT('W2'!$M$12:$R$112*('W2'!$M$7:$R$7=$A380)*('W2'!$A$12:$A$112=$B380))*AI360*$H$10*POWER(1+Inflation,AI$11+1)</f>
        <v>0</v>
      </c>
      <c r="AJ380" s="556" cm="1">
        <f t="array" ref="AJ380">-SUMPRODUCT('W2'!$M$12:$R$112*('W2'!$M$7:$R$7=$A380)*('W2'!$A$12:$A$112=$B380))*AJ360*$H$10*POWER(1+Inflation,AJ$11+1)</f>
        <v>0</v>
      </c>
    </row>
    <row r="381" spans="1:36" hidden="1" x14ac:dyDescent="0.25">
      <c r="A381" t="s">
        <v>424</v>
      </c>
      <c r="H381" s="454" t="s">
        <v>180</v>
      </c>
      <c r="I381" s="497" t="str">
        <f t="shared" ref="I381:I384" si="686">IF($H$9="USD","USD","tr. VND")</f>
        <v>tr. VND</v>
      </c>
      <c r="K381" s="617">
        <f>SUM(K382:K384)</f>
        <v>0</v>
      </c>
      <c r="L381" s="617">
        <f>SUM(L382:L384)</f>
        <v>-8832.2570462080002</v>
      </c>
      <c r="M381" s="617">
        <f t="shared" ref="M381:AJ381" si="687">SUM(M382:M384)</f>
        <v>-11466.064648691197</v>
      </c>
      <c r="N381" s="617">
        <f t="shared" si="687"/>
        <v>-16117.600199036799</v>
      </c>
      <c r="O381" s="617">
        <f t="shared" si="687"/>
        <v>-16853.46555298864</v>
      </c>
      <c r="P381" s="617">
        <f t="shared" si="687"/>
        <v>-17626.124174638077</v>
      </c>
      <c r="Q381" s="617">
        <f t="shared" si="687"/>
        <v>-18437.415727369975</v>
      </c>
      <c r="R381" s="617">
        <f t="shared" si="687"/>
        <v>-19289.271857738477</v>
      </c>
      <c r="S381" s="617">
        <f t="shared" si="687"/>
        <v>-20183.720794625395</v>
      </c>
      <c r="T381" s="617">
        <f t="shared" si="687"/>
        <v>-21122.892178356669</v>
      </c>
      <c r="U381" s="617">
        <f t="shared" si="687"/>
        <v>-22109.022131274498</v>
      </c>
      <c r="V381" s="617">
        <f t="shared" si="687"/>
        <v>-23144.458581838226</v>
      </c>
      <c r="W381" s="617">
        <f t="shared" si="687"/>
        <v>-24231.666854930136</v>
      </c>
      <c r="X381" s="617">
        <f t="shared" si="687"/>
        <v>-24251.855541676647</v>
      </c>
      <c r="Y381" s="617">
        <f t="shared" si="687"/>
        <v>-25450.502662760475</v>
      </c>
      <c r="Z381" s="617">
        <f t="shared" si="687"/>
        <v>-26709.082139898503</v>
      </c>
      <c r="AA381" s="617">
        <f t="shared" si="687"/>
        <v>-28030.590590893426</v>
      </c>
      <c r="AB381" s="617">
        <f t="shared" si="687"/>
        <v>-29418.174464438103</v>
      </c>
      <c r="AC381" s="617">
        <f t="shared" si="687"/>
        <v>-30875.137531660006</v>
      </c>
      <c r="AD381" s="617">
        <f t="shared" si="687"/>
        <v>-32404.948752243014</v>
      </c>
      <c r="AE381" s="617">
        <f t="shared" si="687"/>
        <v>-34011.250533855164</v>
      </c>
      <c r="AF381" s="617">
        <f t="shared" si="687"/>
        <v>-35697.86740454792</v>
      </c>
      <c r="AG381" s="617">
        <f t="shared" si="687"/>
        <v>-37468.81511877531</v>
      </c>
      <c r="AH381" s="617">
        <f t="shared" si="687"/>
        <v>-39328.310218714083</v>
      </c>
      <c r="AI381" s="617">
        <f t="shared" si="687"/>
        <v>-41280.780073649774</v>
      </c>
      <c r="AJ381" s="617">
        <f t="shared" si="687"/>
        <v>-43330.873421332275</v>
      </c>
    </row>
    <row r="382" spans="1:36" s="299" customFormat="1" hidden="1" x14ac:dyDescent="0.25">
      <c r="A382" s="299" t="s">
        <v>424</v>
      </c>
      <c r="B382" s="299" t="s">
        <v>174</v>
      </c>
      <c r="H382" s="554" t="s">
        <v>73</v>
      </c>
      <c r="I382" s="555" t="str">
        <f t="shared" si="686"/>
        <v>tr. VND</v>
      </c>
      <c r="K382" s="556"/>
      <c r="L382" s="556" cm="1">
        <f t="array" ref="L382">-SUMPRODUCT('W2'!$M$12:$R$112*('W2'!$M$7:$R$7=$A382)*('W2'!$A$12:$A$112=$B382))*L352*24*$H$10*POWER(1+Inflation,L$11+1)</f>
        <v>-5307.5087999999996</v>
      </c>
      <c r="M382" s="556" cm="1">
        <f t="array" ref="M382">-SUMPRODUCT('W2'!$M$12:$R$112*('W2'!$M$7:$R$7=$A382)*('W2'!$A$12:$A$112=$B382))*M352*24*$H$10*POWER(1+Inflation,M$11+1)</f>
        <v>-7430.512319999998</v>
      </c>
      <c r="N382" s="556" cm="1">
        <f t="array" ref="N382">-SUMPRODUCT('W2'!$M$12:$R$112*('W2'!$M$7:$R$7=$A382)*('W2'!$A$12:$A$112=$B382))*N352*24*$H$10*POWER(1+Inflation,N$11+1)</f>
        <v>-11145.768479999999</v>
      </c>
      <c r="O382" s="556" cm="1">
        <f t="array" ref="O382">-SUMPRODUCT('W2'!$M$12:$R$112*('W2'!$M$7:$R$7=$A382)*('W2'!$A$12:$A$112=$B382))*O352*24*$H$10*POWER(1+Inflation,O$11+1)</f>
        <v>-11703.056903999999</v>
      </c>
      <c r="P382" s="556" cm="1">
        <f t="array" ref="P382">-SUMPRODUCT('W2'!$M$12:$R$112*('W2'!$M$7:$R$7=$A382)*('W2'!$A$12:$A$112=$B382))*P352*24*$H$10*POWER(1+Inflation,P$11+1)</f>
        <v>-12288.209749200001</v>
      </c>
      <c r="Q382" s="556" cm="1">
        <f t="array" ref="Q382">-SUMPRODUCT('W2'!$M$12:$R$112*('W2'!$M$7:$R$7=$A382)*('W2'!$A$12:$A$112=$B382))*Q352*24*$H$10*POWER(1+Inflation,Q$11+1)</f>
        <v>-12902.620236659999</v>
      </c>
      <c r="R382" s="556" cm="1">
        <f t="array" ref="R382">-SUMPRODUCT('W2'!$M$12:$R$112*('W2'!$M$7:$R$7=$A382)*('W2'!$A$12:$A$112=$B382))*R352*24*$H$10*POWER(1+Inflation,R$11+1)</f>
        <v>-13547.751248493001</v>
      </c>
      <c r="S382" s="556" cm="1">
        <f t="array" ref="S382">-SUMPRODUCT('W2'!$M$12:$R$112*('W2'!$M$7:$R$7=$A382)*('W2'!$A$12:$A$112=$B382))*S352*24*$H$10*POWER(1+Inflation,S$11+1)</f>
        <v>-14225.138810917648</v>
      </c>
      <c r="T382" s="556" cm="1">
        <f t="array" ref="T382">-SUMPRODUCT('W2'!$M$12:$R$112*('W2'!$M$7:$R$7=$A382)*('W2'!$A$12:$A$112=$B382))*T352*24*$H$10*POWER(1+Inflation,T$11+1)</f>
        <v>-14936.395751463533</v>
      </c>
      <c r="U382" s="556" cm="1">
        <f t="array" ref="U382">-SUMPRODUCT('W2'!$M$12:$R$112*('W2'!$M$7:$R$7=$A382)*('W2'!$A$12:$A$112=$B382))*U352*24*$H$10*POWER(1+Inflation,U$11+1)</f>
        <v>-15683.215539036708</v>
      </c>
      <c r="V382" s="556" cm="1">
        <f t="array" ref="V382">-SUMPRODUCT('W2'!$M$12:$R$112*('W2'!$M$7:$R$7=$A382)*('W2'!$A$12:$A$112=$B382))*V352*24*$H$10*POWER(1+Inflation,V$11+1)</f>
        <v>-16467.376315988546</v>
      </c>
      <c r="W382" s="556" cm="1">
        <f t="array" ref="W382">-SUMPRODUCT('W2'!$M$12:$R$112*('W2'!$M$7:$R$7=$A382)*('W2'!$A$12:$A$112=$B382))*W352*24*$H$10*POWER(1+Inflation,W$11+1)</f>
        <v>-17290.745131787971</v>
      </c>
      <c r="X382" s="556" cm="1">
        <f t="array" ref="X382">-SUMPRODUCT('W2'!$M$12:$R$112*('W2'!$M$7:$R$7=$A382)*('W2'!$A$12:$A$112=$B382))*X352*24*$H$10*POWER(1+Inflation,X$11+1)</f>
        <v>-18155.282388377371</v>
      </c>
      <c r="Y382" s="556" cm="1">
        <f t="array" ref="Y382">-SUMPRODUCT('W2'!$M$12:$R$112*('W2'!$M$7:$R$7=$A382)*('W2'!$A$12:$A$112=$B382))*Y352*24*$H$10*POWER(1+Inflation,Y$11+1)</f>
        <v>-19063.046507796236</v>
      </c>
      <c r="Z382" s="556" cm="1">
        <f t="array" ref="Z382">-SUMPRODUCT('W2'!$M$12:$R$112*('W2'!$M$7:$R$7=$A382)*('W2'!$A$12:$A$112=$B382))*Z352*24*$H$10*POWER(1+Inflation,Z$11+1)</f>
        <v>-20016.198833186052</v>
      </c>
      <c r="AA382" s="556" cm="1">
        <f t="array" ref="AA382">-SUMPRODUCT('W2'!$M$12:$R$112*('W2'!$M$7:$R$7=$A382)*('W2'!$A$12:$A$112=$B382))*AA352*24*$H$10*POWER(1+Inflation,AA$11+1)</f>
        <v>-21017.008774845352</v>
      </c>
      <c r="AB382" s="556" cm="1">
        <f t="array" ref="AB382">-SUMPRODUCT('W2'!$M$12:$R$112*('W2'!$M$7:$R$7=$A382)*('W2'!$A$12:$A$112=$B382))*AB352*24*$H$10*POWER(1+Inflation,AB$11+1)</f>
        <v>-22067.859213587624</v>
      </c>
      <c r="AC382" s="556" cm="1">
        <f t="array" ref="AC382">-SUMPRODUCT('W2'!$M$12:$R$112*('W2'!$M$7:$R$7=$A382)*('W2'!$A$12:$A$112=$B382))*AC352*24*$H$10*POWER(1+Inflation,AC$11+1)</f>
        <v>-23171.252174267003</v>
      </c>
      <c r="AD382" s="556" cm="1">
        <f t="array" ref="AD382">-SUMPRODUCT('W2'!$M$12:$R$112*('W2'!$M$7:$R$7=$A382)*('W2'!$A$12:$A$112=$B382))*AD352*24*$H$10*POWER(1+Inflation,AD$11+1)</f>
        <v>-24329.81478298036</v>
      </c>
      <c r="AE382" s="556" cm="1">
        <f t="array" ref="AE382">-SUMPRODUCT('W2'!$M$12:$R$112*('W2'!$M$7:$R$7=$A382)*('W2'!$A$12:$A$112=$B382))*AE352*24*$H$10*POWER(1+Inflation,AE$11+1)</f>
        <v>-25546.305522129376</v>
      </c>
      <c r="AF382" s="556" cm="1">
        <f t="array" ref="AF382">-SUMPRODUCT('W2'!$M$12:$R$112*('W2'!$M$7:$R$7=$A382)*('W2'!$A$12:$A$112=$B382))*AF352*24*$H$10*POWER(1+Inflation,AF$11+1)</f>
        <v>-26823.620798235846</v>
      </c>
      <c r="AG382" s="556" cm="1">
        <f t="array" ref="AG382">-SUMPRODUCT('W2'!$M$12:$R$112*('W2'!$M$7:$R$7=$A382)*('W2'!$A$12:$A$112=$B382))*AG352*24*$H$10*POWER(1+Inflation,AG$11+1)</f>
        <v>-28164.801838147636</v>
      </c>
      <c r="AH382" s="556" cm="1">
        <f t="array" ref="AH382">-SUMPRODUCT('W2'!$M$12:$R$112*('W2'!$M$7:$R$7=$A382)*('W2'!$A$12:$A$112=$B382))*AH352*24*$H$10*POWER(1+Inflation,AH$11+1)</f>
        <v>-29573.041930055017</v>
      </c>
      <c r="AI382" s="556" cm="1">
        <f t="array" ref="AI382">-SUMPRODUCT('W2'!$M$12:$R$112*('W2'!$M$7:$R$7=$A382)*('W2'!$A$12:$A$112=$B382))*AI352*24*$H$10*POWER(1+Inflation,AI$11+1)</f>
        <v>-31051.694026557765</v>
      </c>
      <c r="AJ382" s="556" cm="1">
        <f t="array" ref="AJ382">-SUMPRODUCT('W2'!$M$12:$R$112*('W2'!$M$7:$R$7=$A382)*('W2'!$A$12:$A$112=$B382))*AJ352*24*$H$10*POWER(1+Inflation,AJ$11+1)</f>
        <v>-32604.278727885659</v>
      </c>
    </row>
    <row r="383" spans="1:36" s="299" customFormat="1" hidden="1" x14ac:dyDescent="0.25">
      <c r="A383" s="299" t="s">
        <v>424</v>
      </c>
      <c r="B383" s="299" t="s">
        <v>462</v>
      </c>
      <c r="H383" s="554" t="s">
        <v>192</v>
      </c>
      <c r="I383" s="555" t="str">
        <f t="shared" si="686"/>
        <v>tr. VND</v>
      </c>
      <c r="K383" s="556"/>
      <c r="L383" s="556" cm="1">
        <f t="array" ref="L383">-SUMPRODUCT('W2'!$M$12:$R$112*('W2'!$M$7:$R$7=$A383)*('W2'!$A$12:$A$112=$B383))*L353*$H$10*POWER(1+Inflation,L$11+1)</f>
        <v>-1023.7594752</v>
      </c>
      <c r="M383" s="556" cm="1">
        <f t="array" ref="M383">-SUMPRODUCT('W2'!$M$12:$R$112*('W2'!$M$7:$R$7=$A383)*('W2'!$A$12:$A$112=$B383))*M353*$H$10*POWER(1+Inflation,M$11+1)</f>
        <v>-1433.2632652799998</v>
      </c>
      <c r="N383" s="556" cm="1">
        <f t="array" ref="N383">-SUMPRODUCT('W2'!$M$12:$R$112*('W2'!$M$7:$R$7=$A383)*('W2'!$A$12:$A$112=$B383))*N353*$H$10*POWER(1+Inflation,N$11+1)</f>
        <v>-2149.8948979199999</v>
      </c>
      <c r="O383" s="556" cm="1">
        <f t="array" ref="O383">-SUMPRODUCT('W2'!$M$12:$R$112*('W2'!$M$7:$R$7=$A383)*('W2'!$A$12:$A$112=$B383))*O353*$H$10*POWER(1+Inflation,O$11+1)</f>
        <v>-2257.3896428160001</v>
      </c>
      <c r="P383" s="556" cm="1">
        <f t="array" ref="P383">-SUMPRODUCT('W2'!$M$12:$R$112*('W2'!$M$7:$R$7=$A383)*('W2'!$A$12:$A$112=$B383))*P353*$H$10*POWER(1+Inflation,P$11+1)</f>
        <v>-2370.2591249568004</v>
      </c>
      <c r="Q383" s="556" cm="1">
        <f t="array" ref="Q383">-SUMPRODUCT('W2'!$M$12:$R$112*('W2'!$M$7:$R$7=$A383)*('W2'!$A$12:$A$112=$B383))*Q353*$H$10*POWER(1+Inflation,Q$11+1)</f>
        <v>-2488.77208120464</v>
      </c>
      <c r="R383" s="556" cm="1">
        <f t="array" ref="R383">-SUMPRODUCT('W2'!$M$12:$R$112*('W2'!$M$7:$R$7=$A383)*('W2'!$A$12:$A$112=$B383))*R353*$H$10*POWER(1+Inflation,R$11+1)</f>
        <v>-2613.2106852648722</v>
      </c>
      <c r="S383" s="556" cm="1">
        <f t="array" ref="S383">-SUMPRODUCT('W2'!$M$12:$R$112*('W2'!$M$7:$R$7=$A383)*('W2'!$A$12:$A$112=$B383))*S353*$H$10*POWER(1+Inflation,S$11+1)</f>
        <v>-2743.8712195281155</v>
      </c>
      <c r="T383" s="556" cm="1">
        <f t="array" ref="T383">-SUMPRODUCT('W2'!$M$12:$R$112*('W2'!$M$7:$R$7=$A383)*('W2'!$A$12:$A$112=$B383))*T353*$H$10*POWER(1+Inflation,T$11+1)</f>
        <v>-2881.0647805045219</v>
      </c>
      <c r="U383" s="556" cm="1">
        <f t="array" ref="U383">-SUMPRODUCT('W2'!$M$12:$R$112*('W2'!$M$7:$R$7=$A383)*('W2'!$A$12:$A$112=$B383))*U353*$H$10*POWER(1+Inflation,U$11+1)</f>
        <v>-3025.1180195297475</v>
      </c>
      <c r="V383" s="556" cm="1">
        <f t="array" ref="V383">-SUMPRODUCT('W2'!$M$12:$R$112*('W2'!$M$7:$R$7=$A383)*('W2'!$A$12:$A$112=$B383))*V353*$H$10*POWER(1+Inflation,V$11+1)</f>
        <v>-3176.3739205062352</v>
      </c>
      <c r="W383" s="556" cm="1">
        <f t="array" ref="W383">-SUMPRODUCT('W2'!$M$12:$R$112*('W2'!$M$7:$R$7=$A383)*('W2'!$A$12:$A$112=$B383))*W353*$H$10*POWER(1+Inflation,W$11+1)</f>
        <v>-3335.1926165315467</v>
      </c>
      <c r="X383" s="556" cm="1">
        <f t="array" ref="X383">-SUMPRODUCT('W2'!$M$12:$R$112*('W2'!$M$7:$R$7=$A383)*('W2'!$A$12:$A$112=$B383))*X353*$H$10*POWER(1+Inflation,X$11+1)</f>
        <v>-3501.9522473581246</v>
      </c>
      <c r="Y383" s="556" cm="1">
        <f t="array" ref="Y383">-SUMPRODUCT('W2'!$M$12:$R$112*('W2'!$M$7:$R$7=$A383)*('W2'!$A$12:$A$112=$B383))*Y353*$H$10*POWER(1+Inflation,Y$11+1)</f>
        <v>-3677.0498597260303</v>
      </c>
      <c r="Z383" s="556" cm="1">
        <f t="array" ref="Z383">-SUMPRODUCT('W2'!$M$12:$R$112*('W2'!$M$7:$R$7=$A383)*('W2'!$A$12:$A$112=$B383))*Z353*$H$10*POWER(1+Inflation,Z$11+1)</f>
        <v>-3860.9023527123322</v>
      </c>
      <c r="AA383" s="556" cm="1">
        <f t="array" ref="AA383">-SUMPRODUCT('W2'!$M$12:$R$112*('W2'!$M$7:$R$7=$A383)*('W2'!$A$12:$A$112=$B383))*AA353*$H$10*POWER(1+Inflation,AA$11+1)</f>
        <v>-4053.9474703479482</v>
      </c>
      <c r="AB383" s="556" cm="1">
        <f t="array" ref="AB383">-SUMPRODUCT('W2'!$M$12:$R$112*('W2'!$M$7:$R$7=$A383)*('W2'!$A$12:$A$112=$B383))*AB353*$H$10*POWER(1+Inflation,AB$11+1)</f>
        <v>-4256.644843865347</v>
      </c>
      <c r="AC383" s="556" cm="1">
        <f t="array" ref="AC383">-SUMPRODUCT('W2'!$M$12:$R$112*('W2'!$M$7:$R$7=$A383)*('W2'!$A$12:$A$112=$B383))*AC353*$H$10*POWER(1+Inflation,AC$11+1)</f>
        <v>-4469.4770860586141</v>
      </c>
      <c r="AD383" s="556" cm="1">
        <f t="array" ref="AD383">-SUMPRODUCT('W2'!$M$12:$R$112*('W2'!$M$7:$R$7=$A383)*('W2'!$A$12:$A$112=$B383))*AD353*$H$10*POWER(1+Inflation,AD$11+1)</f>
        <v>-4692.9509403615448</v>
      </c>
      <c r="AE383" s="556" cm="1">
        <f t="array" ref="AE383">-SUMPRODUCT('W2'!$M$12:$R$112*('W2'!$M$7:$R$7=$A383)*('W2'!$A$12:$A$112=$B383))*AE353*$H$10*POWER(1+Inflation,AE$11+1)</f>
        <v>-4927.5984873796224</v>
      </c>
      <c r="AF383" s="556" cm="1">
        <f t="array" ref="AF383">-SUMPRODUCT('W2'!$M$12:$R$112*('W2'!$M$7:$R$7=$A383)*('W2'!$A$12:$A$112=$B383))*AF353*$H$10*POWER(1+Inflation,AF$11+1)</f>
        <v>-5173.9784117486033</v>
      </c>
      <c r="AG383" s="556" cm="1">
        <f t="array" ref="AG383">-SUMPRODUCT('W2'!$M$12:$R$112*('W2'!$M$7:$R$7=$A383)*('W2'!$A$12:$A$112=$B383))*AG353*$H$10*POWER(1+Inflation,AG$11+1)</f>
        <v>-5432.677332336033</v>
      </c>
      <c r="AH383" s="556" cm="1">
        <f t="array" ref="AH383">-SUMPRODUCT('W2'!$M$12:$R$112*('W2'!$M$7:$R$7=$A383)*('W2'!$A$12:$A$112=$B383))*AH353*$H$10*POWER(1+Inflation,AH$11+1)</f>
        <v>-5704.3111989528352</v>
      </c>
      <c r="AI383" s="556" cm="1">
        <f t="array" ref="AI383">-SUMPRODUCT('W2'!$M$12:$R$112*('W2'!$M$7:$R$7=$A383)*('W2'!$A$12:$A$112=$B383))*AI353*$H$10*POWER(1+Inflation,AI$11+1)</f>
        <v>-5989.5267589004761</v>
      </c>
      <c r="AJ383" s="556" cm="1">
        <f t="array" ref="AJ383">-SUMPRODUCT('W2'!$M$12:$R$112*('W2'!$M$7:$R$7=$A383)*('W2'!$A$12:$A$112=$B383))*AJ353*$H$10*POWER(1+Inflation,AJ$11+1)</f>
        <v>-6289.0030968455012</v>
      </c>
    </row>
    <row r="384" spans="1:36" s="299" customFormat="1" hidden="1" x14ac:dyDescent="0.25">
      <c r="A384" s="299" t="s">
        <v>424</v>
      </c>
      <c r="B384" s="299" t="s">
        <v>140</v>
      </c>
      <c r="H384" s="554" t="s">
        <v>175</v>
      </c>
      <c r="I384" s="555" t="str">
        <f t="shared" si="686"/>
        <v>tr. VND</v>
      </c>
      <c r="K384" s="556"/>
      <c r="L384" s="556" cm="1">
        <f t="array" ref="L384">SUMPRODUCT('W2'!$M$12:$R$112*('W2'!$M$7:$R$7=$A384)*('W2'!$A$12:$A$112=$B384))*(SUM(L364,L382:L383))</f>
        <v>-2500.9887710079997</v>
      </c>
      <c r="M384" s="556" cm="1">
        <f t="array" ref="M384">SUMPRODUCT('W2'!$M$12:$R$112*('W2'!$M$7:$R$7=$A384)*('W2'!$A$12:$A$112=$B384))*(SUM(M364,M382:M383))</f>
        <v>-2602.2890634112</v>
      </c>
      <c r="N384" s="556" cm="1">
        <f t="array" ref="N384">SUMPRODUCT('W2'!$M$12:$R$112*('W2'!$M$7:$R$7=$A384)*('W2'!$A$12:$A$112=$B384))*(SUM(N364,N382:N383))</f>
        <v>-2821.9368211168003</v>
      </c>
      <c r="O384" s="556" cm="1">
        <f t="array" ref="O384">SUMPRODUCT('W2'!$M$12:$R$112*('W2'!$M$7:$R$7=$A384)*('W2'!$A$12:$A$112=$B384))*(SUM(O364,O382:O383))</f>
        <v>-2893.0190061726398</v>
      </c>
      <c r="P384" s="556" cm="1">
        <f t="array" ref="P384">SUMPRODUCT('W2'!$M$12:$R$112*('W2'!$M$7:$R$7=$A384)*('W2'!$A$12:$A$112=$B384))*(SUM(P364,P382:P383))</f>
        <v>-2967.6553004812722</v>
      </c>
      <c r="Q384" s="556" cm="1">
        <f t="array" ref="Q384">SUMPRODUCT('W2'!$M$12:$R$112*('W2'!$M$7:$R$7=$A384)*('W2'!$A$12:$A$112=$B384))*(SUM(Q364,Q382:Q383))</f>
        <v>-3046.0234095053356</v>
      </c>
      <c r="R384" s="556" cm="1">
        <f t="array" ref="R384">SUMPRODUCT('W2'!$M$12:$R$112*('W2'!$M$7:$R$7=$A384)*('W2'!$A$12:$A$112=$B384))*(SUM(R364,R382:R383))</f>
        <v>-3128.3099239806029</v>
      </c>
      <c r="S384" s="556" cm="1">
        <f t="array" ref="S384">SUMPRODUCT('W2'!$M$12:$R$112*('W2'!$M$7:$R$7=$A384)*('W2'!$A$12:$A$112=$B384))*(SUM(S364,S382:S383))</f>
        <v>-3214.7107641796324</v>
      </c>
      <c r="T384" s="556" cm="1">
        <f t="array" ref="T384">SUMPRODUCT('W2'!$M$12:$R$112*('W2'!$M$7:$R$7=$A384)*('W2'!$A$12:$A$112=$B384))*(SUM(T364,T382:T383))</f>
        <v>-3305.4316463886144</v>
      </c>
      <c r="U384" s="556" cm="1">
        <f t="array" ref="U384">SUMPRODUCT('W2'!$M$12:$R$112*('W2'!$M$7:$R$7=$A384)*('W2'!$A$12:$A$112=$B384))*(SUM(U364,U382:U383))</f>
        <v>-3400.6885727080453</v>
      </c>
      <c r="V384" s="556" cm="1">
        <f t="array" ref="V384">SUMPRODUCT('W2'!$M$12:$R$112*('W2'!$M$7:$R$7=$A384)*('W2'!$A$12:$A$112=$B384))*(SUM(V364,V382:V383))</f>
        <v>-3500.7083453434466</v>
      </c>
      <c r="W384" s="556" cm="1">
        <f t="array" ref="W384">SUMPRODUCT('W2'!$M$12:$R$112*('W2'!$M$7:$R$7=$A384)*('W2'!$A$12:$A$112=$B384))*(SUM(W364,W382:W383))</f>
        <v>-3605.7291066106195</v>
      </c>
      <c r="X384" s="556" cm="1">
        <f t="array" ref="X384">SUMPRODUCT('W2'!$M$12:$R$112*('W2'!$M$7:$R$7=$A384)*('W2'!$A$12:$A$112=$B384))*(SUM(X364,X382:X383))</f>
        <v>-2594.6209059411508</v>
      </c>
      <c r="Y384" s="556" cm="1">
        <f t="array" ref="Y384">SUMPRODUCT('W2'!$M$12:$R$112*('W2'!$M$7:$R$7=$A384)*('W2'!$A$12:$A$112=$B384))*(SUM(Y364,Y382:Y383))</f>
        <v>-2710.4062952382078</v>
      </c>
      <c r="Z384" s="556" cm="1">
        <f t="array" ref="Z384">SUMPRODUCT('W2'!$M$12:$R$112*('W2'!$M$7:$R$7=$A384)*('W2'!$A$12:$A$112=$B384))*(SUM(Z364,Z382:Z383))</f>
        <v>-2831.9809540001188</v>
      </c>
      <c r="AA384" s="556" cm="1">
        <f t="array" ref="AA384">SUMPRODUCT('W2'!$M$12:$R$112*('W2'!$M$7:$R$7=$A384)*('W2'!$A$12:$A$112=$B384))*(SUM(AA364,AA382:AA383))</f>
        <v>-2959.634345700124</v>
      </c>
      <c r="AB384" s="556" cm="1">
        <f t="array" ref="AB384">SUMPRODUCT('W2'!$M$12:$R$112*('W2'!$M$7:$R$7=$A384)*('W2'!$A$12:$A$112=$B384))*(SUM(AB364,AB382:AB383))</f>
        <v>-3093.6704069851312</v>
      </c>
      <c r="AC384" s="556" cm="1">
        <f t="array" ref="AC384">SUMPRODUCT('W2'!$M$12:$R$112*('W2'!$M$7:$R$7=$A384)*('W2'!$A$12:$A$112=$B384))*(SUM(AC364,AC382:AC383))</f>
        <v>-3234.4082713343873</v>
      </c>
      <c r="AD384" s="556" cm="1">
        <f t="array" ref="AD384">SUMPRODUCT('W2'!$M$12:$R$112*('W2'!$M$7:$R$7=$A384)*('W2'!$A$12:$A$112=$B384))*(SUM(AD364,AD382:AD383))</f>
        <v>-3382.1830289011077</v>
      </c>
      <c r="AE384" s="556" cm="1">
        <f t="array" ref="AE384">SUMPRODUCT('W2'!$M$12:$R$112*('W2'!$M$7:$R$7=$A384)*('W2'!$A$12:$A$112=$B384))*(SUM(AE364,AE382:AE383))</f>
        <v>-3537.3465243461628</v>
      </c>
      <c r="AF384" s="556" cm="1">
        <f t="array" ref="AF384">SUMPRODUCT('W2'!$M$12:$R$112*('W2'!$M$7:$R$7=$A384)*('W2'!$A$12:$A$112=$B384))*(SUM(AF364,AF382:AF383))</f>
        <v>-3700.2681945634704</v>
      </c>
      <c r="AG384" s="556" cm="1">
        <f t="array" ref="AG384">SUMPRODUCT('W2'!$M$12:$R$112*('W2'!$M$7:$R$7=$A384)*('W2'!$A$12:$A$112=$B384))*(SUM(AG364,AG382:AG383))</f>
        <v>-3871.3359482916444</v>
      </c>
      <c r="AH384" s="556" cm="1">
        <f t="array" ref="AH384">SUMPRODUCT('W2'!$M$12:$R$112*('W2'!$M$7:$R$7=$A384)*('W2'!$A$12:$A$112=$B384))*(SUM(AH364,AH382:AH383))</f>
        <v>-4050.9570897062263</v>
      </c>
      <c r="AI384" s="556" cm="1">
        <f t="array" ref="AI384">SUMPRODUCT('W2'!$M$12:$R$112*('W2'!$M$7:$R$7=$A384)*('W2'!$A$12:$A$112=$B384))*(SUM(AI364,AI382:AI383))</f>
        <v>-4239.5592881915372</v>
      </c>
      <c r="AJ384" s="556" cm="1">
        <f t="array" ref="AJ384">SUMPRODUCT('W2'!$M$12:$R$112*('W2'!$M$7:$R$7=$A384)*('W2'!$A$12:$A$112=$B384))*(SUM(AJ364,AJ382:AJ383))</f>
        <v>-4437.5915966011144</v>
      </c>
    </row>
    <row r="385" spans="1:36" hidden="1" x14ac:dyDescent="0.25">
      <c r="A385" t="s">
        <v>424</v>
      </c>
      <c r="K385" s="15"/>
      <c r="L385" s="263"/>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spans="1:36" s="300" customFormat="1" hidden="1" x14ac:dyDescent="0.25">
      <c r="A386" s="300" t="s">
        <v>424</v>
      </c>
      <c r="H386" s="301" t="s">
        <v>464</v>
      </c>
      <c r="I386" s="302" t="str">
        <f>IF($H$9="USD","USD","tr. VND")</f>
        <v>tr. VND</v>
      </c>
      <c r="K386" s="303">
        <f>K364+K374</f>
        <v>0</v>
      </c>
      <c r="L386" s="303">
        <f t="shared" ref="L386:AJ386" si="688">L364+L374</f>
        <v>-151671.26274581801</v>
      </c>
      <c r="M386" s="303">
        <f t="shared" si="688"/>
        <v>-188963.2922281452</v>
      </c>
      <c r="N386" s="303">
        <f t="shared" si="688"/>
        <v>-250165.23493169324</v>
      </c>
      <c r="O386" s="303">
        <f t="shared" si="688"/>
        <v>-255589.11259002279</v>
      </c>
      <c r="P386" s="303">
        <f t="shared" si="688"/>
        <v>-261178.90407062374</v>
      </c>
      <c r="Q386" s="303">
        <f t="shared" si="688"/>
        <v>-266940.79946339678</v>
      </c>
      <c r="R386" s="303">
        <f t="shared" si="688"/>
        <v>-272881.25625071325</v>
      </c>
      <c r="S386" s="303">
        <f t="shared" si="688"/>
        <v>-279007.0118347985</v>
      </c>
      <c r="T386" s="303">
        <f t="shared" si="688"/>
        <v>-285325.09667463897</v>
      </c>
      <c r="U386" s="303">
        <f t="shared" si="688"/>
        <v>-291842.8480625535</v>
      </c>
      <c r="V386" s="303">
        <f t="shared" si="688"/>
        <v>-298567.92457206739</v>
      </c>
      <c r="W386" s="303">
        <f t="shared" si="688"/>
        <v>-305508.32121030474</v>
      </c>
      <c r="X386" s="303">
        <f t="shared" si="688"/>
        <v>-283516.50530976662</v>
      </c>
      <c r="Y386" s="303">
        <f t="shared" si="688"/>
        <v>-290912.95319610054</v>
      </c>
      <c r="Z386" s="303">
        <f t="shared" si="688"/>
        <v>-298550.88767028798</v>
      </c>
      <c r="AA386" s="303">
        <f t="shared" si="688"/>
        <v>-306439.81634559255</v>
      </c>
      <c r="AB386" s="303">
        <f t="shared" si="688"/>
        <v>-314589.67088161811</v>
      </c>
      <c r="AC386" s="303">
        <f t="shared" si="688"/>
        <v>-323010.82715993986</v>
      </c>
      <c r="AD386" s="303">
        <f t="shared" si="688"/>
        <v>-331714.12644798256</v>
      </c>
      <c r="AE386" s="303">
        <f t="shared" si="688"/>
        <v>-340710.89760014822</v>
      </c>
      <c r="AF386" s="303">
        <f t="shared" si="688"/>
        <v>-350012.98034763755</v>
      </c>
      <c r="AG386" s="303">
        <f t="shared" si="688"/>
        <v>-359632.749730971</v>
      </c>
      <c r="AH386" s="303">
        <f t="shared" si="688"/>
        <v>-369583.14173191006</v>
      </c>
      <c r="AI386" s="303">
        <f t="shared" si="688"/>
        <v>-379877.68016430404</v>
      </c>
      <c r="AJ386" s="303">
        <f t="shared" si="688"/>
        <v>-390530.5048863535</v>
      </c>
    </row>
    <row r="387" spans="1:36" hidden="1" x14ac:dyDescent="0.25">
      <c r="A387" t="s">
        <v>424</v>
      </c>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spans="1:36" hidden="1" x14ac:dyDescent="0.25">
      <c r="A388" t="s">
        <v>424</v>
      </c>
      <c r="B388" t="s">
        <v>622</v>
      </c>
      <c r="H388" s="459" t="s">
        <v>166</v>
      </c>
      <c r="I388" s="494" t="str">
        <f>IF($H$9="USD","USD","tr. VND")</f>
        <v>tr. VND</v>
      </c>
      <c r="K388" s="461"/>
      <c r="L388" s="461" cm="1">
        <f t="array" ref="L388">-SUMPRODUCT('W2'!$M$12:$R$112*('W2'!$M$7:$R$7=$A388)*('W2'!$A$12:$A$112=$B388))*L353*$H$10*POWER(1+Inflation,L$11+1)</f>
        <v>-2890.6149888</v>
      </c>
      <c r="M388" s="461" cm="1">
        <f t="array" ref="M388">-SUMPRODUCT('W2'!$M$12:$R$112*('W2'!$M$7:$R$7=$A388)*('W2'!$A$12:$A$112=$B388))*M353*$H$10*POWER(1+Inflation,M$11+1)</f>
        <v>-4046.8609843199997</v>
      </c>
      <c r="N388" s="461" cm="1">
        <f t="array" ref="N388">-SUMPRODUCT('W2'!$M$12:$R$112*('W2'!$M$7:$R$7=$A388)*('W2'!$A$12:$A$112=$B388))*N353*$H$10*POWER(1+Inflation,N$11+1)</f>
        <v>-6070.2914764799998</v>
      </c>
      <c r="O388" s="461" cm="1">
        <f t="array" ref="O388">-SUMPRODUCT('W2'!$M$12:$R$112*('W2'!$M$7:$R$7=$A388)*('W2'!$A$12:$A$112=$B388))*O353*$H$10*POWER(1+Inflation,O$11+1)</f>
        <v>-6373.8060503040006</v>
      </c>
      <c r="P388" s="461" cm="1">
        <f t="array" ref="P388">-SUMPRODUCT('W2'!$M$12:$R$112*('W2'!$M$7:$R$7=$A388)*('W2'!$A$12:$A$112=$B388))*P353*$H$10*POWER(1+Inflation,P$11+1)</f>
        <v>-6692.4963528192011</v>
      </c>
      <c r="Q388" s="461" cm="1">
        <f t="array" ref="Q388">-SUMPRODUCT('W2'!$M$12:$R$112*('W2'!$M$7:$R$7=$A388)*('W2'!$A$12:$A$112=$B388))*Q353*$H$10*POWER(1+Inflation,Q$11+1)</f>
        <v>-7027.1211704601601</v>
      </c>
      <c r="R388" s="461" cm="1">
        <f t="array" ref="R388">-SUMPRODUCT('W2'!$M$12:$R$112*('W2'!$M$7:$R$7=$A388)*('W2'!$A$12:$A$112=$B388))*R353*$H$10*POWER(1+Inflation,R$11+1)</f>
        <v>-7378.477228983169</v>
      </c>
      <c r="S388" s="461" cm="1">
        <f t="array" ref="S388">-SUMPRODUCT('W2'!$M$12:$R$112*('W2'!$M$7:$R$7=$A388)*('W2'!$A$12:$A$112=$B388))*S353*$H$10*POWER(1+Inflation,S$11+1)</f>
        <v>-7747.4010904323259</v>
      </c>
      <c r="T388" s="461" cm="1">
        <f t="array" ref="T388">-SUMPRODUCT('W2'!$M$12:$R$112*('W2'!$M$7:$R$7=$A388)*('W2'!$A$12:$A$112=$B388))*T353*$H$10*POWER(1+Inflation,T$11+1)</f>
        <v>-8134.7711449539438</v>
      </c>
      <c r="U388" s="461" cm="1">
        <f t="array" ref="U388">-SUMPRODUCT('W2'!$M$12:$R$112*('W2'!$M$7:$R$7=$A388)*('W2'!$A$12:$A$112=$B388))*U353*$H$10*POWER(1+Inflation,U$11+1)</f>
        <v>-8541.5097022016398</v>
      </c>
      <c r="V388" s="461" cm="1">
        <f t="array" ref="V388">-SUMPRODUCT('W2'!$M$12:$R$112*('W2'!$M$7:$R$7=$A388)*('W2'!$A$12:$A$112=$B388))*V353*$H$10*POWER(1+Inflation,V$11+1)</f>
        <v>-8968.5851873117226</v>
      </c>
      <c r="W388" s="461" cm="1">
        <f t="array" ref="W388">-SUMPRODUCT('W2'!$M$12:$R$112*('W2'!$M$7:$R$7=$A388)*('W2'!$A$12:$A$112=$B388))*W353*$H$10*POWER(1+Inflation,W$11+1)</f>
        <v>-9417.014446677309</v>
      </c>
      <c r="X388" s="461" cm="1">
        <f t="array" ref="X388">-SUMPRODUCT('W2'!$M$12:$R$112*('W2'!$M$7:$R$7=$A388)*('W2'!$A$12:$A$112=$B388))*X353*$H$10*POWER(1+Inflation,X$11+1)</f>
        <v>-9887.8651690111747</v>
      </c>
      <c r="Y388" s="461" cm="1">
        <f t="array" ref="Y388">-SUMPRODUCT('W2'!$M$12:$R$112*('W2'!$M$7:$R$7=$A388)*('W2'!$A$12:$A$112=$B388))*Y353*$H$10*POWER(1+Inflation,Y$11+1)</f>
        <v>-10382.258427461733</v>
      </c>
      <c r="Z388" s="461" cm="1">
        <f t="array" ref="Z388">-SUMPRODUCT('W2'!$M$12:$R$112*('W2'!$M$7:$R$7=$A388)*('W2'!$A$12:$A$112=$B388))*Z353*$H$10*POWER(1+Inflation,Z$11+1)</f>
        <v>-10901.37134883482</v>
      </c>
      <c r="AA388" s="461" cm="1">
        <f t="array" ref="AA388">-SUMPRODUCT('W2'!$M$12:$R$112*('W2'!$M$7:$R$7=$A388)*('W2'!$A$12:$A$112=$B388))*AA353*$H$10*POWER(1+Inflation,AA$11+1)</f>
        <v>-11446.439916276559</v>
      </c>
      <c r="AB388" s="461" cm="1">
        <f t="array" ref="AB388">-SUMPRODUCT('W2'!$M$12:$R$112*('W2'!$M$7:$R$7=$A388)*('W2'!$A$12:$A$112=$B388))*AB353*$H$10*POWER(1+Inflation,AB$11+1)</f>
        <v>-12018.761912090391</v>
      </c>
      <c r="AC388" s="461" cm="1">
        <f t="array" ref="AC388">-SUMPRODUCT('W2'!$M$12:$R$112*('W2'!$M$7:$R$7=$A388)*('W2'!$A$12:$A$112=$B388))*AC353*$H$10*POWER(1+Inflation,AC$11+1)</f>
        <v>-12619.70000769491</v>
      </c>
      <c r="AD388" s="461" cm="1">
        <f t="array" ref="AD388">-SUMPRODUCT('W2'!$M$12:$R$112*('W2'!$M$7:$R$7=$A388)*('W2'!$A$12:$A$112=$B388))*AD353*$H$10*POWER(1+Inflation,AD$11+1)</f>
        <v>-13250.685008079656</v>
      </c>
      <c r="AE388" s="461" cm="1">
        <f t="array" ref="AE388">-SUMPRODUCT('W2'!$M$12:$R$112*('W2'!$M$7:$R$7=$A388)*('W2'!$A$12:$A$112=$B388))*AE353*$H$10*POWER(1+Inflation,AE$11+1)</f>
        <v>-13913.219258483639</v>
      </c>
      <c r="AF388" s="461" cm="1">
        <f t="array" ref="AF388">-SUMPRODUCT('W2'!$M$12:$R$112*('W2'!$M$7:$R$7=$A388)*('W2'!$A$12:$A$112=$B388))*AF353*$H$10*POWER(1+Inflation,AF$11+1)</f>
        <v>-14608.88022140782</v>
      </c>
      <c r="AG388" s="461" cm="1">
        <f t="array" ref="AG388">-SUMPRODUCT('W2'!$M$12:$R$112*('W2'!$M$7:$R$7=$A388)*('W2'!$A$12:$A$112=$B388))*AG353*$H$10*POWER(1+Inflation,AG$11+1)</f>
        <v>-15339.324232478211</v>
      </c>
      <c r="AH388" s="461" cm="1">
        <f t="array" ref="AH388">-SUMPRODUCT('W2'!$M$12:$R$112*('W2'!$M$7:$R$7=$A388)*('W2'!$A$12:$A$112=$B388))*AH353*$H$10*POWER(1+Inflation,AH$11+1)</f>
        <v>-16106.290444102122</v>
      </c>
      <c r="AI388" s="461" cm="1">
        <f t="array" ref="AI388">-SUMPRODUCT('W2'!$M$12:$R$112*('W2'!$M$7:$R$7=$A388)*('W2'!$A$12:$A$112=$B388))*AI353*$H$10*POWER(1+Inflation,AI$11+1)</f>
        <v>-16911.604966307226</v>
      </c>
      <c r="AJ388" s="461" cm="1">
        <f t="array" ref="AJ388">-SUMPRODUCT('W2'!$M$12:$R$112*('W2'!$M$7:$R$7=$A388)*('W2'!$A$12:$A$112=$B388))*AJ353*$H$10*POWER(1+Inflation,AJ$11+1)</f>
        <v>-17757.18521462259</v>
      </c>
    </row>
    <row r="389" spans="1:36" hidden="1" x14ac:dyDescent="0.25">
      <c r="A389" t="s">
        <v>424</v>
      </c>
      <c r="B389" t="s">
        <v>527</v>
      </c>
      <c r="H389" s="454" t="s">
        <v>469</v>
      </c>
      <c r="I389" s="497" t="str">
        <f>IF($H$9="USD","USD","tr. VND")</f>
        <v>tr. VND</v>
      </c>
      <c r="K389" s="457"/>
      <c r="L389" s="457" cm="1">
        <f t="array" ref="L389">-SUMPRODUCT('W2'!$M$12:$R$112*('W2'!$M$7:$R$7=$A389)*('W2'!$A$12:$A$112=$B389))*L353*$H$10*POWER(1+Inflation,L$11+1)</f>
        <v>-1148.6237265875268</v>
      </c>
      <c r="M389" s="457" cm="1">
        <f t="array" ref="M389">-SUMPRODUCT('W2'!$M$12:$R$112*('W2'!$M$7:$R$7=$A389)*('W2'!$A$12:$A$112=$B389))*M353*$H$10*POWER(1+Inflation,M$11+1)</f>
        <v>-1608.0732172225376</v>
      </c>
      <c r="N389" s="457" cm="1">
        <f t="array" ref="N389">-SUMPRODUCT('W2'!$M$12:$R$112*('W2'!$M$7:$R$7=$A389)*('W2'!$A$12:$A$112=$B389))*N353*$H$10*POWER(1+Inflation,N$11+1)</f>
        <v>-2412.1098258338066</v>
      </c>
      <c r="O389" s="457" cm="1">
        <f t="array" ref="O389">-SUMPRODUCT('W2'!$M$12:$R$112*('W2'!$M$7:$R$7=$A389)*('W2'!$A$12:$A$112=$B389))*O353*$H$10*POWER(1+Inflation,O$11+1)</f>
        <v>-2532.7153171254968</v>
      </c>
      <c r="P389" s="457" cm="1">
        <f t="array" ref="P389">-SUMPRODUCT('W2'!$M$12:$R$112*('W2'!$M$7:$R$7=$A389)*('W2'!$A$12:$A$112=$B389))*P353*$H$10*POWER(1+Inflation,P$11+1)</f>
        <v>-2659.3510829817715</v>
      </c>
      <c r="Q389" s="457" cm="1">
        <f t="array" ref="Q389">-SUMPRODUCT('W2'!$M$12:$R$112*('W2'!$M$7:$R$7=$A389)*('W2'!$A$12:$A$112=$B389))*Q353*$H$10*POWER(1+Inflation,Q$11+1)</f>
        <v>-2792.3186371308598</v>
      </c>
      <c r="R389" s="457" cm="1">
        <f t="array" ref="R389">-SUMPRODUCT('W2'!$M$12:$R$112*('W2'!$M$7:$R$7=$A389)*('W2'!$A$12:$A$112=$B389))*R353*$H$10*POWER(1+Inflation,R$11+1)</f>
        <v>-2931.9345689874031</v>
      </c>
      <c r="S389" s="457" cm="1">
        <f t="array" ref="S389">-SUMPRODUCT('W2'!$M$12:$R$112*('W2'!$M$7:$R$7=$A389)*('W2'!$A$12:$A$112=$B389))*S353*$H$10*POWER(1+Inflation,S$11+1)</f>
        <v>-3078.531297436773</v>
      </c>
      <c r="T389" s="457" cm="1">
        <f t="array" ref="T389">-SUMPRODUCT('W2'!$M$12:$R$112*('W2'!$M$7:$R$7=$A389)*('W2'!$A$12:$A$112=$B389))*T353*$H$10*POWER(1+Inflation,T$11+1)</f>
        <v>-3232.4578623086122</v>
      </c>
      <c r="U389" s="457" cm="1">
        <f t="array" ref="U389">-SUMPRODUCT('W2'!$M$12:$R$112*('W2'!$M$7:$R$7=$A389)*('W2'!$A$12:$A$112=$B389))*U353*$H$10*POWER(1+Inflation,U$11+1)</f>
        <v>-3394.0807554240423</v>
      </c>
      <c r="V389" s="457" cm="1">
        <f t="array" ref="V389">-SUMPRODUCT('W2'!$M$12:$R$112*('W2'!$M$7:$R$7=$A389)*('W2'!$A$12:$A$112=$B389))*V353*$H$10*POWER(1+Inflation,V$11+1)</f>
        <v>-3563.7847931952447</v>
      </c>
      <c r="W389" s="457" cm="1">
        <f t="array" ref="W389">-SUMPRODUCT('W2'!$M$12:$R$112*('W2'!$M$7:$R$7=$A389)*('W2'!$A$12:$A$112=$B389))*W353*$H$10*POWER(1+Inflation,W$11+1)</f>
        <v>-3741.974032855007</v>
      </c>
      <c r="X389" s="457" cm="1">
        <f t="array" ref="X389">-SUMPRODUCT('W2'!$M$12:$R$112*('W2'!$M$7:$R$7=$A389)*('W2'!$A$12:$A$112=$B389))*X353*$H$10*POWER(1+Inflation,X$11+1)</f>
        <v>-3929.0727344977577</v>
      </c>
      <c r="Y389" s="457" cm="1">
        <f t="array" ref="Y389">-SUMPRODUCT('W2'!$M$12:$R$112*('W2'!$M$7:$R$7=$A389)*('W2'!$A$12:$A$112=$B389))*Y353*$H$10*POWER(1+Inflation,Y$11+1)</f>
        <v>-4125.5263712226451</v>
      </c>
      <c r="Z389" s="457" cm="1">
        <f t="array" ref="Z389">-SUMPRODUCT('W2'!$M$12:$R$112*('W2'!$M$7:$R$7=$A389)*('W2'!$A$12:$A$112=$B389))*Z353*$H$10*POWER(1+Inflation,Z$11+1)</f>
        <v>-4331.8026897837781</v>
      </c>
      <c r="AA389" s="457" cm="1">
        <f t="array" ref="AA389">-SUMPRODUCT('W2'!$M$12:$R$112*('W2'!$M$7:$R$7=$A389)*('W2'!$A$12:$A$112=$B389))*AA353*$H$10*POWER(1+Inflation,AA$11+1)</f>
        <v>-4548.3928242729662</v>
      </c>
      <c r="AB389" s="457" cm="1">
        <f t="array" ref="AB389">-SUMPRODUCT('W2'!$M$12:$R$112*('W2'!$M$7:$R$7=$A389)*('W2'!$A$12:$A$112=$B389))*AB353*$H$10*POWER(1+Inflation,AB$11+1)</f>
        <v>-4775.812465486616</v>
      </c>
      <c r="AC389" s="457" cm="1">
        <f t="array" ref="AC389">-SUMPRODUCT('W2'!$M$12:$R$112*('W2'!$M$7:$R$7=$A389)*('W2'!$A$12:$A$112=$B389))*AC353*$H$10*POWER(1+Inflation,AC$11+1)</f>
        <v>-5014.6030887609459</v>
      </c>
      <c r="AD389" s="457" cm="1">
        <f t="array" ref="AD389">-SUMPRODUCT('W2'!$M$12:$R$112*('W2'!$M$7:$R$7=$A389)*('W2'!$A$12:$A$112=$B389))*AD353*$H$10*POWER(1+Inflation,AD$11+1)</f>
        <v>-5265.3332431989938</v>
      </c>
      <c r="AE389" s="457" cm="1">
        <f t="array" ref="AE389">-SUMPRODUCT('W2'!$M$12:$R$112*('W2'!$M$7:$R$7=$A389)*('W2'!$A$12:$A$112=$B389))*AE353*$H$10*POWER(1+Inflation,AE$11+1)</f>
        <v>-5528.5999053589439</v>
      </c>
      <c r="AF389" s="457" cm="1">
        <f t="array" ref="AF389">-SUMPRODUCT('W2'!$M$12:$R$112*('W2'!$M$7:$R$7=$A389)*('W2'!$A$12:$A$112=$B389))*AF353*$H$10*POWER(1+Inflation,AF$11+1)</f>
        <v>-5805.0299006268906</v>
      </c>
      <c r="AG389" s="457" cm="1">
        <f t="array" ref="AG389">-SUMPRODUCT('W2'!$M$12:$R$112*('W2'!$M$7:$R$7=$A389)*('W2'!$A$12:$A$112=$B389))*AG353*$H$10*POWER(1+Inflation,AG$11+1)</f>
        <v>-6095.2813956582349</v>
      </c>
      <c r="AH389" s="457" cm="1">
        <f t="array" ref="AH389">-SUMPRODUCT('W2'!$M$12:$R$112*('W2'!$M$7:$R$7=$A389)*('W2'!$A$12:$A$112=$B389))*AH353*$H$10*POWER(1+Inflation,AH$11+1)</f>
        <v>-6400.0454654411469</v>
      </c>
      <c r="AI389" s="457" cm="1">
        <f t="array" ref="AI389">-SUMPRODUCT('W2'!$M$12:$R$112*('W2'!$M$7:$R$7=$A389)*('W2'!$A$12:$A$112=$B389))*AI353*$H$10*POWER(1+Inflation,AI$11+1)</f>
        <v>-6720.0477387132032</v>
      </c>
      <c r="AJ389" s="457" cm="1">
        <f t="array" ref="AJ389">-SUMPRODUCT('W2'!$M$12:$R$112*('W2'!$M$7:$R$7=$A389)*('W2'!$A$12:$A$112=$B389))*AJ353*$H$10*POWER(1+Inflation,AJ$11+1)</f>
        <v>-7056.0501256488651</v>
      </c>
    </row>
    <row r="390" spans="1:36" hidden="1" x14ac:dyDescent="0.25">
      <c r="A390" t="s">
        <v>424</v>
      </c>
      <c r="B390" t="s">
        <v>522</v>
      </c>
      <c r="H390" s="454" t="s">
        <v>468</v>
      </c>
      <c r="I390" s="497" t="str">
        <f>IF($H$9="USD","USD","tr. VND")</f>
        <v>tr. VND</v>
      </c>
      <c r="K390" s="454"/>
      <c r="L390" s="457" cm="1">
        <f t="array" ref="L390">-SUMPRODUCT('W2'!$M$12:$R$112*('W2'!$M$7:$R$7=$A390)*('W2'!$A$12:$A$112=$B390))*L353*$H$10*POWER(1+Inflation,L$11+1)</f>
        <v>-384.72221097128374</v>
      </c>
      <c r="M390" s="457" cm="1">
        <f t="array" ref="M390">-SUMPRODUCT('W2'!$M$12:$R$112*('W2'!$M$7:$R$7=$A390)*('W2'!$A$12:$A$112=$B390))*M353*$H$10*POWER(1+Inflation,M$11+1)</f>
        <v>-538.6110953597971</v>
      </c>
      <c r="N390" s="457" cm="1">
        <f t="array" ref="N390">-SUMPRODUCT('W2'!$M$12:$R$112*('W2'!$M$7:$R$7=$A390)*('W2'!$A$12:$A$112=$B390))*N353*$H$10*POWER(1+Inflation,N$11+1)</f>
        <v>-807.91664303969594</v>
      </c>
      <c r="O390" s="457" cm="1">
        <f t="array" ref="O390">-SUMPRODUCT('W2'!$M$12:$R$112*('W2'!$M$7:$R$7=$A390)*('W2'!$A$12:$A$112=$B390))*O353*$H$10*POWER(1+Inflation,O$11+1)</f>
        <v>-848.31247519168073</v>
      </c>
      <c r="P390" s="457" cm="1">
        <f t="array" ref="P390">-SUMPRODUCT('W2'!$M$12:$R$112*('W2'!$M$7:$R$7=$A390)*('W2'!$A$12:$A$112=$B390))*P353*$H$10*POWER(1+Inflation,P$11+1)</f>
        <v>-890.72809895126477</v>
      </c>
      <c r="Q390" s="457" cm="1">
        <f t="array" ref="Q390">-SUMPRODUCT('W2'!$M$12:$R$112*('W2'!$M$7:$R$7=$A390)*('W2'!$A$12:$A$112=$B390))*Q353*$H$10*POWER(1+Inflation,Q$11+1)</f>
        <v>-935.26450389882791</v>
      </c>
      <c r="R390" s="457" cm="1">
        <f t="array" ref="R390">-SUMPRODUCT('W2'!$M$12:$R$112*('W2'!$M$7:$R$7=$A390)*('W2'!$A$12:$A$112=$B390))*R353*$H$10*POWER(1+Inflation,R$11+1)</f>
        <v>-982.02772909376938</v>
      </c>
      <c r="S390" s="457" cm="1">
        <f t="array" ref="S390">-SUMPRODUCT('W2'!$M$12:$R$112*('W2'!$M$7:$R$7=$A390)*('W2'!$A$12:$A$112=$B390))*S353*$H$10*POWER(1+Inflation,S$11+1)</f>
        <v>-1031.1291155484578</v>
      </c>
      <c r="T390" s="457" cm="1">
        <f t="array" ref="T390">-SUMPRODUCT('W2'!$M$12:$R$112*('W2'!$M$7:$R$7=$A390)*('W2'!$A$12:$A$112=$B390))*T353*$H$10*POWER(1+Inflation,T$11+1)</f>
        <v>-1082.6855713258808</v>
      </c>
      <c r="U390" s="457" cm="1">
        <f t="array" ref="U390">-SUMPRODUCT('W2'!$M$12:$R$112*('W2'!$M$7:$R$7=$A390)*('W2'!$A$12:$A$112=$B390))*U353*$H$10*POWER(1+Inflation,U$11+1)</f>
        <v>-1136.8198498921747</v>
      </c>
      <c r="V390" s="457" cm="1">
        <f t="array" ref="V390">-SUMPRODUCT('W2'!$M$12:$R$112*('W2'!$M$7:$R$7=$A390)*('W2'!$A$12:$A$112=$B390))*V353*$H$10*POWER(1+Inflation,V$11+1)</f>
        <v>-1193.6608423867835</v>
      </c>
      <c r="W390" s="457" cm="1">
        <f t="array" ref="W390">-SUMPRODUCT('W2'!$M$12:$R$112*('W2'!$M$7:$R$7=$A390)*('W2'!$A$12:$A$112=$B390))*W353*$H$10*POWER(1+Inflation,W$11+1)</f>
        <v>-1253.3438845061228</v>
      </c>
      <c r="X390" s="457" cm="1">
        <f t="array" ref="X390">-SUMPRODUCT('W2'!$M$12:$R$112*('W2'!$M$7:$R$7=$A390)*('W2'!$A$12:$A$112=$B390))*X353*$H$10*POWER(1+Inflation,X$11+1)</f>
        <v>-1316.0110787314291</v>
      </c>
      <c r="Y390" s="457" cm="1">
        <f t="array" ref="Y390">-SUMPRODUCT('W2'!$M$12:$R$112*('W2'!$M$7:$R$7=$A390)*('W2'!$A$12:$A$112=$B390))*Y353*$H$10*POWER(1+Inflation,Y$11+1)</f>
        <v>-1381.8116326680001</v>
      </c>
      <c r="Z390" s="457" cm="1">
        <f t="array" ref="Z390">-SUMPRODUCT('W2'!$M$12:$R$112*('W2'!$M$7:$R$7=$A390)*('W2'!$A$12:$A$112=$B390))*Z353*$H$10*POWER(1+Inflation,Z$11+1)</f>
        <v>-1450.9022143014006</v>
      </c>
      <c r="AA390" s="457" cm="1">
        <f t="array" ref="AA390">-SUMPRODUCT('W2'!$M$12:$R$112*('W2'!$M$7:$R$7=$A390)*('W2'!$A$12:$A$112=$B390))*AA353*$H$10*POWER(1+Inflation,AA$11+1)</f>
        <v>-1523.4473250164701</v>
      </c>
      <c r="AB390" s="457" cm="1">
        <f t="array" ref="AB390">-SUMPRODUCT('W2'!$M$12:$R$112*('W2'!$M$7:$R$7=$A390)*('W2'!$A$12:$A$112=$B390))*AB353*$H$10*POWER(1+Inflation,AB$11+1)</f>
        <v>-1599.6196912672942</v>
      </c>
      <c r="AC390" s="457" cm="1">
        <f t="array" ref="AC390">-SUMPRODUCT('W2'!$M$12:$R$112*('W2'!$M$7:$R$7=$A390)*('W2'!$A$12:$A$112=$B390))*AC353*$H$10*POWER(1+Inflation,AC$11+1)</f>
        <v>-1679.6006758306587</v>
      </c>
      <c r="AD390" s="457" cm="1">
        <f t="array" ref="AD390">-SUMPRODUCT('W2'!$M$12:$R$112*('W2'!$M$7:$R$7=$A390)*('W2'!$A$12:$A$112=$B390))*AD353*$H$10*POWER(1+Inflation,AD$11+1)</f>
        <v>-1763.580709622192</v>
      </c>
      <c r="AE390" s="457" cm="1">
        <f t="array" ref="AE390">-SUMPRODUCT('W2'!$M$12:$R$112*('W2'!$M$7:$R$7=$A390)*('W2'!$A$12:$A$112=$B390))*AE353*$H$10*POWER(1+Inflation,AE$11+1)</f>
        <v>-1851.7597451033014</v>
      </c>
      <c r="AF390" s="457" cm="1">
        <f t="array" ref="AF390">-SUMPRODUCT('W2'!$M$12:$R$112*('W2'!$M$7:$R$7=$A390)*('W2'!$A$12:$A$112=$B390))*AF353*$H$10*POWER(1+Inflation,AF$11+1)</f>
        <v>-1944.3477323584666</v>
      </c>
      <c r="AG390" s="457" cm="1">
        <f t="array" ref="AG390">-SUMPRODUCT('W2'!$M$12:$R$112*('W2'!$M$7:$R$7=$A390)*('W2'!$A$12:$A$112=$B390))*AG353*$H$10*POWER(1+Inflation,AG$11+1)</f>
        <v>-2041.5651189763898</v>
      </c>
      <c r="AH390" s="457" cm="1">
        <f t="array" ref="AH390">-SUMPRODUCT('W2'!$M$12:$R$112*('W2'!$M$7:$R$7=$A390)*('W2'!$A$12:$A$112=$B390))*AH353*$H$10*POWER(1+Inflation,AH$11+1)</f>
        <v>-2143.6433749252092</v>
      </c>
      <c r="AI390" s="457" cm="1">
        <f t="array" ref="AI390">-SUMPRODUCT('W2'!$M$12:$R$112*('W2'!$M$7:$R$7=$A390)*('W2'!$A$12:$A$112=$B390))*AI353*$H$10*POWER(1+Inflation,AI$11+1)</f>
        <v>-2250.8255436714694</v>
      </c>
      <c r="AJ390" s="457" cm="1">
        <f t="array" ref="AJ390">-SUMPRODUCT('W2'!$M$12:$R$112*('W2'!$M$7:$R$7=$A390)*('W2'!$A$12:$A$112=$B390))*AJ353*$H$10*POWER(1+Inflation,AJ$11+1)</f>
        <v>-2363.3668208550434</v>
      </c>
    </row>
    <row r="391" spans="1:36" hidden="1" x14ac:dyDescent="0.25">
      <c r="A391" t="s">
        <v>424</v>
      </c>
      <c r="H391" s="454" t="s">
        <v>470</v>
      </c>
      <c r="I391" s="497" t="str">
        <f>IF($H$9="USD","USD","tr. VND")</f>
        <v>tr. VND</v>
      </c>
      <c r="K391" s="454"/>
      <c r="L391" s="457" cm="1">
        <f t="array" ref="L391">-SUMPRODUCT('Lãi vay'!$E$5:$AI$34*('Lãi vay'!$A$5:$A$34=$A391)*('Lãi vay'!$B$5:$B$34="Lãi vay")*('Lãi vay'!$E$3:$AI$3=L$14))*$H$10</f>
        <v>-27239.183999999997</v>
      </c>
      <c r="M391" s="457" cm="1">
        <f t="array" ref="M391">-SUMPRODUCT('Lãi vay'!$E$5:$AI$34*('Lãi vay'!$A$5:$A$34=$A391)*('Lãi vay'!$B$5:$B$34="Lãi vay")*('Lãi vay'!$E$3:$AI$3=M$14))*$H$10</f>
        <v>-26998.731917716344</v>
      </c>
      <c r="N391" s="457" cm="1">
        <f t="array" ref="N391">-SUMPRODUCT('Lãi vay'!$E$5:$AI$34*('Lãi vay'!$A$5:$A$34=$A391)*('Lãi vay'!$B$5:$B$34="Lãi vay")*('Lãi vay'!$E$3:$AI$3=N$14))*$H$10</f>
        <v>-26739.043668850005</v>
      </c>
      <c r="O391" s="457" cm="1">
        <f t="array" ref="O391">-SUMPRODUCT('Lãi vay'!$E$5:$AI$34*('Lãi vay'!$A$5:$A$34=$A391)*('Lãi vay'!$B$5:$B$34="Lãi vay")*('Lãi vay'!$E$3:$AI$3=O$14))*$H$10</f>
        <v>-26458.580360074357</v>
      </c>
      <c r="P391" s="457" cm="1">
        <f t="array" ref="P391">-SUMPRODUCT('Lãi vay'!$E$5:$AI$34*('Lãi vay'!$A$5:$A$34=$A391)*('Lãi vay'!$B$5:$B$34="Lãi vay")*('Lãi vay'!$E$3:$AI$3=P$14))*$H$10</f>
        <v>-26155.67998659665</v>
      </c>
      <c r="Q391" s="457" cm="1">
        <f t="array" ref="Q391">-SUMPRODUCT('Lãi vay'!$E$5:$AI$34*('Lãi vay'!$A$5:$A$34=$A391)*('Lãi vay'!$B$5:$B$34="Lãi vay")*('Lãi vay'!$E$3:$AI$3=Q$14))*$H$10</f>
        <v>-25828.547583240732</v>
      </c>
      <c r="R391" s="457" cm="1">
        <f t="array" ref="R391">-SUMPRODUCT('Lãi vay'!$E$5:$AI$34*('Lãi vay'!$A$5:$A$34=$A391)*('Lãi vay'!$B$5:$B$34="Lãi vay")*('Lãi vay'!$E$3:$AI$3=R$14))*$H$10</f>
        <v>-25475.244587616337</v>
      </c>
      <c r="S391" s="457" cm="1">
        <f t="array" ref="S391">-SUMPRODUCT('Lãi vay'!$E$5:$AI$34*('Lãi vay'!$A$5:$A$34=$A391)*('Lãi vay'!$B$5:$B$34="Lãi vay")*('Lãi vay'!$E$3:$AI$3=S$14))*$H$10</f>
        <v>-25093.677352341991</v>
      </c>
      <c r="T391" s="457" cm="1">
        <f t="array" ref="T391">-SUMPRODUCT('Lãi vay'!$E$5:$AI$34*('Lãi vay'!$A$5:$A$34=$A391)*('Lãi vay'!$B$5:$B$34="Lãi vay")*('Lãi vay'!$E$3:$AI$3=T$14))*$H$10</f>
        <v>-24681.584738245696</v>
      </c>
      <c r="U391" s="457" cm="1">
        <f t="array" ref="U391">-SUMPRODUCT('Lãi vay'!$E$5:$AI$34*('Lãi vay'!$A$5:$A$34=$A391)*('Lãi vay'!$B$5:$B$34="Lãi vay")*('Lãi vay'!$E$3:$AI$3=U$14))*$H$10</f>
        <v>-24236.524715021696</v>
      </c>
      <c r="V391" s="457" cm="1">
        <f t="array" ref="V391">-SUMPRODUCT('Lãi vay'!$E$5:$AI$34*('Lãi vay'!$A$5:$A$34=$A391)*('Lãi vay'!$B$5:$B$34="Lãi vay")*('Lãi vay'!$E$3:$AI$3=V$14))*$H$10</f>
        <v>-23755.859889939784</v>
      </c>
      <c r="W391" s="457" cm="1">
        <f t="array" ref="W391">-SUMPRODUCT('Lãi vay'!$E$5:$AI$34*('Lãi vay'!$A$5:$A$34=$A391)*('Lãi vay'!$B$5:$B$34="Lãi vay")*('Lãi vay'!$E$3:$AI$3=W$14))*$H$10</f>
        <v>-23236.741878851313</v>
      </c>
      <c r="X391" s="457" cm="1">
        <f t="array" ref="X391">-SUMPRODUCT('Lãi vay'!$E$5:$AI$34*('Lãi vay'!$A$5:$A$34=$A391)*('Lãi vay'!$B$5:$B$34="Lãi vay")*('Lãi vay'!$E$3:$AI$3=X$14))*$H$10</f>
        <v>-22676.094426875767</v>
      </c>
      <c r="Y391" s="457" cm="1">
        <f t="array" ref="Y391">-SUMPRODUCT('Lãi vay'!$E$5:$AI$34*('Lãi vay'!$A$5:$A$34=$A391)*('Lãi vay'!$B$5:$B$34="Lãi vay")*('Lãi vay'!$E$3:$AI$3=Y$14))*$H$10</f>
        <v>-22070.59517874218</v>
      </c>
      <c r="Z391" s="457" cm="1">
        <f t="array" ref="Z391">-SUMPRODUCT('Lãi vay'!$E$5:$AI$34*('Lãi vay'!$A$5:$A$34=$A391)*('Lãi vay'!$B$5:$B$34="Lãi vay")*('Lãi vay'!$E$3:$AI$3=Z$14))*$H$10</f>
        <v>-21416.655990757899</v>
      </c>
      <c r="AA391" s="457" cm="1">
        <f t="array" ref="AA391">-SUMPRODUCT('Lãi vay'!$E$5:$AI$34*('Lãi vay'!$A$5:$A$34=$A391)*('Lãi vay'!$B$5:$B$34="Lãi vay")*('Lãi vay'!$E$3:$AI$3=AA$14))*$H$10</f>
        <v>-20710.401667734877</v>
      </c>
      <c r="AB391" s="457" cm="1">
        <f t="array" ref="AB391">-SUMPRODUCT('Lãi vay'!$E$5:$AI$34*('Lãi vay'!$A$5:$A$34=$A391)*('Lãi vay'!$B$5:$B$34="Lãi vay")*('Lãi vay'!$E$3:$AI$3=AB$14))*$H$10</f>
        <v>-19947.646998870012</v>
      </c>
      <c r="AC391" s="457" cm="1">
        <f t="array" ref="AC391">-SUMPRODUCT('Lãi vay'!$E$5:$AI$34*('Lãi vay'!$A$5:$A$34=$A391)*('Lãi vay'!$B$5:$B$34="Lãi vay")*('Lãi vay'!$E$3:$AI$3=AC$14))*$H$10</f>
        <v>-19123.871956495965</v>
      </c>
      <c r="AD391" s="457" cm="1">
        <f t="array" ref="AD391">-SUMPRODUCT('Lãi vay'!$E$5:$AI$34*('Lãi vay'!$A$5:$A$34=$A391)*('Lãi vay'!$B$5:$B$34="Lãi vay")*('Lãi vay'!$E$3:$AI$3=AD$14))*$H$10</f>
        <v>-18234.194910731989</v>
      </c>
      <c r="AE391" s="457" cm="1">
        <f t="array" ref="AE391">-SUMPRODUCT('Lãi vay'!$E$5:$AI$34*('Lãi vay'!$A$5:$A$34=$A391)*('Lãi vay'!$B$5:$B$34="Lãi vay")*('Lãi vay'!$E$3:$AI$3=AE$14))*$H$10</f>
        <v>-17273.343701306894</v>
      </c>
      <c r="AF391" s="457" cm="1">
        <f t="array" ref="AF391">-SUMPRODUCT('Lãi vay'!$E$5:$AI$34*('Lãi vay'!$A$5:$A$34=$A391)*('Lãi vay'!$B$5:$B$34="Lãi vay")*('Lãi vay'!$E$3:$AI$3=AF$14))*$H$10</f>
        <v>-16235.624395127796</v>
      </c>
      <c r="AG391" s="457" cm="1">
        <f t="array" ref="AG391">-SUMPRODUCT('Lãi vay'!$E$5:$AI$34*('Lãi vay'!$A$5:$A$34=$A391)*('Lãi vay'!$B$5:$B$34="Lãi vay")*('Lãi vay'!$E$3:$AI$3=AG$14))*$H$10</f>
        <v>-15114.887544454368</v>
      </c>
      <c r="AH391" s="457" cm="1">
        <f t="array" ref="AH391">-SUMPRODUCT('Lãi vay'!$E$5:$AI$34*('Lãi vay'!$A$5:$A$34=$A391)*('Lãi vay'!$B$5:$B$34="Lãi vay")*('Lãi vay'!$E$3:$AI$3=AH$14))*$H$10</f>
        <v>-13904.491745727066</v>
      </c>
      <c r="AI391" s="457" cm="1">
        <f t="array" ref="AI391">-SUMPRODUCT('Lãi vay'!$E$5:$AI$34*('Lãi vay'!$A$5:$A$34=$A391)*('Lãi vay'!$B$5:$B$34="Lãi vay")*('Lãi vay'!$E$3:$AI$3=AI$14))*$H$10</f>
        <v>-12597.264283101576</v>
      </c>
      <c r="AJ391" s="457" cm="1">
        <f t="array" ref="AJ391">-SUMPRODUCT('Lãi vay'!$E$5:$AI$34*('Lãi vay'!$A$5:$A$34=$A391)*('Lãi vay'!$B$5:$B$34="Lãi vay")*('Lãi vay'!$E$3:$AI$3=AJ$14))*$H$10</f>
        <v>-11185.458623466049</v>
      </c>
    </row>
    <row r="392" spans="1:36" hidden="1" x14ac:dyDescent="0.25">
      <c r="A392" t="s">
        <v>424</v>
      </c>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spans="1:36" s="16" customFormat="1" hidden="1" x14ac:dyDescent="0.25">
      <c r="A393" s="16" t="s">
        <v>424</v>
      </c>
      <c r="H393" s="270" t="s">
        <v>472</v>
      </c>
      <c r="I393" s="271" t="str">
        <f>IF($H$9="USD","USD","tr. VND")</f>
        <v>tr. VND</v>
      </c>
      <c r="K393" s="272">
        <f t="shared" ref="K393" si="689">K386+SUM(K388:K391)</f>
        <v>0</v>
      </c>
      <c r="L393" s="272">
        <f>L386+SUM(L388:L391)</f>
        <v>-183334.40767217681</v>
      </c>
      <c r="M393" s="272">
        <f t="shared" ref="M393:AJ393" si="690">M386+SUM(M388:M391)</f>
        <v>-222155.56944276387</v>
      </c>
      <c r="N393" s="272">
        <f t="shared" si="690"/>
        <v>-286194.59654589673</v>
      </c>
      <c r="O393" s="272">
        <f t="shared" si="690"/>
        <v>-291802.52679271833</v>
      </c>
      <c r="P393" s="272">
        <f t="shared" si="690"/>
        <v>-297577.15959197265</v>
      </c>
      <c r="Q393" s="272">
        <f t="shared" si="690"/>
        <v>-303524.05135812738</v>
      </c>
      <c r="R393" s="272">
        <f t="shared" si="690"/>
        <v>-309648.94036539394</v>
      </c>
      <c r="S393" s="272">
        <f t="shared" si="690"/>
        <v>-315957.75069055805</v>
      </c>
      <c r="T393" s="272">
        <f t="shared" si="690"/>
        <v>-322456.59599147312</v>
      </c>
      <c r="U393" s="272">
        <f t="shared" si="690"/>
        <v>-329151.78308509308</v>
      </c>
      <c r="V393" s="272">
        <f t="shared" si="690"/>
        <v>-336049.81528490095</v>
      </c>
      <c r="W393" s="272">
        <f t="shared" si="690"/>
        <v>-343157.39545319451</v>
      </c>
      <c r="X393" s="272">
        <f t="shared" si="690"/>
        <v>-321325.54871888272</v>
      </c>
      <c r="Y393" s="272">
        <f t="shared" si="690"/>
        <v>-328873.14480619511</v>
      </c>
      <c r="Z393" s="272">
        <f t="shared" si="690"/>
        <v>-336651.61991396587</v>
      </c>
      <c r="AA393" s="272">
        <f t="shared" si="690"/>
        <v>-344668.4980788934</v>
      </c>
      <c r="AB393" s="272">
        <f t="shared" si="690"/>
        <v>-352931.51194933243</v>
      </c>
      <c r="AC393" s="272">
        <f t="shared" si="690"/>
        <v>-361448.60288872232</v>
      </c>
      <c r="AD393" s="272">
        <f t="shared" si="690"/>
        <v>-370227.9203196154</v>
      </c>
      <c r="AE393" s="272">
        <f t="shared" si="690"/>
        <v>-379277.82021040097</v>
      </c>
      <c r="AF393" s="272">
        <f t="shared" si="690"/>
        <v>-388606.86259715853</v>
      </c>
      <c r="AG393" s="272">
        <f t="shared" si="690"/>
        <v>-398223.8080225382</v>
      </c>
      <c r="AH393" s="272">
        <f t="shared" si="690"/>
        <v>-408137.61276210559</v>
      </c>
      <c r="AI393" s="272">
        <f t="shared" si="690"/>
        <v>-418357.42269609752</v>
      </c>
      <c r="AJ393" s="272">
        <f t="shared" si="690"/>
        <v>-428892.56567094603</v>
      </c>
    </row>
    <row r="394" spans="1:36" hidden="1" x14ac:dyDescent="0.25">
      <c r="A394" t="s">
        <v>424</v>
      </c>
    </row>
    <row r="395" spans="1:36" s="24" customFormat="1" ht="17.25" hidden="1" x14ac:dyDescent="0.3">
      <c r="A395" s="24" t="s">
        <v>424</v>
      </c>
      <c r="H395" s="644" t="s">
        <v>473</v>
      </c>
      <c r="I395" s="644"/>
      <c r="K395" s="644"/>
      <c r="L395" s="644"/>
      <c r="M395" s="644"/>
      <c r="N395" s="644"/>
      <c r="O395" s="644"/>
      <c r="P395" s="644"/>
      <c r="Q395" s="644"/>
      <c r="R395" s="644"/>
      <c r="S395" s="644"/>
      <c r="T395" s="644"/>
      <c r="U395" s="644"/>
      <c r="V395" s="644"/>
      <c r="W395" s="644"/>
      <c r="X395" s="644"/>
      <c r="Y395" s="644"/>
      <c r="Z395" s="644"/>
      <c r="AA395" s="644"/>
      <c r="AB395" s="644"/>
      <c r="AC395" s="644"/>
      <c r="AD395" s="644"/>
      <c r="AE395" s="644"/>
      <c r="AF395" s="644"/>
      <c r="AG395" s="644"/>
      <c r="AH395" s="644"/>
      <c r="AI395" s="644"/>
      <c r="AJ395" s="644"/>
    </row>
    <row r="396" spans="1:36" s="1" customFormat="1" hidden="1" x14ac:dyDescent="0.25">
      <c r="A396" s="1" t="s">
        <v>424</v>
      </c>
      <c r="H396" s="273" t="s">
        <v>434</v>
      </c>
      <c r="I396" s="274" t="str">
        <f>IF($H$9="USD","USD/tấn","tr. VND/tấn")</f>
        <v>tr. VND/tấn</v>
      </c>
      <c r="K396" s="278">
        <f t="shared" ref="K396" si="691">SUM(K397:K398,K401:K404,)</f>
        <v>0</v>
      </c>
      <c r="L396" s="278">
        <f>SUM(L397:L398,L401:L404,)</f>
        <v>18.143966296634364</v>
      </c>
      <c r="M396" s="278">
        <f t="shared" ref="M396:AJ396" si="692">SUM(M397:M398,M401:M404,)</f>
        <v>12.959975926167408</v>
      </c>
      <c r="N396" s="278">
        <f t="shared" si="692"/>
        <v>9.2429996523882512</v>
      </c>
      <c r="O396" s="278">
        <f t="shared" si="692"/>
        <v>9.4225669816628717</v>
      </c>
      <c r="P396" s="278">
        <f t="shared" si="692"/>
        <v>9.6111126774012199</v>
      </c>
      <c r="Q396" s="278">
        <f t="shared" si="692"/>
        <v>9.809085657926488</v>
      </c>
      <c r="R396" s="278">
        <f t="shared" si="692"/>
        <v>10.01695728747802</v>
      </c>
      <c r="S396" s="278">
        <f t="shared" si="692"/>
        <v>10.235222498507129</v>
      </c>
      <c r="T396" s="278">
        <f t="shared" si="692"/>
        <v>10.464400970087691</v>
      </c>
      <c r="U396" s="278">
        <f t="shared" si="692"/>
        <v>10.705038365247281</v>
      </c>
      <c r="V396" s="278">
        <f t="shared" si="692"/>
        <v>10.957707630164855</v>
      </c>
      <c r="W396" s="278">
        <f t="shared" si="692"/>
        <v>11.223010358328303</v>
      </c>
      <c r="X396" s="278">
        <f t="shared" si="692"/>
        <v>6.9756324579477411</v>
      </c>
      <c r="Y396" s="278">
        <f t="shared" si="692"/>
        <v>7.2681287157479444</v>
      </c>
      <c r="Z396" s="278">
        <f t="shared" si="692"/>
        <v>7.5752497864381585</v>
      </c>
      <c r="AA396" s="278">
        <f t="shared" si="692"/>
        <v>7.8977269106628807</v>
      </c>
      <c r="AB396" s="278">
        <f t="shared" si="692"/>
        <v>8.2363278910988438</v>
      </c>
      <c r="AC396" s="278">
        <f t="shared" si="692"/>
        <v>8.5918589205566001</v>
      </c>
      <c r="AD396" s="278">
        <f t="shared" si="692"/>
        <v>8.9651665014872481</v>
      </c>
      <c r="AE396" s="278">
        <f t="shared" si="692"/>
        <v>9.3571394614644277</v>
      </c>
      <c r="AF396" s="278">
        <f t="shared" si="692"/>
        <v>9.7687110694404637</v>
      </c>
      <c r="AG396" s="278">
        <f t="shared" si="692"/>
        <v>10.200861257815303</v>
      </c>
      <c r="AH396" s="278">
        <f t="shared" si="692"/>
        <v>10.654618955608884</v>
      </c>
      <c r="AI396" s="278">
        <f t="shared" si="692"/>
        <v>11.131064538292144</v>
      </c>
      <c r="AJ396" s="278">
        <f t="shared" si="692"/>
        <v>11.631332400109569</v>
      </c>
    </row>
    <row r="397" spans="1:36" hidden="1" x14ac:dyDescent="0.25">
      <c r="A397" t="s">
        <v>424</v>
      </c>
      <c r="C397" t="s">
        <v>367</v>
      </c>
      <c r="H397" s="557" t="s">
        <v>190</v>
      </c>
      <c r="I397" s="558" t="str">
        <f t="shared" ref="I397:I430" si="693">IF($H$9="USD","USD/tấn","tr. VND/tấn")</f>
        <v>tr. VND/tấn</v>
      </c>
      <c r="K397" s="563"/>
      <c r="L397" s="564">
        <f t="shared" ref="L397:AJ397" si="694">-IF($H$9="VND",L365/L353/$H$10/10^3,L365/L353/$H$10*10^3)</f>
        <v>10.989195536732606</v>
      </c>
      <c r="M397" s="564">
        <f t="shared" si="694"/>
        <v>7.8494253833804342</v>
      </c>
      <c r="N397" s="564">
        <f t="shared" si="694"/>
        <v>5.4945977683663028</v>
      </c>
      <c r="O397" s="564">
        <f t="shared" si="694"/>
        <v>5.4945977683663028</v>
      </c>
      <c r="P397" s="564">
        <f t="shared" si="694"/>
        <v>5.4945977683663028</v>
      </c>
      <c r="Q397" s="564">
        <f t="shared" si="694"/>
        <v>5.4945977683663028</v>
      </c>
      <c r="R397" s="564">
        <f t="shared" si="694"/>
        <v>5.4945977683663028</v>
      </c>
      <c r="S397" s="564">
        <f t="shared" si="694"/>
        <v>5.4945977683663028</v>
      </c>
      <c r="T397" s="564">
        <f t="shared" si="694"/>
        <v>5.4945977683663028</v>
      </c>
      <c r="U397" s="564">
        <f t="shared" si="694"/>
        <v>5.4945977683663028</v>
      </c>
      <c r="V397" s="564">
        <f t="shared" si="694"/>
        <v>5.4945977683663028</v>
      </c>
      <c r="W397" s="564">
        <f t="shared" si="694"/>
        <v>5.4945977683663028</v>
      </c>
      <c r="X397" s="564">
        <f t="shared" si="694"/>
        <v>0.96865200341411861</v>
      </c>
      <c r="Y397" s="564">
        <f t="shared" si="694"/>
        <v>0.96865200341411861</v>
      </c>
      <c r="Z397" s="564">
        <f t="shared" si="694"/>
        <v>0.96865200341411861</v>
      </c>
      <c r="AA397" s="564">
        <f t="shared" si="694"/>
        <v>0.96865200341411861</v>
      </c>
      <c r="AB397" s="564">
        <f t="shared" si="694"/>
        <v>0.96865200341411861</v>
      </c>
      <c r="AC397" s="564">
        <f t="shared" si="694"/>
        <v>0.96865200341411861</v>
      </c>
      <c r="AD397" s="564">
        <f t="shared" si="694"/>
        <v>0.96865200341411861</v>
      </c>
      <c r="AE397" s="564">
        <f t="shared" si="694"/>
        <v>0.96865200341411861</v>
      </c>
      <c r="AF397" s="564">
        <f t="shared" si="694"/>
        <v>0.96865200341411861</v>
      </c>
      <c r="AG397" s="564">
        <f t="shared" si="694"/>
        <v>0.96865200341411861</v>
      </c>
      <c r="AH397" s="564">
        <f t="shared" si="694"/>
        <v>0.96865200341411861</v>
      </c>
      <c r="AI397" s="564">
        <f t="shared" si="694"/>
        <v>0.96865200341411861</v>
      </c>
      <c r="AJ397" s="564">
        <f t="shared" si="694"/>
        <v>0.96865200341411861</v>
      </c>
    </row>
    <row r="398" spans="1:36" hidden="1" x14ac:dyDescent="0.25">
      <c r="A398" t="s">
        <v>424</v>
      </c>
      <c r="H398" s="559" t="s">
        <v>429</v>
      </c>
      <c r="I398" s="560" t="str">
        <f t="shared" si="693"/>
        <v>tr. VND/tấn</v>
      </c>
      <c r="K398" s="565">
        <f>SUM(K399:K400)</f>
        <v>0</v>
      </c>
      <c r="L398" s="565">
        <f t="shared" ref="L398:AJ398" si="695">SUM(L399:L400)</f>
        <v>2.0380544703553434</v>
      </c>
      <c r="M398" s="565">
        <f t="shared" si="695"/>
        <v>1.4557531931109595</v>
      </c>
      <c r="N398" s="565">
        <f t="shared" si="695"/>
        <v>1.0699785969365552</v>
      </c>
      <c r="O398" s="565">
        <f t="shared" si="695"/>
        <v>1.123477526783383</v>
      </c>
      <c r="P398" s="565">
        <f t="shared" si="695"/>
        <v>1.1796514031225522</v>
      </c>
      <c r="Q398" s="565">
        <f t="shared" si="695"/>
        <v>1.2386339732786797</v>
      </c>
      <c r="R398" s="565">
        <f t="shared" si="695"/>
        <v>1.300565671942614</v>
      </c>
      <c r="S398" s="565">
        <f t="shared" si="695"/>
        <v>1.3655939555397445</v>
      </c>
      <c r="T398" s="565">
        <f t="shared" si="695"/>
        <v>1.4338736533167316</v>
      </c>
      <c r="U398" s="565">
        <f t="shared" si="695"/>
        <v>1.5055673359825681</v>
      </c>
      <c r="V398" s="565">
        <f t="shared" si="695"/>
        <v>1.5808457027816969</v>
      </c>
      <c r="W398" s="565">
        <f t="shared" si="695"/>
        <v>1.6598879879207815</v>
      </c>
      <c r="X398" s="565">
        <f t="shared" si="695"/>
        <v>1.7428823873168207</v>
      </c>
      <c r="Y398" s="565">
        <f t="shared" si="695"/>
        <v>1.8300265066826615</v>
      </c>
      <c r="Z398" s="565">
        <f t="shared" si="695"/>
        <v>1.9215278320167948</v>
      </c>
      <c r="AA398" s="565">
        <f t="shared" si="695"/>
        <v>2.0176042236176341</v>
      </c>
      <c r="AB398" s="565">
        <f t="shared" si="695"/>
        <v>2.1184844347985163</v>
      </c>
      <c r="AC398" s="565">
        <f t="shared" si="695"/>
        <v>2.2244086565384422</v>
      </c>
      <c r="AD398" s="565">
        <f t="shared" si="695"/>
        <v>2.3356290893653648</v>
      </c>
      <c r="AE398" s="565">
        <f t="shared" si="695"/>
        <v>2.4524105438336328</v>
      </c>
      <c r="AF398" s="565">
        <f t="shared" si="695"/>
        <v>2.5750310710253146</v>
      </c>
      <c r="AG398" s="565">
        <f t="shared" si="695"/>
        <v>2.7037826245765806</v>
      </c>
      <c r="AH398" s="565">
        <f t="shared" si="695"/>
        <v>2.8389717558054088</v>
      </c>
      <c r="AI398" s="565">
        <f t="shared" si="695"/>
        <v>2.9809203435956793</v>
      </c>
      <c r="AJ398" s="565">
        <f t="shared" si="695"/>
        <v>3.1299663607754642</v>
      </c>
    </row>
    <row r="399" spans="1:36" s="299" customFormat="1" hidden="1" x14ac:dyDescent="0.25">
      <c r="A399" s="299" t="s">
        <v>424</v>
      </c>
      <c r="C399" s="299" t="s">
        <v>367</v>
      </c>
      <c r="H399" s="561" t="s">
        <v>430</v>
      </c>
      <c r="I399" s="562" t="str">
        <f t="shared" si="693"/>
        <v>tr. VND/tấn</v>
      </c>
      <c r="K399" s="566"/>
      <c r="L399" s="566">
        <f t="shared" ref="L399:AJ399" si="696">-IF($H$9="VND",L367/L353/$H$10/10^3,L367/L353/$H$10*10^3)</f>
        <v>0.33319691613438851</v>
      </c>
      <c r="M399" s="566">
        <f t="shared" si="696"/>
        <v>0.23799779723884895</v>
      </c>
      <c r="N399" s="566">
        <f t="shared" si="696"/>
        <v>0.17492838097055399</v>
      </c>
      <c r="O399" s="566">
        <f t="shared" si="696"/>
        <v>0.18367480001908168</v>
      </c>
      <c r="P399" s="566">
        <f t="shared" si="696"/>
        <v>0.1928585400200358</v>
      </c>
      <c r="Q399" s="566">
        <f t="shared" si="696"/>
        <v>0.20250146702103758</v>
      </c>
      <c r="R399" s="566">
        <f t="shared" si="696"/>
        <v>0.21262654037208947</v>
      </c>
      <c r="S399" s="566">
        <f t="shared" si="696"/>
        <v>0.22325786739069389</v>
      </c>
      <c r="T399" s="566">
        <f t="shared" si="696"/>
        <v>0.23442076076022864</v>
      </c>
      <c r="U399" s="566">
        <f t="shared" si="696"/>
        <v>0.24614179879824005</v>
      </c>
      <c r="V399" s="566">
        <f t="shared" si="696"/>
        <v>0.25844888873815208</v>
      </c>
      <c r="W399" s="566">
        <f t="shared" si="696"/>
        <v>0.27137133317505963</v>
      </c>
      <c r="X399" s="566">
        <f t="shared" si="696"/>
        <v>0.28493989983381268</v>
      </c>
      <c r="Y399" s="566">
        <f t="shared" si="696"/>
        <v>0.29918689482550326</v>
      </c>
      <c r="Z399" s="566">
        <f t="shared" si="696"/>
        <v>0.31414623956677851</v>
      </c>
      <c r="AA399" s="566">
        <f t="shared" si="696"/>
        <v>0.32985355154511736</v>
      </c>
      <c r="AB399" s="566">
        <f t="shared" si="696"/>
        <v>0.34634622912237328</v>
      </c>
      <c r="AC399" s="566">
        <f t="shared" si="696"/>
        <v>0.36366354057849198</v>
      </c>
      <c r="AD399" s="566">
        <f t="shared" si="696"/>
        <v>0.38184671760741662</v>
      </c>
      <c r="AE399" s="566">
        <f t="shared" si="696"/>
        <v>0.40093905348778741</v>
      </c>
      <c r="AF399" s="566">
        <f t="shared" si="696"/>
        <v>0.42098600616217685</v>
      </c>
      <c r="AG399" s="566">
        <f t="shared" si="696"/>
        <v>0.4420353064702856</v>
      </c>
      <c r="AH399" s="566">
        <f t="shared" si="696"/>
        <v>0.46413707179379993</v>
      </c>
      <c r="AI399" s="566">
        <f t="shared" si="696"/>
        <v>0.48734392538348986</v>
      </c>
      <c r="AJ399" s="566">
        <f t="shared" si="696"/>
        <v>0.51171112165266441</v>
      </c>
    </row>
    <row r="400" spans="1:36" s="299" customFormat="1" hidden="1" x14ac:dyDescent="0.25">
      <c r="A400" s="299" t="s">
        <v>424</v>
      </c>
      <c r="C400" s="299" t="s">
        <v>367</v>
      </c>
      <c r="H400" s="561" t="s">
        <v>431</v>
      </c>
      <c r="I400" s="562" t="str">
        <f t="shared" si="693"/>
        <v>tr. VND/tấn</v>
      </c>
      <c r="K400" s="566"/>
      <c r="L400" s="566">
        <f t="shared" ref="L400:AJ400" si="697">-IF($H$9="VND",L368/L353/$H$10/10^3,L368/L353/$H$10*10^3)</f>
        <v>1.7048575542209548</v>
      </c>
      <c r="M400" s="566">
        <f t="shared" si="697"/>
        <v>1.2177553958721106</v>
      </c>
      <c r="N400" s="566">
        <f t="shared" si="697"/>
        <v>0.89505021596600121</v>
      </c>
      <c r="O400" s="566">
        <f t="shared" si="697"/>
        <v>0.93980272676430132</v>
      </c>
      <c r="P400" s="566">
        <f t="shared" si="697"/>
        <v>0.98679286310251635</v>
      </c>
      <c r="Q400" s="566">
        <f t="shared" si="697"/>
        <v>1.0361325062576421</v>
      </c>
      <c r="R400" s="566">
        <f t="shared" si="697"/>
        <v>1.0879391315705245</v>
      </c>
      <c r="S400" s="566">
        <f t="shared" si="697"/>
        <v>1.1423360881490505</v>
      </c>
      <c r="T400" s="566">
        <f t="shared" si="697"/>
        <v>1.1994528925565029</v>
      </c>
      <c r="U400" s="566">
        <f t="shared" si="697"/>
        <v>1.2594255371843281</v>
      </c>
      <c r="V400" s="566">
        <f t="shared" si="697"/>
        <v>1.3223968140435447</v>
      </c>
      <c r="W400" s="566">
        <f t="shared" si="697"/>
        <v>1.3885166547457219</v>
      </c>
      <c r="X400" s="566">
        <f t="shared" si="697"/>
        <v>1.457942487483008</v>
      </c>
      <c r="Y400" s="566">
        <f t="shared" si="697"/>
        <v>1.5308396118571583</v>
      </c>
      <c r="Z400" s="566">
        <f t="shared" si="697"/>
        <v>1.6073815924500163</v>
      </c>
      <c r="AA400" s="566">
        <f t="shared" si="697"/>
        <v>1.6877506720725168</v>
      </c>
      <c r="AB400" s="566">
        <f t="shared" si="697"/>
        <v>1.7721382056761432</v>
      </c>
      <c r="AC400" s="566">
        <f t="shared" si="697"/>
        <v>1.8607451159599502</v>
      </c>
      <c r="AD400" s="566">
        <f t="shared" si="697"/>
        <v>1.9537823717579481</v>
      </c>
      <c r="AE400" s="566">
        <f t="shared" si="697"/>
        <v>2.0514714903458455</v>
      </c>
      <c r="AF400" s="566">
        <f t="shared" si="697"/>
        <v>2.1540450648631375</v>
      </c>
      <c r="AG400" s="566">
        <f t="shared" si="697"/>
        <v>2.2617473181062948</v>
      </c>
      <c r="AH400" s="566">
        <f t="shared" si="697"/>
        <v>2.374834684011609</v>
      </c>
      <c r="AI400" s="566">
        <f t="shared" si="697"/>
        <v>2.4935764182121893</v>
      </c>
      <c r="AJ400" s="566">
        <f t="shared" si="697"/>
        <v>2.6182552391227998</v>
      </c>
    </row>
    <row r="401" spans="1:36" hidden="1" x14ac:dyDescent="0.25">
      <c r="A401" t="s">
        <v>424</v>
      </c>
      <c r="C401" t="s">
        <v>367</v>
      </c>
      <c r="H401" s="559" t="s">
        <v>656</v>
      </c>
      <c r="I401" s="560" t="str">
        <f t="shared" si="693"/>
        <v>tr. VND/tấn</v>
      </c>
      <c r="K401" s="565"/>
      <c r="L401" s="565">
        <f t="shared" ref="L401:AJ401" si="698">-IF($H$9="VND",L369/L353/$H$10/10^3,L369/L353/$H$10*10^3)</f>
        <v>0.81366768286785962</v>
      </c>
      <c r="M401" s="565">
        <f t="shared" si="698"/>
        <v>0.58119120204847119</v>
      </c>
      <c r="N401" s="565">
        <f t="shared" si="698"/>
        <v>0.42717553350562631</v>
      </c>
      <c r="O401" s="565">
        <f t="shared" si="698"/>
        <v>0.44853431018090767</v>
      </c>
      <c r="P401" s="565">
        <f t="shared" si="698"/>
        <v>0.47096102568995302</v>
      </c>
      <c r="Q401" s="565">
        <f t="shared" si="698"/>
        <v>0.49450907697445068</v>
      </c>
      <c r="R401" s="565">
        <f t="shared" si="698"/>
        <v>0.51923453082317328</v>
      </c>
      <c r="S401" s="565">
        <f t="shared" si="698"/>
        <v>0.54519625736433197</v>
      </c>
      <c r="T401" s="565">
        <f t="shared" si="698"/>
        <v>0.57245607023254852</v>
      </c>
      <c r="U401" s="565">
        <f t="shared" si="698"/>
        <v>0.6010788737441759</v>
      </c>
      <c r="V401" s="565">
        <f t="shared" si="698"/>
        <v>0.63113281743138472</v>
      </c>
      <c r="W401" s="565">
        <f t="shared" si="698"/>
        <v>0.662689458302954</v>
      </c>
      <c r="X401" s="565">
        <f t="shared" si="698"/>
        <v>0.69582393121810171</v>
      </c>
      <c r="Y401" s="565">
        <f t="shared" si="698"/>
        <v>0.73061512777900672</v>
      </c>
      <c r="Z401" s="565">
        <f t="shared" si="698"/>
        <v>0.76714588416795737</v>
      </c>
      <c r="AA401" s="565">
        <f t="shared" si="698"/>
        <v>0.80550317837635477</v>
      </c>
      <c r="AB401" s="565">
        <f t="shared" si="698"/>
        <v>0.84577833729517282</v>
      </c>
      <c r="AC401" s="565">
        <f t="shared" si="698"/>
        <v>0.88806725415993137</v>
      </c>
      <c r="AD401" s="565">
        <f t="shared" si="698"/>
        <v>0.9324706168679282</v>
      </c>
      <c r="AE401" s="565">
        <f t="shared" si="698"/>
        <v>0.97909414771132464</v>
      </c>
      <c r="AF401" s="565">
        <f t="shared" si="698"/>
        <v>1.0280488550968905</v>
      </c>
      <c r="AG401" s="565">
        <f t="shared" si="698"/>
        <v>1.0794512978517352</v>
      </c>
      <c r="AH401" s="565">
        <f t="shared" si="698"/>
        <v>1.1334238627443218</v>
      </c>
      <c r="AI401" s="565">
        <f t="shared" si="698"/>
        <v>1.1900950558815382</v>
      </c>
      <c r="AJ401" s="565">
        <f t="shared" si="698"/>
        <v>1.249599808675615</v>
      </c>
    </row>
    <row r="402" spans="1:36" hidden="1" x14ac:dyDescent="0.25">
      <c r="A402" t="s">
        <v>424</v>
      </c>
      <c r="C402" t="s">
        <v>367</v>
      </c>
      <c r="H402" s="559" t="s">
        <v>432</v>
      </c>
      <c r="I402" s="560" t="str">
        <f t="shared" si="693"/>
        <v>tr. VND/tấn</v>
      </c>
      <c r="K402" s="565"/>
      <c r="L402" s="565">
        <f t="shared" ref="L402:AJ402" si="699">-IF($H$9="VND",L370/L353/$H$10/10^3,L370/L353/$H$10*10^3)</f>
        <v>3.8017944425598351</v>
      </c>
      <c r="M402" s="565">
        <f t="shared" si="699"/>
        <v>2.7155674589713112</v>
      </c>
      <c r="N402" s="565">
        <f t="shared" si="699"/>
        <v>1.9959420823439136</v>
      </c>
      <c r="O402" s="565">
        <f t="shared" si="699"/>
        <v>2.0957391864611097</v>
      </c>
      <c r="P402" s="565">
        <f t="shared" si="699"/>
        <v>2.2005261457841652</v>
      </c>
      <c r="Q402" s="565">
        <f t="shared" si="699"/>
        <v>2.310552453073373</v>
      </c>
      <c r="R402" s="565">
        <f t="shared" si="699"/>
        <v>2.4260800757270418</v>
      </c>
      <c r="S402" s="565">
        <f t="shared" si="699"/>
        <v>2.5473840795133937</v>
      </c>
      <c r="T402" s="565">
        <f t="shared" si="699"/>
        <v>2.6747532834890642</v>
      </c>
      <c r="U402" s="565">
        <f t="shared" si="699"/>
        <v>2.8084909476635165</v>
      </c>
      <c r="V402" s="565">
        <f t="shared" si="699"/>
        <v>2.9489154950466929</v>
      </c>
      <c r="W402" s="565">
        <f t="shared" si="699"/>
        <v>3.096361269799027</v>
      </c>
      <c r="X402" s="565">
        <f t="shared" si="699"/>
        <v>3.2511793332889782</v>
      </c>
      <c r="Y402" s="565">
        <f t="shared" si="699"/>
        <v>3.4137382999534274</v>
      </c>
      <c r="Z402" s="565">
        <f t="shared" si="699"/>
        <v>3.5844252149510996</v>
      </c>
      <c r="AA402" s="565">
        <f t="shared" si="699"/>
        <v>3.7636464756986534</v>
      </c>
      <c r="AB402" s="565">
        <f t="shared" si="699"/>
        <v>3.9518287994835872</v>
      </c>
      <c r="AC402" s="565">
        <f t="shared" si="699"/>
        <v>4.1494202394577657</v>
      </c>
      <c r="AD402" s="565">
        <f t="shared" si="699"/>
        <v>4.356891251430655</v>
      </c>
      <c r="AE402" s="565">
        <f t="shared" si="699"/>
        <v>4.5747358140021879</v>
      </c>
      <c r="AF402" s="565">
        <f t="shared" si="699"/>
        <v>4.8034726047022982</v>
      </c>
      <c r="AG402" s="565">
        <f t="shared" si="699"/>
        <v>5.0436462349374125</v>
      </c>
      <c r="AH402" s="565">
        <f t="shared" si="699"/>
        <v>5.2958285466842829</v>
      </c>
      <c r="AI402" s="565">
        <f t="shared" si="699"/>
        <v>5.5606199740184969</v>
      </c>
      <c r="AJ402" s="565">
        <f t="shared" si="699"/>
        <v>5.8386509727194227</v>
      </c>
    </row>
    <row r="403" spans="1:36" hidden="1" x14ac:dyDescent="0.25">
      <c r="A403" t="s">
        <v>424</v>
      </c>
      <c r="C403" t="s">
        <v>367</v>
      </c>
      <c r="H403" s="559" t="s">
        <v>433</v>
      </c>
      <c r="I403" s="560" t="str">
        <f t="shared" si="693"/>
        <v>tr. VND/tấn</v>
      </c>
      <c r="K403" s="565"/>
      <c r="L403" s="565">
        <f t="shared" ref="L403:AJ403" si="700">-IF($H$9="VND",L371/L353/$H$10/10^3,L371/L353/$H$10*10^3)</f>
        <v>0.18714356705960775</v>
      </c>
      <c r="M403" s="565">
        <f t="shared" si="700"/>
        <v>0.1336739764711484</v>
      </c>
      <c r="N403" s="565">
        <f t="shared" si="700"/>
        <v>9.8250372706294054E-2</v>
      </c>
      <c r="O403" s="565">
        <f t="shared" si="700"/>
        <v>0.10316289134160876</v>
      </c>
      <c r="P403" s="565">
        <f t="shared" si="700"/>
        <v>0.1083210359086892</v>
      </c>
      <c r="Q403" s="565">
        <f t="shared" si="700"/>
        <v>0.11373708770412366</v>
      </c>
      <c r="R403" s="565">
        <f t="shared" si="700"/>
        <v>0.11942394208932987</v>
      </c>
      <c r="S403" s="565">
        <f t="shared" si="700"/>
        <v>0.12539513919379636</v>
      </c>
      <c r="T403" s="565">
        <f t="shared" si="700"/>
        <v>0.13166489615348617</v>
      </c>
      <c r="U403" s="565">
        <f t="shared" si="700"/>
        <v>0.13824814096116045</v>
      </c>
      <c r="V403" s="565">
        <f t="shared" si="700"/>
        <v>0.14516054800921852</v>
      </c>
      <c r="W403" s="565">
        <f t="shared" si="700"/>
        <v>0.15241857540967943</v>
      </c>
      <c r="X403" s="565">
        <f t="shared" si="700"/>
        <v>0.16003950418016338</v>
      </c>
      <c r="Y403" s="565">
        <f t="shared" si="700"/>
        <v>0.16804147938917155</v>
      </c>
      <c r="Z403" s="565">
        <f t="shared" si="700"/>
        <v>0.17644355335863013</v>
      </c>
      <c r="AA403" s="565">
        <f t="shared" si="700"/>
        <v>0.18526573102656163</v>
      </c>
      <c r="AB403" s="565">
        <f t="shared" si="700"/>
        <v>0.19452901757788979</v>
      </c>
      <c r="AC403" s="565">
        <f t="shared" si="700"/>
        <v>0.20425546845678422</v>
      </c>
      <c r="AD403" s="565">
        <f t="shared" si="700"/>
        <v>0.21446824187962349</v>
      </c>
      <c r="AE403" s="565">
        <f t="shared" si="700"/>
        <v>0.22519165397360463</v>
      </c>
      <c r="AF403" s="565">
        <f t="shared" si="700"/>
        <v>0.2364512366722849</v>
      </c>
      <c r="AG403" s="565">
        <f t="shared" si="700"/>
        <v>0.24827379850589912</v>
      </c>
      <c r="AH403" s="565">
        <f t="shared" si="700"/>
        <v>0.26068748843119405</v>
      </c>
      <c r="AI403" s="565">
        <f t="shared" si="700"/>
        <v>0.27372186285275374</v>
      </c>
      <c r="AJ403" s="565">
        <f t="shared" si="700"/>
        <v>0.28740795599539148</v>
      </c>
    </row>
    <row r="404" spans="1:36" hidden="1" x14ac:dyDescent="0.25">
      <c r="A404" t="s">
        <v>424</v>
      </c>
      <c r="C404" t="s">
        <v>367</v>
      </c>
      <c r="H404" s="559" t="s">
        <v>520</v>
      </c>
      <c r="I404" s="560" t="str">
        <f t="shared" si="693"/>
        <v>tr. VND/tấn</v>
      </c>
      <c r="K404" s="565"/>
      <c r="L404" s="565">
        <f t="shared" ref="L404:AJ404" si="701">-IF($H$9="VND",L372/L353/$H$10/10^3,L372/L353/$H$10*10^3)</f>
        <v>0.31411059705911676</v>
      </c>
      <c r="M404" s="565">
        <f t="shared" si="701"/>
        <v>0.22436471218508339</v>
      </c>
      <c r="N404" s="565">
        <f t="shared" si="701"/>
        <v>0.15705529852955838</v>
      </c>
      <c r="O404" s="565">
        <f t="shared" si="701"/>
        <v>0.15705529852955838</v>
      </c>
      <c r="P404" s="565">
        <f t="shared" si="701"/>
        <v>0.15705529852955838</v>
      </c>
      <c r="Q404" s="565">
        <f t="shared" si="701"/>
        <v>0.15705529852955838</v>
      </c>
      <c r="R404" s="565">
        <f t="shared" si="701"/>
        <v>0.15705529852955838</v>
      </c>
      <c r="S404" s="565">
        <f t="shared" si="701"/>
        <v>0.15705529852955838</v>
      </c>
      <c r="T404" s="565">
        <f t="shared" si="701"/>
        <v>0.15705529852955838</v>
      </c>
      <c r="U404" s="565">
        <f t="shared" si="701"/>
        <v>0.15705529852955838</v>
      </c>
      <c r="V404" s="565">
        <f t="shared" si="701"/>
        <v>0.15705529852955838</v>
      </c>
      <c r="W404" s="565">
        <f t="shared" si="701"/>
        <v>0.15705529852955838</v>
      </c>
      <c r="X404" s="565">
        <f t="shared" si="701"/>
        <v>0.15705529852955838</v>
      </c>
      <c r="Y404" s="565">
        <f t="shared" si="701"/>
        <v>0.15705529852955838</v>
      </c>
      <c r="Z404" s="565">
        <f t="shared" si="701"/>
        <v>0.15705529852955838</v>
      </c>
      <c r="AA404" s="565">
        <f t="shared" si="701"/>
        <v>0.15705529852955838</v>
      </c>
      <c r="AB404" s="565">
        <f t="shared" si="701"/>
        <v>0.15705529852955838</v>
      </c>
      <c r="AC404" s="565">
        <f t="shared" si="701"/>
        <v>0.15705529852955838</v>
      </c>
      <c r="AD404" s="565">
        <f t="shared" si="701"/>
        <v>0.15705529852955838</v>
      </c>
      <c r="AE404" s="565">
        <f t="shared" si="701"/>
        <v>0.15705529852955838</v>
      </c>
      <c r="AF404" s="565">
        <f t="shared" si="701"/>
        <v>0.15705529852955838</v>
      </c>
      <c r="AG404" s="565">
        <f t="shared" si="701"/>
        <v>0.15705529852955838</v>
      </c>
      <c r="AH404" s="565">
        <f t="shared" si="701"/>
        <v>0.15705529852955838</v>
      </c>
      <c r="AI404" s="565">
        <f t="shared" si="701"/>
        <v>0.15705529852955838</v>
      </c>
      <c r="AJ404" s="565">
        <f t="shared" si="701"/>
        <v>0.15705529852955838</v>
      </c>
    </row>
    <row r="405" spans="1:36" hidden="1" x14ac:dyDescent="0.25">
      <c r="A405" t="s">
        <v>424</v>
      </c>
      <c r="H405" s="247"/>
      <c r="I405" s="275"/>
      <c r="K405" s="279"/>
      <c r="L405" s="279"/>
      <c r="M405" s="279"/>
      <c r="N405" s="279"/>
      <c r="O405" s="279"/>
      <c r="P405" s="279"/>
      <c r="Q405" s="279"/>
      <c r="R405" s="279"/>
      <c r="S405" s="279"/>
      <c r="T405" s="279"/>
      <c r="U405" s="279"/>
      <c r="V405" s="279"/>
      <c r="W405" s="279"/>
      <c r="X405" s="279"/>
      <c r="Y405" s="279"/>
      <c r="Z405" s="279"/>
      <c r="AA405" s="279"/>
      <c r="AB405" s="279"/>
      <c r="AC405" s="279"/>
      <c r="AD405" s="279"/>
      <c r="AE405" s="279"/>
      <c r="AF405" s="279"/>
      <c r="AG405" s="279"/>
      <c r="AH405" s="279"/>
      <c r="AI405" s="279"/>
      <c r="AJ405" s="279"/>
    </row>
    <row r="406" spans="1:36" s="1" customFormat="1" hidden="1" x14ac:dyDescent="0.25">
      <c r="A406" s="1" t="s">
        <v>424</v>
      </c>
      <c r="H406" s="273" t="s">
        <v>435</v>
      </c>
      <c r="I406" s="274" t="str">
        <f t="shared" si="693"/>
        <v>tr. VND/tấn</v>
      </c>
      <c r="K406" s="280">
        <f>K407+K410+K413</f>
        <v>0</v>
      </c>
      <c r="L406" s="280">
        <f t="shared" ref="L406" si="702">L407+L410+L413</f>
        <v>30.828257876394236</v>
      </c>
      <c r="M406" s="280">
        <f t="shared" ref="M406" si="703">M407+M410+M413</f>
        <v>30.620898261575554</v>
      </c>
      <c r="N406" s="280">
        <f t="shared" ref="N406" si="704">N407+N410+N413</f>
        <v>31.144176347803135</v>
      </c>
      <c r="O406" s="280">
        <f t="shared" ref="O406" si="705">O407+O410+O413</f>
        <v>31.84025067853085</v>
      </c>
      <c r="P406" s="280">
        <f t="shared" ref="P406" si="706">P407+P410+P413</f>
        <v>32.554132102184383</v>
      </c>
      <c r="Q406" s="280">
        <f t="shared" ref="Q406" si="707">Q407+Q410+Q413</f>
        <v>33.286371040937809</v>
      </c>
      <c r="R406" s="280">
        <f t="shared" ref="R406" si="708">R407+R410+R413</f>
        <v>34.037538639424454</v>
      </c>
      <c r="S406" s="280">
        <f t="shared" ref="S406" si="709">S407+S410+S413</f>
        <v>34.808227664886921</v>
      </c>
      <c r="T406" s="280">
        <f t="shared" ref="T406" si="710">T407+T410+T413</f>
        <v>35.599053449614992</v>
      </c>
      <c r="U406" s="280">
        <f t="shared" ref="U406" si="711">U407+U410+U413</f>
        <v>36.41065487773183</v>
      </c>
      <c r="V406" s="280">
        <f t="shared" ref="V406" si="712">V407+V410+V413</f>
        <v>37.243695418489907</v>
      </c>
      <c r="W406" s="280">
        <f t="shared" ref="W406" si="713">W407+W410+W413</f>
        <v>38.098864208345987</v>
      </c>
      <c r="X406" s="280">
        <f t="shared" ref="X406" si="714">X407+X410+X413</f>
        <v>38.79583935359809</v>
      </c>
      <c r="Y406" s="280">
        <f t="shared" ref="Y406" si="715">Y407+Y410+Y413</f>
        <v>39.697440439672143</v>
      </c>
      <c r="Z406" s="280">
        <f t="shared" ref="Z406" si="716">Z407+Z410+Z413</f>
        <v>40.623402790709839</v>
      </c>
      <c r="AA406" s="280">
        <f t="shared" ref="AA406" si="717">AA407+AA410+AA413</f>
        <v>41.57453009417258</v>
      </c>
      <c r="AB406" s="280">
        <f t="shared" ref="AB406" si="718">AB407+AB410+AB413</f>
        <v>42.55165793437908</v>
      </c>
      <c r="AC406" s="280">
        <f t="shared" ref="AC406" si="719">AC407+AC410+AC413</f>
        <v>43.555655221597966</v>
      </c>
      <c r="AD406" s="280">
        <f t="shared" ref="AD406" si="720">AD407+AD410+AD413</f>
        <v>44.58742568927984</v>
      </c>
      <c r="AE406" s="280">
        <f t="shared" ref="AE406" si="721">AE407+AE410+AE413</f>
        <v>45.647909462769945</v>
      </c>
      <c r="AF406" s="280">
        <f t="shared" ref="AF406" si="722">AF407+AF410+AF413</f>
        <v>46.738084703007146</v>
      </c>
      <c r="AG406" s="280">
        <f t="shared" ref="AG406" si="723">AG407+AG410+AG413</f>
        <v>47.858969328890261</v>
      </c>
      <c r="AH406" s="280">
        <f t="shared" ref="AH406" si="724">AH407+AH410+AH413</f>
        <v>49.01162282217426</v>
      </c>
      <c r="AI406" s="280">
        <f t="shared" ref="AI406" si="725">AI407+AI410+AI413</f>
        <v>50.19714811895134</v>
      </c>
      <c r="AJ406" s="280">
        <f t="shared" ref="AJ406" si="726">AJ407+AJ410+AJ413</f>
        <v>51.416693591972702</v>
      </c>
    </row>
    <row r="407" spans="1:36" hidden="1" x14ac:dyDescent="0.25">
      <c r="A407" t="s">
        <v>424</v>
      </c>
      <c r="H407" s="557" t="s">
        <v>454</v>
      </c>
      <c r="I407" s="558" t="str">
        <f t="shared" si="693"/>
        <v>tr. VND/tấn</v>
      </c>
      <c r="K407" s="567">
        <f>SUM(K408:K409)</f>
        <v>0</v>
      </c>
      <c r="L407" s="567">
        <f t="shared" ref="L407:AJ407" si="727">SUM(L408:L409)</f>
        <v>27.772260801589791</v>
      </c>
      <c r="M407" s="567">
        <f t="shared" si="727"/>
        <v>27.772260801589788</v>
      </c>
      <c r="N407" s="567">
        <f t="shared" si="727"/>
        <v>28.327706017621583</v>
      </c>
      <c r="O407" s="567">
        <f t="shared" si="727"/>
        <v>28.894260137974015</v>
      </c>
      <c r="P407" s="567">
        <f t="shared" si="727"/>
        <v>29.472145340733494</v>
      </c>
      <c r="Q407" s="567">
        <f t="shared" si="727"/>
        <v>30.061588247548165</v>
      </c>
      <c r="R407" s="567">
        <f t="shared" si="727"/>
        <v>30.662820012499125</v>
      </c>
      <c r="S407" s="567">
        <f t="shared" si="727"/>
        <v>31.276076412749116</v>
      </c>
      <c r="T407" s="567">
        <f t="shared" si="727"/>
        <v>31.901597941004088</v>
      </c>
      <c r="U407" s="567">
        <f t="shared" si="727"/>
        <v>32.53962989982417</v>
      </c>
      <c r="V407" s="567">
        <f t="shared" si="727"/>
        <v>33.190422497820656</v>
      </c>
      <c r="W407" s="567">
        <f t="shared" si="727"/>
        <v>33.854230947777069</v>
      </c>
      <c r="X407" s="567">
        <f t="shared" si="727"/>
        <v>34.531315566732609</v>
      </c>
      <c r="Y407" s="567">
        <f t="shared" si="727"/>
        <v>35.22194187806727</v>
      </c>
      <c r="Z407" s="567">
        <f t="shared" si="727"/>
        <v>35.926380715628611</v>
      </c>
      <c r="AA407" s="567">
        <f t="shared" si="727"/>
        <v>36.644908329941181</v>
      </c>
      <c r="AB407" s="567">
        <f t="shared" si="727"/>
        <v>37.377806496539996</v>
      </c>
      <c r="AC407" s="567">
        <f t="shared" si="727"/>
        <v>38.12536262647081</v>
      </c>
      <c r="AD407" s="567">
        <f t="shared" si="727"/>
        <v>38.88786987900022</v>
      </c>
      <c r="AE407" s="567">
        <f t="shared" si="727"/>
        <v>39.665627276580224</v>
      </c>
      <c r="AF407" s="567">
        <f t="shared" si="727"/>
        <v>40.458939822111823</v>
      </c>
      <c r="AG407" s="567">
        <f t="shared" si="727"/>
        <v>41.268118618554062</v>
      </c>
      <c r="AH407" s="567">
        <f t="shared" si="727"/>
        <v>42.093480990925144</v>
      </c>
      <c r="AI407" s="567">
        <f t="shared" si="727"/>
        <v>42.935350610743654</v>
      </c>
      <c r="AJ407" s="567">
        <f t="shared" si="727"/>
        <v>43.794057622958512</v>
      </c>
    </row>
    <row r="408" spans="1:36" s="299" customFormat="1" hidden="1" x14ac:dyDescent="0.25">
      <c r="A408" s="299" t="s">
        <v>424</v>
      </c>
      <c r="C408" s="299" t="s">
        <v>504</v>
      </c>
      <c r="E408" s="331"/>
      <c r="F408" s="331"/>
      <c r="H408" s="561" t="s">
        <v>167</v>
      </c>
      <c r="I408" s="562" t="str">
        <f t="shared" si="693"/>
        <v>tr. VND/tấn</v>
      </c>
      <c r="K408" s="566"/>
      <c r="L408" s="566">
        <f t="shared" ref="L408:AJ408" si="728">-IF($H$9="VND",L376/L353/$H$10/10^3,L376/L353/$H$10*10^3)</f>
        <v>25.828202545478504</v>
      </c>
      <c r="M408" s="566">
        <f t="shared" si="728"/>
        <v>25.828202545478501</v>
      </c>
      <c r="N408" s="566">
        <f t="shared" si="728"/>
        <v>26.344766596388073</v>
      </c>
      <c r="O408" s="566">
        <f t="shared" si="728"/>
        <v>26.871661928315831</v>
      </c>
      <c r="P408" s="566">
        <f t="shared" si="728"/>
        <v>27.409095166882146</v>
      </c>
      <c r="Q408" s="566">
        <f t="shared" si="728"/>
        <v>27.957277070219792</v>
      </c>
      <c r="R408" s="566">
        <f t="shared" si="728"/>
        <v>28.516422611624186</v>
      </c>
      <c r="S408" s="566">
        <f t="shared" si="728"/>
        <v>29.086751063856674</v>
      </c>
      <c r="T408" s="566">
        <f t="shared" si="728"/>
        <v>29.6684860851338</v>
      </c>
      <c r="U408" s="566">
        <f t="shared" si="728"/>
        <v>30.261855806836476</v>
      </c>
      <c r="V408" s="566">
        <f t="shared" si="728"/>
        <v>30.86709292297321</v>
      </c>
      <c r="W408" s="566">
        <f t="shared" si="728"/>
        <v>31.484434781432675</v>
      </c>
      <c r="X408" s="566">
        <f t="shared" si="728"/>
        <v>32.11412347706132</v>
      </c>
      <c r="Y408" s="566">
        <f t="shared" si="728"/>
        <v>32.756405946602555</v>
      </c>
      <c r="Z408" s="566">
        <f t="shared" si="728"/>
        <v>33.41153406553461</v>
      </c>
      <c r="AA408" s="566">
        <f t="shared" si="728"/>
        <v>34.079764746845299</v>
      </c>
      <c r="AB408" s="566">
        <f t="shared" si="728"/>
        <v>34.761360041782197</v>
      </c>
      <c r="AC408" s="566">
        <f t="shared" si="728"/>
        <v>35.45658724261785</v>
      </c>
      <c r="AD408" s="566">
        <f t="shared" si="728"/>
        <v>36.1657189874702</v>
      </c>
      <c r="AE408" s="566">
        <f t="shared" si="728"/>
        <v>36.889033367219604</v>
      </c>
      <c r="AF408" s="566">
        <f t="shared" si="728"/>
        <v>37.626814034563992</v>
      </c>
      <c r="AG408" s="566">
        <f t="shared" si="728"/>
        <v>38.37935031525528</v>
      </c>
      <c r="AH408" s="566">
        <f t="shared" si="728"/>
        <v>39.146937321560387</v>
      </c>
      <c r="AI408" s="566">
        <f t="shared" si="728"/>
        <v>39.929876067991593</v>
      </c>
      <c r="AJ408" s="566">
        <f t="shared" si="728"/>
        <v>40.728473589351417</v>
      </c>
    </row>
    <row r="409" spans="1:36" s="299" customFormat="1" hidden="1" x14ac:dyDescent="0.25">
      <c r="A409" s="299" t="s">
        <v>424</v>
      </c>
      <c r="C409" s="299" t="s">
        <v>387</v>
      </c>
      <c r="E409" s="331"/>
      <c r="F409" s="331"/>
      <c r="H409" s="641" t="s">
        <v>203</v>
      </c>
      <c r="I409" s="642" t="str">
        <f t="shared" si="693"/>
        <v>tr. VND/tấn</v>
      </c>
      <c r="K409" s="643"/>
      <c r="L409" s="643">
        <f t="shared" ref="L409:AJ409" si="729">-IF($H$9="VND",L377/L353/$H$10/10^3,L377/L353/$H$10*10^3)</f>
        <v>1.9440582561112865</v>
      </c>
      <c r="M409" s="643">
        <f t="shared" si="729"/>
        <v>1.9440582561112874</v>
      </c>
      <c r="N409" s="643">
        <f t="shared" si="729"/>
        <v>1.9829394212335107</v>
      </c>
      <c r="O409" s="643">
        <f t="shared" si="729"/>
        <v>2.022598209658184</v>
      </c>
      <c r="P409" s="643">
        <f t="shared" si="729"/>
        <v>2.0630501738513467</v>
      </c>
      <c r="Q409" s="643">
        <f t="shared" si="729"/>
        <v>2.1043111773283734</v>
      </c>
      <c r="R409" s="643">
        <f t="shared" si="729"/>
        <v>2.1463974008749389</v>
      </c>
      <c r="S409" s="643">
        <f t="shared" si="729"/>
        <v>2.1893253488924409</v>
      </c>
      <c r="T409" s="643">
        <f t="shared" si="729"/>
        <v>2.233111855870288</v>
      </c>
      <c r="U409" s="643">
        <f t="shared" si="729"/>
        <v>2.2777740929876944</v>
      </c>
      <c r="V409" s="643">
        <f t="shared" si="729"/>
        <v>2.3233295748474476</v>
      </c>
      <c r="W409" s="643">
        <f t="shared" si="729"/>
        <v>2.3697961663443956</v>
      </c>
      <c r="X409" s="643">
        <f t="shared" si="729"/>
        <v>2.417192089671286</v>
      </c>
      <c r="Y409" s="643">
        <f t="shared" si="729"/>
        <v>2.4655359314647125</v>
      </c>
      <c r="Z409" s="643">
        <f t="shared" si="729"/>
        <v>2.514846650094003</v>
      </c>
      <c r="AA409" s="643">
        <f t="shared" si="729"/>
        <v>2.565143583095884</v>
      </c>
      <c r="AB409" s="643">
        <f t="shared" si="729"/>
        <v>2.6164464547578024</v>
      </c>
      <c r="AC409" s="643">
        <f t="shared" si="729"/>
        <v>2.6687753838529571</v>
      </c>
      <c r="AD409" s="643">
        <f t="shared" si="729"/>
        <v>2.7221508915300183</v>
      </c>
      <c r="AE409" s="643">
        <f t="shared" si="729"/>
        <v>2.7765939093606202</v>
      </c>
      <c r="AF409" s="643">
        <f t="shared" si="729"/>
        <v>2.8321257875478287</v>
      </c>
      <c r="AG409" s="643">
        <f t="shared" si="729"/>
        <v>2.8887683032987854</v>
      </c>
      <c r="AH409" s="643">
        <f t="shared" si="729"/>
        <v>2.9465436693647611</v>
      </c>
      <c r="AI409" s="643">
        <f t="shared" si="729"/>
        <v>3.0054745427520606</v>
      </c>
      <c r="AJ409" s="643">
        <f t="shared" si="729"/>
        <v>3.0655840336070983</v>
      </c>
    </row>
    <row r="410" spans="1:36" hidden="1" x14ac:dyDescent="0.25">
      <c r="A410" t="s">
        <v>424</v>
      </c>
      <c r="H410" s="559" t="s">
        <v>676</v>
      </c>
      <c r="I410" s="560" t="str">
        <f t="shared" si="693"/>
        <v>tr. VND/tấn</v>
      </c>
      <c r="K410" s="568">
        <f>SUM(K411:K412)</f>
        <v>0</v>
      </c>
      <c r="L410" s="568">
        <f t="shared" ref="L410:AJ410" si="730">SUM(L411:L412)</f>
        <v>0.20420258064516131</v>
      </c>
      <c r="M410" s="568">
        <f t="shared" si="730"/>
        <v>0.20420258064516134</v>
      </c>
      <c r="N410" s="568">
        <f t="shared" si="730"/>
        <v>0.21441270967741941</v>
      </c>
      <c r="O410" s="568">
        <f t="shared" si="730"/>
        <v>0.22513334516129035</v>
      </c>
      <c r="P410" s="568">
        <f t="shared" si="730"/>
        <v>0.23639001241935489</v>
      </c>
      <c r="Q410" s="568">
        <f t="shared" si="730"/>
        <v>0.24820951304032263</v>
      </c>
      <c r="R410" s="568">
        <f t="shared" si="730"/>
        <v>0.26061998869233877</v>
      </c>
      <c r="S410" s="568">
        <f t="shared" si="730"/>
        <v>0.27365098812695565</v>
      </c>
      <c r="T410" s="568">
        <f t="shared" si="730"/>
        <v>0.28733353753330354</v>
      </c>
      <c r="U410" s="568">
        <f t="shared" si="730"/>
        <v>0.30170021440996864</v>
      </c>
      <c r="V410" s="568">
        <f t="shared" si="730"/>
        <v>0.31678522513046709</v>
      </c>
      <c r="W410" s="568">
        <f t="shared" si="730"/>
        <v>0.33262448638699044</v>
      </c>
      <c r="X410" s="568">
        <f t="shared" si="730"/>
        <v>0.34925571070633998</v>
      </c>
      <c r="Y410" s="568">
        <f t="shared" si="730"/>
        <v>0.36671849624165698</v>
      </c>
      <c r="Z410" s="568">
        <f t="shared" si="730"/>
        <v>0.38505442105373988</v>
      </c>
      <c r="AA410" s="568">
        <f t="shared" si="730"/>
        <v>0.40430714210642676</v>
      </c>
      <c r="AB410" s="568">
        <f t="shared" si="730"/>
        <v>0.42452249921174823</v>
      </c>
      <c r="AC410" s="568">
        <f t="shared" si="730"/>
        <v>0.44574862417233563</v>
      </c>
      <c r="AD410" s="568">
        <f t="shared" si="730"/>
        <v>0.46803605538095244</v>
      </c>
      <c r="AE410" s="568">
        <f t="shared" si="730"/>
        <v>0.49143785815000002</v>
      </c>
      <c r="AF410" s="568">
        <f t="shared" si="730"/>
        <v>0.51600975105750013</v>
      </c>
      <c r="AG410" s="568">
        <f t="shared" si="730"/>
        <v>0.54181023861037514</v>
      </c>
      <c r="AH410" s="568">
        <f t="shared" si="730"/>
        <v>0.56890075054089384</v>
      </c>
      <c r="AI410" s="568">
        <f t="shared" si="730"/>
        <v>0.59734578806793848</v>
      </c>
      <c r="AJ410" s="568">
        <f t="shared" si="730"/>
        <v>0.62721307747133548</v>
      </c>
    </row>
    <row r="411" spans="1:36" s="299" customFormat="1" hidden="1" x14ac:dyDescent="0.25">
      <c r="A411" s="299" t="s">
        <v>424</v>
      </c>
      <c r="C411" s="299" t="s">
        <v>367</v>
      </c>
      <c r="E411" s="331"/>
      <c r="F411" s="331"/>
      <c r="H411" s="561" t="s">
        <v>673</v>
      </c>
      <c r="I411" s="562" t="str">
        <f t="shared" si="693"/>
        <v>tr. VND/tấn</v>
      </c>
      <c r="K411" s="566"/>
      <c r="L411" s="566">
        <f>-IF($H$9="VND",L379/L353/$H$10/10^3,L379/L353/$H$10*10^3)</f>
        <v>0.20420258064516131</v>
      </c>
      <c r="M411" s="566">
        <f t="shared" ref="M411:AJ411" si="731">-IF($H$9="VND",M379/M353/$H$10/10^3,M379/M353/$H$10*10^3)</f>
        <v>0.20420258064516134</v>
      </c>
      <c r="N411" s="566">
        <f t="shared" si="731"/>
        <v>0.21441270967741941</v>
      </c>
      <c r="O411" s="566">
        <f t="shared" si="731"/>
        <v>0.22513334516129035</v>
      </c>
      <c r="P411" s="566">
        <f t="shared" si="731"/>
        <v>0.23639001241935489</v>
      </c>
      <c r="Q411" s="566">
        <f t="shared" si="731"/>
        <v>0.24820951304032263</v>
      </c>
      <c r="R411" s="566">
        <f t="shared" si="731"/>
        <v>0.26061998869233877</v>
      </c>
      <c r="S411" s="566">
        <f t="shared" si="731"/>
        <v>0.27365098812695565</v>
      </c>
      <c r="T411" s="566">
        <f t="shared" si="731"/>
        <v>0.28733353753330354</v>
      </c>
      <c r="U411" s="566">
        <f t="shared" si="731"/>
        <v>0.30170021440996864</v>
      </c>
      <c r="V411" s="566">
        <f t="shared" si="731"/>
        <v>0.31678522513046709</v>
      </c>
      <c r="W411" s="566">
        <f t="shared" si="731"/>
        <v>0.33262448638699044</v>
      </c>
      <c r="X411" s="566">
        <f t="shared" si="731"/>
        <v>0.34925571070633998</v>
      </c>
      <c r="Y411" s="566">
        <f t="shared" si="731"/>
        <v>0.36671849624165698</v>
      </c>
      <c r="Z411" s="566">
        <f t="shared" si="731"/>
        <v>0.38505442105373988</v>
      </c>
      <c r="AA411" s="566">
        <f t="shared" si="731"/>
        <v>0.40430714210642676</v>
      </c>
      <c r="AB411" s="566">
        <f t="shared" si="731"/>
        <v>0.42452249921174823</v>
      </c>
      <c r="AC411" s="566">
        <f t="shared" si="731"/>
        <v>0.44574862417233563</v>
      </c>
      <c r="AD411" s="566">
        <f t="shared" si="731"/>
        <v>0.46803605538095244</v>
      </c>
      <c r="AE411" s="566">
        <f t="shared" si="731"/>
        <v>0.49143785815000002</v>
      </c>
      <c r="AF411" s="566">
        <f t="shared" si="731"/>
        <v>0.51600975105750013</v>
      </c>
      <c r="AG411" s="566">
        <f t="shared" si="731"/>
        <v>0.54181023861037514</v>
      </c>
      <c r="AH411" s="566">
        <f t="shared" si="731"/>
        <v>0.56890075054089384</v>
      </c>
      <c r="AI411" s="566">
        <f t="shared" si="731"/>
        <v>0.59734578806793848</v>
      </c>
      <c r="AJ411" s="566">
        <f t="shared" si="731"/>
        <v>0.62721307747133548</v>
      </c>
    </row>
    <row r="412" spans="1:36" s="299" customFormat="1" hidden="1" x14ac:dyDescent="0.25">
      <c r="A412" s="299" t="s">
        <v>424</v>
      </c>
      <c r="C412" s="299" t="s">
        <v>367</v>
      </c>
      <c r="E412" s="331"/>
      <c r="F412" s="331"/>
      <c r="H412" s="561" t="s">
        <v>674</v>
      </c>
      <c r="I412" s="562" t="str">
        <f t="shared" si="693"/>
        <v>tr. VND/tấn</v>
      </c>
      <c r="K412" s="566"/>
      <c r="L412" s="566">
        <f>-IF($H$9="VND",L380/L353/$H$10/10^3,L380/L353/$H$10*10^3)</f>
        <v>0</v>
      </c>
      <c r="M412" s="566">
        <f t="shared" ref="M412:AJ412" si="732">-IF($H$9="VND",M380/M353/$H$10/10^3,M380/M353/$H$10*10^3)</f>
        <v>0</v>
      </c>
      <c r="N412" s="566">
        <f t="shared" si="732"/>
        <v>0</v>
      </c>
      <c r="O412" s="566">
        <f t="shared" si="732"/>
        <v>0</v>
      </c>
      <c r="P412" s="566">
        <f t="shared" si="732"/>
        <v>0</v>
      </c>
      <c r="Q412" s="566">
        <f t="shared" si="732"/>
        <v>0</v>
      </c>
      <c r="R412" s="566">
        <f t="shared" si="732"/>
        <v>0</v>
      </c>
      <c r="S412" s="566">
        <f t="shared" si="732"/>
        <v>0</v>
      </c>
      <c r="T412" s="566">
        <f t="shared" si="732"/>
        <v>0</v>
      </c>
      <c r="U412" s="566">
        <f t="shared" si="732"/>
        <v>0</v>
      </c>
      <c r="V412" s="566">
        <f t="shared" si="732"/>
        <v>0</v>
      </c>
      <c r="W412" s="566">
        <f t="shared" si="732"/>
        <v>0</v>
      </c>
      <c r="X412" s="566">
        <f t="shared" si="732"/>
        <v>0</v>
      </c>
      <c r="Y412" s="566">
        <f t="shared" si="732"/>
        <v>0</v>
      </c>
      <c r="Z412" s="566">
        <f t="shared" si="732"/>
        <v>0</v>
      </c>
      <c r="AA412" s="566">
        <f t="shared" si="732"/>
        <v>0</v>
      </c>
      <c r="AB412" s="566">
        <f t="shared" si="732"/>
        <v>0</v>
      </c>
      <c r="AC412" s="566">
        <f t="shared" si="732"/>
        <v>0</v>
      </c>
      <c r="AD412" s="566">
        <f t="shared" si="732"/>
        <v>0</v>
      </c>
      <c r="AE412" s="566">
        <f t="shared" si="732"/>
        <v>0</v>
      </c>
      <c r="AF412" s="566">
        <f t="shared" si="732"/>
        <v>0</v>
      </c>
      <c r="AG412" s="566">
        <f t="shared" si="732"/>
        <v>0</v>
      </c>
      <c r="AH412" s="566">
        <f t="shared" si="732"/>
        <v>0</v>
      </c>
      <c r="AI412" s="566">
        <f t="shared" si="732"/>
        <v>0</v>
      </c>
      <c r="AJ412" s="566">
        <f t="shared" si="732"/>
        <v>0</v>
      </c>
    </row>
    <row r="413" spans="1:36" hidden="1" x14ac:dyDescent="0.25">
      <c r="A413" t="s">
        <v>424</v>
      </c>
      <c r="H413" s="559" t="s">
        <v>180</v>
      </c>
      <c r="I413" s="560" t="str">
        <f t="shared" si="693"/>
        <v>tr. VND/tấn</v>
      </c>
      <c r="K413" s="568">
        <f>SUM(K414:K416)</f>
        <v>0</v>
      </c>
      <c r="L413" s="568">
        <f>SUM(L414:L416)</f>
        <v>2.8517944941592819</v>
      </c>
      <c r="M413" s="568">
        <f t="shared" ref="M413:AJ413" si="733">SUM(M414:M416)</f>
        <v>2.6444348793406025</v>
      </c>
      <c r="N413" s="568">
        <f t="shared" si="733"/>
        <v>2.6020576205041324</v>
      </c>
      <c r="O413" s="568">
        <f t="shared" si="733"/>
        <v>2.7208571953955469</v>
      </c>
      <c r="P413" s="568">
        <f t="shared" si="733"/>
        <v>2.8455967490315333</v>
      </c>
      <c r="Q413" s="568">
        <f t="shared" si="733"/>
        <v>2.9765732803493177</v>
      </c>
      <c r="R413" s="568">
        <f t="shared" si="733"/>
        <v>3.1140986382329929</v>
      </c>
      <c r="S413" s="568">
        <f t="shared" si="733"/>
        <v>3.2585002640108494</v>
      </c>
      <c r="T413" s="568">
        <f t="shared" si="733"/>
        <v>3.4101219710776007</v>
      </c>
      <c r="U413" s="568">
        <f t="shared" si="733"/>
        <v>3.569324763497689</v>
      </c>
      <c r="V413" s="568">
        <f t="shared" si="733"/>
        <v>3.7364876955387816</v>
      </c>
      <c r="W413" s="568">
        <f t="shared" si="733"/>
        <v>3.9120087741819294</v>
      </c>
      <c r="X413" s="568">
        <f t="shared" si="733"/>
        <v>3.9152680761591467</v>
      </c>
      <c r="Y413" s="568">
        <f t="shared" si="733"/>
        <v>4.1087800653632156</v>
      </c>
      <c r="Z413" s="568">
        <f t="shared" si="733"/>
        <v>4.31196765402749</v>
      </c>
      <c r="AA413" s="568">
        <f t="shared" si="733"/>
        <v>4.5253146221249763</v>
      </c>
      <c r="AB413" s="568">
        <f t="shared" si="733"/>
        <v>4.7493289386273387</v>
      </c>
      <c r="AC413" s="568">
        <f t="shared" si="733"/>
        <v>4.9845439709548183</v>
      </c>
      <c r="AD413" s="568">
        <f t="shared" si="733"/>
        <v>5.2315197548986738</v>
      </c>
      <c r="AE413" s="568">
        <f t="shared" si="733"/>
        <v>5.490844328039719</v>
      </c>
      <c r="AF413" s="568">
        <f t="shared" si="733"/>
        <v>5.7631351298378179</v>
      </c>
      <c r="AG413" s="568">
        <f t="shared" si="733"/>
        <v>6.0490404717258226</v>
      </c>
      <c r="AH413" s="568">
        <f t="shared" si="733"/>
        <v>6.3492410807082234</v>
      </c>
      <c r="AI413" s="568">
        <f t="shared" si="733"/>
        <v>6.6644517201397475</v>
      </c>
      <c r="AJ413" s="568">
        <f t="shared" si="733"/>
        <v>6.9954228915428498</v>
      </c>
    </row>
    <row r="414" spans="1:36" s="299" customFormat="1" hidden="1" x14ac:dyDescent="0.25">
      <c r="A414" s="299" t="s">
        <v>424</v>
      </c>
      <c r="C414" s="299" t="s">
        <v>367</v>
      </c>
      <c r="H414" s="561" t="s">
        <v>73</v>
      </c>
      <c r="I414" s="562" t="str">
        <f t="shared" si="693"/>
        <v>tr. VND/tấn</v>
      </c>
      <c r="K414" s="566"/>
      <c r="L414" s="566">
        <f t="shared" ref="L414:AJ414" si="734">-IF($H$9="VND",L382/L353/$H$10/10^3,L382/L353/$H$10*10^3)</f>
        <v>1.713709677419355</v>
      </c>
      <c r="M414" s="566">
        <f t="shared" si="734"/>
        <v>1.7137096774193543</v>
      </c>
      <c r="N414" s="566">
        <f t="shared" si="734"/>
        <v>1.7993951612903227</v>
      </c>
      <c r="O414" s="566">
        <f t="shared" si="734"/>
        <v>1.8893649193548387</v>
      </c>
      <c r="P414" s="566">
        <f t="shared" si="734"/>
        <v>1.9838331653225811</v>
      </c>
      <c r="Q414" s="566">
        <f t="shared" si="734"/>
        <v>2.0830248235887097</v>
      </c>
      <c r="R414" s="566">
        <f t="shared" si="734"/>
        <v>2.187176064768146</v>
      </c>
      <c r="S414" s="566">
        <f t="shared" si="734"/>
        <v>2.2965348680065523</v>
      </c>
      <c r="T414" s="566">
        <f t="shared" si="734"/>
        <v>2.4113616114068805</v>
      </c>
      <c r="U414" s="566">
        <f t="shared" si="734"/>
        <v>2.5319296919772243</v>
      </c>
      <c r="V414" s="566">
        <f t="shared" si="734"/>
        <v>2.6585261765760855</v>
      </c>
      <c r="W414" s="566">
        <f t="shared" si="734"/>
        <v>2.7914524854048901</v>
      </c>
      <c r="X414" s="566">
        <f t="shared" si="734"/>
        <v>2.9310251096751343</v>
      </c>
      <c r="Y414" s="566">
        <f t="shared" si="734"/>
        <v>3.0775763651588903</v>
      </c>
      <c r="Z414" s="566">
        <f t="shared" si="734"/>
        <v>3.2314551834168355</v>
      </c>
      <c r="AA414" s="566">
        <f t="shared" si="734"/>
        <v>3.3930279425876764</v>
      </c>
      <c r="AB414" s="566">
        <f t="shared" si="734"/>
        <v>3.5626793397170613</v>
      </c>
      <c r="AC414" s="566">
        <f t="shared" si="734"/>
        <v>3.7408133067029143</v>
      </c>
      <c r="AD414" s="566">
        <f t="shared" si="734"/>
        <v>3.9278539720380619</v>
      </c>
      <c r="AE414" s="566">
        <f t="shared" si="734"/>
        <v>4.1242466706399634</v>
      </c>
      <c r="AF414" s="566">
        <f t="shared" si="734"/>
        <v>4.3304590041719617</v>
      </c>
      <c r="AG414" s="566">
        <f t="shared" si="734"/>
        <v>4.546981954380561</v>
      </c>
      <c r="AH414" s="566">
        <f t="shared" si="734"/>
        <v>4.774331052099587</v>
      </c>
      <c r="AI414" s="566">
        <f t="shared" si="734"/>
        <v>5.0130476047045667</v>
      </c>
      <c r="AJ414" s="566">
        <f t="shared" si="734"/>
        <v>5.2636999849397963</v>
      </c>
    </row>
    <row r="415" spans="1:36" s="299" customFormat="1" hidden="1" x14ac:dyDescent="0.25">
      <c r="A415" s="299" t="s">
        <v>424</v>
      </c>
      <c r="C415" s="299" t="s">
        <v>370</v>
      </c>
      <c r="H415" s="561" t="s">
        <v>192</v>
      </c>
      <c r="I415" s="562" t="str">
        <f t="shared" si="693"/>
        <v>tr. VND/tấn</v>
      </c>
      <c r="K415" s="566"/>
      <c r="L415" s="566">
        <f t="shared" ref="L415:AJ415" si="735">-IF($H$9="VND",L383/L353/$H$10/10^3,L383/L353/$H$10*10^3)</f>
        <v>0.3305555555555556</v>
      </c>
      <c r="M415" s="566">
        <f t="shared" si="735"/>
        <v>0.3305555555555556</v>
      </c>
      <c r="N415" s="566">
        <f t="shared" si="735"/>
        <v>0.34708333333333335</v>
      </c>
      <c r="O415" s="566">
        <f t="shared" si="735"/>
        <v>0.36443750000000008</v>
      </c>
      <c r="P415" s="566">
        <f t="shared" si="735"/>
        <v>0.38265937500000008</v>
      </c>
      <c r="Q415" s="566">
        <f t="shared" si="735"/>
        <v>0.40179234375000006</v>
      </c>
      <c r="R415" s="566">
        <f t="shared" si="735"/>
        <v>0.42188196093750002</v>
      </c>
      <c r="S415" s="566">
        <f t="shared" si="735"/>
        <v>0.44297605898437503</v>
      </c>
      <c r="T415" s="566">
        <f t="shared" si="735"/>
        <v>0.46512486193359387</v>
      </c>
      <c r="U415" s="566">
        <f t="shared" si="735"/>
        <v>0.48838110503027343</v>
      </c>
      <c r="V415" s="566">
        <f t="shared" si="735"/>
        <v>0.51280016028178721</v>
      </c>
      <c r="W415" s="566">
        <f t="shared" si="735"/>
        <v>0.5384401682958766</v>
      </c>
      <c r="X415" s="566">
        <f t="shared" si="735"/>
        <v>0.56536217671067046</v>
      </c>
      <c r="Y415" s="566">
        <f t="shared" si="735"/>
        <v>0.59363028554620378</v>
      </c>
      <c r="Z415" s="566">
        <f t="shared" si="735"/>
        <v>0.62331179982351426</v>
      </c>
      <c r="AA415" s="566">
        <f t="shared" si="735"/>
        <v>0.65447738981468984</v>
      </c>
      <c r="AB415" s="566">
        <f t="shared" si="735"/>
        <v>0.68720125930542442</v>
      </c>
      <c r="AC415" s="566">
        <f t="shared" si="735"/>
        <v>0.72156132227069569</v>
      </c>
      <c r="AD415" s="566">
        <f t="shared" si="735"/>
        <v>0.75763938838423039</v>
      </c>
      <c r="AE415" s="566">
        <f t="shared" si="735"/>
        <v>0.79552135780344191</v>
      </c>
      <c r="AF415" s="566">
        <f t="shared" si="735"/>
        <v>0.83529742569361409</v>
      </c>
      <c r="AG415" s="566">
        <f t="shared" si="735"/>
        <v>0.87706229697829474</v>
      </c>
      <c r="AH415" s="566">
        <f t="shared" si="735"/>
        <v>0.9209154118272096</v>
      </c>
      <c r="AI415" s="566">
        <f t="shared" si="735"/>
        <v>0.96696118241856999</v>
      </c>
      <c r="AJ415" s="566">
        <f t="shared" si="735"/>
        <v>1.0153092415394986</v>
      </c>
    </row>
    <row r="416" spans="1:36" s="299" customFormat="1" hidden="1" x14ac:dyDescent="0.25">
      <c r="A416" s="299" t="s">
        <v>424</v>
      </c>
      <c r="C416" s="299" t="s">
        <v>367</v>
      </c>
      <c r="H416" s="561" t="s">
        <v>175</v>
      </c>
      <c r="I416" s="562" t="str">
        <f t="shared" si="693"/>
        <v>tr. VND/tấn</v>
      </c>
      <c r="K416" s="566"/>
      <c r="L416" s="566">
        <f>-IF($H$9="VND",L384/L353/$H$10/10^3,L384/L353/$H$10*10^3)</f>
        <v>0.80752926118437107</v>
      </c>
      <c r="M416" s="566">
        <f t="shared" ref="M416:AJ416" si="736">-IF($H$9="VND",M384/M353/$H$10/10^3,M384/M353/$H$10*10^3)</f>
        <v>0.60016964636569281</v>
      </c>
      <c r="N416" s="566">
        <f t="shared" si="736"/>
        <v>0.45557912588047633</v>
      </c>
      <c r="O416" s="566">
        <f t="shared" si="736"/>
        <v>0.46705477604070839</v>
      </c>
      <c r="P416" s="566">
        <f t="shared" si="736"/>
        <v>0.4791042087089521</v>
      </c>
      <c r="Q416" s="566">
        <f t="shared" si="736"/>
        <v>0.4917561130106079</v>
      </c>
      <c r="R416" s="566">
        <f t="shared" si="736"/>
        <v>0.50504061252734667</v>
      </c>
      <c r="S416" s="566">
        <f t="shared" si="736"/>
        <v>0.51898933701992223</v>
      </c>
      <c r="T416" s="566">
        <f t="shared" si="736"/>
        <v>0.53363549773712671</v>
      </c>
      <c r="U416" s="566">
        <f t="shared" si="736"/>
        <v>0.5490139664901913</v>
      </c>
      <c r="V416" s="566">
        <f t="shared" si="736"/>
        <v>0.565161358680909</v>
      </c>
      <c r="W416" s="566">
        <f t="shared" si="736"/>
        <v>0.5821161204811629</v>
      </c>
      <c r="X416" s="566">
        <f t="shared" si="736"/>
        <v>0.41888078977334192</v>
      </c>
      <c r="Y416" s="566">
        <f t="shared" si="736"/>
        <v>0.4375734146581215</v>
      </c>
      <c r="Z416" s="566">
        <f t="shared" si="736"/>
        <v>0.45720067078714038</v>
      </c>
      <c r="AA416" s="566">
        <f t="shared" si="736"/>
        <v>0.47780928972260989</v>
      </c>
      <c r="AB416" s="566">
        <f t="shared" si="736"/>
        <v>0.49944833960485319</v>
      </c>
      <c r="AC416" s="566">
        <f t="shared" si="736"/>
        <v>0.52216934198120835</v>
      </c>
      <c r="AD416" s="566">
        <f t="shared" si="736"/>
        <v>0.54602639447638168</v>
      </c>
      <c r="AE416" s="566">
        <f t="shared" si="736"/>
        <v>0.57107629959631345</v>
      </c>
      <c r="AF416" s="566">
        <f t="shared" si="736"/>
        <v>0.59737869997224169</v>
      </c>
      <c r="AG416" s="566">
        <f t="shared" si="736"/>
        <v>0.62499622036696645</v>
      </c>
      <c r="AH416" s="566">
        <f t="shared" si="736"/>
        <v>0.65399461678142723</v>
      </c>
      <c r="AI416" s="566">
        <f t="shared" si="736"/>
        <v>0.68444293301661119</v>
      </c>
      <c r="AJ416" s="566">
        <f t="shared" si="736"/>
        <v>0.71641366506355442</v>
      </c>
    </row>
    <row r="417" spans="1:36" hidden="1" x14ac:dyDescent="0.25">
      <c r="A417" t="s">
        <v>424</v>
      </c>
      <c r="H417" s="247"/>
      <c r="I417" s="275"/>
      <c r="K417" s="281"/>
      <c r="L417" s="282"/>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row>
    <row r="418" spans="1:36" s="16" customFormat="1" hidden="1" x14ac:dyDescent="0.25">
      <c r="A418" s="16" t="s">
        <v>424</v>
      </c>
      <c r="H418" s="276" t="s">
        <v>464</v>
      </c>
      <c r="I418" s="277" t="str">
        <f t="shared" si="693"/>
        <v>tr. VND/tấn</v>
      </c>
      <c r="K418" s="283">
        <f>K396+K406</f>
        <v>0</v>
      </c>
      <c r="L418" s="283">
        <f t="shared" ref="L418:AJ418" si="737">L396+L406</f>
        <v>48.9722241730286</v>
      </c>
      <c r="M418" s="283">
        <f t="shared" si="737"/>
        <v>43.580874187742964</v>
      </c>
      <c r="N418" s="283">
        <f t="shared" si="737"/>
        <v>40.387176000191388</v>
      </c>
      <c r="O418" s="283">
        <f t="shared" si="737"/>
        <v>41.262817660193718</v>
      </c>
      <c r="P418" s="283">
        <f t="shared" si="737"/>
        <v>42.165244779585606</v>
      </c>
      <c r="Q418" s="283">
        <f t="shared" si="737"/>
        <v>43.095456698864297</v>
      </c>
      <c r="R418" s="283">
        <f t="shared" si="737"/>
        <v>44.054495926902476</v>
      </c>
      <c r="S418" s="283">
        <f t="shared" si="737"/>
        <v>45.043450163394049</v>
      </c>
      <c r="T418" s="283">
        <f t="shared" si="737"/>
        <v>46.06345441970268</v>
      </c>
      <c r="U418" s="283">
        <f t="shared" si="737"/>
        <v>47.115693242979113</v>
      </c>
      <c r="V418" s="283">
        <f t="shared" si="737"/>
        <v>48.201403048654761</v>
      </c>
      <c r="W418" s="283">
        <f t="shared" si="737"/>
        <v>49.321874566674289</v>
      </c>
      <c r="X418" s="283">
        <f t="shared" si="737"/>
        <v>45.77147181154583</v>
      </c>
      <c r="Y418" s="283">
        <f t="shared" si="737"/>
        <v>46.965569155420084</v>
      </c>
      <c r="Z418" s="283">
        <f t="shared" si="737"/>
        <v>48.198652577147996</v>
      </c>
      <c r="AA418" s="283">
        <f t="shared" si="737"/>
        <v>49.472257004835463</v>
      </c>
      <c r="AB418" s="283">
        <f t="shared" si="737"/>
        <v>50.787985825477925</v>
      </c>
      <c r="AC418" s="283">
        <f t="shared" si="737"/>
        <v>52.147514142154563</v>
      </c>
      <c r="AD418" s="283">
        <f t="shared" si="737"/>
        <v>53.552592190767086</v>
      </c>
      <c r="AE418" s="283">
        <f t="shared" si="737"/>
        <v>55.005048924234373</v>
      </c>
      <c r="AF418" s="283">
        <f t="shared" si="737"/>
        <v>56.50679577244761</v>
      </c>
      <c r="AG418" s="283">
        <f t="shared" si="737"/>
        <v>58.059830586705566</v>
      </c>
      <c r="AH418" s="283">
        <f t="shared" si="737"/>
        <v>59.666241777783142</v>
      </c>
      <c r="AI418" s="283">
        <f t="shared" si="737"/>
        <v>61.328212657243483</v>
      </c>
      <c r="AJ418" s="283">
        <f t="shared" si="737"/>
        <v>63.048025992082273</v>
      </c>
    </row>
    <row r="419" spans="1:36" hidden="1" x14ac:dyDescent="0.25">
      <c r="A419" t="s">
        <v>424</v>
      </c>
      <c r="H419" s="247"/>
      <c r="I419" s="275"/>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row>
    <row r="420" spans="1:36" hidden="1" x14ac:dyDescent="0.25">
      <c r="A420" t="s">
        <v>424</v>
      </c>
      <c r="C420" t="s">
        <v>367</v>
      </c>
      <c r="H420" s="569" t="s">
        <v>166</v>
      </c>
      <c r="I420" s="570" t="str">
        <f t="shared" si="693"/>
        <v>tr. VND/tấn</v>
      </c>
      <c r="K420" s="571"/>
      <c r="L420" s="571">
        <f>-IF($H$9="VND",L388/L353/$H$10/10^3,L388/L353/$H$10*10^3)</f>
        <v>0.93333333333333335</v>
      </c>
      <c r="M420" s="571">
        <f t="shared" ref="M420:AJ420" si="738">-IF($H$9="VND",M388/M353/$H$10/10^3,M388/M353/$H$10*10^3)</f>
        <v>0.93333333333333335</v>
      </c>
      <c r="N420" s="571">
        <f t="shared" si="738"/>
        <v>0.98</v>
      </c>
      <c r="O420" s="571">
        <f t="shared" si="738"/>
        <v>1.0290000000000001</v>
      </c>
      <c r="P420" s="571">
        <f t="shared" si="738"/>
        <v>1.0804500000000004</v>
      </c>
      <c r="Q420" s="571">
        <f t="shared" si="738"/>
        <v>1.1344725</v>
      </c>
      <c r="R420" s="571">
        <f t="shared" si="738"/>
        <v>1.1911961250000003</v>
      </c>
      <c r="S420" s="571">
        <f t="shared" si="738"/>
        <v>1.2507559312500001</v>
      </c>
      <c r="T420" s="571">
        <f t="shared" si="738"/>
        <v>1.3132937278125003</v>
      </c>
      <c r="U420" s="571">
        <f t="shared" si="738"/>
        <v>1.378958414203125</v>
      </c>
      <c r="V420" s="571">
        <f t="shared" si="738"/>
        <v>1.4479063349132817</v>
      </c>
      <c r="W420" s="571">
        <f t="shared" si="738"/>
        <v>1.5203016516589456</v>
      </c>
      <c r="X420" s="571">
        <f t="shared" si="738"/>
        <v>1.5963167342418931</v>
      </c>
      <c r="Y420" s="571">
        <f t="shared" si="738"/>
        <v>1.6761325709539874</v>
      </c>
      <c r="Z420" s="571">
        <f t="shared" si="738"/>
        <v>1.7599391995016869</v>
      </c>
      <c r="AA420" s="571">
        <f t="shared" si="738"/>
        <v>1.8479361594767709</v>
      </c>
      <c r="AB420" s="571">
        <f t="shared" si="738"/>
        <v>1.94033296745061</v>
      </c>
      <c r="AC420" s="571">
        <f t="shared" si="738"/>
        <v>2.0373496158231403</v>
      </c>
      <c r="AD420" s="571">
        <f t="shared" si="738"/>
        <v>2.1392170966142974</v>
      </c>
      <c r="AE420" s="571">
        <f t="shared" si="738"/>
        <v>2.2461779514450129</v>
      </c>
      <c r="AF420" s="571">
        <f t="shared" si="738"/>
        <v>2.3584868490172628</v>
      </c>
      <c r="AG420" s="571">
        <f t="shared" si="738"/>
        <v>2.4764111914681264</v>
      </c>
      <c r="AH420" s="571">
        <f t="shared" si="738"/>
        <v>2.6002317510415329</v>
      </c>
      <c r="AI420" s="571">
        <f t="shared" si="738"/>
        <v>2.7302433385936089</v>
      </c>
      <c r="AJ420" s="571">
        <f t="shared" si="738"/>
        <v>2.8667555055232903</v>
      </c>
    </row>
    <row r="421" spans="1:36" hidden="1" x14ac:dyDescent="0.25">
      <c r="A421" t="s">
        <v>424</v>
      </c>
      <c r="C421" t="s">
        <v>367</v>
      </c>
      <c r="H421" s="559" t="s">
        <v>469</v>
      </c>
      <c r="I421" s="560" t="str">
        <f t="shared" si="693"/>
        <v>tr. VND/tấn</v>
      </c>
      <c r="K421" s="572"/>
      <c r="L421" s="572">
        <f t="shared" ref="L421:AJ421" si="739">-IF($H$9="VND",L389/L353/$H$10/10^3,L389/L353/$H$10*10^3)</f>
        <v>0.37087222464266623</v>
      </c>
      <c r="M421" s="572">
        <f t="shared" si="739"/>
        <v>0.37087222464266623</v>
      </c>
      <c r="N421" s="572">
        <f t="shared" si="739"/>
        <v>0.38941583587479961</v>
      </c>
      <c r="O421" s="572">
        <f t="shared" si="739"/>
        <v>0.40888662766853956</v>
      </c>
      <c r="P421" s="572">
        <f t="shared" si="739"/>
        <v>0.4293309590519665</v>
      </c>
      <c r="Q421" s="572">
        <f t="shared" si="739"/>
        <v>0.45079750700456472</v>
      </c>
      <c r="R421" s="572">
        <f t="shared" si="739"/>
        <v>0.47333738235479306</v>
      </c>
      <c r="S421" s="572">
        <f t="shared" si="739"/>
        <v>0.49700425147253269</v>
      </c>
      <c r="T421" s="572">
        <f t="shared" si="739"/>
        <v>0.52185446404615943</v>
      </c>
      <c r="U421" s="572">
        <f t="shared" si="739"/>
        <v>0.54794718724846736</v>
      </c>
      <c r="V421" s="572">
        <f t="shared" si="739"/>
        <v>0.57534454661089074</v>
      </c>
      <c r="W421" s="572">
        <f t="shared" si="739"/>
        <v>0.60411177394143523</v>
      </c>
      <c r="X421" s="572">
        <f t="shared" si="739"/>
        <v>0.63431736263850702</v>
      </c>
      <c r="Y421" s="572">
        <f t="shared" si="739"/>
        <v>0.66603323077043242</v>
      </c>
      <c r="Z421" s="572">
        <f t="shared" si="739"/>
        <v>0.69933489230895407</v>
      </c>
      <c r="AA421" s="572">
        <f t="shared" si="739"/>
        <v>0.73430163692440165</v>
      </c>
      <c r="AB421" s="572">
        <f t="shared" si="739"/>
        <v>0.77101671877062206</v>
      </c>
      <c r="AC421" s="572">
        <f t="shared" si="739"/>
        <v>0.80956755470915298</v>
      </c>
      <c r="AD421" s="572">
        <f t="shared" si="739"/>
        <v>0.85004593244461069</v>
      </c>
      <c r="AE421" s="572">
        <f t="shared" si="739"/>
        <v>0.89254822906684139</v>
      </c>
      <c r="AF421" s="572">
        <f t="shared" si="739"/>
        <v>0.93717564052018332</v>
      </c>
      <c r="AG421" s="572">
        <f t="shared" si="739"/>
        <v>0.98403442254619244</v>
      </c>
      <c r="AH421" s="572">
        <f t="shared" si="739"/>
        <v>1.033236143673502</v>
      </c>
      <c r="AI421" s="572">
        <f t="shared" si="739"/>
        <v>1.084897950857177</v>
      </c>
      <c r="AJ421" s="572">
        <f t="shared" si="739"/>
        <v>1.1391428484000361</v>
      </c>
    </row>
    <row r="422" spans="1:36" hidden="1" x14ac:dyDescent="0.25">
      <c r="A422" t="s">
        <v>424</v>
      </c>
      <c r="C422" t="s">
        <v>367</v>
      </c>
      <c r="H422" s="559" t="s">
        <v>468</v>
      </c>
      <c r="I422" s="560" t="str">
        <f t="shared" si="693"/>
        <v>tr. VND/tấn</v>
      </c>
      <c r="K422" s="559"/>
      <c r="L422" s="572">
        <f t="shared" ref="L422:AJ422" si="740">-IF($H$9="VND",L390/L353/$H$10/10^3,L390/L353/$H$10*10^3)</f>
        <v>0.12422064680508108</v>
      </c>
      <c r="M422" s="572">
        <f t="shared" si="740"/>
        <v>0.12422064680508105</v>
      </c>
      <c r="N422" s="572">
        <f t="shared" si="740"/>
        <v>0.13043167914533513</v>
      </c>
      <c r="O422" s="572">
        <f t="shared" si="740"/>
        <v>0.13695326310260192</v>
      </c>
      <c r="P422" s="572">
        <f t="shared" si="740"/>
        <v>0.14380092625773203</v>
      </c>
      <c r="Q422" s="572">
        <f t="shared" si="740"/>
        <v>0.15099097257061855</v>
      </c>
      <c r="R422" s="572">
        <f t="shared" si="740"/>
        <v>0.15854052119914955</v>
      </c>
      <c r="S422" s="572">
        <f t="shared" si="740"/>
        <v>0.16646754725910701</v>
      </c>
      <c r="T422" s="572">
        <f t="shared" si="740"/>
        <v>0.17479092462206236</v>
      </c>
      <c r="U422" s="572">
        <f t="shared" si="740"/>
        <v>0.18353047085316543</v>
      </c>
      <c r="V422" s="572">
        <f t="shared" si="740"/>
        <v>0.19270699439582373</v>
      </c>
      <c r="W422" s="572">
        <f t="shared" si="740"/>
        <v>0.20234234411561494</v>
      </c>
      <c r="X422" s="572">
        <f t="shared" si="740"/>
        <v>0.21245946132139568</v>
      </c>
      <c r="Y422" s="572">
        <f t="shared" si="740"/>
        <v>0.22308243438746542</v>
      </c>
      <c r="Z422" s="572">
        <f t="shared" si="740"/>
        <v>0.23423655610683877</v>
      </c>
      <c r="AA422" s="572">
        <f t="shared" si="740"/>
        <v>0.24594838391218063</v>
      </c>
      <c r="AB422" s="572">
        <f t="shared" si="740"/>
        <v>0.25824580310778977</v>
      </c>
      <c r="AC422" s="572">
        <f t="shared" si="740"/>
        <v>0.27115809326317925</v>
      </c>
      <c r="AD422" s="572">
        <f t="shared" si="740"/>
        <v>0.28471599792633823</v>
      </c>
      <c r="AE422" s="572">
        <f t="shared" si="740"/>
        <v>0.29895179782265513</v>
      </c>
      <c r="AF422" s="572">
        <f t="shared" si="740"/>
        <v>0.31389938771378784</v>
      </c>
      <c r="AG422" s="572">
        <f t="shared" si="740"/>
        <v>0.32959435709947732</v>
      </c>
      <c r="AH422" s="572">
        <f t="shared" si="740"/>
        <v>0.34607407495445114</v>
      </c>
      <c r="AI422" s="572">
        <f t="shared" si="740"/>
        <v>0.36337777870217358</v>
      </c>
      <c r="AJ422" s="572">
        <f t="shared" si="740"/>
        <v>0.38154666763728246</v>
      </c>
    </row>
    <row r="423" spans="1:36" hidden="1" x14ac:dyDescent="0.25">
      <c r="A423" t="s">
        <v>424</v>
      </c>
      <c r="C423" t="s">
        <v>367</v>
      </c>
      <c r="H423" s="559" t="s">
        <v>470</v>
      </c>
      <c r="I423" s="560" t="str">
        <f t="shared" si="693"/>
        <v>tr. VND/tấn</v>
      </c>
      <c r="K423" s="559"/>
      <c r="L423" s="572">
        <f t="shared" ref="L423:AJ423" si="741">-IF($H$9="VND",L391/L353/$H$10/10^3,L391/L353/$H$10*10^3)</f>
        <v>8.7950967176552677</v>
      </c>
      <c r="M423" s="572">
        <f t="shared" si="741"/>
        <v>6.2267561337468216</v>
      </c>
      <c r="N423" s="572">
        <f t="shared" si="741"/>
        <v>4.3168047032015275</v>
      </c>
      <c r="O423" s="572">
        <f t="shared" si="741"/>
        <v>4.2715261455465798</v>
      </c>
      <c r="P423" s="572">
        <f t="shared" si="741"/>
        <v>4.2226253032792354</v>
      </c>
      <c r="Q423" s="572">
        <f t="shared" si="741"/>
        <v>4.1698123936305045</v>
      </c>
      <c r="R423" s="572">
        <f t="shared" si="741"/>
        <v>4.1127744512098756</v>
      </c>
      <c r="S423" s="572">
        <f t="shared" si="741"/>
        <v>4.0511734733955942</v>
      </c>
      <c r="T423" s="572">
        <f t="shared" si="741"/>
        <v>3.9846444173561713</v>
      </c>
      <c r="U423" s="572">
        <f t="shared" si="741"/>
        <v>3.9127930368335946</v>
      </c>
      <c r="V423" s="572">
        <f t="shared" si="741"/>
        <v>3.8351935458692128</v>
      </c>
      <c r="W423" s="572">
        <f t="shared" si="741"/>
        <v>3.7513860956276792</v>
      </c>
      <c r="X423" s="572">
        <f t="shared" si="741"/>
        <v>3.6608740493668237</v>
      </c>
      <c r="Y423" s="572">
        <f t="shared" si="741"/>
        <v>3.5631210394051003</v>
      </c>
      <c r="Z423" s="572">
        <f t="shared" si="741"/>
        <v>3.4575477886464379</v>
      </c>
      <c r="AA423" s="572">
        <f t="shared" si="741"/>
        <v>3.3435286778270821</v>
      </c>
      <c r="AB423" s="572">
        <f t="shared" si="741"/>
        <v>3.2203880381421781</v>
      </c>
      <c r="AC423" s="572">
        <f t="shared" si="741"/>
        <v>3.0873961472824831</v>
      </c>
      <c r="AD423" s="572">
        <f t="shared" si="741"/>
        <v>2.9437649051540111</v>
      </c>
      <c r="AE423" s="572">
        <f t="shared" si="741"/>
        <v>2.7886431636552618</v>
      </c>
      <c r="AF423" s="572">
        <f t="shared" si="741"/>
        <v>2.621111682836613</v>
      </c>
      <c r="AG423" s="572">
        <f t="shared" si="741"/>
        <v>2.4401776835524718</v>
      </c>
      <c r="AH423" s="572">
        <f t="shared" si="741"/>
        <v>2.2447689643255999</v>
      </c>
      <c r="AI423" s="572">
        <f t="shared" si="741"/>
        <v>2.0337275475605772</v>
      </c>
      <c r="AJ423" s="572">
        <f t="shared" si="741"/>
        <v>1.805802817454353</v>
      </c>
    </row>
    <row r="424" spans="1:36" hidden="1" x14ac:dyDescent="0.25">
      <c r="A424" t="s">
        <v>424</v>
      </c>
      <c r="H424" s="247"/>
      <c r="I424" s="275"/>
      <c r="K424" s="247"/>
      <c r="L424" s="247"/>
      <c r="M424" s="247"/>
      <c r="N424" s="247"/>
      <c r="O424" s="247"/>
      <c r="P424" s="247"/>
      <c r="Q424" s="247"/>
      <c r="R424" s="247"/>
      <c r="S424" s="247"/>
      <c r="T424" s="247"/>
      <c r="U424" s="247"/>
      <c r="V424" s="247"/>
      <c r="W424" s="247"/>
      <c r="X424" s="247"/>
      <c r="Y424" s="247"/>
      <c r="Z424" s="247"/>
      <c r="AA424" s="247"/>
      <c r="AB424" s="247"/>
      <c r="AC424" s="247"/>
      <c r="AD424" s="247"/>
      <c r="AE424" s="247"/>
      <c r="AF424" s="247"/>
      <c r="AG424" s="247"/>
      <c r="AH424" s="247"/>
      <c r="AI424" s="247"/>
      <c r="AJ424" s="247"/>
    </row>
    <row r="425" spans="1:36" s="16" customFormat="1" hidden="1" x14ac:dyDescent="0.25">
      <c r="A425" s="16" t="s">
        <v>424</v>
      </c>
      <c r="H425" s="276" t="s">
        <v>474</v>
      </c>
      <c r="I425" s="277" t="str">
        <f t="shared" si="693"/>
        <v>tr. VND/tấn</v>
      </c>
      <c r="K425" s="283">
        <f t="shared" ref="K425" si="742">K418+SUM(K420:K423)</f>
        <v>0</v>
      </c>
      <c r="L425" s="283">
        <f>L418+SUM(L420:L423)</f>
        <v>59.195747095464952</v>
      </c>
      <c r="M425" s="283">
        <f t="shared" ref="M425:AJ425" si="743">M418+SUM(M420:M423)</f>
        <v>51.236056526270865</v>
      </c>
      <c r="N425" s="283">
        <f t="shared" si="743"/>
        <v>46.203828218413051</v>
      </c>
      <c r="O425" s="283">
        <f t="shared" si="743"/>
        <v>47.109183696511437</v>
      </c>
      <c r="P425" s="283">
        <f t="shared" si="743"/>
        <v>48.041451968174542</v>
      </c>
      <c r="Q425" s="283">
        <f t="shared" si="743"/>
        <v>49.001530072069983</v>
      </c>
      <c r="R425" s="283">
        <f t="shared" si="743"/>
        <v>49.990344406666296</v>
      </c>
      <c r="S425" s="283">
        <f t="shared" si="743"/>
        <v>51.008851366771282</v>
      </c>
      <c r="T425" s="283">
        <f t="shared" si="743"/>
        <v>52.058037953539575</v>
      </c>
      <c r="U425" s="283">
        <f t="shared" si="743"/>
        <v>53.138922352117461</v>
      </c>
      <c r="V425" s="283">
        <f t="shared" si="743"/>
        <v>54.252554470443968</v>
      </c>
      <c r="W425" s="283">
        <f t="shared" si="743"/>
        <v>55.400016432017964</v>
      </c>
      <c r="X425" s="283">
        <f t="shared" si="743"/>
        <v>51.87543941911445</v>
      </c>
      <c r="Y425" s="283">
        <f t="shared" si="743"/>
        <v>53.093938430937072</v>
      </c>
      <c r="Z425" s="283">
        <f t="shared" si="743"/>
        <v>54.349711013711911</v>
      </c>
      <c r="AA425" s="283">
        <f t="shared" si="743"/>
        <v>55.643971862975896</v>
      </c>
      <c r="AB425" s="283">
        <f t="shared" si="743"/>
        <v>56.977969352949124</v>
      </c>
      <c r="AC425" s="283">
        <f t="shared" si="743"/>
        <v>58.352985553232521</v>
      </c>
      <c r="AD425" s="283">
        <f t="shared" si="743"/>
        <v>59.770336122906343</v>
      </c>
      <c r="AE425" s="283">
        <f t="shared" si="743"/>
        <v>61.231370066224144</v>
      </c>
      <c r="AF425" s="283">
        <f t="shared" si="743"/>
        <v>62.737469332535454</v>
      </c>
      <c r="AG425" s="283">
        <f t="shared" si="743"/>
        <v>64.290048241371835</v>
      </c>
      <c r="AH425" s="283">
        <f t="shared" si="743"/>
        <v>65.890552711778227</v>
      </c>
      <c r="AI425" s="283">
        <f t="shared" si="743"/>
        <v>67.540459272957023</v>
      </c>
      <c r="AJ425" s="283">
        <f t="shared" si="743"/>
        <v>69.241273831097232</v>
      </c>
    </row>
    <row r="426" spans="1:36" hidden="1" x14ac:dyDescent="0.25">
      <c r="A426" t="s">
        <v>424</v>
      </c>
    </row>
    <row r="427" spans="1:36" hidden="1" x14ac:dyDescent="0.25">
      <c r="A427" t="s">
        <v>424</v>
      </c>
      <c r="H427" s="569" t="s">
        <v>361</v>
      </c>
      <c r="I427" s="570" t="str">
        <f t="shared" si="693"/>
        <v>tr. VND/tấn</v>
      </c>
      <c r="K427" s="569"/>
      <c r="L427" s="590">
        <f>INDEX('Cover Page'!$H$12:$W$12,MATCH($A427,'Cover Page'!$H$5:$W$5,0))</f>
        <v>6.6666666666666666E-2</v>
      </c>
      <c r="M427" s="590">
        <f>INDEX('Cover Page'!$H$12:$W$12,MATCH($A427,'Cover Page'!$H$5:$W$5,0))</f>
        <v>6.6666666666666666E-2</v>
      </c>
      <c r="N427" s="590">
        <f>INDEX('Cover Page'!$H$12:$W$12,MATCH($A427,'Cover Page'!$H$5:$W$5,0))</f>
        <v>6.6666666666666666E-2</v>
      </c>
      <c r="O427" s="590">
        <f>INDEX('Cover Page'!$H$12:$W$12,MATCH($A427,'Cover Page'!$H$5:$W$5,0))</f>
        <v>6.6666666666666666E-2</v>
      </c>
      <c r="P427" s="590">
        <f>INDEX('Cover Page'!$H$12:$W$12,MATCH($A427,'Cover Page'!$H$5:$W$5,0))</f>
        <v>6.6666666666666666E-2</v>
      </c>
      <c r="Q427" s="590">
        <f>INDEX('Cover Page'!$H$12:$W$12,MATCH($A427,'Cover Page'!$H$5:$W$5,0))</f>
        <v>6.6666666666666666E-2</v>
      </c>
      <c r="R427" s="590">
        <f>INDEX('Cover Page'!$H$12:$W$12,MATCH($A427,'Cover Page'!$H$5:$W$5,0))</f>
        <v>6.6666666666666666E-2</v>
      </c>
      <c r="S427" s="590">
        <f>INDEX('Cover Page'!$H$12:$W$12,MATCH($A427,'Cover Page'!$H$5:$W$5,0))</f>
        <v>6.6666666666666666E-2</v>
      </c>
      <c r="T427" s="590">
        <f>INDEX('Cover Page'!$H$12:$W$12,MATCH($A427,'Cover Page'!$H$5:$W$5,0))</f>
        <v>6.6666666666666666E-2</v>
      </c>
      <c r="U427" s="590">
        <f>INDEX('Cover Page'!$H$12:$W$12,MATCH($A427,'Cover Page'!$H$5:$W$5,0))</f>
        <v>6.6666666666666666E-2</v>
      </c>
      <c r="V427" s="590">
        <f>INDEX('Cover Page'!$H$12:$W$12,MATCH($A427,'Cover Page'!$H$5:$W$5,0))</f>
        <v>6.6666666666666666E-2</v>
      </c>
      <c r="W427" s="590">
        <f>INDEX('Cover Page'!$H$12:$W$12,MATCH($A427,'Cover Page'!$H$5:$W$5,0))</f>
        <v>6.6666666666666666E-2</v>
      </c>
      <c r="X427" s="590">
        <f>INDEX('Cover Page'!$H$12:$W$12,MATCH($A427,'Cover Page'!$H$5:$W$5,0))</f>
        <v>6.6666666666666666E-2</v>
      </c>
      <c r="Y427" s="590">
        <f>INDEX('Cover Page'!$H$12:$W$12,MATCH($A427,'Cover Page'!$H$5:$W$5,0))</f>
        <v>6.6666666666666666E-2</v>
      </c>
      <c r="Z427" s="590">
        <f>INDEX('Cover Page'!$H$12:$W$12,MATCH($A427,'Cover Page'!$H$5:$W$5,0))</f>
        <v>6.6666666666666666E-2</v>
      </c>
      <c r="AA427" s="590">
        <f>INDEX('Cover Page'!$H$12:$W$12,MATCH($A427,'Cover Page'!$H$5:$W$5,0))</f>
        <v>6.6666666666666666E-2</v>
      </c>
      <c r="AB427" s="590">
        <f>INDEX('Cover Page'!$H$12:$W$12,MATCH($A427,'Cover Page'!$H$5:$W$5,0))</f>
        <v>6.6666666666666666E-2</v>
      </c>
      <c r="AC427" s="590">
        <f>INDEX('Cover Page'!$H$12:$W$12,MATCH($A427,'Cover Page'!$H$5:$W$5,0))</f>
        <v>6.6666666666666666E-2</v>
      </c>
      <c r="AD427" s="590">
        <f>INDEX('Cover Page'!$H$12:$W$12,MATCH($A427,'Cover Page'!$H$5:$W$5,0))</f>
        <v>6.6666666666666666E-2</v>
      </c>
      <c r="AE427" s="590">
        <f>INDEX('Cover Page'!$H$12:$W$12,MATCH($A427,'Cover Page'!$H$5:$W$5,0))</f>
        <v>6.6666666666666666E-2</v>
      </c>
      <c r="AF427" s="590">
        <f>INDEX('Cover Page'!$H$12:$W$12,MATCH($A427,'Cover Page'!$H$5:$W$5,0))</f>
        <v>6.6666666666666666E-2</v>
      </c>
      <c r="AG427" s="590">
        <f>INDEX('Cover Page'!$H$12:$W$12,MATCH($A427,'Cover Page'!$H$5:$W$5,0))</f>
        <v>6.6666666666666666E-2</v>
      </c>
      <c r="AH427" s="590">
        <f>INDEX('Cover Page'!$H$12:$W$12,MATCH($A427,'Cover Page'!$H$5:$W$5,0))</f>
        <v>6.6666666666666666E-2</v>
      </c>
      <c r="AI427" s="590">
        <f>INDEX('Cover Page'!$H$12:$W$12,MATCH($A427,'Cover Page'!$H$5:$W$5,0))</f>
        <v>6.6666666666666666E-2</v>
      </c>
      <c r="AJ427" s="590">
        <f>INDEX('Cover Page'!$H$12:$W$12,MATCH($A427,'Cover Page'!$H$5:$W$5,0))</f>
        <v>6.6666666666666666E-2</v>
      </c>
    </row>
    <row r="428" spans="1:36" s="1" customFormat="1" hidden="1" x14ac:dyDescent="0.25">
      <c r="A428" s="1" t="s">
        <v>424</v>
      </c>
      <c r="H428" s="586" t="s">
        <v>490</v>
      </c>
      <c r="I428" s="587" t="str">
        <f t="shared" si="693"/>
        <v>tr. VND/tấn</v>
      </c>
      <c r="K428" s="586"/>
      <c r="L428" s="591">
        <f t="shared" ref="L428:AJ428" si="744">L425*(1+L427)</f>
        <v>63.142130235162618</v>
      </c>
      <c r="M428" s="591">
        <f t="shared" si="744"/>
        <v>54.651793628022254</v>
      </c>
      <c r="N428" s="591">
        <f t="shared" si="744"/>
        <v>49.284083432973922</v>
      </c>
      <c r="O428" s="591">
        <f t="shared" si="744"/>
        <v>50.249795942945532</v>
      </c>
      <c r="P428" s="591">
        <f t="shared" si="744"/>
        <v>51.244215432719514</v>
      </c>
      <c r="Q428" s="591">
        <f t="shared" si="744"/>
        <v>52.268298743541315</v>
      </c>
      <c r="R428" s="591">
        <f t="shared" si="744"/>
        <v>53.323034033777382</v>
      </c>
      <c r="S428" s="591">
        <f t="shared" si="744"/>
        <v>54.409441457889365</v>
      </c>
      <c r="T428" s="591">
        <f t="shared" si="744"/>
        <v>55.528573817108878</v>
      </c>
      <c r="U428" s="591">
        <f t="shared" si="744"/>
        <v>56.681517175591956</v>
      </c>
      <c r="V428" s="591">
        <f t="shared" si="744"/>
        <v>57.86939143514023</v>
      </c>
      <c r="W428" s="591">
        <f t="shared" si="744"/>
        <v>59.093350860819157</v>
      </c>
      <c r="X428" s="591">
        <f t="shared" si="744"/>
        <v>55.333802047055414</v>
      </c>
      <c r="Y428" s="591">
        <f t="shared" si="744"/>
        <v>56.633534326332878</v>
      </c>
      <c r="Z428" s="591">
        <f t="shared" si="744"/>
        <v>57.973025081292704</v>
      </c>
      <c r="AA428" s="591">
        <f t="shared" si="744"/>
        <v>59.353569987174289</v>
      </c>
      <c r="AB428" s="591">
        <f t="shared" si="744"/>
        <v>60.776500643145731</v>
      </c>
      <c r="AC428" s="591">
        <f t="shared" si="744"/>
        <v>62.243184590114687</v>
      </c>
      <c r="AD428" s="591">
        <f t="shared" si="744"/>
        <v>63.755025197766763</v>
      </c>
      <c r="AE428" s="591">
        <f t="shared" si="744"/>
        <v>65.313461403972426</v>
      </c>
      <c r="AF428" s="591">
        <f t="shared" si="744"/>
        <v>66.91996728803781</v>
      </c>
      <c r="AG428" s="591">
        <f t="shared" si="744"/>
        <v>68.576051457463294</v>
      </c>
      <c r="AH428" s="591">
        <f t="shared" si="744"/>
        <v>70.283256225896778</v>
      </c>
      <c r="AI428" s="591">
        <f t="shared" si="744"/>
        <v>72.043156557820822</v>
      </c>
      <c r="AJ428" s="591">
        <f t="shared" si="744"/>
        <v>73.857358753170374</v>
      </c>
    </row>
    <row r="429" spans="1:36" hidden="1" x14ac:dyDescent="0.25">
      <c r="A429" t="s">
        <v>424</v>
      </c>
      <c r="H429" s="559" t="s">
        <v>292</v>
      </c>
      <c r="I429" s="560" t="str">
        <f t="shared" si="693"/>
        <v>tr. VND/tấn</v>
      </c>
      <c r="K429" s="559"/>
      <c r="L429" s="592">
        <f t="shared" ref="L429:AJ429" si="745">Tax_rate</f>
        <v>0.2</v>
      </c>
      <c r="M429" s="592">
        <f t="shared" si="745"/>
        <v>0.2</v>
      </c>
      <c r="N429" s="592">
        <f t="shared" si="745"/>
        <v>0.2</v>
      </c>
      <c r="O429" s="592">
        <f t="shared" si="745"/>
        <v>0.2</v>
      </c>
      <c r="P429" s="592">
        <f t="shared" si="745"/>
        <v>0.2</v>
      </c>
      <c r="Q429" s="592">
        <f t="shared" si="745"/>
        <v>0.2</v>
      </c>
      <c r="R429" s="592">
        <f t="shared" si="745"/>
        <v>0.2</v>
      </c>
      <c r="S429" s="592">
        <f t="shared" si="745"/>
        <v>0.2</v>
      </c>
      <c r="T429" s="592">
        <f t="shared" si="745"/>
        <v>0.2</v>
      </c>
      <c r="U429" s="592">
        <f t="shared" si="745"/>
        <v>0.2</v>
      </c>
      <c r="V429" s="592">
        <f t="shared" si="745"/>
        <v>0.2</v>
      </c>
      <c r="W429" s="592">
        <f t="shared" si="745"/>
        <v>0.2</v>
      </c>
      <c r="X429" s="592">
        <f t="shared" si="745"/>
        <v>0.2</v>
      </c>
      <c r="Y429" s="592">
        <f t="shared" si="745"/>
        <v>0.2</v>
      </c>
      <c r="Z429" s="592">
        <f t="shared" si="745"/>
        <v>0.2</v>
      </c>
      <c r="AA429" s="592">
        <f t="shared" si="745"/>
        <v>0.2</v>
      </c>
      <c r="AB429" s="592">
        <f t="shared" si="745"/>
        <v>0.2</v>
      </c>
      <c r="AC429" s="592">
        <f t="shared" si="745"/>
        <v>0.2</v>
      </c>
      <c r="AD429" s="592">
        <f t="shared" si="745"/>
        <v>0.2</v>
      </c>
      <c r="AE429" s="592">
        <f t="shared" si="745"/>
        <v>0.2</v>
      </c>
      <c r="AF429" s="592">
        <f t="shared" si="745"/>
        <v>0.2</v>
      </c>
      <c r="AG429" s="592">
        <f t="shared" si="745"/>
        <v>0.2</v>
      </c>
      <c r="AH429" s="592">
        <f t="shared" si="745"/>
        <v>0.2</v>
      </c>
      <c r="AI429" s="592">
        <f t="shared" si="745"/>
        <v>0.2</v>
      </c>
      <c r="AJ429" s="592">
        <f t="shared" si="745"/>
        <v>0.2</v>
      </c>
    </row>
    <row r="430" spans="1:36" s="1" customFormat="1" hidden="1" x14ac:dyDescent="0.25">
      <c r="A430" s="1" t="s">
        <v>424</v>
      </c>
      <c r="H430" s="586" t="s">
        <v>491</v>
      </c>
      <c r="I430" s="587" t="str">
        <f t="shared" si="693"/>
        <v>tr. VND/tấn</v>
      </c>
      <c r="K430" s="586"/>
      <c r="L430" s="591">
        <f>(L428-L425)*(1-L429)</f>
        <v>3.1571065117581329</v>
      </c>
      <c r="M430" s="591">
        <f t="shared" ref="M430:AJ430" si="746">(M428-M425)*(1-M429)</f>
        <v>2.7325896814011119</v>
      </c>
      <c r="N430" s="591">
        <f t="shared" si="746"/>
        <v>2.4642041716486975</v>
      </c>
      <c r="O430" s="591">
        <f t="shared" si="746"/>
        <v>2.5124897971472766</v>
      </c>
      <c r="P430" s="591">
        <f t="shared" si="746"/>
        <v>2.5622107716359781</v>
      </c>
      <c r="Q430" s="591">
        <f t="shared" si="746"/>
        <v>2.6134149371770663</v>
      </c>
      <c r="R430" s="591">
        <f t="shared" si="746"/>
        <v>2.6661517016888698</v>
      </c>
      <c r="S430" s="591">
        <f t="shared" si="746"/>
        <v>2.7204720728944665</v>
      </c>
      <c r="T430" s="591">
        <f t="shared" si="746"/>
        <v>2.7764286908554427</v>
      </c>
      <c r="U430" s="591">
        <f t="shared" si="746"/>
        <v>2.8340758587795962</v>
      </c>
      <c r="V430" s="591">
        <f t="shared" si="746"/>
        <v>2.8934695717570094</v>
      </c>
      <c r="W430" s="591">
        <f t="shared" si="746"/>
        <v>2.954667543040955</v>
      </c>
      <c r="X430" s="591">
        <f t="shared" si="746"/>
        <v>2.7666901023527717</v>
      </c>
      <c r="Y430" s="591">
        <f t="shared" si="746"/>
        <v>2.831676716316645</v>
      </c>
      <c r="Z430" s="591">
        <f t="shared" si="746"/>
        <v>2.8986512540646348</v>
      </c>
      <c r="AA430" s="591">
        <f t="shared" si="746"/>
        <v>2.9676784993587151</v>
      </c>
      <c r="AB430" s="591">
        <f t="shared" si="746"/>
        <v>3.0388250321572858</v>
      </c>
      <c r="AC430" s="591">
        <f t="shared" si="746"/>
        <v>3.1121592295057328</v>
      </c>
      <c r="AD430" s="591">
        <f t="shared" si="746"/>
        <v>3.1877512598883357</v>
      </c>
      <c r="AE430" s="591">
        <f t="shared" si="746"/>
        <v>3.2656730701986252</v>
      </c>
      <c r="AF430" s="591">
        <f t="shared" si="746"/>
        <v>3.3459983644018849</v>
      </c>
      <c r="AG430" s="591">
        <f t="shared" si="746"/>
        <v>3.4288025728731668</v>
      </c>
      <c r="AH430" s="591">
        <f t="shared" si="746"/>
        <v>3.5141628112948413</v>
      </c>
      <c r="AI430" s="591">
        <f t="shared" si="746"/>
        <v>3.6021578278910398</v>
      </c>
      <c r="AJ430" s="591">
        <f t="shared" si="746"/>
        <v>3.6928679376585141</v>
      </c>
    </row>
    <row r="431" spans="1:36" s="146" customFormat="1" hidden="1" x14ac:dyDescent="0.25">
      <c r="A431" s="146" t="s">
        <v>424</v>
      </c>
      <c r="H431" s="588" t="s">
        <v>492</v>
      </c>
      <c r="I431" s="589"/>
      <c r="K431" s="588"/>
      <c r="L431" s="593">
        <f>IFERROR(L430/L428,0)</f>
        <v>5.0000000000000031E-2</v>
      </c>
      <c r="M431" s="593">
        <f>IFERROR(M430/M428,0)</f>
        <v>4.9999999999999982E-2</v>
      </c>
      <c r="N431" s="593">
        <f t="shared" ref="N431:AJ431" si="747">IFERROR(N430/N428,0)</f>
        <v>5.0000000000000031E-2</v>
      </c>
      <c r="O431" s="593">
        <f t="shared" si="747"/>
        <v>0.05</v>
      </c>
      <c r="P431" s="593">
        <f t="shared" si="747"/>
        <v>5.0000000000000044E-2</v>
      </c>
      <c r="Q431" s="593">
        <f t="shared" si="747"/>
        <v>5.000000000000001E-2</v>
      </c>
      <c r="R431" s="593">
        <f t="shared" si="747"/>
        <v>5.0000000000000017E-2</v>
      </c>
      <c r="S431" s="593">
        <f t="shared" si="747"/>
        <v>4.9999999999999968E-2</v>
      </c>
      <c r="T431" s="593">
        <f t="shared" si="747"/>
        <v>4.9999999999999982E-2</v>
      </c>
      <c r="U431" s="593">
        <f t="shared" si="747"/>
        <v>4.9999999999999975E-2</v>
      </c>
      <c r="V431" s="593">
        <f t="shared" si="747"/>
        <v>4.9999999999999961E-2</v>
      </c>
      <c r="W431" s="593">
        <f t="shared" si="747"/>
        <v>4.9999999999999954E-2</v>
      </c>
      <c r="X431" s="593">
        <f t="shared" si="747"/>
        <v>5.0000000000000017E-2</v>
      </c>
      <c r="Y431" s="593">
        <f t="shared" si="747"/>
        <v>5.0000000000000017E-2</v>
      </c>
      <c r="Z431" s="593">
        <f t="shared" si="747"/>
        <v>4.9999999999999989E-2</v>
      </c>
      <c r="AA431" s="593">
        <f t="shared" si="747"/>
        <v>5.000000000000001E-2</v>
      </c>
      <c r="AB431" s="593">
        <f t="shared" si="747"/>
        <v>4.9999999999999989E-2</v>
      </c>
      <c r="AC431" s="593">
        <f t="shared" si="747"/>
        <v>4.9999999999999975E-2</v>
      </c>
      <c r="AD431" s="593">
        <f t="shared" si="747"/>
        <v>4.9999999999999961E-2</v>
      </c>
      <c r="AE431" s="593">
        <f t="shared" si="747"/>
        <v>5.0000000000000058E-2</v>
      </c>
      <c r="AF431" s="593">
        <f t="shared" si="747"/>
        <v>4.999999999999992E-2</v>
      </c>
      <c r="AG431" s="593">
        <f t="shared" si="747"/>
        <v>5.0000000000000031E-2</v>
      </c>
      <c r="AH431" s="593">
        <f t="shared" si="747"/>
        <v>5.0000000000000037E-2</v>
      </c>
      <c r="AI431" s="593">
        <f t="shared" si="747"/>
        <v>4.9999999999999982E-2</v>
      </c>
      <c r="AJ431" s="593">
        <f t="shared" si="747"/>
        <v>4.999999999999994E-2</v>
      </c>
    </row>
    <row r="432" spans="1:36" hidden="1" x14ac:dyDescent="0.25">
      <c r="A432" t="s">
        <v>424</v>
      </c>
    </row>
    <row r="433" spans="1:36" s="24" customFormat="1" ht="17.25" hidden="1" x14ac:dyDescent="0.3">
      <c r="A433" s="24" t="s">
        <v>424</v>
      </c>
      <c r="H433" s="645" t="s">
        <v>476</v>
      </c>
      <c r="I433" s="645"/>
      <c r="K433" s="645"/>
      <c r="L433" s="645"/>
      <c r="M433" s="645"/>
      <c r="N433" s="645"/>
      <c r="O433" s="645"/>
      <c r="P433" s="645"/>
      <c r="Q433" s="645"/>
      <c r="R433" s="645"/>
      <c r="S433" s="645"/>
      <c r="T433" s="645"/>
      <c r="U433" s="645"/>
      <c r="V433" s="645"/>
      <c r="W433" s="645"/>
      <c r="X433" s="645"/>
      <c r="Y433" s="645"/>
      <c r="Z433" s="645"/>
      <c r="AA433" s="645"/>
      <c r="AB433" s="645"/>
      <c r="AC433" s="645"/>
      <c r="AD433" s="645"/>
      <c r="AE433" s="645"/>
      <c r="AF433" s="645"/>
      <c r="AG433" s="645"/>
      <c r="AH433" s="645"/>
      <c r="AI433" s="645"/>
      <c r="AJ433" s="645"/>
    </row>
    <row r="434" spans="1:36" s="1" customFormat="1" hidden="1" x14ac:dyDescent="0.25">
      <c r="A434" s="1" t="s">
        <v>424</v>
      </c>
      <c r="H434" s="287" t="s">
        <v>434</v>
      </c>
      <c r="I434" s="288" t="str">
        <f>IF($H$9="USD","USD/1.000 phôi","VND/phôi")</f>
        <v>VND/phôi</v>
      </c>
      <c r="K434" s="293">
        <f t="shared" ref="K434" si="748">SUM(K435:K436,K439:K442,)</f>
        <v>0</v>
      </c>
      <c r="L434" s="293">
        <f>SUM(L435:L436,L439:L442,)</f>
        <v>272.15949444951553</v>
      </c>
      <c r="M434" s="293">
        <f t="shared" ref="M434:AJ434" si="749">SUM(M435:M436,M439:M442,)</f>
        <v>194.39963889251109</v>
      </c>
      <c r="N434" s="293">
        <f t="shared" si="749"/>
        <v>138.64499478582374</v>
      </c>
      <c r="O434" s="293">
        <f t="shared" si="749"/>
        <v>141.33850472494305</v>
      </c>
      <c r="P434" s="293">
        <f t="shared" si="749"/>
        <v>144.16669016101832</v>
      </c>
      <c r="Q434" s="293">
        <f t="shared" si="749"/>
        <v>147.13628486889732</v>
      </c>
      <c r="R434" s="293">
        <f t="shared" si="749"/>
        <v>150.25435931217032</v>
      </c>
      <c r="S434" s="293">
        <f t="shared" si="749"/>
        <v>153.5283374776069</v>
      </c>
      <c r="T434" s="293">
        <f t="shared" si="749"/>
        <v>156.96601455131537</v>
      </c>
      <c r="U434" s="293">
        <f t="shared" si="749"/>
        <v>160.57557547870923</v>
      </c>
      <c r="V434" s="293">
        <f t="shared" si="749"/>
        <v>164.36561445247284</v>
      </c>
      <c r="W434" s="293">
        <f t="shared" si="749"/>
        <v>168.34515537492453</v>
      </c>
      <c r="X434" s="293">
        <f t="shared" si="749"/>
        <v>104.6344868692161</v>
      </c>
      <c r="Y434" s="293">
        <f t="shared" si="749"/>
        <v>109.02193073621915</v>
      </c>
      <c r="Z434" s="293">
        <f t="shared" si="749"/>
        <v>113.62874679657236</v>
      </c>
      <c r="AA434" s="293">
        <f t="shared" si="749"/>
        <v>118.46590365994321</v>
      </c>
      <c r="AB434" s="293">
        <f t="shared" si="749"/>
        <v>123.54491836648263</v>
      </c>
      <c r="AC434" s="293">
        <f t="shared" si="749"/>
        <v>128.87788380834903</v>
      </c>
      <c r="AD434" s="293">
        <f t="shared" si="749"/>
        <v>134.47749752230871</v>
      </c>
      <c r="AE434" s="293">
        <f t="shared" si="749"/>
        <v>140.3570919219664</v>
      </c>
      <c r="AF434" s="293">
        <f t="shared" si="749"/>
        <v>146.53066604160696</v>
      </c>
      <c r="AG434" s="293">
        <f t="shared" si="749"/>
        <v>153.01291886722956</v>
      </c>
      <c r="AH434" s="293">
        <f t="shared" si="749"/>
        <v>159.81928433413327</v>
      </c>
      <c r="AI434" s="293">
        <f t="shared" si="749"/>
        <v>166.96596807438215</v>
      </c>
      <c r="AJ434" s="293">
        <f t="shared" si="749"/>
        <v>174.46998600164355</v>
      </c>
    </row>
    <row r="435" spans="1:36" hidden="1" x14ac:dyDescent="0.25">
      <c r="A435" t="s">
        <v>424</v>
      </c>
      <c r="E435" t="s">
        <v>173</v>
      </c>
      <c r="H435" s="573" t="s">
        <v>190</v>
      </c>
      <c r="I435" s="574" t="str">
        <f t="shared" ref="I435:I442" si="750">IF($H$9="USD","USD/1.000 phôi","VND/phôi")</f>
        <v>VND/phôi</v>
      </c>
      <c r="K435" s="579"/>
      <c r="L435" s="580">
        <f t="shared" ref="L435:AJ435" si="751">-IF($H$9="USD",L365/L354/$H$10*10^3,L365/L354/$H$10)</f>
        <v>164.83793305098908</v>
      </c>
      <c r="M435" s="580">
        <f t="shared" si="751"/>
        <v>117.74138075070651</v>
      </c>
      <c r="N435" s="580">
        <f t="shared" si="751"/>
        <v>82.41896652549454</v>
      </c>
      <c r="O435" s="580">
        <f t="shared" si="751"/>
        <v>82.41896652549454</v>
      </c>
      <c r="P435" s="580">
        <f t="shared" si="751"/>
        <v>82.41896652549454</v>
      </c>
      <c r="Q435" s="580">
        <f t="shared" si="751"/>
        <v>82.41896652549454</v>
      </c>
      <c r="R435" s="580">
        <f t="shared" si="751"/>
        <v>82.41896652549454</v>
      </c>
      <c r="S435" s="580">
        <f t="shared" si="751"/>
        <v>82.41896652549454</v>
      </c>
      <c r="T435" s="580">
        <f t="shared" si="751"/>
        <v>82.41896652549454</v>
      </c>
      <c r="U435" s="580">
        <f t="shared" si="751"/>
        <v>82.41896652549454</v>
      </c>
      <c r="V435" s="580">
        <f t="shared" si="751"/>
        <v>82.41896652549454</v>
      </c>
      <c r="W435" s="580">
        <f t="shared" si="751"/>
        <v>82.41896652549454</v>
      </c>
      <c r="X435" s="580">
        <f t="shared" si="751"/>
        <v>14.529780051211779</v>
      </c>
      <c r="Y435" s="580">
        <f t="shared" si="751"/>
        <v>14.529780051211779</v>
      </c>
      <c r="Z435" s="580">
        <f t="shared" si="751"/>
        <v>14.529780051211779</v>
      </c>
      <c r="AA435" s="580">
        <f t="shared" si="751"/>
        <v>14.529780051211779</v>
      </c>
      <c r="AB435" s="580">
        <f t="shared" si="751"/>
        <v>14.529780051211779</v>
      </c>
      <c r="AC435" s="580">
        <f t="shared" si="751"/>
        <v>14.529780051211779</v>
      </c>
      <c r="AD435" s="580">
        <f t="shared" si="751"/>
        <v>14.529780051211779</v>
      </c>
      <c r="AE435" s="580">
        <f t="shared" si="751"/>
        <v>14.529780051211779</v>
      </c>
      <c r="AF435" s="580">
        <f t="shared" si="751"/>
        <v>14.529780051211779</v>
      </c>
      <c r="AG435" s="580">
        <f t="shared" si="751"/>
        <v>14.529780051211779</v>
      </c>
      <c r="AH435" s="580">
        <f t="shared" si="751"/>
        <v>14.529780051211779</v>
      </c>
      <c r="AI435" s="580">
        <f t="shared" si="751"/>
        <v>14.529780051211779</v>
      </c>
      <c r="AJ435" s="580">
        <f t="shared" si="751"/>
        <v>14.529780051211779</v>
      </c>
    </row>
    <row r="436" spans="1:36" hidden="1" x14ac:dyDescent="0.25">
      <c r="A436" t="s">
        <v>424</v>
      </c>
      <c r="H436" s="575" t="s">
        <v>429</v>
      </c>
      <c r="I436" s="576" t="str">
        <f t="shared" si="750"/>
        <v>VND/phôi</v>
      </c>
      <c r="K436" s="581">
        <f>SUM(K437:K438)</f>
        <v>0</v>
      </c>
      <c r="L436" s="581">
        <f t="shared" ref="L436:AJ436" si="752">SUM(L437:L438)</f>
        <v>30.570817055330142</v>
      </c>
      <c r="M436" s="581">
        <f t="shared" si="752"/>
        <v>21.836297896664394</v>
      </c>
      <c r="N436" s="581">
        <f t="shared" si="752"/>
        <v>16.049678954048325</v>
      </c>
      <c r="O436" s="581">
        <f t="shared" si="752"/>
        <v>16.852162901750741</v>
      </c>
      <c r="P436" s="581">
        <f t="shared" si="752"/>
        <v>17.69477104683828</v>
      </c>
      <c r="Q436" s="581">
        <f t="shared" si="752"/>
        <v>18.579509599180195</v>
      </c>
      <c r="R436" s="581">
        <f t="shared" si="752"/>
        <v>19.508485079139206</v>
      </c>
      <c r="S436" s="581">
        <f t="shared" si="752"/>
        <v>20.483909333096161</v>
      </c>
      <c r="T436" s="581">
        <f t="shared" si="752"/>
        <v>21.508104799750974</v>
      </c>
      <c r="U436" s="581">
        <f t="shared" si="752"/>
        <v>22.58351003973852</v>
      </c>
      <c r="V436" s="581">
        <f t="shared" si="752"/>
        <v>23.712685541725449</v>
      </c>
      <c r="W436" s="581">
        <f t="shared" si="752"/>
        <v>24.898319818811718</v>
      </c>
      <c r="X436" s="581">
        <f t="shared" si="752"/>
        <v>26.143235809752309</v>
      </c>
      <c r="Y436" s="581">
        <f t="shared" si="752"/>
        <v>27.450397600239921</v>
      </c>
      <c r="Z436" s="581">
        <f t="shared" si="752"/>
        <v>28.82291748025192</v>
      </c>
      <c r="AA436" s="581">
        <f t="shared" si="752"/>
        <v>30.264063354264511</v>
      </c>
      <c r="AB436" s="581">
        <f t="shared" si="752"/>
        <v>31.777266521977747</v>
      </c>
      <c r="AC436" s="581">
        <f t="shared" si="752"/>
        <v>33.366129848076632</v>
      </c>
      <c r="AD436" s="581">
        <f t="shared" si="752"/>
        <v>35.034436340480468</v>
      </c>
      <c r="AE436" s="581">
        <f t="shared" si="752"/>
        <v>36.786158157504495</v>
      </c>
      <c r="AF436" s="581">
        <f t="shared" si="752"/>
        <v>38.625466065379712</v>
      </c>
      <c r="AG436" s="581">
        <f t="shared" si="752"/>
        <v>40.556739368648692</v>
      </c>
      <c r="AH436" s="581">
        <f t="shared" si="752"/>
        <v>42.584576337081131</v>
      </c>
      <c r="AI436" s="581">
        <f t="shared" si="752"/>
        <v>44.713805153935184</v>
      </c>
      <c r="AJ436" s="581">
        <f t="shared" si="752"/>
        <v>46.949495411631951</v>
      </c>
    </row>
    <row r="437" spans="1:36" s="299" customFormat="1" hidden="1" x14ac:dyDescent="0.25">
      <c r="A437" s="299" t="s">
        <v>424</v>
      </c>
      <c r="E437" s="299" t="s">
        <v>171</v>
      </c>
      <c r="H437" s="577" t="s">
        <v>430</v>
      </c>
      <c r="I437" s="578" t="str">
        <f t="shared" si="750"/>
        <v>VND/phôi</v>
      </c>
      <c r="K437" s="582"/>
      <c r="L437" s="582">
        <f t="shared" ref="L437:AJ437" si="753">-IF($H$9="USD",L367/L354/$H$10*10^3,L367/L354/$H$10)</f>
        <v>4.9979537420158273</v>
      </c>
      <c r="M437" s="582">
        <f t="shared" si="753"/>
        <v>3.5699669585827345</v>
      </c>
      <c r="N437" s="582">
        <f t="shared" si="753"/>
        <v>2.6239257145583097</v>
      </c>
      <c r="O437" s="582">
        <f t="shared" si="753"/>
        <v>2.7551220002862253</v>
      </c>
      <c r="P437" s="582">
        <f t="shared" si="753"/>
        <v>2.8928781003005364</v>
      </c>
      <c r="Q437" s="582">
        <f t="shared" si="753"/>
        <v>3.0375220053155632</v>
      </c>
      <c r="R437" s="582">
        <f t="shared" si="753"/>
        <v>3.1893981055813421</v>
      </c>
      <c r="S437" s="582">
        <f t="shared" si="753"/>
        <v>3.3488680108604081</v>
      </c>
      <c r="T437" s="582">
        <f t="shared" si="753"/>
        <v>3.5163114114034291</v>
      </c>
      <c r="U437" s="582">
        <f t="shared" si="753"/>
        <v>3.6921269819736002</v>
      </c>
      <c r="V437" s="582">
        <f t="shared" si="753"/>
        <v>3.8767333310722805</v>
      </c>
      <c r="W437" s="582">
        <f t="shared" si="753"/>
        <v>4.0705699976258947</v>
      </c>
      <c r="X437" s="582">
        <f t="shared" si="753"/>
        <v>4.2740984975071896</v>
      </c>
      <c r="Y437" s="582">
        <f t="shared" si="753"/>
        <v>4.4878034223825489</v>
      </c>
      <c r="Z437" s="582">
        <f t="shared" si="753"/>
        <v>4.7121935935016763</v>
      </c>
      <c r="AA437" s="582">
        <f t="shared" si="753"/>
        <v>4.9478032731767598</v>
      </c>
      <c r="AB437" s="582">
        <f t="shared" si="753"/>
        <v>5.1951934368355994</v>
      </c>
      <c r="AC437" s="582">
        <f t="shared" si="753"/>
        <v>5.4549531086773788</v>
      </c>
      <c r="AD437" s="582">
        <f t="shared" si="753"/>
        <v>5.7277007641112485</v>
      </c>
      <c r="AE437" s="582">
        <f t="shared" si="753"/>
        <v>6.0140858023168109</v>
      </c>
      <c r="AF437" s="582">
        <f t="shared" si="753"/>
        <v>6.3147900924326512</v>
      </c>
      <c r="AG437" s="582">
        <f t="shared" si="753"/>
        <v>6.6305295970542835</v>
      </c>
      <c r="AH437" s="582">
        <f t="shared" si="753"/>
        <v>6.9620560769069977</v>
      </c>
      <c r="AI437" s="582">
        <f t="shared" si="753"/>
        <v>7.310158880752347</v>
      </c>
      <c r="AJ437" s="582">
        <f t="shared" si="753"/>
        <v>7.6756668247899658</v>
      </c>
    </row>
    <row r="438" spans="1:36" s="299" customFormat="1" hidden="1" x14ac:dyDescent="0.25">
      <c r="A438" s="299" t="s">
        <v>424</v>
      </c>
      <c r="E438" s="299" t="s">
        <v>171</v>
      </c>
      <c r="H438" s="577" t="s">
        <v>431</v>
      </c>
      <c r="I438" s="578" t="str">
        <f t="shared" si="750"/>
        <v>VND/phôi</v>
      </c>
      <c r="K438" s="582"/>
      <c r="L438" s="582">
        <f t="shared" ref="L438:AJ438" si="754">-IF($H$9="USD",L368/L354/$H$10*10^3,L368/L354/$H$10)</f>
        <v>25.572863313314315</v>
      </c>
      <c r="M438" s="582">
        <f t="shared" si="754"/>
        <v>18.266330938081659</v>
      </c>
      <c r="N438" s="582">
        <f t="shared" si="754"/>
        <v>13.425753239490016</v>
      </c>
      <c r="O438" s="582">
        <f t="shared" si="754"/>
        <v>14.097040901464517</v>
      </c>
      <c r="P438" s="582">
        <f t="shared" si="754"/>
        <v>14.801892946537745</v>
      </c>
      <c r="Q438" s="582">
        <f t="shared" si="754"/>
        <v>15.541987593864631</v>
      </c>
      <c r="R438" s="582">
        <f t="shared" si="754"/>
        <v>16.319086973557862</v>
      </c>
      <c r="S438" s="582">
        <f t="shared" si="754"/>
        <v>17.135041322235754</v>
      </c>
      <c r="T438" s="582">
        <f t="shared" si="754"/>
        <v>17.991793388347546</v>
      </c>
      <c r="U438" s="582">
        <f t="shared" si="754"/>
        <v>18.891383057764919</v>
      </c>
      <c r="V438" s="582">
        <f t="shared" si="754"/>
        <v>19.835952210653168</v>
      </c>
      <c r="W438" s="582">
        <f t="shared" si="754"/>
        <v>20.827749821185822</v>
      </c>
      <c r="X438" s="582">
        <f t="shared" si="754"/>
        <v>21.869137312245119</v>
      </c>
      <c r="Y438" s="582">
        <f t="shared" si="754"/>
        <v>22.962594177857373</v>
      </c>
      <c r="Z438" s="582">
        <f t="shared" si="754"/>
        <v>24.110723886750243</v>
      </c>
      <c r="AA438" s="582">
        <f t="shared" si="754"/>
        <v>25.316260081087751</v>
      </c>
      <c r="AB438" s="582">
        <f t="shared" si="754"/>
        <v>26.582073085142149</v>
      </c>
      <c r="AC438" s="582">
        <f t="shared" si="754"/>
        <v>27.911176739399252</v>
      </c>
      <c r="AD438" s="582">
        <f t="shared" si="754"/>
        <v>29.306735576369221</v>
      </c>
      <c r="AE438" s="582">
        <f t="shared" si="754"/>
        <v>30.772072355187682</v>
      </c>
      <c r="AF438" s="582">
        <f t="shared" si="754"/>
        <v>32.31067597294706</v>
      </c>
      <c r="AG438" s="582">
        <f t="shared" si="754"/>
        <v>33.926209771594408</v>
      </c>
      <c r="AH438" s="582">
        <f t="shared" si="754"/>
        <v>35.622520260174134</v>
      </c>
      <c r="AI438" s="582">
        <f t="shared" si="754"/>
        <v>37.403646273182837</v>
      </c>
      <c r="AJ438" s="582">
        <f t="shared" si="754"/>
        <v>39.273828586841987</v>
      </c>
    </row>
    <row r="439" spans="1:36" hidden="1" x14ac:dyDescent="0.25">
      <c r="A439" t="s">
        <v>424</v>
      </c>
      <c r="E439" t="s">
        <v>172</v>
      </c>
      <c r="H439" s="575" t="s">
        <v>656</v>
      </c>
      <c r="I439" s="576" t="str">
        <f t="shared" si="750"/>
        <v>VND/phôi</v>
      </c>
      <c r="K439" s="581"/>
      <c r="L439" s="581">
        <f t="shared" ref="L439:AJ439" si="755">-IF($H$9="USD",L369/L354/$H$10*10^3,L369/L354/$H$10)</f>
        <v>12.205015243017893</v>
      </c>
      <c r="M439" s="581">
        <f t="shared" si="755"/>
        <v>8.7178680307270682</v>
      </c>
      <c r="N439" s="581">
        <f t="shared" si="755"/>
        <v>6.4076330025843937</v>
      </c>
      <c r="O439" s="581">
        <f t="shared" si="755"/>
        <v>6.7280146527136147</v>
      </c>
      <c r="P439" s="581">
        <f t="shared" si="755"/>
        <v>7.064415385349295</v>
      </c>
      <c r="Q439" s="581">
        <f t="shared" si="755"/>
        <v>7.4176361546167593</v>
      </c>
      <c r="R439" s="581">
        <f t="shared" si="755"/>
        <v>7.7885179623475977</v>
      </c>
      <c r="S439" s="581">
        <f t="shared" si="755"/>
        <v>8.1779438604649766</v>
      </c>
      <c r="T439" s="581">
        <f t="shared" si="755"/>
        <v>8.5868410534882287</v>
      </c>
      <c r="U439" s="581">
        <f t="shared" si="755"/>
        <v>9.0161831061626376</v>
      </c>
      <c r="V439" s="581">
        <f t="shared" si="755"/>
        <v>9.4669922614707716</v>
      </c>
      <c r="W439" s="581">
        <f t="shared" si="755"/>
        <v>9.9403418745443091</v>
      </c>
      <c r="X439" s="581">
        <f t="shared" si="755"/>
        <v>10.437358968271525</v>
      </c>
      <c r="Y439" s="581">
        <f t="shared" si="755"/>
        <v>10.9592269166851</v>
      </c>
      <c r="Z439" s="581">
        <f t="shared" si="755"/>
        <v>11.507188262519358</v>
      </c>
      <c r="AA439" s="581">
        <f t="shared" si="755"/>
        <v>12.082547675645321</v>
      </c>
      <c r="AB439" s="581">
        <f t="shared" si="755"/>
        <v>12.686675059427591</v>
      </c>
      <c r="AC439" s="581">
        <f t="shared" si="755"/>
        <v>13.32100881239897</v>
      </c>
      <c r="AD439" s="581">
        <f t="shared" si="755"/>
        <v>13.987059253018922</v>
      </c>
      <c r="AE439" s="581">
        <f t="shared" si="755"/>
        <v>14.686412215669867</v>
      </c>
      <c r="AF439" s="581">
        <f t="shared" si="755"/>
        <v>15.420732826453358</v>
      </c>
      <c r="AG439" s="581">
        <f t="shared" si="755"/>
        <v>16.191769467776027</v>
      </c>
      <c r="AH439" s="581">
        <f t="shared" si="755"/>
        <v>17.00135794116483</v>
      </c>
      <c r="AI439" s="581">
        <f t="shared" si="755"/>
        <v>17.851425838223069</v>
      </c>
      <c r="AJ439" s="581">
        <f t="shared" si="755"/>
        <v>18.743997130134225</v>
      </c>
    </row>
    <row r="440" spans="1:36" hidden="1" x14ac:dyDescent="0.25">
      <c r="A440" t="s">
        <v>424</v>
      </c>
      <c r="E440" t="s">
        <v>172</v>
      </c>
      <c r="H440" s="575" t="s">
        <v>432</v>
      </c>
      <c r="I440" s="576" t="str">
        <f t="shared" si="750"/>
        <v>VND/phôi</v>
      </c>
      <c r="K440" s="581"/>
      <c r="L440" s="581">
        <f t="shared" ref="L440:AJ440" si="756">-IF($H$9="USD",L370/L354/$H$10*10^3,L370/L354/$H$10)</f>
        <v>57.026916638397523</v>
      </c>
      <c r="M440" s="581">
        <f t="shared" si="756"/>
        <v>40.733511884569666</v>
      </c>
      <c r="N440" s="581">
        <f t="shared" si="756"/>
        <v>29.939131235158701</v>
      </c>
      <c r="O440" s="581">
        <f t="shared" si="756"/>
        <v>31.436087796916631</v>
      </c>
      <c r="P440" s="581">
        <f t="shared" si="756"/>
        <v>33.007892186762469</v>
      </c>
      <c r="Q440" s="581">
        <f t="shared" si="756"/>
        <v>34.65828679610059</v>
      </c>
      <c r="R440" s="581">
        <f t="shared" si="756"/>
        <v>36.391201135905625</v>
      </c>
      <c r="S440" s="581">
        <f t="shared" si="756"/>
        <v>38.2107611927009</v>
      </c>
      <c r="T440" s="581">
        <f t="shared" si="756"/>
        <v>40.121299252335959</v>
      </c>
      <c r="U440" s="581">
        <f t="shared" si="756"/>
        <v>42.127364214952749</v>
      </c>
      <c r="V440" s="581">
        <f t="shared" si="756"/>
        <v>44.233732425700389</v>
      </c>
      <c r="W440" s="581">
        <f t="shared" si="756"/>
        <v>46.4454190469854</v>
      </c>
      <c r="X440" s="581">
        <f t="shared" si="756"/>
        <v>48.767689999334671</v>
      </c>
      <c r="Y440" s="581">
        <f t="shared" si="756"/>
        <v>51.206074499301408</v>
      </c>
      <c r="Z440" s="581">
        <f t="shared" si="756"/>
        <v>53.766378224266475</v>
      </c>
      <c r="AA440" s="581">
        <f t="shared" si="756"/>
        <v>56.454697135479798</v>
      </c>
      <c r="AB440" s="581">
        <f t="shared" si="756"/>
        <v>59.27743199225381</v>
      </c>
      <c r="AC440" s="581">
        <f t="shared" si="756"/>
        <v>62.241303591866483</v>
      </c>
      <c r="AD440" s="581">
        <f t="shared" si="756"/>
        <v>65.353368771459813</v>
      </c>
      <c r="AE440" s="581">
        <f t="shared" si="756"/>
        <v>68.62103721003281</v>
      </c>
      <c r="AF440" s="581">
        <f t="shared" si="756"/>
        <v>72.05208907053445</v>
      </c>
      <c r="AG440" s="581">
        <f t="shared" si="756"/>
        <v>75.654693524061173</v>
      </c>
      <c r="AH440" s="581">
        <f t="shared" si="756"/>
        <v>79.437428200264222</v>
      </c>
      <c r="AI440" s="581">
        <f t="shared" si="756"/>
        <v>83.409299610277429</v>
      </c>
      <c r="AJ440" s="581">
        <f t="shared" si="756"/>
        <v>87.579764590791328</v>
      </c>
    </row>
    <row r="441" spans="1:36" hidden="1" x14ac:dyDescent="0.25">
      <c r="A441" t="s">
        <v>424</v>
      </c>
      <c r="E441" t="s">
        <v>172</v>
      </c>
      <c r="H441" s="575" t="s">
        <v>433</v>
      </c>
      <c r="I441" s="576" t="str">
        <f t="shared" si="750"/>
        <v>VND/phôi</v>
      </c>
      <c r="K441" s="581"/>
      <c r="L441" s="581">
        <f t="shared" ref="L441:AJ441" si="757">-IF($H$9="USD",L371/L354/$H$10*10^3,L371/L354/$H$10)</f>
        <v>2.8071535058941155</v>
      </c>
      <c r="M441" s="581">
        <f t="shared" si="757"/>
        <v>2.0051096470672256</v>
      </c>
      <c r="N441" s="581">
        <f t="shared" si="757"/>
        <v>1.4737555905944109</v>
      </c>
      <c r="O441" s="581">
        <f t="shared" si="757"/>
        <v>1.5474433701241312</v>
      </c>
      <c r="P441" s="581">
        <f t="shared" si="757"/>
        <v>1.624815538630338</v>
      </c>
      <c r="Q441" s="581">
        <f t="shared" si="757"/>
        <v>1.7060563155618549</v>
      </c>
      <c r="R441" s="581">
        <f t="shared" si="757"/>
        <v>1.7913591313399477</v>
      </c>
      <c r="S441" s="581">
        <f t="shared" si="757"/>
        <v>1.8809270879069449</v>
      </c>
      <c r="T441" s="581">
        <f t="shared" si="757"/>
        <v>1.9749734423022924</v>
      </c>
      <c r="U441" s="581">
        <f t="shared" si="757"/>
        <v>2.0737221144174067</v>
      </c>
      <c r="V441" s="581">
        <f t="shared" si="757"/>
        <v>2.1774082201382772</v>
      </c>
      <c r="W441" s="581">
        <f t="shared" si="757"/>
        <v>2.286278631145191</v>
      </c>
      <c r="X441" s="581">
        <f t="shared" si="757"/>
        <v>2.4005925627024509</v>
      </c>
      <c r="Y441" s="581">
        <f t="shared" si="757"/>
        <v>2.5206221908375728</v>
      </c>
      <c r="Z441" s="581">
        <f t="shared" si="757"/>
        <v>2.6466533003794517</v>
      </c>
      <c r="AA441" s="581">
        <f t="shared" si="757"/>
        <v>2.7789859653984244</v>
      </c>
      <c r="AB441" s="581">
        <f t="shared" si="757"/>
        <v>2.9179352636683462</v>
      </c>
      <c r="AC441" s="581">
        <f t="shared" si="757"/>
        <v>3.0638320268517631</v>
      </c>
      <c r="AD441" s="581">
        <f t="shared" si="757"/>
        <v>3.2170236281943518</v>
      </c>
      <c r="AE441" s="581">
        <f t="shared" si="757"/>
        <v>3.3778748096040694</v>
      </c>
      <c r="AF441" s="581">
        <f t="shared" si="757"/>
        <v>3.5467685500842729</v>
      </c>
      <c r="AG441" s="581">
        <f t="shared" si="757"/>
        <v>3.7241069775884865</v>
      </c>
      <c r="AH441" s="581">
        <f t="shared" si="757"/>
        <v>3.9103123264679103</v>
      </c>
      <c r="AI441" s="581">
        <f t="shared" si="757"/>
        <v>4.105827942791306</v>
      </c>
      <c r="AJ441" s="581">
        <f t="shared" si="757"/>
        <v>4.3111193399308716</v>
      </c>
    </row>
    <row r="442" spans="1:36" hidden="1" x14ac:dyDescent="0.25">
      <c r="A442" t="s">
        <v>424</v>
      </c>
      <c r="E442" t="s">
        <v>172</v>
      </c>
      <c r="H442" s="575" t="s">
        <v>520</v>
      </c>
      <c r="I442" s="576" t="str">
        <f t="shared" si="750"/>
        <v>VND/phôi</v>
      </c>
      <c r="K442" s="581"/>
      <c r="L442" s="581">
        <f t="shared" ref="L442:AJ442" si="758">-IF($H$9="USD",L372/L354/$H$10*10^3,L372/L354/$H$10)</f>
        <v>4.7116589558867501</v>
      </c>
      <c r="M442" s="581">
        <f t="shared" si="758"/>
        <v>3.3654706827762508</v>
      </c>
      <c r="N442" s="581">
        <f t="shared" si="758"/>
        <v>2.355829477943375</v>
      </c>
      <c r="O442" s="581">
        <f t="shared" si="758"/>
        <v>2.355829477943375</v>
      </c>
      <c r="P442" s="581">
        <f t="shared" si="758"/>
        <v>2.355829477943375</v>
      </c>
      <c r="Q442" s="581">
        <f t="shared" si="758"/>
        <v>2.355829477943375</v>
      </c>
      <c r="R442" s="581">
        <f t="shared" si="758"/>
        <v>2.355829477943375</v>
      </c>
      <c r="S442" s="581">
        <f t="shared" si="758"/>
        <v>2.355829477943375</v>
      </c>
      <c r="T442" s="581">
        <f t="shared" si="758"/>
        <v>2.355829477943375</v>
      </c>
      <c r="U442" s="581">
        <f t="shared" si="758"/>
        <v>2.355829477943375</v>
      </c>
      <c r="V442" s="581">
        <f t="shared" si="758"/>
        <v>2.355829477943375</v>
      </c>
      <c r="W442" s="581">
        <f t="shared" si="758"/>
        <v>2.355829477943375</v>
      </c>
      <c r="X442" s="581">
        <f t="shared" si="758"/>
        <v>2.355829477943375</v>
      </c>
      <c r="Y442" s="581">
        <f t="shared" si="758"/>
        <v>2.355829477943375</v>
      </c>
      <c r="Z442" s="581">
        <f t="shared" si="758"/>
        <v>2.355829477943375</v>
      </c>
      <c r="AA442" s="581">
        <f t="shared" si="758"/>
        <v>2.355829477943375</v>
      </c>
      <c r="AB442" s="581">
        <f t="shared" si="758"/>
        <v>2.355829477943375</v>
      </c>
      <c r="AC442" s="581">
        <f t="shared" si="758"/>
        <v>2.355829477943375</v>
      </c>
      <c r="AD442" s="581">
        <f t="shared" si="758"/>
        <v>2.355829477943375</v>
      </c>
      <c r="AE442" s="581">
        <f t="shared" si="758"/>
        <v>2.355829477943375</v>
      </c>
      <c r="AF442" s="581">
        <f t="shared" si="758"/>
        <v>2.355829477943375</v>
      </c>
      <c r="AG442" s="581">
        <f t="shared" si="758"/>
        <v>2.355829477943375</v>
      </c>
      <c r="AH442" s="581">
        <f t="shared" si="758"/>
        <v>2.355829477943375</v>
      </c>
      <c r="AI442" s="581">
        <f t="shared" si="758"/>
        <v>2.355829477943375</v>
      </c>
      <c r="AJ442" s="581">
        <f t="shared" si="758"/>
        <v>2.355829477943375</v>
      </c>
    </row>
    <row r="443" spans="1:36" hidden="1" x14ac:dyDescent="0.25">
      <c r="A443" t="s">
        <v>424</v>
      </c>
      <c r="H443" s="289"/>
      <c r="I443" s="290"/>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c r="AJ443" s="294"/>
    </row>
    <row r="444" spans="1:36" s="1" customFormat="1" hidden="1" x14ac:dyDescent="0.25">
      <c r="A444" s="1" t="s">
        <v>424</v>
      </c>
      <c r="H444" s="287" t="s">
        <v>435</v>
      </c>
      <c r="I444" s="288" t="str">
        <f t="shared" ref="I444:I468" si="759">IF($H$9="USD","USD/1.000 phôi","VND/phôi")</f>
        <v>VND/phôi</v>
      </c>
      <c r="K444" s="295">
        <f>K445+K448+K451</f>
        <v>0</v>
      </c>
      <c r="L444" s="295">
        <f t="shared" ref="L444" si="760">L445+L448+L451</f>
        <v>462.42386814591333</v>
      </c>
      <c r="M444" s="295">
        <f t="shared" ref="M444" si="761">M445+M448+M451</f>
        <v>459.31347392363318</v>
      </c>
      <c r="N444" s="295">
        <f t="shared" ref="N444" si="762">N445+N448+N451</f>
        <v>467.16264521704704</v>
      </c>
      <c r="O444" s="295">
        <f t="shared" ref="O444" si="763">O445+O448+O451</f>
        <v>477.60376017796273</v>
      </c>
      <c r="P444" s="295">
        <f t="shared" ref="P444" si="764">P445+P448+P451</f>
        <v>488.31198153276563</v>
      </c>
      <c r="Q444" s="295">
        <f t="shared" ref="Q444" si="765">Q445+Q448+Q451</f>
        <v>499.29556561406702</v>
      </c>
      <c r="R444" s="295">
        <f t="shared" ref="R444" si="766">R445+R448+R451</f>
        <v>510.56307959136677</v>
      </c>
      <c r="S444" s="295">
        <f t="shared" ref="S444" si="767">S445+S448+S451</f>
        <v>522.12341497330374</v>
      </c>
      <c r="T444" s="295">
        <f t="shared" ref="T444" si="768">T445+T448+T451</f>
        <v>533.98580174422489</v>
      </c>
      <c r="U444" s="295">
        <f t="shared" ref="U444" si="769">U445+U448+U451</f>
        <v>546.15982316597729</v>
      </c>
      <c r="V444" s="295">
        <f t="shared" ref="V444" si="770">V445+V448+V451</f>
        <v>558.6554312773485</v>
      </c>
      <c r="W444" s="295">
        <f t="shared" ref="W444" si="771">W445+W448+W451</f>
        <v>571.48296312518983</v>
      </c>
      <c r="X444" s="295">
        <f t="shared" ref="X444" si="772">X445+X448+X451</f>
        <v>581.93759030397132</v>
      </c>
      <c r="Y444" s="295">
        <f t="shared" ref="Y444" si="773">Y445+Y448+Y451</f>
        <v>595.46160659508212</v>
      </c>
      <c r="Z444" s="295">
        <f t="shared" ref="Z444" si="774">Z445+Z448+Z451</f>
        <v>609.35104186064746</v>
      </c>
      <c r="AA444" s="295">
        <f t="shared" ref="AA444" si="775">AA445+AA448+AA451</f>
        <v>623.6179514125887</v>
      </c>
      <c r="AB444" s="295">
        <f t="shared" ref="AB444" si="776">AB445+AB448+AB451</f>
        <v>638.27486901568614</v>
      </c>
      <c r="AC444" s="295">
        <f t="shared" ref="AC444" si="777">AC445+AC448+AC451</f>
        <v>653.33482832396908</v>
      </c>
      <c r="AD444" s="295">
        <f t="shared" ref="AD444" si="778">AD445+AD448+AD451</f>
        <v>668.81138533919761</v>
      </c>
      <c r="AE444" s="295">
        <f t="shared" ref="AE444" si="779">AE445+AE448+AE451</f>
        <v>684.71864194154909</v>
      </c>
      <c r="AF444" s="295">
        <f t="shared" ref="AF444" si="780">AF445+AF448+AF451</f>
        <v>701.07127054510704</v>
      </c>
      <c r="AG444" s="295">
        <f t="shared" ref="AG444" si="781">AG445+AG448+AG451</f>
        <v>717.88453993335384</v>
      </c>
      <c r="AH444" s="295">
        <f t="shared" ref="AH444" si="782">AH445+AH448+AH451</f>
        <v>735.17434233261395</v>
      </c>
      <c r="AI444" s="295">
        <f t="shared" ref="AI444" si="783">AI445+AI448+AI451</f>
        <v>752.95722178427002</v>
      </c>
      <c r="AJ444" s="295">
        <f t="shared" ref="AJ444" si="784">AJ445+AJ448+AJ451</f>
        <v>771.25040387959041</v>
      </c>
    </row>
    <row r="445" spans="1:36" hidden="1" x14ac:dyDescent="0.25">
      <c r="A445" t="s">
        <v>424</v>
      </c>
      <c r="H445" s="573" t="s">
        <v>454</v>
      </c>
      <c r="I445" s="574" t="str">
        <f t="shared" si="759"/>
        <v>VND/phôi</v>
      </c>
      <c r="K445" s="583">
        <f>SUM(K446:K447)</f>
        <v>0</v>
      </c>
      <c r="L445" s="583">
        <f t="shared" ref="L445:AJ445" si="785">SUM(L446:L447)</f>
        <v>416.58391202384672</v>
      </c>
      <c r="M445" s="583">
        <f t="shared" si="785"/>
        <v>416.58391202384672</v>
      </c>
      <c r="N445" s="583">
        <f t="shared" si="785"/>
        <v>424.91559026432373</v>
      </c>
      <c r="O445" s="583">
        <f t="shared" si="785"/>
        <v>433.41390206961017</v>
      </c>
      <c r="P445" s="583">
        <f t="shared" si="785"/>
        <v>442.08218011100234</v>
      </c>
      <c r="Q445" s="583">
        <f t="shared" si="785"/>
        <v>450.92382371322242</v>
      </c>
      <c r="R445" s="583">
        <f t="shared" si="785"/>
        <v>459.94230018748686</v>
      </c>
      <c r="S445" s="583">
        <f t="shared" si="785"/>
        <v>469.14114619123666</v>
      </c>
      <c r="T445" s="583">
        <f t="shared" si="785"/>
        <v>478.52396911506128</v>
      </c>
      <c r="U445" s="583">
        <f t="shared" si="785"/>
        <v>488.09444849736246</v>
      </c>
      <c r="V445" s="583">
        <f t="shared" si="785"/>
        <v>497.85633746730974</v>
      </c>
      <c r="W445" s="583">
        <f t="shared" si="785"/>
        <v>507.81346421665603</v>
      </c>
      <c r="X445" s="583">
        <f t="shared" si="785"/>
        <v>517.96973350098904</v>
      </c>
      <c r="Y445" s="583">
        <f t="shared" si="785"/>
        <v>528.32912817100896</v>
      </c>
      <c r="Z445" s="583">
        <f t="shared" si="785"/>
        <v>538.89571073442903</v>
      </c>
      <c r="AA445" s="583">
        <f t="shared" si="785"/>
        <v>549.67362494911765</v>
      </c>
      <c r="AB445" s="583">
        <f t="shared" si="785"/>
        <v>560.66709744809987</v>
      </c>
      <c r="AC445" s="583">
        <f t="shared" si="785"/>
        <v>571.88043939706188</v>
      </c>
      <c r="AD445" s="583">
        <f t="shared" si="785"/>
        <v>583.31804818500325</v>
      </c>
      <c r="AE445" s="583">
        <f t="shared" si="785"/>
        <v>594.98440914870332</v>
      </c>
      <c r="AF445" s="583">
        <f t="shared" si="785"/>
        <v>606.88409733167737</v>
      </c>
      <c r="AG445" s="583">
        <f t="shared" si="785"/>
        <v>619.02177927831087</v>
      </c>
      <c r="AH445" s="583">
        <f t="shared" si="785"/>
        <v>631.40221486387713</v>
      </c>
      <c r="AI445" s="583">
        <f t="shared" si="785"/>
        <v>644.03025916115473</v>
      </c>
      <c r="AJ445" s="583">
        <f t="shared" si="785"/>
        <v>656.91086434437773</v>
      </c>
    </row>
    <row r="446" spans="1:36" s="299" customFormat="1" hidden="1" x14ac:dyDescent="0.25">
      <c r="A446" s="299" t="s">
        <v>424</v>
      </c>
      <c r="E446" s="299" t="s">
        <v>536</v>
      </c>
      <c r="H446" s="577" t="s">
        <v>167</v>
      </c>
      <c r="I446" s="578" t="str">
        <f t="shared" si="759"/>
        <v>VND/phôi</v>
      </c>
      <c r="K446" s="582"/>
      <c r="L446" s="582">
        <f>-IF($H$9="USD",L376/L354/$H$10*10^3,L376/L354/$H$10)</f>
        <v>387.42303818217744</v>
      </c>
      <c r="M446" s="582">
        <f t="shared" ref="M446:AJ446" si="786">-IF($H$9="USD",M376/M354/$H$10*10^3,M376/M354/$H$10)</f>
        <v>387.42303818217744</v>
      </c>
      <c r="N446" s="582">
        <f t="shared" si="786"/>
        <v>395.17149894582104</v>
      </c>
      <c r="O446" s="582">
        <f t="shared" si="786"/>
        <v>403.07492892473743</v>
      </c>
      <c r="P446" s="582">
        <f t="shared" si="786"/>
        <v>411.13642750323214</v>
      </c>
      <c r="Q446" s="582">
        <f t="shared" si="786"/>
        <v>419.35915605329683</v>
      </c>
      <c r="R446" s="582">
        <f t="shared" si="786"/>
        <v>427.74633917436279</v>
      </c>
      <c r="S446" s="582">
        <f t="shared" si="786"/>
        <v>436.30126595785003</v>
      </c>
      <c r="T446" s="582">
        <f t="shared" si="786"/>
        <v>445.02729127700695</v>
      </c>
      <c r="U446" s="582">
        <f t="shared" si="786"/>
        <v>453.92783710254707</v>
      </c>
      <c r="V446" s="582">
        <f t="shared" si="786"/>
        <v>463.00639384459805</v>
      </c>
      <c r="W446" s="582">
        <f t="shared" si="786"/>
        <v>472.26652172149011</v>
      </c>
      <c r="X446" s="582">
        <f t="shared" si="786"/>
        <v>481.71185215591976</v>
      </c>
      <c r="Y446" s="582">
        <f t="shared" si="786"/>
        <v>491.34608919903832</v>
      </c>
      <c r="Z446" s="582">
        <f t="shared" si="786"/>
        <v>501.17301098301903</v>
      </c>
      <c r="AA446" s="582">
        <f t="shared" si="786"/>
        <v>511.19647120267945</v>
      </c>
      <c r="AB446" s="582">
        <f t="shared" si="786"/>
        <v>521.42040062673289</v>
      </c>
      <c r="AC446" s="582">
        <f t="shared" si="786"/>
        <v>531.84880863926753</v>
      </c>
      <c r="AD446" s="582">
        <f t="shared" si="786"/>
        <v>542.485784812053</v>
      </c>
      <c r="AE446" s="582">
        <f t="shared" si="786"/>
        <v>553.33550050829399</v>
      </c>
      <c r="AF446" s="582">
        <f t="shared" si="786"/>
        <v>564.40221051845992</v>
      </c>
      <c r="AG446" s="582">
        <f t="shared" si="786"/>
        <v>575.69025472882913</v>
      </c>
      <c r="AH446" s="582">
        <f t="shared" si="786"/>
        <v>587.20405982340571</v>
      </c>
      <c r="AI446" s="582">
        <f t="shared" si="786"/>
        <v>598.94814101987379</v>
      </c>
      <c r="AJ446" s="582">
        <f t="shared" si="786"/>
        <v>610.92710384027123</v>
      </c>
    </row>
    <row r="447" spans="1:36" s="299" customFormat="1" hidden="1" x14ac:dyDescent="0.25">
      <c r="A447" s="299" t="s">
        <v>424</v>
      </c>
      <c r="E447" s="299" t="s">
        <v>537</v>
      </c>
      <c r="H447" s="646" t="s">
        <v>203</v>
      </c>
      <c r="I447" s="647" t="str">
        <f t="shared" si="759"/>
        <v>VND/phôi</v>
      </c>
      <c r="K447" s="648"/>
      <c r="L447" s="648">
        <f t="shared" ref="L447:AJ447" si="787">-IF($H$9="USD",L377/L354/$H$10*10^3,L377/L354/$H$10)</f>
        <v>29.160873841669297</v>
      </c>
      <c r="M447" s="648">
        <f t="shared" si="787"/>
        <v>29.160873841669311</v>
      </c>
      <c r="N447" s="648">
        <f t="shared" si="787"/>
        <v>29.744091318502658</v>
      </c>
      <c r="O447" s="648">
        <f t="shared" si="787"/>
        <v>30.338973144872757</v>
      </c>
      <c r="P447" s="648">
        <f t="shared" si="787"/>
        <v>30.945752607770196</v>
      </c>
      <c r="Q447" s="648">
        <f t="shared" si="787"/>
        <v>31.564667659925604</v>
      </c>
      <c r="R447" s="648">
        <f t="shared" si="787"/>
        <v>32.195961013124077</v>
      </c>
      <c r="S447" s="648">
        <f t="shared" si="787"/>
        <v>32.839880233386609</v>
      </c>
      <c r="T447" s="648">
        <f t="shared" si="787"/>
        <v>33.496677838054318</v>
      </c>
      <c r="U447" s="648">
        <f t="shared" si="787"/>
        <v>34.166611394815419</v>
      </c>
      <c r="V447" s="648">
        <f t="shared" si="787"/>
        <v>34.849943622711706</v>
      </c>
      <c r="W447" s="648">
        <f t="shared" si="787"/>
        <v>35.546942495165936</v>
      </c>
      <c r="X447" s="648">
        <f t="shared" si="787"/>
        <v>36.257881345069286</v>
      </c>
      <c r="Y447" s="648">
        <f t="shared" si="787"/>
        <v>36.983038971970686</v>
      </c>
      <c r="Z447" s="648">
        <f t="shared" si="787"/>
        <v>37.72269975141004</v>
      </c>
      <c r="AA447" s="648">
        <f t="shared" si="787"/>
        <v>38.477153746438255</v>
      </c>
      <c r="AB447" s="648">
        <f t="shared" si="787"/>
        <v>39.246696821367031</v>
      </c>
      <c r="AC447" s="648">
        <f t="shared" si="787"/>
        <v>40.031630757794346</v>
      </c>
      <c r="AD447" s="648">
        <f t="shared" si="787"/>
        <v>40.832263372950273</v>
      </c>
      <c r="AE447" s="648">
        <f t="shared" si="787"/>
        <v>41.648908640409303</v>
      </c>
      <c r="AF447" s="648">
        <f t="shared" si="787"/>
        <v>42.481886813217429</v>
      </c>
      <c r="AG447" s="648">
        <f t="shared" si="787"/>
        <v>43.331524549481777</v>
      </c>
      <c r="AH447" s="648">
        <f t="shared" si="787"/>
        <v>44.198155040471406</v>
      </c>
      <c r="AI447" s="648">
        <f t="shared" si="787"/>
        <v>45.082118141280908</v>
      </c>
      <c r="AJ447" s="648">
        <f t="shared" si="787"/>
        <v>45.983760504106463</v>
      </c>
    </row>
    <row r="448" spans="1:36" hidden="1" x14ac:dyDescent="0.25">
      <c r="A448" t="s">
        <v>424</v>
      </c>
      <c r="E448" t="s">
        <v>177</v>
      </c>
      <c r="H448" s="575" t="s">
        <v>676</v>
      </c>
      <c r="I448" s="576" t="str">
        <f t="shared" si="759"/>
        <v>VND/phôi</v>
      </c>
      <c r="K448" s="584">
        <f>SUM(K449:K450)</f>
        <v>0</v>
      </c>
      <c r="L448" s="584">
        <f t="shared" ref="L448" si="788">SUM(L449:L450)</f>
        <v>3.0630387096774192</v>
      </c>
      <c r="M448" s="584">
        <f t="shared" ref="M448" si="789">SUM(M449:M450)</f>
        <v>3.0630387096774196</v>
      </c>
      <c r="N448" s="584">
        <f t="shared" ref="N448" si="790">SUM(N449:N450)</f>
        <v>3.2161906451612912</v>
      </c>
      <c r="O448" s="584">
        <f t="shared" ref="O448" si="791">SUM(O449:O450)</f>
        <v>3.377000177419355</v>
      </c>
      <c r="P448" s="584">
        <f t="shared" ref="P448" si="792">SUM(P449:P450)</f>
        <v>3.5458501862903229</v>
      </c>
      <c r="Q448" s="584">
        <f t="shared" ref="Q448" si="793">SUM(Q449:Q450)</f>
        <v>3.7231426956048392</v>
      </c>
      <c r="R448" s="584">
        <f t="shared" ref="R448" si="794">SUM(R449:R450)</f>
        <v>3.9092998303850814</v>
      </c>
      <c r="S448" s="584">
        <f t="shared" ref="S448" si="795">SUM(S449:S450)</f>
        <v>4.1047648219043342</v>
      </c>
      <c r="T448" s="584">
        <f t="shared" ref="T448" si="796">SUM(T449:T450)</f>
        <v>4.3100030629995523</v>
      </c>
      <c r="U448" s="584">
        <f t="shared" ref="U448" si="797">SUM(U449:U450)</f>
        <v>4.525503216149529</v>
      </c>
      <c r="V448" s="584">
        <f t="shared" ref="V448" si="798">SUM(V449:V450)</f>
        <v>4.7517783769570059</v>
      </c>
      <c r="W448" s="584">
        <f t="shared" ref="W448" si="799">SUM(W449:W450)</f>
        <v>4.9893672958048558</v>
      </c>
      <c r="X448" s="584">
        <f t="shared" ref="X448" si="800">SUM(X449:X450)</f>
        <v>5.2388356605950994</v>
      </c>
      <c r="Y448" s="584">
        <f t="shared" ref="Y448" si="801">SUM(Y449:Y450)</f>
        <v>5.5007774436248544</v>
      </c>
      <c r="Z448" s="584">
        <f t="shared" ref="Z448" si="802">SUM(Z449:Z450)</f>
        <v>5.7758163158060976</v>
      </c>
      <c r="AA448" s="584">
        <f t="shared" ref="AA448" si="803">SUM(AA449:AA450)</f>
        <v>6.0646071315964001</v>
      </c>
      <c r="AB448" s="584">
        <f t="shared" ref="AB448" si="804">SUM(AB449:AB450)</f>
        <v>6.3678374881762236</v>
      </c>
      <c r="AC448" s="584">
        <f t="shared" ref="AC448" si="805">SUM(AC449:AC450)</f>
        <v>6.6862293625850331</v>
      </c>
      <c r="AD448" s="584">
        <f t="shared" ref="AD448" si="806">SUM(AD449:AD450)</f>
        <v>7.0205408307142863</v>
      </c>
      <c r="AE448" s="584">
        <f t="shared" ref="AE448" si="807">SUM(AE449:AE450)</f>
        <v>7.37156787225</v>
      </c>
      <c r="AF448" s="584">
        <f t="shared" ref="AF448" si="808">SUM(AF449:AF450)</f>
        <v>7.7401462658625002</v>
      </c>
      <c r="AG448" s="584">
        <f t="shared" ref="AG448" si="809">SUM(AG449:AG450)</f>
        <v>8.1271535791556264</v>
      </c>
      <c r="AH448" s="584">
        <f t="shared" ref="AH448" si="810">SUM(AH449:AH450)</f>
        <v>8.5335112581134069</v>
      </c>
      <c r="AI448" s="584">
        <f t="shared" ref="AI448" si="811">SUM(AI449:AI450)</f>
        <v>8.9601868210190769</v>
      </c>
      <c r="AJ448" s="584">
        <f t="shared" ref="AJ448" si="812">SUM(AJ449:AJ450)</f>
        <v>9.4081961620700323</v>
      </c>
    </row>
    <row r="449" spans="1:36" s="299" customFormat="1" hidden="1" x14ac:dyDescent="0.25">
      <c r="A449" s="299" t="s">
        <v>424</v>
      </c>
      <c r="H449" s="577" t="s">
        <v>673</v>
      </c>
      <c r="I449" s="578" t="str">
        <f t="shared" si="759"/>
        <v>VND/phôi</v>
      </c>
      <c r="K449" s="582"/>
      <c r="L449" s="582">
        <f>-IF($H$9="USD",L379/L354/$H$10*10^3,L379/L354/$H$10)</f>
        <v>3.0630387096774192</v>
      </c>
      <c r="M449" s="582">
        <f t="shared" ref="M449:AJ449" si="813">-IF($H$9="USD",M379/M354/$H$10*10^3,M379/M354/$H$10)</f>
        <v>3.0630387096774196</v>
      </c>
      <c r="N449" s="582">
        <f t="shared" si="813"/>
        <v>3.2161906451612912</v>
      </c>
      <c r="O449" s="582">
        <f t="shared" si="813"/>
        <v>3.377000177419355</v>
      </c>
      <c r="P449" s="582">
        <f t="shared" si="813"/>
        <v>3.5458501862903229</v>
      </c>
      <c r="Q449" s="582">
        <f t="shared" si="813"/>
        <v>3.7231426956048392</v>
      </c>
      <c r="R449" s="582">
        <f t="shared" si="813"/>
        <v>3.9092998303850814</v>
      </c>
      <c r="S449" s="582">
        <f t="shared" si="813"/>
        <v>4.1047648219043342</v>
      </c>
      <c r="T449" s="582">
        <f t="shared" si="813"/>
        <v>4.3100030629995523</v>
      </c>
      <c r="U449" s="582">
        <f t="shared" si="813"/>
        <v>4.525503216149529</v>
      </c>
      <c r="V449" s="582">
        <f t="shared" si="813"/>
        <v>4.7517783769570059</v>
      </c>
      <c r="W449" s="582">
        <f t="shared" si="813"/>
        <v>4.9893672958048558</v>
      </c>
      <c r="X449" s="582">
        <f t="shared" si="813"/>
        <v>5.2388356605950994</v>
      </c>
      <c r="Y449" s="582">
        <f t="shared" si="813"/>
        <v>5.5007774436248544</v>
      </c>
      <c r="Z449" s="582">
        <f t="shared" si="813"/>
        <v>5.7758163158060976</v>
      </c>
      <c r="AA449" s="582">
        <f t="shared" si="813"/>
        <v>6.0646071315964001</v>
      </c>
      <c r="AB449" s="582">
        <f t="shared" si="813"/>
        <v>6.3678374881762236</v>
      </c>
      <c r="AC449" s="582">
        <f t="shared" si="813"/>
        <v>6.6862293625850331</v>
      </c>
      <c r="AD449" s="582">
        <f t="shared" si="813"/>
        <v>7.0205408307142863</v>
      </c>
      <c r="AE449" s="582">
        <f t="shared" si="813"/>
        <v>7.37156787225</v>
      </c>
      <c r="AF449" s="582">
        <f t="shared" si="813"/>
        <v>7.7401462658625002</v>
      </c>
      <c r="AG449" s="582">
        <f t="shared" si="813"/>
        <v>8.1271535791556264</v>
      </c>
      <c r="AH449" s="582">
        <f t="shared" si="813"/>
        <v>8.5335112581134069</v>
      </c>
      <c r="AI449" s="582">
        <f t="shared" si="813"/>
        <v>8.9601868210190769</v>
      </c>
      <c r="AJ449" s="582">
        <f t="shared" si="813"/>
        <v>9.4081961620700323</v>
      </c>
    </row>
    <row r="450" spans="1:36" s="299" customFormat="1" hidden="1" x14ac:dyDescent="0.25">
      <c r="A450" s="299" t="s">
        <v>424</v>
      </c>
      <c r="H450" s="577" t="s">
        <v>674</v>
      </c>
      <c r="I450" s="578" t="str">
        <f t="shared" si="759"/>
        <v>VND/phôi</v>
      </c>
      <c r="K450" s="582"/>
      <c r="L450" s="582">
        <f>-IF($H$9="USD",L380/L354/$H$10*10^3,L380/L354/$H$10)</f>
        <v>0</v>
      </c>
      <c r="M450" s="582">
        <f t="shared" ref="M450:AJ450" si="814">-IF($H$9="USD",M380/M354/$H$10*10^3,M380/M354/$H$10)</f>
        <v>0</v>
      </c>
      <c r="N450" s="582">
        <f t="shared" si="814"/>
        <v>0</v>
      </c>
      <c r="O450" s="582">
        <f t="shared" si="814"/>
        <v>0</v>
      </c>
      <c r="P450" s="582">
        <f t="shared" si="814"/>
        <v>0</v>
      </c>
      <c r="Q450" s="582">
        <f t="shared" si="814"/>
        <v>0</v>
      </c>
      <c r="R450" s="582">
        <f t="shared" si="814"/>
        <v>0</v>
      </c>
      <c r="S450" s="582">
        <f t="shared" si="814"/>
        <v>0</v>
      </c>
      <c r="T450" s="582">
        <f t="shared" si="814"/>
        <v>0</v>
      </c>
      <c r="U450" s="582">
        <f t="shared" si="814"/>
        <v>0</v>
      </c>
      <c r="V450" s="582">
        <f t="shared" si="814"/>
        <v>0</v>
      </c>
      <c r="W450" s="582">
        <f t="shared" si="814"/>
        <v>0</v>
      </c>
      <c r="X450" s="582">
        <f t="shared" si="814"/>
        <v>0</v>
      </c>
      <c r="Y450" s="582">
        <f t="shared" si="814"/>
        <v>0</v>
      </c>
      <c r="Z450" s="582">
        <f t="shared" si="814"/>
        <v>0</v>
      </c>
      <c r="AA450" s="582">
        <f t="shared" si="814"/>
        <v>0</v>
      </c>
      <c r="AB450" s="582">
        <f t="shared" si="814"/>
        <v>0</v>
      </c>
      <c r="AC450" s="582">
        <f t="shared" si="814"/>
        <v>0</v>
      </c>
      <c r="AD450" s="582">
        <f t="shared" si="814"/>
        <v>0</v>
      </c>
      <c r="AE450" s="582">
        <f t="shared" si="814"/>
        <v>0</v>
      </c>
      <c r="AF450" s="582">
        <f t="shared" si="814"/>
        <v>0</v>
      </c>
      <c r="AG450" s="582">
        <f t="shared" si="814"/>
        <v>0</v>
      </c>
      <c r="AH450" s="582">
        <f t="shared" si="814"/>
        <v>0</v>
      </c>
      <c r="AI450" s="582">
        <f t="shared" si="814"/>
        <v>0</v>
      </c>
      <c r="AJ450" s="582">
        <f t="shared" si="814"/>
        <v>0</v>
      </c>
    </row>
    <row r="451" spans="1:36" hidden="1" x14ac:dyDescent="0.25">
      <c r="A451" t="s">
        <v>424</v>
      </c>
      <c r="H451" s="575" t="s">
        <v>180</v>
      </c>
      <c r="I451" s="576" t="str">
        <f t="shared" si="759"/>
        <v>VND/phôi</v>
      </c>
      <c r="K451" s="584">
        <f>SUM(K452:K454)</f>
        <v>0</v>
      </c>
      <c r="L451" s="584">
        <f>SUM(L452:L454)</f>
        <v>42.776917412389217</v>
      </c>
      <c r="M451" s="584">
        <f t="shared" ref="M451:AJ451" si="815">SUM(M452:M454)</f>
        <v>39.666523190109039</v>
      </c>
      <c r="N451" s="584">
        <f t="shared" si="815"/>
        <v>39.030864307561984</v>
      </c>
      <c r="O451" s="584">
        <f t="shared" si="815"/>
        <v>40.812857930933205</v>
      </c>
      <c r="P451" s="584">
        <f t="shared" si="815"/>
        <v>42.683951235472996</v>
      </c>
      <c r="Q451" s="584">
        <f t="shared" si="815"/>
        <v>44.648599205239762</v>
      </c>
      <c r="R451" s="584">
        <f t="shared" si="815"/>
        <v>46.71147957349487</v>
      </c>
      <c r="S451" s="584">
        <f t="shared" si="815"/>
        <v>48.877503960162734</v>
      </c>
      <c r="T451" s="584">
        <f t="shared" si="815"/>
        <v>51.151829566164011</v>
      </c>
      <c r="U451" s="584">
        <f t="shared" si="815"/>
        <v>53.539871452465327</v>
      </c>
      <c r="V451" s="584">
        <f t="shared" si="815"/>
        <v>56.047315433081721</v>
      </c>
      <c r="W451" s="584">
        <f t="shared" si="815"/>
        <v>58.680131612728935</v>
      </c>
      <c r="X451" s="584">
        <f t="shared" si="815"/>
        <v>58.72902114238719</v>
      </c>
      <c r="Y451" s="584">
        <f t="shared" si="815"/>
        <v>61.631700980448223</v>
      </c>
      <c r="Z451" s="584">
        <f t="shared" si="815"/>
        <v>64.679514810412343</v>
      </c>
      <c r="AA451" s="584">
        <f t="shared" si="815"/>
        <v>67.879719331874639</v>
      </c>
      <c r="AB451" s="584">
        <f t="shared" si="815"/>
        <v>71.239934079410077</v>
      </c>
      <c r="AC451" s="584">
        <f t="shared" si="815"/>
        <v>74.768159564322275</v>
      </c>
      <c r="AD451" s="584">
        <f t="shared" si="815"/>
        <v>78.472796323480082</v>
      </c>
      <c r="AE451" s="584">
        <f t="shared" si="815"/>
        <v>82.362664920595776</v>
      </c>
      <c r="AF451" s="584">
        <f t="shared" si="815"/>
        <v>86.447026947567252</v>
      </c>
      <c r="AG451" s="584">
        <f t="shared" si="815"/>
        <v>90.735607075887316</v>
      </c>
      <c r="AH451" s="584">
        <f t="shared" si="815"/>
        <v>95.238616210623363</v>
      </c>
      <c r="AI451" s="584">
        <f t="shared" si="815"/>
        <v>99.966775802096208</v>
      </c>
      <c r="AJ451" s="584">
        <f t="shared" si="815"/>
        <v>104.93134337314272</v>
      </c>
    </row>
    <row r="452" spans="1:36" s="299" customFormat="1" hidden="1" x14ac:dyDescent="0.25">
      <c r="A452" s="299" t="s">
        <v>424</v>
      </c>
      <c r="E452" s="299" t="s">
        <v>174</v>
      </c>
      <c r="H452" s="577" t="s">
        <v>73</v>
      </c>
      <c r="I452" s="578" t="str">
        <f t="shared" si="759"/>
        <v>VND/phôi</v>
      </c>
      <c r="K452" s="582"/>
      <c r="L452" s="582">
        <f t="shared" ref="L452:AJ452" si="816">-IF($H$9="USD",L382/L354/$H$10*10^3,L382/L354/$H$10)</f>
        <v>25.70564516129032</v>
      </c>
      <c r="M452" s="582">
        <f t="shared" si="816"/>
        <v>25.705645161290317</v>
      </c>
      <c r="N452" s="582">
        <f t="shared" si="816"/>
        <v>26.990927419354836</v>
      </c>
      <c r="O452" s="582">
        <f t="shared" si="816"/>
        <v>28.34047379032258</v>
      </c>
      <c r="P452" s="582">
        <f t="shared" si="816"/>
        <v>29.757497479838712</v>
      </c>
      <c r="Q452" s="582">
        <f t="shared" si="816"/>
        <v>31.245372353830643</v>
      </c>
      <c r="R452" s="582">
        <f t="shared" si="816"/>
        <v>32.807640971522176</v>
      </c>
      <c r="S452" s="582">
        <f t="shared" si="816"/>
        <v>34.448023020098283</v>
      </c>
      <c r="T452" s="582">
        <f t="shared" si="816"/>
        <v>36.1704241711032</v>
      </c>
      <c r="U452" s="582">
        <f t="shared" si="816"/>
        <v>37.978945379658356</v>
      </c>
      <c r="V452" s="582">
        <f t="shared" si="816"/>
        <v>39.877892648641286</v>
      </c>
      <c r="W452" s="582">
        <f t="shared" si="816"/>
        <v>41.871787281073345</v>
      </c>
      <c r="X452" s="582">
        <f t="shared" si="816"/>
        <v>43.965376645127009</v>
      </c>
      <c r="Y452" s="582">
        <f t="shared" si="816"/>
        <v>46.163645477383348</v>
      </c>
      <c r="Z452" s="582">
        <f t="shared" si="816"/>
        <v>48.471827751252533</v>
      </c>
      <c r="AA452" s="582">
        <f t="shared" si="816"/>
        <v>50.89541913881515</v>
      </c>
      <c r="AB452" s="582">
        <f t="shared" si="816"/>
        <v>53.440190095755916</v>
      </c>
      <c r="AC452" s="582">
        <f t="shared" si="816"/>
        <v>56.112199600543711</v>
      </c>
      <c r="AD452" s="582">
        <f t="shared" si="816"/>
        <v>58.917809580570911</v>
      </c>
      <c r="AE452" s="582">
        <f t="shared" si="816"/>
        <v>61.863700059599445</v>
      </c>
      <c r="AF452" s="582">
        <f t="shared" si="816"/>
        <v>64.956885062579431</v>
      </c>
      <c r="AG452" s="582">
        <f t="shared" si="816"/>
        <v>68.204729315708391</v>
      </c>
      <c r="AH452" s="582">
        <f t="shared" si="816"/>
        <v>71.614965781493808</v>
      </c>
      <c r="AI452" s="582">
        <f t="shared" si="816"/>
        <v>75.195714070568499</v>
      </c>
      <c r="AJ452" s="582">
        <f t="shared" si="816"/>
        <v>78.955499774096921</v>
      </c>
    </row>
    <row r="453" spans="1:36" s="299" customFormat="1" hidden="1" x14ac:dyDescent="0.25">
      <c r="A453" s="299" t="s">
        <v>424</v>
      </c>
      <c r="E453" s="299" t="s">
        <v>306</v>
      </c>
      <c r="H453" s="577" t="s">
        <v>192</v>
      </c>
      <c r="I453" s="578" t="str">
        <f t="shared" si="759"/>
        <v>VND/phôi</v>
      </c>
      <c r="K453" s="582"/>
      <c r="L453" s="582">
        <f t="shared" ref="L453:AJ453" si="817">-IF($H$9="USD",L383/L354/$H$10*10^3,L383/L354/$H$10)</f>
        <v>4.958333333333333</v>
      </c>
      <c r="M453" s="582">
        <f t="shared" si="817"/>
        <v>4.958333333333333</v>
      </c>
      <c r="N453" s="582">
        <f t="shared" si="817"/>
        <v>5.2062499999999998</v>
      </c>
      <c r="O453" s="582">
        <f t="shared" si="817"/>
        <v>5.4665624999999993</v>
      </c>
      <c r="P453" s="582">
        <f t="shared" si="817"/>
        <v>5.7398906250000001</v>
      </c>
      <c r="Q453" s="582">
        <f t="shared" si="817"/>
        <v>6.0268851562500005</v>
      </c>
      <c r="R453" s="582">
        <f t="shared" si="817"/>
        <v>6.3282294140625002</v>
      </c>
      <c r="S453" s="582">
        <f t="shared" si="817"/>
        <v>6.6446408847656242</v>
      </c>
      <c r="T453" s="582">
        <f t="shared" si="817"/>
        <v>6.9768729290039069</v>
      </c>
      <c r="U453" s="582">
        <f t="shared" si="817"/>
        <v>7.3257165754541012</v>
      </c>
      <c r="V453" s="582">
        <f t="shared" si="817"/>
        <v>7.6920024042268071</v>
      </c>
      <c r="W453" s="582">
        <f t="shared" si="817"/>
        <v>8.0766025244381474</v>
      </c>
      <c r="X453" s="582">
        <f t="shared" si="817"/>
        <v>8.480432650660056</v>
      </c>
      <c r="Y453" s="582">
        <f t="shared" si="817"/>
        <v>8.9044542831930578</v>
      </c>
      <c r="Z453" s="582">
        <f t="shared" si="817"/>
        <v>9.3496769973527112</v>
      </c>
      <c r="AA453" s="582">
        <f t="shared" si="817"/>
        <v>9.8171608472203449</v>
      </c>
      <c r="AB453" s="582">
        <f t="shared" si="817"/>
        <v>10.308018889581366</v>
      </c>
      <c r="AC453" s="582">
        <f t="shared" si="817"/>
        <v>10.823419834060434</v>
      </c>
      <c r="AD453" s="582">
        <f t="shared" si="817"/>
        <v>11.364590825763454</v>
      </c>
      <c r="AE453" s="582">
        <f t="shared" si="817"/>
        <v>11.932820367051628</v>
      </c>
      <c r="AF453" s="582">
        <f t="shared" si="817"/>
        <v>12.529461385404209</v>
      </c>
      <c r="AG453" s="582">
        <f t="shared" si="817"/>
        <v>13.155934454674419</v>
      </c>
      <c r="AH453" s="582">
        <f t="shared" si="817"/>
        <v>13.81373117740814</v>
      </c>
      <c r="AI453" s="582">
        <f t="shared" si="817"/>
        <v>14.504417736278546</v>
      </c>
      <c r="AJ453" s="582">
        <f t="shared" si="817"/>
        <v>15.229638623092477</v>
      </c>
    </row>
    <row r="454" spans="1:36" s="299" customFormat="1" hidden="1" x14ac:dyDescent="0.25">
      <c r="A454" s="299" t="s">
        <v>424</v>
      </c>
      <c r="E454" s="299" t="s">
        <v>172</v>
      </c>
      <c r="H454" s="577" t="s">
        <v>175</v>
      </c>
      <c r="I454" s="578" t="str">
        <f t="shared" si="759"/>
        <v>VND/phôi</v>
      </c>
      <c r="K454" s="582"/>
      <c r="L454" s="582">
        <f t="shared" ref="L454:AJ454" si="818">-IF($H$9="USD",L384/L354/$H$10*10^3,L384/L354/$H$10)</f>
        <v>12.112938917765565</v>
      </c>
      <c r="M454" s="582">
        <f t="shared" si="818"/>
        <v>9.0025446954853905</v>
      </c>
      <c r="N454" s="582">
        <f t="shared" si="818"/>
        <v>6.8336868882071444</v>
      </c>
      <c r="O454" s="582">
        <f t="shared" si="818"/>
        <v>7.0058216406106242</v>
      </c>
      <c r="P454" s="582">
        <f t="shared" si="818"/>
        <v>7.1865631306342808</v>
      </c>
      <c r="Q454" s="582">
        <f t="shared" si="818"/>
        <v>7.3763416951591179</v>
      </c>
      <c r="R454" s="582">
        <f t="shared" si="818"/>
        <v>7.5756091879101994</v>
      </c>
      <c r="S454" s="582">
        <f t="shared" si="818"/>
        <v>7.7848400552988322</v>
      </c>
      <c r="T454" s="582">
        <f t="shared" si="818"/>
        <v>8.0045324660568991</v>
      </c>
      <c r="U454" s="582">
        <f t="shared" si="818"/>
        <v>8.2352094973528676</v>
      </c>
      <c r="V454" s="582">
        <f t="shared" si="818"/>
        <v>8.4774203802136334</v>
      </c>
      <c r="W454" s="582">
        <f t="shared" si="818"/>
        <v>8.7317418072174409</v>
      </c>
      <c r="X454" s="582">
        <f t="shared" si="818"/>
        <v>6.2832118466001274</v>
      </c>
      <c r="Y454" s="582">
        <f t="shared" si="818"/>
        <v>6.5636012198718223</v>
      </c>
      <c r="Z454" s="582">
        <f t="shared" si="818"/>
        <v>6.8580100618071045</v>
      </c>
      <c r="AA454" s="582">
        <f t="shared" si="818"/>
        <v>7.1671393458391472</v>
      </c>
      <c r="AB454" s="582">
        <f t="shared" si="818"/>
        <v>7.4917250940727973</v>
      </c>
      <c r="AC454" s="582">
        <f t="shared" si="818"/>
        <v>7.832540129718125</v>
      </c>
      <c r="AD454" s="582">
        <f t="shared" si="818"/>
        <v>8.1903959171457235</v>
      </c>
      <c r="AE454" s="582">
        <f t="shared" si="818"/>
        <v>8.5661444939446998</v>
      </c>
      <c r="AF454" s="582">
        <f t="shared" si="818"/>
        <v>8.9606804995836224</v>
      </c>
      <c r="AG454" s="582">
        <f t="shared" si="818"/>
        <v>9.3749433055044946</v>
      </c>
      <c r="AH454" s="582">
        <f t="shared" si="818"/>
        <v>9.8099192517214089</v>
      </c>
      <c r="AI454" s="582">
        <f t="shared" si="818"/>
        <v>10.266643995249167</v>
      </c>
      <c r="AJ454" s="582">
        <f t="shared" si="818"/>
        <v>10.746204975953315</v>
      </c>
    </row>
    <row r="455" spans="1:36" hidden="1" x14ac:dyDescent="0.25">
      <c r="A455" t="s">
        <v>424</v>
      </c>
      <c r="H455" s="289"/>
      <c r="I455" s="290"/>
      <c r="K455" s="296"/>
      <c r="L455" s="297"/>
      <c r="M455" s="296"/>
      <c r="N455" s="296"/>
      <c r="O455" s="296"/>
      <c r="P455" s="296"/>
      <c r="Q455" s="296"/>
      <c r="R455" s="296"/>
      <c r="S455" s="296"/>
      <c r="T455" s="296"/>
      <c r="U455" s="296"/>
      <c r="V455" s="296"/>
      <c r="W455" s="296"/>
      <c r="X455" s="296"/>
      <c r="Y455" s="296"/>
      <c r="Z455" s="296"/>
      <c r="AA455" s="296"/>
      <c r="AB455" s="296"/>
      <c r="AC455" s="296"/>
      <c r="AD455" s="296"/>
      <c r="AE455" s="296"/>
      <c r="AF455" s="296"/>
      <c r="AG455" s="296"/>
      <c r="AH455" s="296"/>
      <c r="AI455" s="296"/>
      <c r="AJ455" s="296"/>
    </row>
    <row r="456" spans="1:36" s="16" customFormat="1" hidden="1" x14ac:dyDescent="0.25">
      <c r="A456" s="16" t="s">
        <v>424</v>
      </c>
      <c r="H456" s="291" t="s">
        <v>464</v>
      </c>
      <c r="I456" s="292" t="str">
        <f t="shared" si="759"/>
        <v>VND/phôi</v>
      </c>
      <c r="K456" s="298">
        <f>K434+K444</f>
        <v>0</v>
      </c>
      <c r="L456" s="298">
        <f t="shared" ref="L456:AJ456" si="819">L434+L444</f>
        <v>734.58336259542887</v>
      </c>
      <c r="M456" s="298">
        <f t="shared" si="819"/>
        <v>653.7131128161443</v>
      </c>
      <c r="N456" s="298">
        <f t="shared" si="819"/>
        <v>605.80764000287081</v>
      </c>
      <c r="O456" s="298">
        <f t="shared" si="819"/>
        <v>618.94226490290578</v>
      </c>
      <c r="P456" s="298">
        <f t="shared" si="819"/>
        <v>632.47867169378401</v>
      </c>
      <c r="Q456" s="298">
        <f t="shared" si="819"/>
        <v>646.43185048296436</v>
      </c>
      <c r="R456" s="298">
        <f t="shared" si="819"/>
        <v>660.8174389035371</v>
      </c>
      <c r="S456" s="298">
        <f t="shared" si="819"/>
        <v>675.65175245091064</v>
      </c>
      <c r="T456" s="298">
        <f t="shared" si="819"/>
        <v>690.95181629554031</v>
      </c>
      <c r="U456" s="298">
        <f t="shared" si="819"/>
        <v>706.73539864468648</v>
      </c>
      <c r="V456" s="298">
        <f t="shared" si="819"/>
        <v>723.02104572982137</v>
      </c>
      <c r="W456" s="298">
        <f t="shared" si="819"/>
        <v>739.82811850011433</v>
      </c>
      <c r="X456" s="298">
        <f t="shared" si="819"/>
        <v>686.57207717318738</v>
      </c>
      <c r="Y456" s="298">
        <f t="shared" si="819"/>
        <v>704.48353733130125</v>
      </c>
      <c r="Z456" s="298">
        <f t="shared" si="819"/>
        <v>722.97978865721984</v>
      </c>
      <c r="AA456" s="298">
        <f t="shared" si="819"/>
        <v>742.08385507253195</v>
      </c>
      <c r="AB456" s="298">
        <f t="shared" si="819"/>
        <v>761.81978738216878</v>
      </c>
      <c r="AC456" s="298">
        <f t="shared" si="819"/>
        <v>782.21271213231807</v>
      </c>
      <c r="AD456" s="298">
        <f t="shared" si="819"/>
        <v>803.28888286150629</v>
      </c>
      <c r="AE456" s="298">
        <f t="shared" si="819"/>
        <v>825.07573386351555</v>
      </c>
      <c r="AF456" s="298">
        <f t="shared" si="819"/>
        <v>847.60193658671403</v>
      </c>
      <c r="AG456" s="298">
        <f t="shared" si="819"/>
        <v>870.89745880058342</v>
      </c>
      <c r="AH456" s="298">
        <f t="shared" si="819"/>
        <v>894.99362666674722</v>
      </c>
      <c r="AI456" s="298">
        <f t="shared" si="819"/>
        <v>919.92318985865222</v>
      </c>
      <c r="AJ456" s="298">
        <f t="shared" si="819"/>
        <v>945.72038988123393</v>
      </c>
    </row>
    <row r="457" spans="1:36" hidden="1" x14ac:dyDescent="0.25">
      <c r="A457" t="s">
        <v>424</v>
      </c>
      <c r="H457" s="289"/>
      <c r="I457" s="290"/>
      <c r="K457" s="296"/>
      <c r="L457" s="296"/>
      <c r="M457" s="296"/>
      <c r="N457" s="296"/>
      <c r="O457" s="296"/>
      <c r="P457" s="296"/>
      <c r="Q457" s="296"/>
      <c r="R457" s="296"/>
      <c r="S457" s="296"/>
      <c r="T457" s="296"/>
      <c r="U457" s="296"/>
      <c r="V457" s="296"/>
      <c r="W457" s="296"/>
      <c r="X457" s="296"/>
      <c r="Y457" s="296"/>
      <c r="Z457" s="296"/>
      <c r="AA457" s="296"/>
      <c r="AB457" s="296"/>
      <c r="AC457" s="296"/>
      <c r="AD457" s="296"/>
      <c r="AE457" s="296"/>
      <c r="AF457" s="296"/>
      <c r="AG457" s="296"/>
      <c r="AH457" s="296"/>
      <c r="AI457" s="296"/>
      <c r="AJ457" s="296"/>
    </row>
    <row r="458" spans="1:36" hidden="1" x14ac:dyDescent="0.25">
      <c r="A458" t="s">
        <v>424</v>
      </c>
      <c r="E458" t="s">
        <v>172</v>
      </c>
      <c r="H458" s="594" t="s">
        <v>166</v>
      </c>
      <c r="I458" s="595" t="str">
        <f t="shared" si="759"/>
        <v>VND/phôi</v>
      </c>
      <c r="K458" s="605"/>
      <c r="L458" s="605">
        <f>-IF($H$9="USD",L388/L354/$H$10*10^3,L388/L354/$H$10)</f>
        <v>13.999999999999998</v>
      </c>
      <c r="M458" s="605">
        <f t="shared" ref="M458:AJ458" si="820">-IF($H$9="USD",M388/M354/$H$10*10^3,M388/M354/$H$10)</f>
        <v>14</v>
      </c>
      <c r="N458" s="605">
        <f t="shared" si="820"/>
        <v>14.7</v>
      </c>
      <c r="O458" s="605">
        <f t="shared" si="820"/>
        <v>15.435</v>
      </c>
      <c r="P458" s="605">
        <f t="shared" si="820"/>
        <v>16.206750000000003</v>
      </c>
      <c r="Q458" s="605">
        <f t="shared" si="820"/>
        <v>17.017087499999999</v>
      </c>
      <c r="R458" s="605">
        <f t="shared" si="820"/>
        <v>17.867941875000003</v>
      </c>
      <c r="S458" s="605">
        <f t="shared" si="820"/>
        <v>18.761338968749996</v>
      </c>
      <c r="T458" s="605">
        <f t="shared" si="820"/>
        <v>19.699405917187505</v>
      </c>
      <c r="U458" s="605">
        <f t="shared" si="820"/>
        <v>20.684376213046875</v>
      </c>
      <c r="V458" s="605">
        <f t="shared" si="820"/>
        <v>21.718595023699219</v>
      </c>
      <c r="W458" s="605">
        <f t="shared" si="820"/>
        <v>22.804524774884179</v>
      </c>
      <c r="X458" s="605">
        <f t="shared" si="820"/>
        <v>23.944751013628391</v>
      </c>
      <c r="Y458" s="605">
        <f t="shared" si="820"/>
        <v>25.141988564309809</v>
      </c>
      <c r="Z458" s="605">
        <f t="shared" si="820"/>
        <v>26.399087992525303</v>
      </c>
      <c r="AA458" s="605">
        <f t="shared" si="820"/>
        <v>27.719042392151561</v>
      </c>
      <c r="AB458" s="605">
        <f t="shared" si="820"/>
        <v>29.104994511759148</v>
      </c>
      <c r="AC458" s="605">
        <f t="shared" si="820"/>
        <v>30.560244237347103</v>
      </c>
      <c r="AD458" s="605">
        <f t="shared" si="820"/>
        <v>32.088256449214462</v>
      </c>
      <c r="AE458" s="605">
        <f t="shared" si="820"/>
        <v>33.692669271675186</v>
      </c>
      <c r="AF458" s="605">
        <f t="shared" si="820"/>
        <v>35.377302735258944</v>
      </c>
      <c r="AG458" s="605">
        <f t="shared" si="820"/>
        <v>37.146167872021891</v>
      </c>
      <c r="AH458" s="605">
        <f t="shared" si="820"/>
        <v>39.003476265622986</v>
      </c>
      <c r="AI458" s="605">
        <f t="shared" si="820"/>
        <v>40.953650078904126</v>
      </c>
      <c r="AJ458" s="605">
        <f t="shared" si="820"/>
        <v>43.001332582849344</v>
      </c>
    </row>
    <row r="459" spans="1:36" hidden="1" x14ac:dyDescent="0.25">
      <c r="A459" t="s">
        <v>424</v>
      </c>
      <c r="E459" t="s">
        <v>171</v>
      </c>
      <c r="H459" s="575" t="s">
        <v>469</v>
      </c>
      <c r="I459" s="576" t="str">
        <f t="shared" si="759"/>
        <v>VND/phôi</v>
      </c>
      <c r="K459" s="585"/>
      <c r="L459" s="585">
        <f t="shared" ref="L459:AJ459" si="821">-IF($H$9="USD",L389/L354/$H$10*10^3,L389/L354/$H$10)</f>
        <v>5.5630833696399931</v>
      </c>
      <c r="M459" s="585">
        <f t="shared" si="821"/>
        <v>5.5630833696399939</v>
      </c>
      <c r="N459" s="585">
        <f t="shared" si="821"/>
        <v>5.8412375381219928</v>
      </c>
      <c r="O459" s="585">
        <f t="shared" si="821"/>
        <v>6.1332994150280928</v>
      </c>
      <c r="P459" s="585">
        <f t="shared" si="821"/>
        <v>6.439964385779497</v>
      </c>
      <c r="Q459" s="585">
        <f t="shared" si="821"/>
        <v>6.7619626050684714</v>
      </c>
      <c r="R459" s="585">
        <f t="shared" si="821"/>
        <v>7.100060735321895</v>
      </c>
      <c r="S459" s="585">
        <f t="shared" si="821"/>
        <v>7.45506377208799</v>
      </c>
      <c r="T459" s="585">
        <f t="shared" si="821"/>
        <v>7.8278169606923909</v>
      </c>
      <c r="U459" s="585">
        <f t="shared" si="821"/>
        <v>8.2192078087270097</v>
      </c>
      <c r="V459" s="585">
        <f t="shared" si="821"/>
        <v>8.6301681991633608</v>
      </c>
      <c r="W459" s="585">
        <f t="shared" si="821"/>
        <v>9.0616766091215286</v>
      </c>
      <c r="X459" s="585">
        <f t="shared" si="821"/>
        <v>9.5147604395776053</v>
      </c>
      <c r="Y459" s="585">
        <f t="shared" si="821"/>
        <v>9.9904984615564842</v>
      </c>
      <c r="Z459" s="585">
        <f t="shared" si="821"/>
        <v>10.490023384634309</v>
      </c>
      <c r="AA459" s="585">
        <f t="shared" si="821"/>
        <v>11.014524553866023</v>
      </c>
      <c r="AB459" s="585">
        <f t="shared" si="821"/>
        <v>11.56525078155933</v>
      </c>
      <c r="AC459" s="585">
        <f t="shared" si="821"/>
        <v>12.143513320637293</v>
      </c>
      <c r="AD459" s="585">
        <f t="shared" si="821"/>
        <v>12.750688986669159</v>
      </c>
      <c r="AE459" s="585">
        <f t="shared" si="821"/>
        <v>13.388223436002619</v>
      </c>
      <c r="AF459" s="585">
        <f t="shared" si="821"/>
        <v>14.057634607802749</v>
      </c>
      <c r="AG459" s="585">
        <f t="shared" si="821"/>
        <v>14.760516338192884</v>
      </c>
      <c r="AH459" s="585">
        <f t="shared" si="821"/>
        <v>15.49854215510253</v>
      </c>
      <c r="AI459" s="585">
        <f t="shared" si="821"/>
        <v>16.273469262857652</v>
      </c>
      <c r="AJ459" s="585">
        <f t="shared" si="821"/>
        <v>17.087142726000543</v>
      </c>
    </row>
    <row r="460" spans="1:36" hidden="1" x14ac:dyDescent="0.25">
      <c r="A460" t="s">
        <v>424</v>
      </c>
      <c r="E460" t="s">
        <v>182</v>
      </c>
      <c r="H460" s="575" t="s">
        <v>468</v>
      </c>
      <c r="I460" s="576" t="str">
        <f t="shared" si="759"/>
        <v>VND/phôi</v>
      </c>
      <c r="K460" s="575"/>
      <c r="L460" s="585">
        <f t="shared" ref="L460:AJ460" si="822">-IF($H$9="USD",L390/L354/$H$10*10^3,L390/L354/$H$10)</f>
        <v>1.8633097020762159</v>
      </c>
      <c r="M460" s="585">
        <f t="shared" si="822"/>
        <v>1.8633097020762155</v>
      </c>
      <c r="N460" s="585">
        <f t="shared" si="822"/>
        <v>1.956475187180027</v>
      </c>
      <c r="O460" s="585">
        <f t="shared" si="822"/>
        <v>2.0542989465390282</v>
      </c>
      <c r="P460" s="585">
        <f t="shared" si="822"/>
        <v>2.1570138938659795</v>
      </c>
      <c r="Q460" s="585">
        <f t="shared" si="822"/>
        <v>2.2648645885592784</v>
      </c>
      <c r="R460" s="585">
        <f t="shared" si="822"/>
        <v>2.3781078179872424</v>
      </c>
      <c r="S460" s="585">
        <f t="shared" si="822"/>
        <v>2.4970132088866044</v>
      </c>
      <c r="T460" s="585">
        <f t="shared" si="822"/>
        <v>2.6218638693309351</v>
      </c>
      <c r="U460" s="585">
        <f t="shared" si="822"/>
        <v>2.7529570627974813</v>
      </c>
      <c r="V460" s="585">
        <f t="shared" si="822"/>
        <v>2.8906049159373555</v>
      </c>
      <c r="W460" s="585">
        <f t="shared" si="822"/>
        <v>3.0351351617342233</v>
      </c>
      <c r="X460" s="585">
        <f t="shared" si="822"/>
        <v>3.1868919198209351</v>
      </c>
      <c r="Y460" s="585">
        <f t="shared" si="822"/>
        <v>3.3462365158119809</v>
      </c>
      <c r="Z460" s="585">
        <f t="shared" si="822"/>
        <v>3.5135483416025814</v>
      </c>
      <c r="AA460" s="585">
        <f t="shared" si="822"/>
        <v>3.6892257586827091</v>
      </c>
      <c r="AB460" s="585">
        <f t="shared" si="822"/>
        <v>3.8736870466168458</v>
      </c>
      <c r="AC460" s="585">
        <f t="shared" si="822"/>
        <v>4.0673713989476878</v>
      </c>
      <c r="AD460" s="585">
        <f t="shared" si="822"/>
        <v>4.2707399688950733</v>
      </c>
      <c r="AE460" s="585">
        <f t="shared" si="822"/>
        <v>4.4842769673398264</v>
      </c>
      <c r="AF460" s="585">
        <f t="shared" si="822"/>
        <v>4.7084908157068179</v>
      </c>
      <c r="AG460" s="585">
        <f t="shared" si="822"/>
        <v>4.9439153564921581</v>
      </c>
      <c r="AH460" s="585">
        <f t="shared" si="822"/>
        <v>5.191111124316766</v>
      </c>
      <c r="AI460" s="585">
        <f t="shared" si="822"/>
        <v>5.4506666805326036</v>
      </c>
      <c r="AJ460" s="585">
        <f t="shared" si="822"/>
        <v>5.723200014559235</v>
      </c>
    </row>
    <row r="461" spans="1:36" hidden="1" x14ac:dyDescent="0.25">
      <c r="A461" t="s">
        <v>424</v>
      </c>
      <c r="E461" t="s">
        <v>182</v>
      </c>
      <c r="H461" s="575" t="s">
        <v>470</v>
      </c>
      <c r="I461" s="576" t="str">
        <f t="shared" si="759"/>
        <v>VND/phôi</v>
      </c>
      <c r="K461" s="575"/>
      <c r="L461" s="585">
        <f t="shared" ref="L461:AJ461" si="823">-IF($H$9="USD",L391/L354/$H$10*10^3,L391/L354/$H$10)</f>
        <v>131.92645076482901</v>
      </c>
      <c r="M461" s="585">
        <f t="shared" si="823"/>
        <v>93.401342006202313</v>
      </c>
      <c r="N461" s="585">
        <f t="shared" si="823"/>
        <v>64.7520705480229</v>
      </c>
      <c r="O461" s="585">
        <f t="shared" si="823"/>
        <v>64.07289218319869</v>
      </c>
      <c r="P461" s="585">
        <f t="shared" si="823"/>
        <v>63.339379549188521</v>
      </c>
      <c r="Q461" s="585">
        <f t="shared" si="823"/>
        <v>62.547185904457557</v>
      </c>
      <c r="R461" s="585">
        <f t="shared" si="823"/>
        <v>61.691616768148116</v>
      </c>
      <c r="S461" s="585">
        <f t="shared" si="823"/>
        <v>60.767602100933907</v>
      </c>
      <c r="T461" s="585">
        <f t="shared" si="823"/>
        <v>59.769666260342561</v>
      </c>
      <c r="U461" s="585">
        <f t="shared" si="823"/>
        <v>58.691895552503915</v>
      </c>
      <c r="V461" s="585">
        <f t="shared" si="823"/>
        <v>57.527903188038181</v>
      </c>
      <c r="W461" s="585">
        <f t="shared" si="823"/>
        <v>56.270791434415187</v>
      </c>
      <c r="X461" s="585">
        <f t="shared" si="823"/>
        <v>54.913110740502347</v>
      </c>
      <c r="Y461" s="585">
        <f t="shared" si="823"/>
        <v>53.446815591076501</v>
      </c>
      <c r="Z461" s="585">
        <f t="shared" si="823"/>
        <v>51.863216829696555</v>
      </c>
      <c r="AA461" s="585">
        <f t="shared" si="823"/>
        <v>50.152930167406225</v>
      </c>
      <c r="AB461" s="585">
        <f t="shared" si="823"/>
        <v>48.305820572132667</v>
      </c>
      <c r="AC461" s="585">
        <f t="shared" si="823"/>
        <v>46.31094220923724</v>
      </c>
      <c r="AD461" s="585">
        <f t="shared" si="823"/>
        <v>44.156473577310166</v>
      </c>
      <c r="AE461" s="585">
        <f t="shared" si="823"/>
        <v>41.829647454828923</v>
      </c>
      <c r="AF461" s="585">
        <f t="shared" si="823"/>
        <v>39.316675242549188</v>
      </c>
      <c r="AG461" s="585">
        <f t="shared" si="823"/>
        <v>36.602665253287078</v>
      </c>
      <c r="AH461" s="585">
        <f t="shared" si="823"/>
        <v>33.67153446488399</v>
      </c>
      <c r="AI461" s="585">
        <f t="shared" si="823"/>
        <v>30.505913213408657</v>
      </c>
      <c r="AJ461" s="585">
        <f t="shared" si="823"/>
        <v>27.087042261815295</v>
      </c>
    </row>
    <row r="462" spans="1:36" hidden="1" x14ac:dyDescent="0.25">
      <c r="A462" t="s">
        <v>424</v>
      </c>
      <c r="H462" s="289"/>
      <c r="I462" s="290"/>
      <c r="K462" s="289"/>
      <c r="L462" s="289"/>
      <c r="M462" s="289"/>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row>
    <row r="463" spans="1:36" s="16" customFormat="1" hidden="1" x14ac:dyDescent="0.25">
      <c r="A463" s="16" t="s">
        <v>424</v>
      </c>
      <c r="H463" s="291" t="s">
        <v>487</v>
      </c>
      <c r="I463" s="292" t="str">
        <f t="shared" si="759"/>
        <v>VND/phôi</v>
      </c>
      <c r="K463" s="298">
        <f>K456+SUM(K458:K461)</f>
        <v>0</v>
      </c>
      <c r="L463" s="298">
        <f t="shared" ref="L463:AJ463" si="824">L456+SUM(L458:L461)</f>
        <v>887.93620643197414</v>
      </c>
      <c r="M463" s="298">
        <f t="shared" si="824"/>
        <v>768.54084789406284</v>
      </c>
      <c r="N463" s="298">
        <f t="shared" si="824"/>
        <v>693.05742327619578</v>
      </c>
      <c r="O463" s="298">
        <f t="shared" si="824"/>
        <v>706.63775544767157</v>
      </c>
      <c r="P463" s="298">
        <f t="shared" si="824"/>
        <v>720.621779522618</v>
      </c>
      <c r="Q463" s="298">
        <f t="shared" si="824"/>
        <v>735.02295108104965</v>
      </c>
      <c r="R463" s="298">
        <f t="shared" si="824"/>
        <v>749.85516609999434</v>
      </c>
      <c r="S463" s="298">
        <f t="shared" si="824"/>
        <v>765.1327705015691</v>
      </c>
      <c r="T463" s="298">
        <f t="shared" si="824"/>
        <v>780.8705693030937</v>
      </c>
      <c r="U463" s="298">
        <f t="shared" si="824"/>
        <v>797.08383528176182</v>
      </c>
      <c r="V463" s="298">
        <f t="shared" si="824"/>
        <v>813.78831705665948</v>
      </c>
      <c r="W463" s="298">
        <f t="shared" si="824"/>
        <v>831.00024648026942</v>
      </c>
      <c r="X463" s="298">
        <f t="shared" si="824"/>
        <v>778.13159128671668</v>
      </c>
      <c r="Y463" s="298">
        <f t="shared" si="824"/>
        <v>796.40907646405606</v>
      </c>
      <c r="Z463" s="298">
        <f t="shared" si="824"/>
        <v>815.24566520567862</v>
      </c>
      <c r="AA463" s="298">
        <f t="shared" si="824"/>
        <v>834.6595779446385</v>
      </c>
      <c r="AB463" s="298">
        <f t="shared" si="824"/>
        <v>854.66954029423675</v>
      </c>
      <c r="AC463" s="298">
        <f t="shared" si="824"/>
        <v>875.29478329848735</v>
      </c>
      <c r="AD463" s="298">
        <f t="shared" si="824"/>
        <v>896.55504184359518</v>
      </c>
      <c r="AE463" s="298">
        <f t="shared" si="824"/>
        <v>918.47055099336217</v>
      </c>
      <c r="AF463" s="298">
        <f t="shared" si="824"/>
        <v>941.06203998803176</v>
      </c>
      <c r="AG463" s="298">
        <f t="shared" si="824"/>
        <v>964.35072362057747</v>
      </c>
      <c r="AH463" s="298">
        <f t="shared" si="824"/>
        <v>988.35829067667351</v>
      </c>
      <c r="AI463" s="298">
        <f t="shared" si="824"/>
        <v>1013.1068890943552</v>
      </c>
      <c r="AJ463" s="298">
        <f t="shared" si="824"/>
        <v>1038.6191074664584</v>
      </c>
    </row>
    <row r="464" spans="1:36" hidden="1" x14ac:dyDescent="0.25">
      <c r="A464" t="s">
        <v>424</v>
      </c>
    </row>
    <row r="465" spans="1:36" hidden="1" x14ac:dyDescent="0.25">
      <c r="A465" t="s">
        <v>424</v>
      </c>
      <c r="H465" s="594" t="s">
        <v>361</v>
      </c>
      <c r="I465" s="595" t="str">
        <f t="shared" si="759"/>
        <v>VND/phôi</v>
      </c>
      <c r="K465" s="594"/>
      <c r="L465" s="600">
        <f>INDEX('Cover Page'!$H$12:$W$12,MATCH($A465,'Cover Page'!$H$5:$W$5,0))</f>
        <v>6.6666666666666666E-2</v>
      </c>
      <c r="M465" s="600">
        <f>INDEX('Cover Page'!$H$12:$W$12,MATCH($A465,'Cover Page'!$H$5:$W$5,0))</f>
        <v>6.6666666666666666E-2</v>
      </c>
      <c r="N465" s="600">
        <f>INDEX('Cover Page'!$H$12:$W$12,MATCH($A465,'Cover Page'!$H$5:$W$5,0))</f>
        <v>6.6666666666666666E-2</v>
      </c>
      <c r="O465" s="600">
        <f>INDEX('Cover Page'!$H$12:$W$12,MATCH($A465,'Cover Page'!$H$5:$W$5,0))</f>
        <v>6.6666666666666666E-2</v>
      </c>
      <c r="P465" s="600">
        <f>INDEX('Cover Page'!$H$12:$W$12,MATCH($A465,'Cover Page'!$H$5:$W$5,0))</f>
        <v>6.6666666666666666E-2</v>
      </c>
      <c r="Q465" s="600">
        <f>INDEX('Cover Page'!$H$12:$W$12,MATCH($A465,'Cover Page'!$H$5:$W$5,0))</f>
        <v>6.6666666666666666E-2</v>
      </c>
      <c r="R465" s="600">
        <f>INDEX('Cover Page'!$H$12:$W$12,MATCH($A465,'Cover Page'!$H$5:$W$5,0))</f>
        <v>6.6666666666666666E-2</v>
      </c>
      <c r="S465" s="600">
        <f>INDEX('Cover Page'!$H$12:$W$12,MATCH($A465,'Cover Page'!$H$5:$W$5,0))</f>
        <v>6.6666666666666666E-2</v>
      </c>
      <c r="T465" s="600">
        <f>INDEX('Cover Page'!$H$12:$W$12,MATCH($A465,'Cover Page'!$H$5:$W$5,0))</f>
        <v>6.6666666666666666E-2</v>
      </c>
      <c r="U465" s="600">
        <f>INDEX('Cover Page'!$H$12:$W$12,MATCH($A465,'Cover Page'!$H$5:$W$5,0))</f>
        <v>6.6666666666666666E-2</v>
      </c>
      <c r="V465" s="600">
        <f>INDEX('Cover Page'!$H$12:$W$12,MATCH($A465,'Cover Page'!$H$5:$W$5,0))</f>
        <v>6.6666666666666666E-2</v>
      </c>
      <c r="W465" s="600">
        <f>INDEX('Cover Page'!$H$12:$W$12,MATCH($A465,'Cover Page'!$H$5:$W$5,0))</f>
        <v>6.6666666666666666E-2</v>
      </c>
      <c r="X465" s="600">
        <f>INDEX('Cover Page'!$H$12:$W$12,MATCH($A465,'Cover Page'!$H$5:$W$5,0))</f>
        <v>6.6666666666666666E-2</v>
      </c>
      <c r="Y465" s="600">
        <f>INDEX('Cover Page'!$H$12:$W$12,MATCH($A465,'Cover Page'!$H$5:$W$5,0))</f>
        <v>6.6666666666666666E-2</v>
      </c>
      <c r="Z465" s="600">
        <f>INDEX('Cover Page'!$H$12:$W$12,MATCH($A465,'Cover Page'!$H$5:$W$5,0))</f>
        <v>6.6666666666666666E-2</v>
      </c>
      <c r="AA465" s="600">
        <f>INDEX('Cover Page'!$H$12:$W$12,MATCH($A465,'Cover Page'!$H$5:$W$5,0))</f>
        <v>6.6666666666666666E-2</v>
      </c>
      <c r="AB465" s="600">
        <f>INDEX('Cover Page'!$H$12:$W$12,MATCH($A465,'Cover Page'!$H$5:$W$5,0))</f>
        <v>6.6666666666666666E-2</v>
      </c>
      <c r="AC465" s="600">
        <f>INDEX('Cover Page'!$H$12:$W$12,MATCH($A465,'Cover Page'!$H$5:$W$5,0))</f>
        <v>6.6666666666666666E-2</v>
      </c>
      <c r="AD465" s="600">
        <f>INDEX('Cover Page'!$H$12:$W$12,MATCH($A465,'Cover Page'!$H$5:$W$5,0))</f>
        <v>6.6666666666666666E-2</v>
      </c>
      <c r="AE465" s="600">
        <f>INDEX('Cover Page'!$H$12:$W$12,MATCH($A465,'Cover Page'!$H$5:$W$5,0))</f>
        <v>6.6666666666666666E-2</v>
      </c>
      <c r="AF465" s="600">
        <f>INDEX('Cover Page'!$H$12:$W$12,MATCH($A465,'Cover Page'!$H$5:$W$5,0))</f>
        <v>6.6666666666666666E-2</v>
      </c>
      <c r="AG465" s="600">
        <f>INDEX('Cover Page'!$H$12:$W$12,MATCH($A465,'Cover Page'!$H$5:$W$5,0))</f>
        <v>6.6666666666666666E-2</v>
      </c>
      <c r="AH465" s="600">
        <f>INDEX('Cover Page'!$H$12:$W$12,MATCH($A465,'Cover Page'!$H$5:$W$5,0))</f>
        <v>6.6666666666666666E-2</v>
      </c>
      <c r="AI465" s="600">
        <f>INDEX('Cover Page'!$H$12:$W$12,MATCH($A465,'Cover Page'!$H$5:$W$5,0))</f>
        <v>6.6666666666666666E-2</v>
      </c>
      <c r="AJ465" s="600">
        <f>INDEX('Cover Page'!$H$12:$W$12,MATCH($A465,'Cover Page'!$H$5:$W$5,0))</f>
        <v>6.6666666666666666E-2</v>
      </c>
    </row>
    <row r="466" spans="1:36" s="1" customFormat="1" hidden="1" x14ac:dyDescent="0.25">
      <c r="A466" s="1" t="s">
        <v>424</v>
      </c>
      <c r="H466" s="596" t="s">
        <v>490</v>
      </c>
      <c r="I466" s="597" t="str">
        <f t="shared" si="759"/>
        <v>VND/phôi</v>
      </c>
      <c r="K466" s="596"/>
      <c r="L466" s="601">
        <f>L463*(1+L465)</f>
        <v>947.13195352743912</v>
      </c>
      <c r="M466" s="601">
        <f t="shared" ref="M466:AJ466" si="825">M463*(1+M465)</f>
        <v>819.77690442033372</v>
      </c>
      <c r="N466" s="601">
        <f t="shared" si="825"/>
        <v>739.26125149460881</v>
      </c>
      <c r="O466" s="601">
        <f t="shared" si="825"/>
        <v>753.74693914418299</v>
      </c>
      <c r="P466" s="601">
        <f t="shared" si="825"/>
        <v>768.66323149079255</v>
      </c>
      <c r="Q466" s="601">
        <f t="shared" si="825"/>
        <v>784.02448115311961</v>
      </c>
      <c r="R466" s="601">
        <f t="shared" si="825"/>
        <v>799.84551050666062</v>
      </c>
      <c r="S466" s="601">
        <f t="shared" si="825"/>
        <v>816.14162186834039</v>
      </c>
      <c r="T466" s="601">
        <f t="shared" si="825"/>
        <v>832.92860725663331</v>
      </c>
      <c r="U466" s="601">
        <f t="shared" si="825"/>
        <v>850.22275763387927</v>
      </c>
      <c r="V466" s="601">
        <f t="shared" si="825"/>
        <v>868.04087152710338</v>
      </c>
      <c r="W466" s="601">
        <f t="shared" si="825"/>
        <v>886.40026291228742</v>
      </c>
      <c r="X466" s="601">
        <f t="shared" si="825"/>
        <v>830.00703070583108</v>
      </c>
      <c r="Y466" s="601">
        <f t="shared" si="825"/>
        <v>849.50301489499316</v>
      </c>
      <c r="Z466" s="601">
        <f t="shared" si="825"/>
        <v>869.59537621939046</v>
      </c>
      <c r="AA466" s="601">
        <f t="shared" si="825"/>
        <v>890.30354980761433</v>
      </c>
      <c r="AB466" s="601">
        <f t="shared" si="825"/>
        <v>911.64750964718587</v>
      </c>
      <c r="AC466" s="601">
        <f t="shared" si="825"/>
        <v>933.64776885171977</v>
      </c>
      <c r="AD466" s="601">
        <f t="shared" si="825"/>
        <v>956.32537796650149</v>
      </c>
      <c r="AE466" s="601">
        <f t="shared" si="825"/>
        <v>979.70192105958631</v>
      </c>
      <c r="AF466" s="601">
        <f t="shared" si="825"/>
        <v>1003.7995093205672</v>
      </c>
      <c r="AG466" s="601">
        <f t="shared" si="825"/>
        <v>1028.6407718619494</v>
      </c>
      <c r="AH466" s="601">
        <f t="shared" si="825"/>
        <v>1054.2488433884516</v>
      </c>
      <c r="AI466" s="601">
        <f t="shared" si="825"/>
        <v>1080.6473483673121</v>
      </c>
      <c r="AJ466" s="601">
        <f t="shared" si="825"/>
        <v>1107.8603812975557</v>
      </c>
    </row>
    <row r="467" spans="1:36" hidden="1" x14ac:dyDescent="0.25">
      <c r="A467" t="s">
        <v>424</v>
      </c>
      <c r="H467" s="575" t="s">
        <v>292</v>
      </c>
      <c r="I467" s="576" t="str">
        <f t="shared" si="759"/>
        <v>VND/phôi</v>
      </c>
      <c r="K467" s="575"/>
      <c r="L467" s="602">
        <f t="shared" ref="L467:AJ467" si="826">Tax_rate</f>
        <v>0.2</v>
      </c>
      <c r="M467" s="602">
        <f t="shared" si="826"/>
        <v>0.2</v>
      </c>
      <c r="N467" s="602">
        <f t="shared" si="826"/>
        <v>0.2</v>
      </c>
      <c r="O467" s="602">
        <f t="shared" si="826"/>
        <v>0.2</v>
      </c>
      <c r="P467" s="602">
        <f t="shared" si="826"/>
        <v>0.2</v>
      </c>
      <c r="Q467" s="602">
        <f t="shared" si="826"/>
        <v>0.2</v>
      </c>
      <c r="R467" s="602">
        <f t="shared" si="826"/>
        <v>0.2</v>
      </c>
      <c r="S467" s="602">
        <f t="shared" si="826"/>
        <v>0.2</v>
      </c>
      <c r="T467" s="602">
        <f t="shared" si="826"/>
        <v>0.2</v>
      </c>
      <c r="U467" s="602">
        <f t="shared" si="826"/>
        <v>0.2</v>
      </c>
      <c r="V467" s="602">
        <f t="shared" si="826"/>
        <v>0.2</v>
      </c>
      <c r="W467" s="602">
        <f t="shared" si="826"/>
        <v>0.2</v>
      </c>
      <c r="X467" s="602">
        <f t="shared" si="826"/>
        <v>0.2</v>
      </c>
      <c r="Y467" s="602">
        <f t="shared" si="826"/>
        <v>0.2</v>
      </c>
      <c r="Z467" s="602">
        <f t="shared" si="826"/>
        <v>0.2</v>
      </c>
      <c r="AA467" s="602">
        <f t="shared" si="826"/>
        <v>0.2</v>
      </c>
      <c r="AB467" s="602">
        <f t="shared" si="826"/>
        <v>0.2</v>
      </c>
      <c r="AC467" s="602">
        <f t="shared" si="826"/>
        <v>0.2</v>
      </c>
      <c r="AD467" s="602">
        <f t="shared" si="826"/>
        <v>0.2</v>
      </c>
      <c r="AE467" s="602">
        <f t="shared" si="826"/>
        <v>0.2</v>
      </c>
      <c r="AF467" s="602">
        <f t="shared" si="826"/>
        <v>0.2</v>
      </c>
      <c r="AG467" s="602">
        <f t="shared" si="826"/>
        <v>0.2</v>
      </c>
      <c r="AH467" s="602">
        <f t="shared" si="826"/>
        <v>0.2</v>
      </c>
      <c r="AI467" s="602">
        <f t="shared" si="826"/>
        <v>0.2</v>
      </c>
      <c r="AJ467" s="602">
        <f t="shared" si="826"/>
        <v>0.2</v>
      </c>
    </row>
    <row r="468" spans="1:36" s="1" customFormat="1" hidden="1" x14ac:dyDescent="0.25">
      <c r="A468" s="1" t="s">
        <v>424</v>
      </c>
      <c r="H468" s="596" t="s">
        <v>491</v>
      </c>
      <c r="I468" s="597" t="str">
        <f t="shared" si="759"/>
        <v>VND/phôi</v>
      </c>
      <c r="K468" s="596"/>
      <c r="L468" s="601">
        <f>(L466-L463)*(1-L467)</f>
        <v>47.35659767637199</v>
      </c>
      <c r="M468" s="601">
        <f t="shared" ref="M468:AJ468" si="827">(M466-M463)*(1-M467)</f>
        <v>40.98884522101671</v>
      </c>
      <c r="N468" s="601">
        <f t="shared" si="827"/>
        <v>36.963062574730429</v>
      </c>
      <c r="O468" s="601">
        <f t="shared" si="827"/>
        <v>37.687346957209137</v>
      </c>
      <c r="P468" s="601">
        <f t="shared" si="827"/>
        <v>38.433161574539646</v>
      </c>
      <c r="Q468" s="601">
        <f t="shared" si="827"/>
        <v>39.201224057655963</v>
      </c>
      <c r="R468" s="601">
        <f t="shared" si="827"/>
        <v>39.992275525333028</v>
      </c>
      <c r="S468" s="601">
        <f t="shared" si="827"/>
        <v>40.80708109341704</v>
      </c>
      <c r="T468" s="601">
        <f t="shared" si="827"/>
        <v>41.646430362831694</v>
      </c>
      <c r="U468" s="601">
        <f t="shared" si="827"/>
        <v>42.511137881693962</v>
      </c>
      <c r="V468" s="601">
        <f t="shared" si="827"/>
        <v>43.402043576355119</v>
      </c>
      <c r="W468" s="601">
        <f t="shared" si="827"/>
        <v>44.320013145614396</v>
      </c>
      <c r="X468" s="601">
        <f t="shared" si="827"/>
        <v>41.500351535291522</v>
      </c>
      <c r="Y468" s="601">
        <f t="shared" si="827"/>
        <v>42.475150744749683</v>
      </c>
      <c r="Z468" s="601">
        <f t="shared" si="827"/>
        <v>43.479768810969475</v>
      </c>
      <c r="AA468" s="601">
        <f t="shared" si="827"/>
        <v>44.515177490380665</v>
      </c>
      <c r="AB468" s="601">
        <f t="shared" si="827"/>
        <v>45.582375482359296</v>
      </c>
      <c r="AC468" s="601">
        <f t="shared" si="827"/>
        <v>46.682388442585946</v>
      </c>
      <c r="AD468" s="601">
        <f t="shared" si="827"/>
        <v>47.816268898325056</v>
      </c>
      <c r="AE468" s="601">
        <f t="shared" si="827"/>
        <v>48.985096052979316</v>
      </c>
      <c r="AF468" s="601">
        <f t="shared" si="827"/>
        <v>50.189975466028322</v>
      </c>
      <c r="AG468" s="601">
        <f t="shared" si="827"/>
        <v>51.432038593097516</v>
      </c>
      <c r="AH468" s="601">
        <f t="shared" si="827"/>
        <v>52.712442169422502</v>
      </c>
      <c r="AI468" s="601">
        <f t="shared" si="827"/>
        <v>54.032367418365538</v>
      </c>
      <c r="AJ468" s="601">
        <f t="shared" si="827"/>
        <v>55.393019064877812</v>
      </c>
    </row>
    <row r="469" spans="1:36" s="146" customFormat="1" hidden="1" x14ac:dyDescent="0.25">
      <c r="A469" s="146" t="s">
        <v>424</v>
      </c>
      <c r="H469" s="598" t="s">
        <v>492</v>
      </c>
      <c r="I469" s="599"/>
      <c r="K469" s="598"/>
      <c r="L469" s="603">
        <f>IFERROR(L468/L466,0)</f>
        <v>5.0000000000000037E-2</v>
      </c>
      <c r="M469" s="603">
        <f>IFERROR(M468/M466,0)</f>
        <v>5.0000000000000031E-2</v>
      </c>
      <c r="N469" s="603">
        <f t="shared" ref="N469:AJ469" si="828">IFERROR(N468/N466,0)</f>
        <v>4.9999999999999982E-2</v>
      </c>
      <c r="O469" s="603">
        <f t="shared" si="828"/>
        <v>4.9999999999999982E-2</v>
      </c>
      <c r="P469" s="603">
        <f t="shared" si="828"/>
        <v>5.0000000000000024E-2</v>
      </c>
      <c r="Q469" s="603">
        <f t="shared" si="828"/>
        <v>4.9999999999999975E-2</v>
      </c>
      <c r="R469" s="603">
        <f t="shared" si="828"/>
        <v>4.9999999999999996E-2</v>
      </c>
      <c r="S469" s="603">
        <f t="shared" si="828"/>
        <v>5.0000000000000024E-2</v>
      </c>
      <c r="T469" s="603">
        <f t="shared" si="828"/>
        <v>5.0000000000000037E-2</v>
      </c>
      <c r="U469" s="603">
        <f t="shared" si="828"/>
        <v>4.9999999999999996E-2</v>
      </c>
      <c r="V469" s="603">
        <f t="shared" si="828"/>
        <v>4.999999999999994E-2</v>
      </c>
      <c r="W469" s="603">
        <f t="shared" si="828"/>
        <v>5.0000000000000031E-2</v>
      </c>
      <c r="X469" s="603">
        <f t="shared" si="828"/>
        <v>4.9999999999999961E-2</v>
      </c>
      <c r="Y469" s="603">
        <f t="shared" si="828"/>
        <v>5.0000000000000031E-2</v>
      </c>
      <c r="Z469" s="603">
        <f t="shared" si="828"/>
        <v>4.9999999999999947E-2</v>
      </c>
      <c r="AA469" s="603">
        <f t="shared" si="828"/>
        <v>4.999999999999994E-2</v>
      </c>
      <c r="AB469" s="603">
        <f t="shared" si="828"/>
        <v>0.05</v>
      </c>
      <c r="AC469" s="603">
        <f t="shared" si="828"/>
        <v>4.9999999999999954E-2</v>
      </c>
      <c r="AD469" s="603">
        <f t="shared" si="828"/>
        <v>4.9999999999999982E-2</v>
      </c>
      <c r="AE469" s="603">
        <f t="shared" si="828"/>
        <v>0.05</v>
      </c>
      <c r="AF469" s="603">
        <f t="shared" si="828"/>
        <v>4.9999999999999961E-2</v>
      </c>
      <c r="AG469" s="603">
        <f t="shared" si="828"/>
        <v>5.0000000000000044E-2</v>
      </c>
      <c r="AH469" s="603">
        <f t="shared" si="828"/>
        <v>4.9999999999999926E-2</v>
      </c>
      <c r="AI469" s="603">
        <f t="shared" si="828"/>
        <v>4.999999999999994E-2</v>
      </c>
      <c r="AJ469" s="603">
        <f t="shared" si="828"/>
        <v>5.0000000000000024E-2</v>
      </c>
    </row>
    <row r="470" spans="1:36" hidden="1" x14ac:dyDescent="0.25">
      <c r="A470" t="s">
        <v>424</v>
      </c>
      <c r="L470" s="64"/>
    </row>
    <row r="471" spans="1:36" hidden="1" x14ac:dyDescent="0.25">
      <c r="A471" t="s">
        <v>424</v>
      </c>
      <c r="H471" s="1" t="s">
        <v>493</v>
      </c>
    </row>
    <row r="472" spans="1:36" hidden="1" x14ac:dyDescent="0.25">
      <c r="A472" t="s">
        <v>424</v>
      </c>
      <c r="H472" t="s">
        <v>493</v>
      </c>
      <c r="I472" s="65" t="s">
        <v>475</v>
      </c>
      <c r="K472" s="15"/>
      <c r="L472" s="15">
        <f t="shared" ref="L472:AJ472" si="829">L473*PHOI_KG*10^3/10^6</f>
        <v>47.933333333333337</v>
      </c>
      <c r="M472" s="15">
        <f t="shared" si="829"/>
        <v>48.892000000000003</v>
      </c>
      <c r="N472" s="15">
        <f t="shared" si="829"/>
        <v>49.869840000000011</v>
      </c>
      <c r="O472" s="15">
        <f t="shared" si="829"/>
        <v>50.867236799999993</v>
      </c>
      <c r="P472" s="15">
        <f t="shared" si="829"/>
        <v>51.884581535999999</v>
      </c>
      <c r="Q472" s="15">
        <f t="shared" si="829"/>
        <v>52.922273166720004</v>
      </c>
      <c r="R472" s="15">
        <f t="shared" si="829"/>
        <v>53.980718630054405</v>
      </c>
      <c r="S472" s="15">
        <f t="shared" si="829"/>
        <v>55.060333002655483</v>
      </c>
      <c r="T472" s="15">
        <f t="shared" si="829"/>
        <v>56.161539662708599</v>
      </c>
      <c r="U472" s="15">
        <f t="shared" si="829"/>
        <v>57.284770455962772</v>
      </c>
      <c r="V472" s="15">
        <f t="shared" si="829"/>
        <v>58.430465865082027</v>
      </c>
      <c r="W472" s="15">
        <f t="shared" si="829"/>
        <v>59.599075182383665</v>
      </c>
      <c r="X472" s="15">
        <f t="shared" si="829"/>
        <v>60.791056686031339</v>
      </c>
      <c r="Y472" s="15">
        <f t="shared" si="829"/>
        <v>62.006877819751963</v>
      </c>
      <c r="Z472" s="15">
        <f t="shared" si="829"/>
        <v>63.247015376147012</v>
      </c>
      <c r="AA472" s="15">
        <f t="shared" si="829"/>
        <v>64.511955683669939</v>
      </c>
      <c r="AB472" s="15">
        <f t="shared" si="829"/>
        <v>65.802194797343347</v>
      </c>
      <c r="AC472" s="15">
        <f t="shared" si="829"/>
        <v>67.118238693290223</v>
      </c>
      <c r="AD472" s="15">
        <f t="shared" si="829"/>
        <v>68.460603467156005</v>
      </c>
      <c r="AE472" s="15">
        <f t="shared" si="829"/>
        <v>69.829815536499126</v>
      </c>
      <c r="AF472" s="15">
        <f t="shared" si="829"/>
        <v>71.22641184722913</v>
      </c>
      <c r="AG472" s="15">
        <f t="shared" si="829"/>
        <v>72.650940084173712</v>
      </c>
      <c r="AH472" s="15">
        <f t="shared" si="829"/>
        <v>74.103958885857182</v>
      </c>
      <c r="AI472" s="15">
        <f t="shared" si="829"/>
        <v>75.586038063574293</v>
      </c>
      <c r="AJ472" s="15">
        <f t="shared" si="829"/>
        <v>77.097758824845812</v>
      </c>
    </row>
    <row r="473" spans="1:36" hidden="1" x14ac:dyDescent="0.25">
      <c r="A473" t="s">
        <v>424</v>
      </c>
      <c r="F473" t="s">
        <v>570</v>
      </c>
      <c r="H473" t="s">
        <v>493</v>
      </c>
      <c r="I473" s="65" t="s">
        <v>368</v>
      </c>
      <c r="K473" s="27"/>
      <c r="L473" s="27">
        <f>INDEX('Cover Page'!$H$14:$W$14,MATCH($A473,'Cover Page'!$H$5:$W$5,0))</f>
        <v>719</v>
      </c>
      <c r="M473" s="27">
        <f>$L473*POWER(1+INDEX('Cover Page'!$H$17:$W$17,MATCH($A473,'Cover Page'!$H$5:$W$5,0)),M$12+1)</f>
        <v>733.38</v>
      </c>
      <c r="N473" s="27">
        <f>$L473*POWER(1+INDEX('Cover Page'!$H$17:$W$17,MATCH($A473,'Cover Page'!$H$5:$W$5,0)),N$12+1)</f>
        <v>748.04759999999999</v>
      </c>
      <c r="O473" s="27">
        <f>$L473*POWER(1+INDEX('Cover Page'!$H$17:$W$17,MATCH($A473,'Cover Page'!$H$5:$W$5,0)),O$12+1)</f>
        <v>763.0085519999999</v>
      </c>
      <c r="P473" s="27">
        <f>$L473*POWER(1+INDEX('Cover Page'!$H$17:$W$17,MATCH($A473,'Cover Page'!$H$5:$W$5,0)),P$12+1)</f>
        <v>778.26872303999994</v>
      </c>
      <c r="Q473" s="27">
        <f>$L473*POWER(1+INDEX('Cover Page'!$H$17:$W$17,MATCH($A473,'Cover Page'!$H$5:$W$5,0)),Q$12+1)</f>
        <v>793.8340975008</v>
      </c>
      <c r="R473" s="27">
        <f>$L473*POWER(1+INDEX('Cover Page'!$H$17:$W$17,MATCH($A473,'Cover Page'!$H$5:$W$5,0)),R$12+1)</f>
        <v>809.71077945081606</v>
      </c>
      <c r="S473" s="27">
        <f>$L473*POWER(1+INDEX('Cover Page'!$H$17:$W$17,MATCH($A473,'Cover Page'!$H$5:$W$5,0)),S$12+1)</f>
        <v>825.90499503983222</v>
      </c>
      <c r="T473" s="27">
        <f>$L473*POWER(1+INDEX('Cover Page'!$H$17:$W$17,MATCH($A473,'Cover Page'!$H$5:$W$5,0)),T$12+1)</f>
        <v>842.42309494062886</v>
      </c>
      <c r="U473" s="27">
        <f>$L473*POWER(1+INDEX('Cover Page'!$H$17:$W$17,MATCH($A473,'Cover Page'!$H$5:$W$5,0)),U$12+1)</f>
        <v>859.27155683944147</v>
      </c>
      <c r="V473" s="27">
        <f>$L473*POWER(1+INDEX('Cover Page'!$H$17:$W$17,MATCH($A473,'Cover Page'!$H$5:$W$5,0)),V$12+1)</f>
        <v>876.45698797623038</v>
      </c>
      <c r="W473" s="27">
        <f>$L473*POWER(1+INDEX('Cover Page'!$H$17:$W$17,MATCH($A473,'Cover Page'!$H$5:$W$5,0)),W$12+1)</f>
        <v>893.98612773575485</v>
      </c>
      <c r="X473" s="27">
        <f>$L473*POWER(1+INDEX('Cover Page'!$H$17:$W$17,MATCH($A473,'Cover Page'!$H$5:$W$5,0)),X$12+1)</f>
        <v>911.86585029047001</v>
      </c>
      <c r="Y473" s="27">
        <f>$L473*POWER(1+INDEX('Cover Page'!$H$17:$W$17,MATCH($A473,'Cover Page'!$H$5:$W$5,0)),Y$12+1)</f>
        <v>930.10316729627937</v>
      </c>
      <c r="Z473" s="27">
        <f>$L473*POWER(1+INDEX('Cover Page'!$H$17:$W$17,MATCH($A473,'Cover Page'!$H$5:$W$5,0)),Z$12+1)</f>
        <v>948.70523064220504</v>
      </c>
      <c r="AA473" s="27">
        <f>$L473*POWER(1+INDEX('Cover Page'!$H$17:$W$17,MATCH($A473,'Cover Page'!$H$5:$W$5,0)),AA$12+1)</f>
        <v>967.67933525504895</v>
      </c>
      <c r="AB473" s="27">
        <f>$L473*POWER(1+INDEX('Cover Page'!$H$17:$W$17,MATCH($A473,'Cover Page'!$H$5:$W$5,0)),AB$12+1)</f>
        <v>987.03292196015002</v>
      </c>
      <c r="AC473" s="27">
        <f>$L473*POWER(1+INDEX('Cover Page'!$H$17:$W$17,MATCH($A473,'Cover Page'!$H$5:$W$5,0)),AC$12+1)</f>
        <v>1006.7735803993531</v>
      </c>
      <c r="AD473" s="27">
        <f>$L473*POWER(1+INDEX('Cover Page'!$H$17:$W$17,MATCH($A473,'Cover Page'!$H$5:$W$5,0)),AD$12+1)</f>
        <v>1026.9090520073401</v>
      </c>
      <c r="AE473" s="27">
        <f>$L473*POWER(1+INDEX('Cover Page'!$H$17:$W$17,MATCH($A473,'Cover Page'!$H$5:$W$5,0)),AE$12+1)</f>
        <v>1047.4472330474869</v>
      </c>
      <c r="AF473" s="27">
        <f>$L473*POWER(1+INDEX('Cover Page'!$H$17:$W$17,MATCH($A473,'Cover Page'!$H$5:$W$5,0)),AF$12+1)</f>
        <v>1068.3961777084367</v>
      </c>
      <c r="AG473" s="27">
        <f>$L473*POWER(1+INDEX('Cover Page'!$H$17:$W$17,MATCH($A473,'Cover Page'!$H$5:$W$5,0)),AG$12+1)</f>
        <v>1089.7641012626054</v>
      </c>
      <c r="AH473" s="27">
        <f>$L473*POWER(1+INDEX('Cover Page'!$H$17:$W$17,MATCH($A473,'Cover Page'!$H$5:$W$5,0)),AH$12+1)</f>
        <v>1111.5593832878576</v>
      </c>
      <c r="AI473" s="27">
        <f>$L473*POWER(1+INDEX('Cover Page'!$H$17:$W$17,MATCH($A473,'Cover Page'!$H$5:$W$5,0)),AI$12+1)</f>
        <v>1133.7905709536144</v>
      </c>
      <c r="AJ473" s="27">
        <f>$L473*POWER(1+INDEX('Cover Page'!$H$17:$W$17,MATCH($A473,'Cover Page'!$H$5:$W$5,0)),AJ$12+1)</f>
        <v>1156.4663823726869</v>
      </c>
    </row>
    <row r="474" spans="1:36" hidden="1" x14ac:dyDescent="0.25">
      <c r="A474" t="s">
        <v>424</v>
      </c>
      <c r="H474" t="s">
        <v>493</v>
      </c>
      <c r="I474" s="65" t="s">
        <v>369</v>
      </c>
      <c r="K474" s="15"/>
      <c r="L474" s="15">
        <f t="shared" ref="L474:AJ474" si="830">L472/EXR*10^6</f>
        <v>1843.5897435897436</v>
      </c>
      <c r="M474" s="15">
        <f t="shared" si="830"/>
        <v>1880.4615384615386</v>
      </c>
      <c r="N474" s="15">
        <f t="shared" si="830"/>
        <v>1918.0707692307697</v>
      </c>
      <c r="O474" s="15">
        <f t="shared" si="830"/>
        <v>1956.4321846153844</v>
      </c>
      <c r="P474" s="15">
        <f t="shared" si="830"/>
        <v>1995.5608283076924</v>
      </c>
      <c r="Q474" s="15">
        <f t="shared" si="830"/>
        <v>2035.4720448738465</v>
      </c>
      <c r="R474" s="15">
        <f t="shared" si="830"/>
        <v>2076.1814857713234</v>
      </c>
      <c r="S474" s="15">
        <f t="shared" si="830"/>
        <v>2117.705115486749</v>
      </c>
      <c r="T474" s="15">
        <f t="shared" si="830"/>
        <v>2160.0592177964845</v>
      </c>
      <c r="U474" s="15">
        <f t="shared" si="830"/>
        <v>2203.2604021524139</v>
      </c>
      <c r="V474" s="15">
        <f t="shared" si="830"/>
        <v>2247.3256101954626</v>
      </c>
      <c r="W474" s="15">
        <f t="shared" si="830"/>
        <v>2292.2721223993717</v>
      </c>
      <c r="X474" s="15">
        <f t="shared" si="830"/>
        <v>2338.1175648473591</v>
      </c>
      <c r="Y474" s="15">
        <f t="shared" si="830"/>
        <v>2384.8799161443062</v>
      </c>
      <c r="Z474" s="15">
        <f t="shared" si="830"/>
        <v>2432.5775144671929</v>
      </c>
      <c r="AA474" s="15">
        <f t="shared" si="830"/>
        <v>2481.2290647565364</v>
      </c>
      <c r="AB474" s="15">
        <f t="shared" si="830"/>
        <v>2530.8536460516671</v>
      </c>
      <c r="AC474" s="15">
        <f t="shared" si="830"/>
        <v>2581.470718972701</v>
      </c>
      <c r="AD474" s="15">
        <f t="shared" si="830"/>
        <v>2633.100133352154</v>
      </c>
      <c r="AE474" s="15">
        <f t="shared" si="830"/>
        <v>2685.762136019197</v>
      </c>
      <c r="AF474" s="15">
        <f t="shared" si="830"/>
        <v>2739.477378739582</v>
      </c>
      <c r="AG474" s="15">
        <f t="shared" si="830"/>
        <v>2794.2669263143734</v>
      </c>
      <c r="AH474" s="15">
        <f t="shared" si="830"/>
        <v>2850.1522648406608</v>
      </c>
      <c r="AI474" s="15">
        <f t="shared" si="830"/>
        <v>2907.155310137473</v>
      </c>
      <c r="AJ474" s="15">
        <f t="shared" si="830"/>
        <v>2965.2984163402234</v>
      </c>
    </row>
    <row r="475" spans="1:36" hidden="1" x14ac:dyDescent="0.25">
      <c r="A475" t="s">
        <v>424</v>
      </c>
      <c r="H475" t="s">
        <v>493</v>
      </c>
      <c r="I475" s="65" t="s">
        <v>494</v>
      </c>
      <c r="K475" s="15"/>
      <c r="L475" s="15">
        <f t="shared" ref="L475:AJ475" si="831">L473*1000/EXR</f>
        <v>27.653846153846153</v>
      </c>
      <c r="M475" s="15">
        <f t="shared" si="831"/>
        <v>28.206923076923076</v>
      </c>
      <c r="N475" s="15">
        <f t="shared" si="831"/>
        <v>28.771061538461538</v>
      </c>
      <c r="O475" s="15">
        <f t="shared" si="831"/>
        <v>29.346482769230764</v>
      </c>
      <c r="P475" s="15">
        <f t="shared" si="831"/>
        <v>29.933412424615383</v>
      </c>
      <c r="Q475" s="15">
        <f t="shared" si="831"/>
        <v>30.532080673107693</v>
      </c>
      <c r="R475" s="15">
        <f t="shared" si="831"/>
        <v>31.14272228656985</v>
      </c>
      <c r="S475" s="15">
        <f t="shared" si="831"/>
        <v>31.765576732301238</v>
      </c>
      <c r="T475" s="15">
        <f t="shared" si="831"/>
        <v>32.400888266947263</v>
      </c>
      <c r="U475" s="15">
        <f t="shared" si="831"/>
        <v>33.048906032286212</v>
      </c>
      <c r="V475" s="15">
        <f t="shared" si="831"/>
        <v>33.709884152931934</v>
      </c>
      <c r="W475" s="15">
        <f t="shared" si="831"/>
        <v>34.384081835990571</v>
      </c>
      <c r="X475" s="15">
        <f t="shared" si="831"/>
        <v>35.071763472710387</v>
      </c>
      <c r="Y475" s="15">
        <f t="shared" si="831"/>
        <v>35.773198742164588</v>
      </c>
      <c r="Z475" s="15">
        <f t="shared" si="831"/>
        <v>36.488662717007884</v>
      </c>
      <c r="AA475" s="15">
        <f t="shared" si="831"/>
        <v>37.218435971348036</v>
      </c>
      <c r="AB475" s="15">
        <f t="shared" si="831"/>
        <v>37.962804690775002</v>
      </c>
      <c r="AC475" s="15">
        <f t="shared" si="831"/>
        <v>38.722060784590504</v>
      </c>
      <c r="AD475" s="15">
        <f t="shared" si="831"/>
        <v>39.496502000282305</v>
      </c>
      <c r="AE475" s="15">
        <f t="shared" si="831"/>
        <v>40.286432040287956</v>
      </c>
      <c r="AF475" s="15">
        <f t="shared" si="831"/>
        <v>41.092160681093723</v>
      </c>
      <c r="AG475" s="15">
        <f t="shared" si="831"/>
        <v>41.914003894715599</v>
      </c>
      <c r="AH475" s="15">
        <f t="shared" si="831"/>
        <v>42.752283972609902</v>
      </c>
      <c r="AI475" s="15">
        <f t="shared" si="831"/>
        <v>43.607329652062091</v>
      </c>
      <c r="AJ475" s="15">
        <f t="shared" si="831"/>
        <v>44.479476245103342</v>
      </c>
    </row>
    <row r="476" spans="1:36" hidden="1" x14ac:dyDescent="0.25">
      <c r="A476" t="s">
        <v>424</v>
      </c>
    </row>
    <row r="477" spans="1:36" s="16" customFormat="1" hidden="1" x14ac:dyDescent="0.25">
      <c r="A477" s="16" t="s">
        <v>424</v>
      </c>
      <c r="D477" s="16" t="s">
        <v>723</v>
      </c>
      <c r="H477" s="270" t="s">
        <v>497</v>
      </c>
      <c r="I477" s="271" t="str">
        <f>IF($H$9="USD","USD","tr. VND")</f>
        <v>tr. VND</v>
      </c>
      <c r="K477" s="270"/>
      <c r="L477" s="272">
        <f t="shared" ref="L477:AJ477" si="832">IF($H$9="USD",L474*L353/10^3,L472*L353/10^3)</f>
        <v>148453.72692480002</v>
      </c>
      <c r="M477" s="272">
        <f t="shared" si="832"/>
        <v>211991.92204861439</v>
      </c>
      <c r="N477" s="272">
        <f t="shared" si="832"/>
        <v>308902.51498512388</v>
      </c>
      <c r="O477" s="272">
        <f t="shared" si="832"/>
        <v>315080.56528482627</v>
      </c>
      <c r="P477" s="272">
        <f t="shared" si="832"/>
        <v>321382.17659052281</v>
      </c>
      <c r="Q477" s="272">
        <f t="shared" si="832"/>
        <v>327809.8201223333</v>
      </c>
      <c r="R477" s="272">
        <f t="shared" si="832"/>
        <v>334366.01652477996</v>
      </c>
      <c r="S477" s="272">
        <f t="shared" si="832"/>
        <v>341053.3368552755</v>
      </c>
      <c r="T477" s="272">
        <f t="shared" si="832"/>
        <v>347874.40359238104</v>
      </c>
      <c r="U477" s="272">
        <f t="shared" si="832"/>
        <v>354831.89166422869</v>
      </c>
      <c r="V477" s="272">
        <f t="shared" si="832"/>
        <v>361928.52949751331</v>
      </c>
      <c r="W477" s="272">
        <f t="shared" si="832"/>
        <v>369167.10008746351</v>
      </c>
      <c r="X477" s="272">
        <f t="shared" si="832"/>
        <v>376550.44208921277</v>
      </c>
      <c r="Y477" s="272">
        <f t="shared" si="832"/>
        <v>384081.45093099703</v>
      </c>
      <c r="Z477" s="272">
        <f t="shared" si="832"/>
        <v>391763.07994961704</v>
      </c>
      <c r="AA477" s="272">
        <f t="shared" si="832"/>
        <v>399598.34154860931</v>
      </c>
      <c r="AB477" s="272">
        <f t="shared" si="832"/>
        <v>407590.30837958149</v>
      </c>
      <c r="AC477" s="272">
        <f t="shared" si="832"/>
        <v>415742.1145471732</v>
      </c>
      <c r="AD477" s="272">
        <f t="shared" si="832"/>
        <v>424056.95683811652</v>
      </c>
      <c r="AE477" s="272">
        <f t="shared" si="832"/>
        <v>432538.09597487893</v>
      </c>
      <c r="AF477" s="272">
        <f t="shared" si="832"/>
        <v>441188.85789437656</v>
      </c>
      <c r="AG477" s="272">
        <f t="shared" si="832"/>
        <v>450012.63505226414</v>
      </c>
      <c r="AH477" s="272">
        <f t="shared" si="832"/>
        <v>459012.88775330939</v>
      </c>
      <c r="AI477" s="272">
        <f t="shared" si="832"/>
        <v>468193.14550837537</v>
      </c>
      <c r="AJ477" s="272">
        <f t="shared" si="832"/>
        <v>477557.00841854309</v>
      </c>
    </row>
    <row r="478" spans="1:36" hidden="1" x14ac:dyDescent="0.25">
      <c r="A478" t="s">
        <v>424</v>
      </c>
    </row>
    <row r="479" spans="1:36" s="1" customFormat="1" hidden="1" x14ac:dyDescent="0.25">
      <c r="A479" s="1" t="s">
        <v>424</v>
      </c>
      <c r="H479" s="266" t="s">
        <v>495</v>
      </c>
      <c r="I479" s="267" t="str">
        <f>IF($H$9="USD","USD","tr. VND")</f>
        <v>tr. VND</v>
      </c>
      <c r="K479" s="266"/>
      <c r="L479" s="269">
        <f>L477+L393</f>
        <v>-34880.680747376784</v>
      </c>
      <c r="M479" s="269">
        <f t="shared" ref="M479:AJ479" si="833">M477+M393</f>
        <v>-10163.647394149477</v>
      </c>
      <c r="N479" s="269">
        <f t="shared" si="833"/>
        <v>22707.918439227156</v>
      </c>
      <c r="O479" s="269">
        <f t="shared" si="833"/>
        <v>23278.038492107939</v>
      </c>
      <c r="P479" s="269">
        <f t="shared" si="833"/>
        <v>23805.016998550156</v>
      </c>
      <c r="Q479" s="269">
        <f t="shared" si="833"/>
        <v>24285.768764205917</v>
      </c>
      <c r="R479" s="269">
        <f t="shared" si="833"/>
        <v>24717.076159386022</v>
      </c>
      <c r="S479" s="269">
        <f t="shared" si="833"/>
        <v>25095.586164717446</v>
      </c>
      <c r="T479" s="269">
        <f t="shared" si="833"/>
        <v>25417.807600907923</v>
      </c>
      <c r="U479" s="269">
        <f t="shared" si="833"/>
        <v>25680.108579135616</v>
      </c>
      <c r="V479" s="269">
        <f t="shared" si="833"/>
        <v>25878.714212612365</v>
      </c>
      <c r="W479" s="269">
        <f t="shared" si="833"/>
        <v>26009.704634269001</v>
      </c>
      <c r="X479" s="269">
        <f t="shared" si="833"/>
        <v>55224.893370330043</v>
      </c>
      <c r="Y479" s="269">
        <f t="shared" si="833"/>
        <v>55208.306124801922</v>
      </c>
      <c r="Z479" s="269">
        <f t="shared" si="833"/>
        <v>55111.460035651166</v>
      </c>
      <c r="AA479" s="269">
        <f t="shared" si="833"/>
        <v>54929.84346971591</v>
      </c>
      <c r="AB479" s="269">
        <f t="shared" si="833"/>
        <v>54658.796430249058</v>
      </c>
      <c r="AC479" s="269">
        <f t="shared" si="833"/>
        <v>54293.51165845088</v>
      </c>
      <c r="AD479" s="269">
        <f t="shared" si="833"/>
        <v>53829.036518501118</v>
      </c>
      <c r="AE479" s="269">
        <f t="shared" si="833"/>
        <v>53260.275764477963</v>
      </c>
      <c r="AF479" s="269">
        <f t="shared" si="833"/>
        <v>52581.995297218033</v>
      </c>
      <c r="AG479" s="269">
        <f t="shared" si="833"/>
        <v>51788.827029725944</v>
      </c>
      <c r="AH479" s="269">
        <f t="shared" si="833"/>
        <v>50875.274991203798</v>
      </c>
      <c r="AI479" s="269">
        <f t="shared" si="833"/>
        <v>49835.722812277847</v>
      </c>
      <c r="AJ479" s="269">
        <f t="shared" si="833"/>
        <v>48664.442747597059</v>
      </c>
    </row>
    <row r="480" spans="1:36" s="146" customFormat="1" hidden="1" x14ac:dyDescent="0.25">
      <c r="A480" s="146" t="s">
        <v>424</v>
      </c>
      <c r="H480" s="146" t="s">
        <v>496</v>
      </c>
      <c r="I480" s="144"/>
      <c r="L480" s="147">
        <f>IFERROR(L479/L477,0)</f>
        <v>-0.23495995331289843</v>
      </c>
      <c r="M480" s="147">
        <f t="shared" ref="M480:AJ480" si="834">IFERROR(M479/M477,0)</f>
        <v>-4.7943559810824918E-2</v>
      </c>
      <c r="N480" s="147">
        <f t="shared" si="834"/>
        <v>7.351160103154461E-2</v>
      </c>
      <c r="O480" s="147">
        <f t="shared" si="834"/>
        <v>7.3879639231525046E-2</v>
      </c>
      <c r="P480" s="147">
        <f t="shared" si="834"/>
        <v>7.4070744218278278E-2</v>
      </c>
      <c r="Q480" s="147">
        <f t="shared" si="834"/>
        <v>7.4084933621399326E-2</v>
      </c>
      <c r="R480" s="147">
        <f t="shared" si="834"/>
        <v>7.3922213795175662E-2</v>
      </c>
      <c r="S480" s="147">
        <f t="shared" si="834"/>
        <v>7.3582585047002921E-2</v>
      </c>
      <c r="T480" s="147">
        <f t="shared" si="834"/>
        <v>7.3066047224017744E-2</v>
      </c>
      <c r="U480" s="147">
        <f t="shared" si="834"/>
        <v>7.2372605682908181E-2</v>
      </c>
      <c r="V480" s="147">
        <f t="shared" si="834"/>
        <v>7.1502277669409781E-2</v>
      </c>
      <c r="W480" s="147">
        <f t="shared" si="834"/>
        <v>7.0455099135612986E-2</v>
      </c>
      <c r="X480" s="147">
        <f t="shared" si="834"/>
        <v>0.14666001469531165</v>
      </c>
      <c r="Y480" s="147">
        <f t="shared" si="834"/>
        <v>0.14374114134119037</v>
      </c>
      <c r="Z480" s="147">
        <f t="shared" si="834"/>
        <v>0.140675481831363</v>
      </c>
      <c r="AA480" s="147">
        <f t="shared" si="834"/>
        <v>0.13746264125331448</v>
      </c>
      <c r="AB480" s="147">
        <f t="shared" si="834"/>
        <v>0.13410229661139614</v>
      </c>
      <c r="AC480" s="147">
        <f t="shared" si="834"/>
        <v>0.13059420674181021</v>
      </c>
      <c r="AD480" s="147">
        <f t="shared" si="834"/>
        <v>0.1269382229214325</v>
      </c>
      <c r="AE480" s="147">
        <f t="shared" si="834"/>
        <v>0.12313430021565368</v>
      </c>
      <c r="AF480" s="147">
        <f t="shared" si="834"/>
        <v>0.11918250961316548</v>
      </c>
      <c r="AG480" s="147">
        <f t="shared" si="834"/>
        <v>0.11508305099858192</v>
      </c>
      <c r="AH480" s="147">
        <f t="shared" si="834"/>
        <v>0.11083626701685567</v>
      </c>
      <c r="AI480" s="147">
        <f t="shared" si="834"/>
        <v>0.10644265788676813</v>
      </c>
      <c r="AJ480" s="147">
        <f t="shared" si="834"/>
        <v>0.10190289722425412</v>
      </c>
    </row>
    <row r="481" spans="1:36" hidden="1" x14ac:dyDescent="0.25">
      <c r="A481" t="s">
        <v>424</v>
      </c>
    </row>
    <row r="482" spans="1:36" s="16" customFormat="1" hidden="1" x14ac:dyDescent="0.25">
      <c r="A482" s="16" t="s">
        <v>424</v>
      </c>
      <c r="D482" s="16" t="s">
        <v>488</v>
      </c>
      <c r="H482" s="270" t="s">
        <v>488</v>
      </c>
      <c r="I482" s="271" t="str">
        <f>IF($H$9="USD","USD","tr. VND")</f>
        <v>tr. VND</v>
      </c>
      <c r="K482" s="270"/>
      <c r="L482" s="272">
        <f t="shared" ref="L482:AJ482" si="835">L479*(1-Tax_rate)</f>
        <v>-27904.544597901429</v>
      </c>
      <c r="M482" s="272">
        <f t="shared" si="835"/>
        <v>-8130.9179153195819</v>
      </c>
      <c r="N482" s="272">
        <f t="shared" si="835"/>
        <v>18166.334751381724</v>
      </c>
      <c r="O482" s="272">
        <f t="shared" si="835"/>
        <v>18622.430793686352</v>
      </c>
      <c r="P482" s="272">
        <f t="shared" si="835"/>
        <v>19044.013598840127</v>
      </c>
      <c r="Q482" s="272">
        <f t="shared" si="835"/>
        <v>19428.615011364735</v>
      </c>
      <c r="R482" s="272">
        <f t="shared" si="835"/>
        <v>19773.660927508819</v>
      </c>
      <c r="S482" s="272">
        <f t="shared" si="835"/>
        <v>20076.468931773958</v>
      </c>
      <c r="T482" s="272">
        <f t="shared" si="835"/>
        <v>20334.246080726341</v>
      </c>
      <c r="U482" s="272">
        <f t="shared" si="835"/>
        <v>20544.086863308494</v>
      </c>
      <c r="V482" s="272">
        <f t="shared" si="835"/>
        <v>20702.971370089894</v>
      </c>
      <c r="W482" s="272">
        <f t="shared" si="835"/>
        <v>20807.763707415201</v>
      </c>
      <c r="X482" s="272">
        <f t="shared" si="835"/>
        <v>44179.914696264037</v>
      </c>
      <c r="Y482" s="272">
        <f t="shared" si="835"/>
        <v>44166.644899841544</v>
      </c>
      <c r="Z482" s="272">
        <f t="shared" si="835"/>
        <v>44089.168028520937</v>
      </c>
      <c r="AA482" s="272">
        <f t="shared" si="835"/>
        <v>43943.874775772732</v>
      </c>
      <c r="AB482" s="272">
        <f t="shared" si="835"/>
        <v>43727.037144199247</v>
      </c>
      <c r="AC482" s="272">
        <f t="shared" si="835"/>
        <v>43434.809326760704</v>
      </c>
      <c r="AD482" s="272">
        <f t="shared" si="835"/>
        <v>43063.2292148009</v>
      </c>
      <c r="AE482" s="272">
        <f t="shared" si="835"/>
        <v>42608.220611582372</v>
      </c>
      <c r="AF482" s="272">
        <f t="shared" si="835"/>
        <v>42065.596237774429</v>
      </c>
      <c r="AG482" s="272">
        <f t="shared" si="835"/>
        <v>41431.061623780755</v>
      </c>
      <c r="AH482" s="272">
        <f t="shared" si="835"/>
        <v>40700.219992963044</v>
      </c>
      <c r="AI482" s="272">
        <f t="shared" si="835"/>
        <v>39868.578249822283</v>
      </c>
      <c r="AJ482" s="272">
        <f t="shared" si="835"/>
        <v>38931.554198077647</v>
      </c>
    </row>
    <row r="483" spans="1:36" s="146" customFormat="1" hidden="1" x14ac:dyDescent="0.25">
      <c r="A483" s="146" t="s">
        <v>424</v>
      </c>
      <c r="H483" s="146" t="s">
        <v>489</v>
      </c>
      <c r="I483" s="144"/>
      <c r="L483" s="147">
        <f>IFERROR(L482/L477,0)</f>
        <v>-0.18796796265031876</v>
      </c>
      <c r="M483" s="147">
        <f t="shared" ref="M483:AJ483" si="836">IFERROR(M482/M477,0)</f>
        <v>-3.8354847848659931E-2</v>
      </c>
      <c r="N483" s="147">
        <f t="shared" si="836"/>
        <v>5.8809280825235684E-2</v>
      </c>
      <c r="O483" s="147">
        <f t="shared" si="836"/>
        <v>5.910371138522004E-2</v>
      </c>
      <c r="P483" s="147">
        <f t="shared" si="836"/>
        <v>5.9256595374622627E-2</v>
      </c>
      <c r="Q483" s="147">
        <f t="shared" si="836"/>
        <v>5.9267946897119464E-2</v>
      </c>
      <c r="R483" s="147">
        <f t="shared" si="836"/>
        <v>5.9137771036140534E-2</v>
      </c>
      <c r="S483" s="147">
        <f t="shared" si="836"/>
        <v>5.8866068037602338E-2</v>
      </c>
      <c r="T483" s="147">
        <f t="shared" si="836"/>
        <v>5.8452837779214208E-2</v>
      </c>
      <c r="U483" s="147">
        <f t="shared" si="836"/>
        <v>5.7898084546326542E-2</v>
      </c>
      <c r="V483" s="147">
        <f t="shared" si="836"/>
        <v>5.7201822135527831E-2</v>
      </c>
      <c r="W483" s="147">
        <f t="shared" si="836"/>
        <v>5.6364079308490384E-2</v>
      </c>
      <c r="X483" s="147">
        <f t="shared" si="836"/>
        <v>0.11732801175624932</v>
      </c>
      <c r="Y483" s="147">
        <f t="shared" si="836"/>
        <v>0.11499291307295233</v>
      </c>
      <c r="Z483" s="147">
        <f t="shared" si="836"/>
        <v>0.11254038546509042</v>
      </c>
      <c r="AA483" s="147">
        <f t="shared" si="836"/>
        <v>0.1099701130026516</v>
      </c>
      <c r="AB483" s="147">
        <f t="shared" si="836"/>
        <v>0.10728183728911692</v>
      </c>
      <c r="AC483" s="147">
        <f t="shared" si="836"/>
        <v>0.10447536539344816</v>
      </c>
      <c r="AD483" s="147">
        <f t="shared" si="836"/>
        <v>0.10155057833714602</v>
      </c>
      <c r="AE483" s="147">
        <f t="shared" si="836"/>
        <v>9.8507440172522942E-2</v>
      </c>
      <c r="AF483" s="147">
        <f t="shared" si="836"/>
        <v>9.5346007690532392E-2</v>
      </c>
      <c r="AG483" s="147">
        <f t="shared" si="836"/>
        <v>9.2066440798865529E-2</v>
      </c>
      <c r="AH483" s="147">
        <f t="shared" si="836"/>
        <v>8.8669013613484546E-2</v>
      </c>
      <c r="AI483" s="147">
        <f t="shared" si="836"/>
        <v>8.5154126309414505E-2</v>
      </c>
      <c r="AJ483" s="147">
        <f t="shared" si="836"/>
        <v>8.1522317779403303E-2</v>
      </c>
    </row>
    <row r="484" spans="1:36" hidden="1" x14ac:dyDescent="0.25">
      <c r="A484" t="s">
        <v>424</v>
      </c>
    </row>
    <row r="485" spans="1:36" s="16" customFormat="1" hidden="1" x14ac:dyDescent="0.25">
      <c r="A485" s="16" t="s">
        <v>424</v>
      </c>
      <c r="H485" s="270" t="s">
        <v>477</v>
      </c>
      <c r="I485" s="271" t="str">
        <f>IF($H$9="USD","USD","tr. VND")</f>
        <v>tr. VND</v>
      </c>
      <c r="K485" s="272">
        <f>SUM(K487:K490)</f>
        <v>-486414</v>
      </c>
      <c r="L485" s="272">
        <f t="shared" ref="L485:AJ485" si="837">SUM(L487:L490)</f>
        <v>0</v>
      </c>
      <c r="M485" s="272">
        <f t="shared" si="837"/>
        <v>0</v>
      </c>
      <c r="N485" s="272">
        <f t="shared" si="837"/>
        <v>0</v>
      </c>
      <c r="O485" s="272">
        <f t="shared" si="837"/>
        <v>0</v>
      </c>
      <c r="P485" s="272">
        <f t="shared" si="837"/>
        <v>0</v>
      </c>
      <c r="Q485" s="272">
        <f t="shared" si="837"/>
        <v>0</v>
      </c>
      <c r="R485" s="272">
        <f t="shared" si="837"/>
        <v>0</v>
      </c>
      <c r="S485" s="272">
        <f t="shared" si="837"/>
        <v>0</v>
      </c>
      <c r="T485" s="272">
        <f t="shared" si="837"/>
        <v>0</v>
      </c>
      <c r="U485" s="272">
        <f t="shared" si="837"/>
        <v>0</v>
      </c>
      <c r="V485" s="272">
        <f t="shared" si="837"/>
        <v>0</v>
      </c>
      <c r="W485" s="272">
        <f t="shared" si="837"/>
        <v>0</v>
      </c>
      <c r="X485" s="272">
        <f t="shared" si="837"/>
        <v>0</v>
      </c>
      <c r="Y485" s="272">
        <f t="shared" si="837"/>
        <v>0</v>
      </c>
      <c r="Z485" s="272">
        <f t="shared" si="837"/>
        <v>0</v>
      </c>
      <c r="AA485" s="272">
        <f t="shared" si="837"/>
        <v>0</v>
      </c>
      <c r="AB485" s="272">
        <f t="shared" si="837"/>
        <v>0</v>
      </c>
      <c r="AC485" s="272">
        <f t="shared" si="837"/>
        <v>0</v>
      </c>
      <c r="AD485" s="272">
        <f t="shared" si="837"/>
        <v>0</v>
      </c>
      <c r="AE485" s="272">
        <f t="shared" si="837"/>
        <v>0</v>
      </c>
      <c r="AF485" s="272">
        <f t="shared" si="837"/>
        <v>0</v>
      </c>
      <c r="AG485" s="272">
        <f t="shared" si="837"/>
        <v>0</v>
      </c>
      <c r="AH485" s="272">
        <f t="shared" si="837"/>
        <v>0</v>
      </c>
      <c r="AI485" s="272">
        <f t="shared" si="837"/>
        <v>0</v>
      </c>
      <c r="AJ485" s="272">
        <f t="shared" si="837"/>
        <v>0</v>
      </c>
    </row>
    <row r="486" spans="1:36" hidden="1" x14ac:dyDescent="0.25">
      <c r="A486" t="s">
        <v>424</v>
      </c>
    </row>
    <row r="487" spans="1:36" hidden="1" x14ac:dyDescent="0.25">
      <c r="A487" t="s">
        <v>424</v>
      </c>
      <c r="B487" t="s">
        <v>480</v>
      </c>
      <c r="H487" s="459" t="s">
        <v>30</v>
      </c>
      <c r="I487" s="494" t="str">
        <f t="shared" ref="I487:I490" si="838">IF($H$9="USD","USD","tr. VND")</f>
        <v>tr. VND</v>
      </c>
      <c r="K487" s="461" cm="1">
        <f t="array" ref="K487">-SUMPRODUCT('W1'!$H$10:$AI$60*('W1'!$A$10:$A$60=$B487)*('W1'!$H$7:$AI$7="Giá trị đầu tư")*('W1'!$H$6:$AI$6=$A487))*$H$10</f>
        <v>-277888</v>
      </c>
      <c r="L487" s="461"/>
      <c r="M487" s="461"/>
      <c r="N487" s="461"/>
      <c r="O487" s="461"/>
      <c r="P487" s="461"/>
      <c r="Q487" s="461"/>
      <c r="R487" s="461"/>
      <c r="S487" s="461"/>
      <c r="T487" s="461"/>
      <c r="U487" s="461"/>
      <c r="V487" s="461"/>
      <c r="W487" s="461"/>
      <c r="X487" s="461"/>
      <c r="Y487" s="461"/>
      <c r="Z487" s="461"/>
      <c r="AA487" s="461"/>
      <c r="AB487" s="461"/>
      <c r="AC487" s="461"/>
      <c r="AD487" s="461"/>
      <c r="AE487" s="461"/>
      <c r="AF487" s="461"/>
      <c r="AG487" s="461"/>
      <c r="AH487" s="461"/>
      <c r="AI487" s="461"/>
      <c r="AJ487" s="461"/>
    </row>
    <row r="488" spans="1:36" hidden="1" x14ac:dyDescent="0.25">
      <c r="A488" t="s">
        <v>424</v>
      </c>
      <c r="B488" t="s">
        <v>481</v>
      </c>
      <c r="H488" s="454" t="s">
        <v>32</v>
      </c>
      <c r="I488" s="497" t="str">
        <f t="shared" si="838"/>
        <v>tr. VND</v>
      </c>
      <c r="K488" s="457" cm="1">
        <f t="array" ref="K488">-SUMPRODUCT('W1'!$H$10:$AI$60*('W1'!$A$10:$A$60=$B488)*('W1'!$H$7:$AI$7="Giá trị đầu tư")*('W1'!$H$6:$AI$6=$A488))*$H$10</f>
        <v>-40872</v>
      </c>
      <c r="L488" s="457"/>
      <c r="M488" s="457"/>
      <c r="N488" s="457"/>
      <c r="O488" s="457"/>
      <c r="P488" s="457"/>
      <c r="Q488" s="457"/>
      <c r="R488" s="457"/>
      <c r="S488" s="457"/>
      <c r="T488" s="457"/>
      <c r="U488" s="457"/>
      <c r="V488" s="457"/>
      <c r="W488" s="457"/>
      <c r="X488" s="457"/>
      <c r="Y488" s="457"/>
      <c r="Z488" s="457"/>
      <c r="AA488" s="457"/>
      <c r="AB488" s="457"/>
      <c r="AC488" s="457"/>
      <c r="AD488" s="457"/>
      <c r="AE488" s="457"/>
      <c r="AF488" s="457"/>
      <c r="AG488" s="457"/>
      <c r="AH488" s="457"/>
      <c r="AI488" s="457"/>
      <c r="AJ488" s="457"/>
    </row>
    <row r="489" spans="1:36" hidden="1" x14ac:dyDescent="0.25">
      <c r="A489" t="s">
        <v>424</v>
      </c>
      <c r="B489" t="s">
        <v>482</v>
      </c>
      <c r="H489" s="454" t="s">
        <v>478</v>
      </c>
      <c r="I489" s="497" t="str">
        <f t="shared" si="838"/>
        <v>tr. VND</v>
      </c>
      <c r="K489" s="457" cm="1">
        <f t="array" ref="K489">-SUMPRODUCT('W1'!$H$10:$AI$60*('W1'!$A$10:$A$60=$B489)*('W1'!$H$7:$AI$7="Giá trị đầu tư")*('W1'!$H$6:$AI$6=$A489))*$H$10</f>
        <v>-150000</v>
      </c>
      <c r="L489" s="457"/>
      <c r="M489" s="457"/>
      <c r="N489" s="457"/>
      <c r="O489" s="457"/>
      <c r="P489" s="457"/>
      <c r="Q489" s="457"/>
      <c r="R489" s="457"/>
      <c r="S489" s="457"/>
      <c r="T489" s="457"/>
      <c r="U489" s="457"/>
      <c r="V489" s="457"/>
      <c r="W489" s="457"/>
      <c r="X489" s="457"/>
      <c r="Y489" s="457"/>
      <c r="Z489" s="457"/>
      <c r="AA489" s="457"/>
      <c r="AB489" s="457"/>
      <c r="AC489" s="457"/>
      <c r="AD489" s="457"/>
      <c r="AE489" s="457"/>
      <c r="AF489" s="457"/>
      <c r="AG489" s="457"/>
      <c r="AH489" s="457"/>
      <c r="AI489" s="457"/>
      <c r="AJ489" s="457"/>
    </row>
    <row r="490" spans="1:36" hidden="1" x14ac:dyDescent="0.25">
      <c r="A490" t="s">
        <v>424</v>
      </c>
      <c r="B490" t="s">
        <v>483</v>
      </c>
      <c r="H490" s="454" t="s">
        <v>479</v>
      </c>
      <c r="I490" s="497" t="str">
        <f t="shared" si="838"/>
        <v>tr. VND</v>
      </c>
      <c r="K490" s="457" cm="1">
        <f t="array" ref="K490">-SUMPRODUCT('W1'!$H$10:$AI$60*('W1'!$A$10:$A$60=$B490)*('W1'!$H$7:$AI$7="Giá trị đầu tư")*('W1'!$H$6:$AI$6=$A490))*$H$10</f>
        <v>-17654</v>
      </c>
      <c r="L490" s="457"/>
      <c r="M490" s="457"/>
      <c r="N490" s="457"/>
      <c r="O490" s="457"/>
      <c r="P490" s="457"/>
      <c r="Q490" s="457"/>
      <c r="R490" s="457"/>
      <c r="S490" s="457"/>
      <c r="T490" s="457"/>
      <c r="U490" s="457"/>
      <c r="V490" s="457"/>
      <c r="W490" s="457"/>
      <c r="X490" s="457"/>
      <c r="Y490" s="457"/>
      <c r="Z490" s="457"/>
      <c r="AA490" s="457"/>
      <c r="AB490" s="457"/>
      <c r="AC490" s="457"/>
      <c r="AD490" s="457"/>
      <c r="AE490" s="457"/>
      <c r="AF490" s="457"/>
      <c r="AG490" s="457"/>
      <c r="AH490" s="457"/>
      <c r="AI490" s="457"/>
      <c r="AJ490" s="457"/>
    </row>
    <row r="491" spans="1:36" hidden="1" x14ac:dyDescent="0.25">
      <c r="A491" t="s">
        <v>424</v>
      </c>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spans="1:36" s="16" customFormat="1" hidden="1" x14ac:dyDescent="0.25">
      <c r="A492" s="16" t="s">
        <v>424</v>
      </c>
      <c r="H492" s="270" t="s">
        <v>498</v>
      </c>
      <c r="I492" s="271" t="str">
        <f>IF($H$9="USD","USD","tr. VND")</f>
        <v>tr. VND</v>
      </c>
      <c r="K492" s="272">
        <f>K485</f>
        <v>-486414</v>
      </c>
      <c r="L492" s="272">
        <f t="shared" ref="L492:AJ492" si="839">L477+L393-(L365+L391)</f>
        <v>26393.00325262321</v>
      </c>
      <c r="M492" s="272">
        <f t="shared" si="839"/>
        <v>50869.584523566868</v>
      </c>
      <c r="N492" s="272">
        <f t="shared" si="839"/>
        <v>83481.462108077161</v>
      </c>
      <c r="O492" s="272">
        <f t="shared" si="839"/>
        <v>83771.118852182291</v>
      </c>
      <c r="P492" s="272">
        <f t="shared" si="839"/>
        <v>83995.196985146802</v>
      </c>
      <c r="Q492" s="272">
        <f t="shared" si="839"/>
        <v>84148.816347446642</v>
      </c>
      <c r="R492" s="272">
        <f t="shared" si="839"/>
        <v>84226.820747002363</v>
      </c>
      <c r="S492" s="272">
        <f t="shared" si="839"/>
        <v>84223.763517059444</v>
      </c>
      <c r="T492" s="272">
        <f t="shared" si="839"/>
        <v>84133.892339153623</v>
      </c>
      <c r="U492" s="272">
        <f t="shared" si="839"/>
        <v>83951.133294157305</v>
      </c>
      <c r="V492" s="272">
        <f t="shared" si="839"/>
        <v>83669.074102552142</v>
      </c>
      <c r="W492" s="272">
        <f t="shared" si="839"/>
        <v>83280.946513120318</v>
      </c>
      <c r="X492" s="272">
        <f t="shared" si="839"/>
        <v>83900.987797205802</v>
      </c>
      <c r="Y492" s="272">
        <f t="shared" si="839"/>
        <v>83278.901303544102</v>
      </c>
      <c r="Z492" s="272">
        <f t="shared" si="839"/>
        <v>82528.116026409058</v>
      </c>
      <c r="AA492" s="272">
        <f t="shared" si="839"/>
        <v>81640.24513745078</v>
      </c>
      <c r="AB492" s="272">
        <f t="shared" si="839"/>
        <v>80606.44342911907</v>
      </c>
      <c r="AC492" s="272">
        <f t="shared" si="839"/>
        <v>79417.383614946841</v>
      </c>
      <c r="AD492" s="272">
        <f t="shared" si="839"/>
        <v>78063.231429233099</v>
      </c>
      <c r="AE492" s="272">
        <f t="shared" si="839"/>
        <v>76533.619465784854</v>
      </c>
      <c r="AF492" s="272">
        <f t="shared" si="839"/>
        <v>74817.619692345819</v>
      </c>
      <c r="AG492" s="272">
        <f t="shared" si="839"/>
        <v>72903.714574180311</v>
      </c>
      <c r="AH492" s="272">
        <f t="shared" si="839"/>
        <v>70779.766736930862</v>
      </c>
      <c r="AI492" s="272">
        <f t="shared" si="839"/>
        <v>68432.987095379416</v>
      </c>
      <c r="AJ492" s="272">
        <f t="shared" si="839"/>
        <v>65849.901371063112</v>
      </c>
    </row>
    <row r="493" spans="1:36" hidden="1" x14ac:dyDescent="0.25">
      <c r="A493" t="s">
        <v>424</v>
      </c>
      <c r="H493" t="s">
        <v>292</v>
      </c>
      <c r="I493" s="65" t="str">
        <f t="shared" ref="I493:I500" si="840">IF($H$9="USD","USD","tr. VND")</f>
        <v>tr. VND</v>
      </c>
      <c r="L493" s="15">
        <f t="shared" ref="L493:AJ493" si="841">-(L492+L365)*Tax_rate</f>
        <v>1528.2993494753582</v>
      </c>
      <c r="M493" s="15">
        <f t="shared" si="841"/>
        <v>-3367.0169047133736</v>
      </c>
      <c r="N493" s="15">
        <f t="shared" si="841"/>
        <v>-9889.3924216154337</v>
      </c>
      <c r="O493" s="15">
        <f t="shared" si="841"/>
        <v>-9947.3237704364583</v>
      </c>
      <c r="P493" s="15">
        <f t="shared" si="841"/>
        <v>-9992.1393970293611</v>
      </c>
      <c r="Q493" s="15">
        <f t="shared" si="841"/>
        <v>-10022.863269489329</v>
      </c>
      <c r="R493" s="15">
        <f t="shared" si="841"/>
        <v>-10038.464149400474</v>
      </c>
      <c r="S493" s="15">
        <f t="shared" si="841"/>
        <v>-10037.852703411889</v>
      </c>
      <c r="T493" s="15">
        <f t="shared" si="841"/>
        <v>-10019.878467830726</v>
      </c>
      <c r="U493" s="15">
        <f t="shared" si="841"/>
        <v>-9983.3266588314618</v>
      </c>
      <c r="V493" s="15">
        <f t="shared" si="841"/>
        <v>-9926.9148205104284</v>
      </c>
      <c r="W493" s="15">
        <f t="shared" si="841"/>
        <v>-9849.2893026240636</v>
      </c>
      <c r="X493" s="15">
        <f t="shared" si="841"/>
        <v>-15580.197559441162</v>
      </c>
      <c r="Y493" s="15">
        <f t="shared" si="841"/>
        <v>-15455.780260708822</v>
      </c>
      <c r="Z493" s="15">
        <f t="shared" si="841"/>
        <v>-15305.623205281812</v>
      </c>
      <c r="AA493" s="15">
        <f t="shared" si="841"/>
        <v>-15128.049027490157</v>
      </c>
      <c r="AB493" s="15">
        <f t="shared" si="841"/>
        <v>-14921.288685823814</v>
      </c>
      <c r="AC493" s="15">
        <f t="shared" si="841"/>
        <v>-14683.47672298937</v>
      </c>
      <c r="AD493" s="15">
        <f t="shared" si="841"/>
        <v>-14412.64628584662</v>
      </c>
      <c r="AE493" s="15">
        <f t="shared" si="841"/>
        <v>-14106.723893156972</v>
      </c>
      <c r="AF493" s="15">
        <f t="shared" si="841"/>
        <v>-13763.523938469165</v>
      </c>
      <c r="AG493" s="15">
        <f t="shared" si="841"/>
        <v>-13380.742914836062</v>
      </c>
      <c r="AH493" s="15">
        <f t="shared" si="841"/>
        <v>-12955.953347386174</v>
      </c>
      <c r="AI493" s="15">
        <f t="shared" si="841"/>
        <v>-12486.597419075884</v>
      </c>
      <c r="AJ493" s="15">
        <f t="shared" si="841"/>
        <v>-11969.980274212623</v>
      </c>
    </row>
    <row r="494" spans="1:36" s="16" customFormat="1" hidden="1" x14ac:dyDescent="0.25">
      <c r="A494" s="16" t="s">
        <v>424</v>
      </c>
      <c r="H494" s="270" t="s">
        <v>499</v>
      </c>
      <c r="I494" s="271" t="str">
        <f t="shared" si="840"/>
        <v>tr. VND</v>
      </c>
      <c r="K494" s="272">
        <f>K492+K493</f>
        <v>-486414</v>
      </c>
      <c r="L494" s="272">
        <f t="shared" ref="L494:AJ494" si="842">L492+L493</f>
        <v>27921.302602098567</v>
      </c>
      <c r="M494" s="272">
        <f t="shared" si="842"/>
        <v>47502.567618853493</v>
      </c>
      <c r="N494" s="272">
        <f t="shared" si="842"/>
        <v>73592.069686461735</v>
      </c>
      <c r="O494" s="272">
        <f t="shared" si="842"/>
        <v>73823.795081745833</v>
      </c>
      <c r="P494" s="272">
        <f t="shared" si="842"/>
        <v>74003.057588117445</v>
      </c>
      <c r="Q494" s="272">
        <f t="shared" si="842"/>
        <v>74125.953077957311</v>
      </c>
      <c r="R494" s="272">
        <f t="shared" si="842"/>
        <v>74188.356597601887</v>
      </c>
      <c r="S494" s="272">
        <f t="shared" si="842"/>
        <v>74185.910813647555</v>
      </c>
      <c r="T494" s="272">
        <f t="shared" si="842"/>
        <v>74114.013871322895</v>
      </c>
      <c r="U494" s="272">
        <f t="shared" si="842"/>
        <v>73967.806635325847</v>
      </c>
      <c r="V494" s="272">
        <f t="shared" si="842"/>
        <v>73742.159282041714</v>
      </c>
      <c r="W494" s="272">
        <f t="shared" si="842"/>
        <v>73431.657210496254</v>
      </c>
      <c r="X494" s="272">
        <f t="shared" si="842"/>
        <v>68320.790237764639</v>
      </c>
      <c r="Y494" s="272">
        <f t="shared" si="842"/>
        <v>67823.121042835279</v>
      </c>
      <c r="Z494" s="272">
        <f t="shared" si="842"/>
        <v>67222.492821127249</v>
      </c>
      <c r="AA494" s="272">
        <f t="shared" si="842"/>
        <v>66512.196109960627</v>
      </c>
      <c r="AB494" s="272">
        <f t="shared" si="842"/>
        <v>65685.15474329525</v>
      </c>
      <c r="AC494" s="272">
        <f t="shared" si="842"/>
        <v>64733.906891957471</v>
      </c>
      <c r="AD494" s="272">
        <f t="shared" si="842"/>
        <v>63650.585143386481</v>
      </c>
      <c r="AE494" s="272">
        <f t="shared" si="842"/>
        <v>62426.89557262788</v>
      </c>
      <c r="AF494" s="272">
        <f t="shared" si="842"/>
        <v>61054.095753876652</v>
      </c>
      <c r="AG494" s="272">
        <f t="shared" si="842"/>
        <v>59522.97165934425</v>
      </c>
      <c r="AH494" s="272">
        <f t="shared" si="842"/>
        <v>57823.813389544688</v>
      </c>
      <c r="AI494" s="272">
        <f t="shared" si="842"/>
        <v>55946.38967630353</v>
      </c>
      <c r="AJ494" s="272">
        <f t="shared" si="842"/>
        <v>53879.921096850492</v>
      </c>
    </row>
    <row r="495" spans="1:36" hidden="1" x14ac:dyDescent="0.25">
      <c r="A495" t="s">
        <v>424</v>
      </c>
      <c r="H495" t="s">
        <v>500</v>
      </c>
      <c r="K495" s="95">
        <f>INDEX('Cover Page'!$H$23:$W$23,MATCH($A495,'Cover Page'!$H$5:$W$5,0))</f>
        <v>7.8540000000000013E-2</v>
      </c>
    </row>
    <row r="496" spans="1:36" s="16" customFormat="1" hidden="1" x14ac:dyDescent="0.25">
      <c r="A496" s="16" t="s">
        <v>424</v>
      </c>
      <c r="D496" s="16" t="s">
        <v>515</v>
      </c>
      <c r="H496" s="270" t="s">
        <v>501</v>
      </c>
      <c r="I496" s="271" t="str">
        <f t="shared" si="840"/>
        <v>tr. VND</v>
      </c>
      <c r="K496" s="272">
        <f>K494/POWER(1+$K495,K$14)</f>
        <v>-486414</v>
      </c>
      <c r="L496" s="272">
        <f t="shared" ref="L496:AJ496" si="843">L494/POWER(1+$K495,L$14)</f>
        <v>25888.054779700858</v>
      </c>
      <c r="M496" s="272">
        <f t="shared" si="843"/>
        <v>40836.129449925618</v>
      </c>
      <c r="N496" s="272">
        <f t="shared" si="843"/>
        <v>58657.324193051936</v>
      </c>
      <c r="O496" s="272">
        <f t="shared" si="843"/>
        <v>54557.108061209787</v>
      </c>
      <c r="P496" s="272">
        <f t="shared" si="843"/>
        <v>50707.054228118439</v>
      </c>
      <c r="Q496" s="272">
        <f t="shared" si="843"/>
        <v>47092.608973320654</v>
      </c>
      <c r="R496" s="272">
        <f t="shared" si="843"/>
        <v>43700.052161721294</v>
      </c>
      <c r="S496" s="272">
        <f t="shared" si="843"/>
        <v>40516.449545162897</v>
      </c>
      <c r="T496" s="272">
        <f t="shared" si="843"/>
        <v>37529.607812440881</v>
      </c>
      <c r="U496" s="272">
        <f t="shared" si="843"/>
        <v>34728.032227472511</v>
      </c>
      <c r="V496" s="272">
        <f t="shared" si="843"/>
        <v>32100.886704830533</v>
      </c>
      <c r="W496" s="272">
        <f t="shared" si="843"/>
        <v>29637.956180773181</v>
      </c>
      <c r="X496" s="272">
        <f t="shared" si="843"/>
        <v>25567.104505039664</v>
      </c>
      <c r="Y496" s="272">
        <f t="shared" si="843"/>
        <v>23532.614480934586</v>
      </c>
      <c r="Z496" s="272">
        <f t="shared" si="843"/>
        <v>21625.729481584593</v>
      </c>
      <c r="AA496" s="272">
        <f t="shared" si="843"/>
        <v>19839.064244810419</v>
      </c>
      <c r="AB496" s="272">
        <f t="shared" si="843"/>
        <v>18165.646849817913</v>
      </c>
      <c r="AC496" s="272">
        <f t="shared" si="843"/>
        <v>16598.895927031266</v>
      </c>
      <c r="AD496" s="272">
        <f t="shared" si="843"/>
        <v>15132.599116105992</v>
      </c>
      <c r="AE496" s="272">
        <f t="shared" si="843"/>
        <v>13760.892703947335</v>
      </c>
      <c r="AF496" s="272">
        <f t="shared" si="843"/>
        <v>12478.24237827933</v>
      </c>
      <c r="AG496" s="272">
        <f t="shared" si="843"/>
        <v>11279.425035830658</v>
      </c>
      <c r="AH496" s="272">
        <f t="shared" si="843"/>
        <v>10159.511587526114</v>
      </c>
      <c r="AI496" s="272">
        <f t="shared" si="843"/>
        <v>9113.8507062189728</v>
      </c>
      <c r="AJ496" s="272">
        <f t="shared" si="843"/>
        <v>8138.0534654712847</v>
      </c>
    </row>
    <row r="497" spans="1:36" hidden="1" x14ac:dyDescent="0.25">
      <c r="A497" t="s">
        <v>424</v>
      </c>
      <c r="H497" t="s">
        <v>503</v>
      </c>
      <c r="I497" s="65" t="str">
        <f t="shared" si="840"/>
        <v>tr. VND</v>
      </c>
      <c r="K497" s="15">
        <f>SUM($K496:K496)</f>
        <v>-486414</v>
      </c>
      <c r="L497" s="15">
        <f>SUM($K496:L496)</f>
        <v>-460525.94522029912</v>
      </c>
      <c r="M497" s="15">
        <f>SUM($K496:M496)</f>
        <v>-419689.81577037351</v>
      </c>
      <c r="N497" s="15">
        <f>SUM($K496:N496)</f>
        <v>-361032.49157732155</v>
      </c>
      <c r="O497" s="15">
        <f>SUM($K496:O496)</f>
        <v>-306475.38351611176</v>
      </c>
      <c r="P497" s="15">
        <f>SUM($K496:P496)</f>
        <v>-255768.32928799331</v>
      </c>
      <c r="Q497" s="15">
        <f>SUM($K496:Q496)</f>
        <v>-208675.72031467265</v>
      </c>
      <c r="R497" s="15">
        <f>SUM($K496:R496)</f>
        <v>-164975.66815295134</v>
      </c>
      <c r="S497" s="15">
        <f>SUM($K496:S496)</f>
        <v>-124459.21860778844</v>
      </c>
      <c r="T497" s="15">
        <f>SUM($K496:T496)</f>
        <v>-86929.610795347558</v>
      </c>
      <c r="U497" s="15">
        <f>SUM($K496:U496)</f>
        <v>-52201.578567875047</v>
      </c>
      <c r="V497" s="15">
        <f>SUM($K496:V496)</f>
        <v>-20100.691863044514</v>
      </c>
      <c r="W497" s="15">
        <f>SUM($K496:W496)</f>
        <v>9537.2643177286664</v>
      </c>
      <c r="X497" s="15">
        <f>SUM($K496:X496)</f>
        <v>35104.368822768331</v>
      </c>
      <c r="Y497" s="15">
        <f>SUM($K496:Y496)</f>
        <v>58636.983303702917</v>
      </c>
      <c r="Z497" s="15">
        <f>SUM($K496:Z496)</f>
        <v>80262.712785287513</v>
      </c>
      <c r="AA497" s="15">
        <f>SUM($K496:AA496)</f>
        <v>100101.77703009793</v>
      </c>
      <c r="AB497" s="15">
        <f>SUM($K496:AB496)</f>
        <v>118267.42387991585</v>
      </c>
      <c r="AC497" s="15">
        <f>SUM($K496:AC496)</f>
        <v>134866.31980694711</v>
      </c>
      <c r="AD497" s="15">
        <f>SUM($K496:AD496)</f>
        <v>149998.9189230531</v>
      </c>
      <c r="AE497" s="15">
        <f>SUM($K496:AE496)</f>
        <v>163759.81162700045</v>
      </c>
      <c r="AF497" s="15">
        <f>SUM($K496:AF496)</f>
        <v>176238.05400527979</v>
      </c>
      <c r="AG497" s="15">
        <f>SUM($K496:AG496)</f>
        <v>187517.47904111043</v>
      </c>
      <c r="AH497" s="15">
        <f>SUM($K496:AH496)</f>
        <v>197676.99062863656</v>
      </c>
      <c r="AI497" s="15">
        <f>SUM($K496:AI496)</f>
        <v>206790.84133485553</v>
      </c>
      <c r="AJ497" s="15">
        <f>SUM($K496:AJ496)</f>
        <v>214928.89480032682</v>
      </c>
    </row>
    <row r="498" spans="1:36" hidden="1" x14ac:dyDescent="0.25">
      <c r="A498" t="s">
        <v>424</v>
      </c>
    </row>
    <row r="499" spans="1:36" ht="15.75" hidden="1" thickBot="1" x14ac:dyDescent="0.3">
      <c r="A499" t="s">
        <v>424</v>
      </c>
    </row>
    <row r="500" spans="1:36" hidden="1" x14ac:dyDescent="0.25">
      <c r="A500" t="s">
        <v>424</v>
      </c>
      <c r="D500" t="s">
        <v>544</v>
      </c>
      <c r="H500" s="96" t="s">
        <v>401</v>
      </c>
      <c r="I500" s="310" t="str">
        <f t="shared" si="840"/>
        <v>tr. VND</v>
      </c>
      <c r="J500" s="311"/>
      <c r="K500" s="97">
        <f>SUM(K496:AJ496)</f>
        <v>214928.89480032682</v>
      </c>
      <c r="L500" s="263"/>
      <c r="M500" s="70"/>
      <c r="N500" s="70"/>
    </row>
    <row r="501" spans="1:36" hidden="1" x14ac:dyDescent="0.25">
      <c r="A501" t="s">
        <v>424</v>
      </c>
      <c r="D501" t="s">
        <v>516</v>
      </c>
      <c r="H501" s="212" t="s">
        <v>402</v>
      </c>
      <c r="I501" s="255"/>
      <c r="J501" s="48"/>
      <c r="K501" s="314">
        <f>IFERROR(IRR(K494:AJ494),0)</f>
        <v>0.12432693572564824</v>
      </c>
    </row>
    <row r="502" spans="1:36" ht="15.75" hidden="1" thickBot="1" x14ac:dyDescent="0.3">
      <c r="A502" t="s">
        <v>424</v>
      </c>
      <c r="D502" t="s">
        <v>517</v>
      </c>
      <c r="H502" s="98" t="s">
        <v>403</v>
      </c>
      <c r="I502" s="312" t="s">
        <v>290</v>
      </c>
      <c r="J502" s="313"/>
      <c r="K502" s="315" cm="1">
        <f t="array" ref="K502">ROUNDUP(IF(K500&lt;0,0,INDEX(K$14:AJ$14,,MATCH(_xlfn.MINIFS(K497:AJ497,K497:AJ497,"&gt;"&amp;0),K497:AJ497))-1-INDEX(K497:AJ497,,MATCH(_xlfn.MINIFS(K497:AJ497,K497:AJ497,"&gt;"&amp;0),K497:AJ497)-1)/INDEX(K496:AJ496,,MATCH(_xlfn.MINIFS(K497:AJ497,K497:AJ497,"&gt;"&amp;0),K497:AJ497))),1)</f>
        <v>11.7</v>
      </c>
    </row>
    <row r="503" spans="1:36" hidden="1" x14ac:dyDescent="0.25">
      <c r="A503" t="s">
        <v>424</v>
      </c>
      <c r="H503" s="316" t="str">
        <f>INT(K502)&amp;" năm "&amp;IF(MOD(K502,1)*12=0,,TEXT(MOD(K502,1)*12,"00")&amp;" tháng")</f>
        <v>11 năm 08 tháng</v>
      </c>
    </row>
    <row r="504" spans="1:36" hidden="1" x14ac:dyDescent="0.25">
      <c r="A504" t="s">
        <v>424</v>
      </c>
    </row>
    <row r="505" spans="1:36" hidden="1" x14ac:dyDescent="0.25">
      <c r="A505" t="s">
        <v>424</v>
      </c>
    </row>
    <row r="506" spans="1:36" s="304" customFormat="1" hidden="1" x14ac:dyDescent="0.25">
      <c r="I506" s="305"/>
    </row>
    <row r="507" spans="1:36" s="632" customFormat="1" ht="19.5" hidden="1" x14ac:dyDescent="0.3">
      <c r="A507" s="632" t="s">
        <v>696</v>
      </c>
      <c r="H507" s="633" t="s">
        <v>696</v>
      </c>
      <c r="K507" s="634"/>
      <c r="L507" s="634"/>
      <c r="M507" s="634"/>
      <c r="N507" s="634"/>
      <c r="O507" s="634"/>
      <c r="P507" s="634"/>
      <c r="Q507" s="634"/>
      <c r="R507" s="634"/>
      <c r="S507" s="634"/>
      <c r="T507" s="634"/>
      <c r="U507" s="634"/>
      <c r="V507" s="634"/>
      <c r="W507" s="634"/>
      <c r="X507" s="634"/>
      <c r="Y507" s="634"/>
      <c r="Z507" s="634"/>
      <c r="AA507" s="634"/>
      <c r="AB507" s="634"/>
      <c r="AC507" s="634"/>
      <c r="AD507" s="634"/>
      <c r="AE507" s="634"/>
      <c r="AF507" s="634"/>
      <c r="AG507" s="634"/>
      <c r="AH507" s="634"/>
      <c r="AI507" s="634"/>
      <c r="AJ507" s="634"/>
    </row>
    <row r="508" spans="1:36" hidden="1" x14ac:dyDescent="0.25">
      <c r="A508" t="s">
        <v>696</v>
      </c>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row>
    <row r="509" spans="1:36" s="24" customFormat="1" ht="17.25" hidden="1" x14ac:dyDescent="0.3">
      <c r="A509" s="24" t="s">
        <v>696</v>
      </c>
      <c r="H509" s="24" t="s">
        <v>669</v>
      </c>
      <c r="K509" s="635"/>
      <c r="L509" s="635"/>
      <c r="M509" s="635"/>
      <c r="N509" s="635"/>
      <c r="O509" s="635"/>
      <c r="P509" s="635"/>
      <c r="Q509" s="635"/>
      <c r="R509" s="635"/>
      <c r="S509" s="635"/>
      <c r="T509" s="635"/>
      <c r="U509" s="635"/>
      <c r="V509" s="635"/>
      <c r="W509" s="635"/>
      <c r="X509" s="635"/>
      <c r="Y509" s="635"/>
      <c r="Z509" s="635"/>
      <c r="AA509" s="635"/>
      <c r="AB509" s="635"/>
      <c r="AC509" s="635"/>
      <c r="AD509" s="635"/>
      <c r="AE509" s="635"/>
      <c r="AF509" s="635"/>
      <c r="AG509" s="635"/>
      <c r="AH509" s="635"/>
      <c r="AI509" s="635"/>
      <c r="AJ509" s="635"/>
    </row>
    <row r="510" spans="1:36" hidden="1" x14ac:dyDescent="0.25">
      <c r="A510" t="s">
        <v>696</v>
      </c>
      <c r="H510" s="459" t="s">
        <v>427</v>
      </c>
      <c r="I510" s="494" t="s">
        <v>436</v>
      </c>
      <c r="K510" s="549"/>
      <c r="L510" s="549">
        <f t="shared" ref="L510:AA511" si="844">Capacity*24*365</f>
        <v>7568640</v>
      </c>
      <c r="M510" s="549">
        <f t="shared" si="844"/>
        <v>7568640</v>
      </c>
      <c r="N510" s="549">
        <f t="shared" si="844"/>
        <v>7568640</v>
      </c>
      <c r="O510" s="549">
        <f t="shared" si="844"/>
        <v>7568640</v>
      </c>
      <c r="P510" s="549">
        <f t="shared" si="844"/>
        <v>7568640</v>
      </c>
      <c r="Q510" s="549">
        <f t="shared" si="844"/>
        <v>7568640</v>
      </c>
      <c r="R510" s="549">
        <f t="shared" si="844"/>
        <v>7568640</v>
      </c>
      <c r="S510" s="549">
        <f t="shared" si="844"/>
        <v>7568640</v>
      </c>
      <c r="T510" s="549">
        <f t="shared" si="844"/>
        <v>7568640</v>
      </c>
      <c r="U510" s="549">
        <f t="shared" si="844"/>
        <v>7568640</v>
      </c>
      <c r="V510" s="549">
        <f t="shared" si="844"/>
        <v>7568640</v>
      </c>
      <c r="W510" s="549">
        <f t="shared" si="844"/>
        <v>7568640</v>
      </c>
      <c r="X510" s="549">
        <f t="shared" si="844"/>
        <v>7568640</v>
      </c>
      <c r="Y510" s="549">
        <f t="shared" si="844"/>
        <v>7568640</v>
      </c>
      <c r="Z510" s="549">
        <f t="shared" si="844"/>
        <v>7568640</v>
      </c>
      <c r="AA510" s="549">
        <f t="shared" si="844"/>
        <v>7568640</v>
      </c>
      <c r="AB510" s="549">
        <f t="shared" ref="AA510:AJ511" si="845">Capacity*24*365</f>
        <v>7568640</v>
      </c>
      <c r="AC510" s="549">
        <f t="shared" si="845"/>
        <v>7568640</v>
      </c>
      <c r="AD510" s="549">
        <f t="shared" si="845"/>
        <v>7568640</v>
      </c>
      <c r="AE510" s="549">
        <f t="shared" si="845"/>
        <v>7568640</v>
      </c>
      <c r="AF510" s="549">
        <f t="shared" si="845"/>
        <v>7568640</v>
      </c>
      <c r="AG510" s="549">
        <f t="shared" si="845"/>
        <v>7568640</v>
      </c>
      <c r="AH510" s="549">
        <f t="shared" si="845"/>
        <v>7568640</v>
      </c>
      <c r="AI510" s="549">
        <f t="shared" si="845"/>
        <v>7568640</v>
      </c>
      <c r="AJ510" s="549">
        <f t="shared" si="845"/>
        <v>7568640</v>
      </c>
    </row>
    <row r="511" spans="1:36" hidden="1" x14ac:dyDescent="0.25">
      <c r="A511" t="s">
        <v>696</v>
      </c>
      <c r="H511" s="454" t="s">
        <v>427</v>
      </c>
      <c r="I511" s="497" t="s">
        <v>320</v>
      </c>
      <c r="K511" s="550"/>
      <c r="L511" s="550">
        <f t="shared" si="844"/>
        <v>7568640</v>
      </c>
      <c r="M511" s="550">
        <f t="shared" si="844"/>
        <v>7568640</v>
      </c>
      <c r="N511" s="550">
        <f t="shared" si="844"/>
        <v>7568640</v>
      </c>
      <c r="O511" s="550">
        <f t="shared" si="844"/>
        <v>7568640</v>
      </c>
      <c r="P511" s="550">
        <f t="shared" si="844"/>
        <v>7568640</v>
      </c>
      <c r="Q511" s="550">
        <f t="shared" si="844"/>
        <v>7568640</v>
      </c>
      <c r="R511" s="550">
        <f t="shared" si="844"/>
        <v>7568640</v>
      </c>
      <c r="S511" s="550">
        <f t="shared" si="844"/>
        <v>7568640</v>
      </c>
      <c r="T511" s="550">
        <f t="shared" si="844"/>
        <v>7568640</v>
      </c>
      <c r="U511" s="550">
        <f t="shared" si="844"/>
        <v>7568640</v>
      </c>
      <c r="V511" s="550">
        <f t="shared" si="844"/>
        <v>7568640</v>
      </c>
      <c r="W511" s="550">
        <f t="shared" si="844"/>
        <v>7568640</v>
      </c>
      <c r="X511" s="550">
        <f t="shared" si="844"/>
        <v>7568640</v>
      </c>
      <c r="Y511" s="550">
        <f t="shared" si="844"/>
        <v>7568640</v>
      </c>
      <c r="Z511" s="550">
        <f t="shared" si="844"/>
        <v>7568640</v>
      </c>
      <c r="AA511" s="550">
        <f t="shared" si="845"/>
        <v>7568640</v>
      </c>
      <c r="AB511" s="550">
        <f t="shared" si="845"/>
        <v>7568640</v>
      </c>
      <c r="AC511" s="550">
        <f t="shared" si="845"/>
        <v>7568640</v>
      </c>
      <c r="AD511" s="550">
        <f t="shared" si="845"/>
        <v>7568640</v>
      </c>
      <c r="AE511" s="550">
        <f t="shared" si="845"/>
        <v>7568640</v>
      </c>
      <c r="AF511" s="550">
        <f t="shared" si="845"/>
        <v>7568640</v>
      </c>
      <c r="AG511" s="550">
        <f t="shared" si="845"/>
        <v>7568640</v>
      </c>
      <c r="AH511" s="550">
        <f t="shared" si="845"/>
        <v>7568640</v>
      </c>
      <c r="AI511" s="550">
        <f t="shared" si="845"/>
        <v>7568640</v>
      </c>
      <c r="AJ511" s="550">
        <f t="shared" si="845"/>
        <v>7568640</v>
      </c>
    </row>
    <row r="512" spans="1:36" s="250" customFormat="1" hidden="1" x14ac:dyDescent="0.25">
      <c r="A512" s="250" t="s">
        <v>696</v>
      </c>
      <c r="H512" s="537" t="s">
        <v>460</v>
      </c>
      <c r="I512" s="548"/>
      <c r="K512" s="551"/>
      <c r="L512" s="552">
        <v>0.88</v>
      </c>
      <c r="M512" s="552">
        <v>0.88</v>
      </c>
      <c r="N512" s="552">
        <v>0.88</v>
      </c>
      <c r="O512" s="552">
        <v>0.88</v>
      </c>
      <c r="P512" s="552">
        <v>0.88</v>
      </c>
      <c r="Q512" s="552">
        <v>0.88</v>
      </c>
      <c r="R512" s="552">
        <v>0.88</v>
      </c>
      <c r="S512" s="552">
        <v>0.88</v>
      </c>
      <c r="T512" s="552">
        <v>0.88</v>
      </c>
      <c r="U512" s="552">
        <v>0.88</v>
      </c>
      <c r="V512" s="552">
        <v>0.88</v>
      </c>
      <c r="W512" s="552">
        <v>0.88</v>
      </c>
      <c r="X512" s="552">
        <v>0.88</v>
      </c>
      <c r="Y512" s="552">
        <v>0.88</v>
      </c>
      <c r="Z512" s="552">
        <v>0.88</v>
      </c>
      <c r="AA512" s="552">
        <v>0.88</v>
      </c>
      <c r="AB512" s="552">
        <v>0.88</v>
      </c>
      <c r="AC512" s="552">
        <v>0.88</v>
      </c>
      <c r="AD512" s="552">
        <v>0.88</v>
      </c>
      <c r="AE512" s="552">
        <v>0.88</v>
      </c>
      <c r="AF512" s="552">
        <v>0.88</v>
      </c>
      <c r="AG512" s="552">
        <v>0.88</v>
      </c>
      <c r="AH512" s="552">
        <v>0.88</v>
      </c>
      <c r="AI512" s="552">
        <v>0.88</v>
      </c>
      <c r="AJ512" s="552">
        <v>0.88</v>
      </c>
    </row>
    <row r="513" spans="1:36" s="250" customFormat="1" hidden="1" x14ac:dyDescent="0.25">
      <c r="A513" s="250" t="s">
        <v>696</v>
      </c>
      <c r="H513" s="537" t="s">
        <v>461</v>
      </c>
      <c r="I513" s="548"/>
      <c r="K513" s="551"/>
      <c r="L513" s="552">
        <v>0.5</v>
      </c>
      <c r="M513" s="552">
        <v>0.7</v>
      </c>
      <c r="N513" s="552">
        <v>1</v>
      </c>
      <c r="O513" s="552">
        <v>1</v>
      </c>
      <c r="P513" s="552">
        <v>1</v>
      </c>
      <c r="Q513" s="552">
        <v>1</v>
      </c>
      <c r="R513" s="552">
        <v>1</v>
      </c>
      <c r="S513" s="552">
        <v>1</v>
      </c>
      <c r="T513" s="552">
        <v>1</v>
      </c>
      <c r="U513" s="552">
        <v>1</v>
      </c>
      <c r="V513" s="552">
        <v>1</v>
      </c>
      <c r="W513" s="552">
        <v>1</v>
      </c>
      <c r="X513" s="552">
        <v>1</v>
      </c>
      <c r="Y513" s="552">
        <v>1</v>
      </c>
      <c r="Z513" s="552">
        <v>1</v>
      </c>
      <c r="AA513" s="552">
        <v>1</v>
      </c>
      <c r="AB513" s="552">
        <v>1</v>
      </c>
      <c r="AC513" s="552">
        <v>1</v>
      </c>
      <c r="AD513" s="552">
        <v>1</v>
      </c>
      <c r="AE513" s="552">
        <v>1</v>
      </c>
      <c r="AF513" s="552">
        <v>1</v>
      </c>
      <c r="AG513" s="552">
        <v>1</v>
      </c>
      <c r="AH513" s="552">
        <v>1</v>
      </c>
      <c r="AI513" s="552">
        <v>1</v>
      </c>
      <c r="AJ513" s="552">
        <v>1</v>
      </c>
    </row>
    <row r="514" spans="1:36" hidden="1" x14ac:dyDescent="0.25">
      <c r="A514" t="s">
        <v>696</v>
      </c>
      <c r="B514" t="s">
        <v>437</v>
      </c>
      <c r="H514" s="454" t="s">
        <v>70</v>
      </c>
      <c r="I514" s="497"/>
      <c r="K514" s="550"/>
      <c r="L514" s="553" cm="1">
        <f t="array" ref="L514">SUMPRODUCT('W2'!$M$12:$R$112*('W2'!$M$7:$R$7=$A514)*('W2'!$A$12:$A$112=$B514))</f>
        <v>7.0000000000000007E-2</v>
      </c>
      <c r="M514" s="553">
        <f>L514</f>
        <v>7.0000000000000007E-2</v>
      </c>
      <c r="N514" s="553">
        <f t="shared" ref="N514" si="846">M514</f>
        <v>7.0000000000000007E-2</v>
      </c>
      <c r="O514" s="553">
        <f t="shared" ref="O514" si="847">N514</f>
        <v>7.0000000000000007E-2</v>
      </c>
      <c r="P514" s="553">
        <f t="shared" ref="P514" si="848">O514</f>
        <v>7.0000000000000007E-2</v>
      </c>
      <c r="Q514" s="553">
        <f t="shared" ref="Q514" si="849">P514</f>
        <v>7.0000000000000007E-2</v>
      </c>
      <c r="R514" s="553">
        <f t="shared" ref="R514" si="850">Q514</f>
        <v>7.0000000000000007E-2</v>
      </c>
      <c r="S514" s="553">
        <f t="shared" ref="S514" si="851">R514</f>
        <v>7.0000000000000007E-2</v>
      </c>
      <c r="T514" s="553">
        <f t="shared" ref="T514" si="852">S514</f>
        <v>7.0000000000000007E-2</v>
      </c>
      <c r="U514" s="553">
        <f t="shared" ref="U514" si="853">T514</f>
        <v>7.0000000000000007E-2</v>
      </c>
      <c r="V514" s="553">
        <f t="shared" ref="V514" si="854">U514</f>
        <v>7.0000000000000007E-2</v>
      </c>
      <c r="W514" s="553">
        <f t="shared" ref="W514" si="855">V514</f>
        <v>7.0000000000000007E-2</v>
      </c>
      <c r="X514" s="553">
        <f t="shared" ref="X514" si="856">W514</f>
        <v>7.0000000000000007E-2</v>
      </c>
      <c r="Y514" s="553">
        <f t="shared" ref="Y514" si="857">X514</f>
        <v>7.0000000000000007E-2</v>
      </c>
      <c r="Z514" s="553">
        <f t="shared" ref="Z514" si="858">Y514</f>
        <v>7.0000000000000007E-2</v>
      </c>
      <c r="AA514" s="553">
        <f t="shared" ref="AA514" si="859">Z514</f>
        <v>7.0000000000000007E-2</v>
      </c>
      <c r="AB514" s="553">
        <f t="shared" ref="AB514" si="860">AA514</f>
        <v>7.0000000000000007E-2</v>
      </c>
      <c r="AC514" s="553">
        <f t="shared" ref="AC514" si="861">AB514</f>
        <v>7.0000000000000007E-2</v>
      </c>
      <c r="AD514" s="553">
        <f t="shared" ref="AD514" si="862">AC514</f>
        <v>7.0000000000000007E-2</v>
      </c>
      <c r="AE514" s="553">
        <f t="shared" ref="AE514" si="863">AD514</f>
        <v>7.0000000000000007E-2</v>
      </c>
      <c r="AF514" s="553">
        <f t="shared" ref="AF514" si="864">AE514</f>
        <v>7.0000000000000007E-2</v>
      </c>
      <c r="AG514" s="553">
        <f t="shared" ref="AG514" si="865">AF514</f>
        <v>7.0000000000000007E-2</v>
      </c>
      <c r="AH514" s="553">
        <f t="shared" ref="AH514" si="866">AG514</f>
        <v>7.0000000000000007E-2</v>
      </c>
      <c r="AI514" s="553">
        <f t="shared" ref="AI514" si="867">AH514</f>
        <v>7.0000000000000007E-2</v>
      </c>
      <c r="AJ514" s="553">
        <f t="shared" ref="AJ514" si="868">AI514</f>
        <v>7.0000000000000007E-2</v>
      </c>
    </row>
    <row r="515" spans="1:36" hidden="1" x14ac:dyDescent="0.25">
      <c r="A515" t="s">
        <v>696</v>
      </c>
      <c r="H515" s="454" t="s">
        <v>59</v>
      </c>
      <c r="I515" s="497"/>
      <c r="K515" s="550"/>
      <c r="L515" s="550">
        <f>365*L512*L513</f>
        <v>160.6</v>
      </c>
      <c r="M515" s="550">
        <f t="shared" ref="M515:AJ515" si="869">365*M512*M513</f>
        <v>224.83999999999997</v>
      </c>
      <c r="N515" s="550">
        <f t="shared" si="869"/>
        <v>321.2</v>
      </c>
      <c r="O515" s="550">
        <f t="shared" si="869"/>
        <v>321.2</v>
      </c>
      <c r="P515" s="550">
        <f t="shared" si="869"/>
        <v>321.2</v>
      </c>
      <c r="Q515" s="550">
        <f t="shared" si="869"/>
        <v>321.2</v>
      </c>
      <c r="R515" s="550">
        <f t="shared" si="869"/>
        <v>321.2</v>
      </c>
      <c r="S515" s="550">
        <f t="shared" si="869"/>
        <v>321.2</v>
      </c>
      <c r="T515" s="550">
        <f t="shared" si="869"/>
        <v>321.2</v>
      </c>
      <c r="U515" s="550">
        <f t="shared" si="869"/>
        <v>321.2</v>
      </c>
      <c r="V515" s="550">
        <f t="shared" si="869"/>
        <v>321.2</v>
      </c>
      <c r="W515" s="550">
        <f t="shared" si="869"/>
        <v>321.2</v>
      </c>
      <c r="X515" s="550">
        <f t="shared" si="869"/>
        <v>321.2</v>
      </c>
      <c r="Y515" s="550">
        <f t="shared" si="869"/>
        <v>321.2</v>
      </c>
      <c r="Z515" s="550">
        <f t="shared" si="869"/>
        <v>321.2</v>
      </c>
      <c r="AA515" s="550">
        <f t="shared" si="869"/>
        <v>321.2</v>
      </c>
      <c r="AB515" s="550">
        <f t="shared" si="869"/>
        <v>321.2</v>
      </c>
      <c r="AC515" s="550">
        <f t="shared" si="869"/>
        <v>321.2</v>
      </c>
      <c r="AD515" s="550">
        <f t="shared" si="869"/>
        <v>321.2</v>
      </c>
      <c r="AE515" s="550">
        <f t="shared" si="869"/>
        <v>321.2</v>
      </c>
      <c r="AF515" s="550">
        <f t="shared" si="869"/>
        <v>321.2</v>
      </c>
      <c r="AG515" s="550">
        <f t="shared" si="869"/>
        <v>321.2</v>
      </c>
      <c r="AH515" s="550">
        <f t="shared" si="869"/>
        <v>321.2</v>
      </c>
      <c r="AI515" s="550">
        <f t="shared" si="869"/>
        <v>321.2</v>
      </c>
      <c r="AJ515" s="550">
        <f t="shared" si="869"/>
        <v>321.2</v>
      </c>
    </row>
    <row r="516" spans="1:36" hidden="1" x14ac:dyDescent="0.25">
      <c r="A516" t="s">
        <v>696</v>
      </c>
      <c r="C516" t="s">
        <v>574</v>
      </c>
      <c r="H516" s="454" t="s">
        <v>202</v>
      </c>
      <c r="I516" s="497" t="s">
        <v>436</v>
      </c>
      <c r="K516" s="550"/>
      <c r="L516" s="550">
        <f>L510*L512*(1-L514)*L513</f>
        <v>3097087.4879999999</v>
      </c>
      <c r="M516" s="550">
        <f t="shared" ref="M516:AJ516" si="870">M510*M512*(1-M514)*M513</f>
        <v>4335922.4831999997</v>
      </c>
      <c r="N516" s="550">
        <f t="shared" si="870"/>
        <v>6194174.9759999998</v>
      </c>
      <c r="O516" s="550">
        <f t="shared" si="870"/>
        <v>6194174.9759999998</v>
      </c>
      <c r="P516" s="550">
        <f t="shared" si="870"/>
        <v>6194174.9759999998</v>
      </c>
      <c r="Q516" s="550">
        <f t="shared" si="870"/>
        <v>6194174.9759999998</v>
      </c>
      <c r="R516" s="550">
        <f t="shared" si="870"/>
        <v>6194174.9759999998</v>
      </c>
      <c r="S516" s="550">
        <f t="shared" si="870"/>
        <v>6194174.9759999998</v>
      </c>
      <c r="T516" s="550">
        <f t="shared" si="870"/>
        <v>6194174.9759999998</v>
      </c>
      <c r="U516" s="550">
        <f t="shared" si="870"/>
        <v>6194174.9759999998</v>
      </c>
      <c r="V516" s="550">
        <f t="shared" si="870"/>
        <v>6194174.9759999998</v>
      </c>
      <c r="W516" s="550">
        <f t="shared" si="870"/>
        <v>6194174.9759999998</v>
      </c>
      <c r="X516" s="550">
        <f t="shared" si="870"/>
        <v>6194174.9759999998</v>
      </c>
      <c r="Y516" s="550">
        <f t="shared" si="870"/>
        <v>6194174.9759999998</v>
      </c>
      <c r="Z516" s="550">
        <f t="shared" si="870"/>
        <v>6194174.9759999998</v>
      </c>
      <c r="AA516" s="550">
        <f t="shared" si="870"/>
        <v>6194174.9759999998</v>
      </c>
      <c r="AB516" s="550">
        <f t="shared" si="870"/>
        <v>6194174.9759999998</v>
      </c>
      <c r="AC516" s="550">
        <f t="shared" si="870"/>
        <v>6194174.9759999998</v>
      </c>
      <c r="AD516" s="550">
        <f t="shared" si="870"/>
        <v>6194174.9759999998</v>
      </c>
      <c r="AE516" s="550">
        <f t="shared" si="870"/>
        <v>6194174.9759999998</v>
      </c>
      <c r="AF516" s="550">
        <f t="shared" si="870"/>
        <v>6194174.9759999998</v>
      </c>
      <c r="AG516" s="550">
        <f t="shared" si="870"/>
        <v>6194174.9759999998</v>
      </c>
      <c r="AH516" s="550">
        <f t="shared" si="870"/>
        <v>6194174.9759999998</v>
      </c>
      <c r="AI516" s="550">
        <f t="shared" si="870"/>
        <v>6194174.9759999998</v>
      </c>
      <c r="AJ516" s="550">
        <f t="shared" si="870"/>
        <v>6194174.9759999998</v>
      </c>
    </row>
    <row r="517" spans="1:36" hidden="1" x14ac:dyDescent="0.25">
      <c r="A517" t="s">
        <v>696</v>
      </c>
      <c r="C517" t="s">
        <v>575</v>
      </c>
      <c r="H517" s="454" t="s">
        <v>202</v>
      </c>
      <c r="I517" s="497" t="s">
        <v>320</v>
      </c>
      <c r="K517" s="550"/>
      <c r="L517" s="550">
        <f t="shared" ref="L517:AJ517" si="871">L516*PHOI_KG</f>
        <v>206472499.20000002</v>
      </c>
      <c r="M517" s="550">
        <f t="shared" si="871"/>
        <v>289061498.88</v>
      </c>
      <c r="N517" s="550">
        <f t="shared" si="871"/>
        <v>412944998.40000004</v>
      </c>
      <c r="O517" s="550">
        <f t="shared" si="871"/>
        <v>412944998.40000004</v>
      </c>
      <c r="P517" s="550">
        <f t="shared" si="871"/>
        <v>412944998.40000004</v>
      </c>
      <c r="Q517" s="550">
        <f t="shared" si="871"/>
        <v>412944998.40000004</v>
      </c>
      <c r="R517" s="550">
        <f t="shared" si="871"/>
        <v>412944998.40000004</v>
      </c>
      <c r="S517" s="550">
        <f t="shared" si="871"/>
        <v>412944998.40000004</v>
      </c>
      <c r="T517" s="550">
        <f t="shared" si="871"/>
        <v>412944998.40000004</v>
      </c>
      <c r="U517" s="550">
        <f t="shared" si="871"/>
        <v>412944998.40000004</v>
      </c>
      <c r="V517" s="550">
        <f t="shared" si="871"/>
        <v>412944998.40000004</v>
      </c>
      <c r="W517" s="550">
        <f t="shared" si="871"/>
        <v>412944998.40000004</v>
      </c>
      <c r="X517" s="550">
        <f t="shared" si="871"/>
        <v>412944998.40000004</v>
      </c>
      <c r="Y517" s="550">
        <f t="shared" si="871"/>
        <v>412944998.40000004</v>
      </c>
      <c r="Z517" s="550">
        <f t="shared" si="871"/>
        <v>412944998.40000004</v>
      </c>
      <c r="AA517" s="550">
        <f t="shared" si="871"/>
        <v>412944998.40000004</v>
      </c>
      <c r="AB517" s="550">
        <f t="shared" si="871"/>
        <v>412944998.40000004</v>
      </c>
      <c r="AC517" s="550">
        <f t="shared" si="871"/>
        <v>412944998.40000004</v>
      </c>
      <c r="AD517" s="550">
        <f t="shared" si="871"/>
        <v>412944998.40000004</v>
      </c>
      <c r="AE517" s="550">
        <f t="shared" si="871"/>
        <v>412944998.40000004</v>
      </c>
      <c r="AF517" s="550">
        <f t="shared" si="871"/>
        <v>412944998.40000004</v>
      </c>
      <c r="AG517" s="550">
        <f t="shared" si="871"/>
        <v>412944998.40000004</v>
      </c>
      <c r="AH517" s="550">
        <f t="shared" si="871"/>
        <v>412944998.40000004</v>
      </c>
      <c r="AI517" s="550">
        <f t="shared" si="871"/>
        <v>412944998.40000004</v>
      </c>
      <c r="AJ517" s="550">
        <f t="shared" si="871"/>
        <v>412944998.40000004</v>
      </c>
    </row>
    <row r="518" spans="1:36" hidden="1" x14ac:dyDescent="0.25">
      <c r="A518" t="s">
        <v>696</v>
      </c>
      <c r="K518" s="243"/>
      <c r="L518" s="243"/>
      <c r="M518" s="243"/>
      <c r="N518" s="243"/>
      <c r="O518" s="243"/>
      <c r="P518" s="243"/>
      <c r="Q518" s="243"/>
      <c r="R518" s="243"/>
      <c r="S518" s="243"/>
      <c r="T518" s="243"/>
      <c r="U518" s="243"/>
      <c r="V518" s="243"/>
      <c r="W518" s="243"/>
      <c r="X518" s="243"/>
      <c r="Y518" s="243"/>
      <c r="Z518" s="243"/>
      <c r="AA518" s="243"/>
      <c r="AB518" s="243"/>
      <c r="AC518" s="243"/>
      <c r="AD518" s="243"/>
      <c r="AE518" s="243"/>
      <c r="AF518" s="243"/>
      <c r="AG518" s="243"/>
      <c r="AH518" s="243"/>
      <c r="AI518" s="243"/>
      <c r="AJ518" s="243"/>
    </row>
    <row r="519" spans="1:36" s="24" customFormat="1" ht="17.25" hidden="1" x14ac:dyDescent="0.3">
      <c r="A519" s="24" t="s">
        <v>696</v>
      </c>
      <c r="H519" s="24" t="s">
        <v>670</v>
      </c>
      <c r="K519" s="636"/>
      <c r="L519" s="636"/>
      <c r="M519" s="636"/>
      <c r="N519" s="636"/>
      <c r="O519" s="636"/>
      <c r="P519" s="636"/>
      <c r="Q519" s="636"/>
      <c r="R519" s="636"/>
      <c r="S519" s="636"/>
      <c r="T519" s="636"/>
      <c r="U519" s="636"/>
      <c r="V519" s="636"/>
      <c r="W519" s="636"/>
      <c r="X519" s="636"/>
      <c r="Y519" s="636"/>
      <c r="Z519" s="636"/>
      <c r="AA519" s="636"/>
      <c r="AB519" s="636"/>
      <c r="AC519" s="636"/>
      <c r="AD519" s="636"/>
      <c r="AE519" s="636"/>
      <c r="AF519" s="636"/>
      <c r="AG519" s="636"/>
      <c r="AH519" s="636"/>
      <c r="AI519" s="636"/>
      <c r="AJ519" s="636"/>
    </row>
    <row r="520" spans="1:36" s="250" customFormat="1" hidden="1" x14ac:dyDescent="0.25">
      <c r="A520" s="250" t="s">
        <v>696</v>
      </c>
      <c r="B520" s="250" t="s">
        <v>665</v>
      </c>
      <c r="H520" s="626" t="s">
        <v>663</v>
      </c>
      <c r="I520" s="627" t="s">
        <v>71</v>
      </c>
      <c r="K520" s="628"/>
      <c r="L520" s="631" cm="1">
        <f t="array" ref="L520">SUMPRODUCT('W2'!$M$12:$R$112*('W2'!$M$7:$R$7=$A520)*('W2'!$A$12:$A$112=$B520))</f>
        <v>2.0000000000000001E-4</v>
      </c>
      <c r="M520" s="630">
        <f>L520</f>
        <v>2.0000000000000001E-4</v>
      </c>
      <c r="N520" s="630">
        <f t="shared" ref="N520:N521" si="872">M520</f>
        <v>2.0000000000000001E-4</v>
      </c>
      <c r="O520" s="630">
        <f t="shared" ref="O520:O521" si="873">N520</f>
        <v>2.0000000000000001E-4</v>
      </c>
      <c r="P520" s="630">
        <f t="shared" ref="P520:P521" si="874">O520</f>
        <v>2.0000000000000001E-4</v>
      </c>
      <c r="Q520" s="630">
        <f t="shared" ref="Q520:Q521" si="875">P520</f>
        <v>2.0000000000000001E-4</v>
      </c>
      <c r="R520" s="630">
        <f t="shared" ref="R520:R521" si="876">Q520</f>
        <v>2.0000000000000001E-4</v>
      </c>
      <c r="S520" s="630">
        <f t="shared" ref="S520:S521" si="877">R520</f>
        <v>2.0000000000000001E-4</v>
      </c>
      <c r="T520" s="630">
        <f t="shared" ref="T520:T521" si="878">S520</f>
        <v>2.0000000000000001E-4</v>
      </c>
      <c r="U520" s="630">
        <f t="shared" ref="U520:U521" si="879">T520</f>
        <v>2.0000000000000001E-4</v>
      </c>
      <c r="V520" s="630">
        <f t="shared" ref="V520:V521" si="880">U520</f>
        <v>2.0000000000000001E-4</v>
      </c>
      <c r="W520" s="630">
        <f t="shared" ref="W520:W521" si="881">V520</f>
        <v>2.0000000000000001E-4</v>
      </c>
      <c r="X520" s="630">
        <f t="shared" ref="X520:X521" si="882">W520</f>
        <v>2.0000000000000001E-4</v>
      </c>
      <c r="Y520" s="630">
        <f t="shared" ref="Y520:Y521" si="883">X520</f>
        <v>2.0000000000000001E-4</v>
      </c>
      <c r="Z520" s="630">
        <f t="shared" ref="Z520:Z521" si="884">Y520</f>
        <v>2.0000000000000001E-4</v>
      </c>
      <c r="AA520" s="630">
        <f t="shared" ref="AA520:AA521" si="885">Z520</f>
        <v>2.0000000000000001E-4</v>
      </c>
      <c r="AB520" s="630">
        <f t="shared" ref="AB520:AB521" si="886">AA520</f>
        <v>2.0000000000000001E-4</v>
      </c>
      <c r="AC520" s="630">
        <f t="shared" ref="AC520:AC521" si="887">AB520</f>
        <v>2.0000000000000001E-4</v>
      </c>
      <c r="AD520" s="630">
        <f t="shared" ref="AD520:AD521" si="888">AC520</f>
        <v>2.0000000000000001E-4</v>
      </c>
      <c r="AE520" s="630">
        <f t="shared" ref="AE520:AE521" si="889">AD520</f>
        <v>2.0000000000000001E-4</v>
      </c>
      <c r="AF520" s="630">
        <f t="shared" ref="AF520:AF521" si="890">AE520</f>
        <v>2.0000000000000001E-4</v>
      </c>
      <c r="AG520" s="630">
        <f t="shared" ref="AG520:AG521" si="891">AF520</f>
        <v>2.0000000000000001E-4</v>
      </c>
      <c r="AH520" s="630">
        <f t="shared" ref="AH520:AH521" si="892">AG520</f>
        <v>2.0000000000000001E-4</v>
      </c>
      <c r="AI520" s="630">
        <f t="shared" ref="AI520:AI521" si="893">AH520</f>
        <v>2.0000000000000001E-4</v>
      </c>
      <c r="AJ520" s="630">
        <f t="shared" ref="AJ520:AJ521" si="894">AI520</f>
        <v>2.0000000000000001E-4</v>
      </c>
    </row>
    <row r="521" spans="1:36" s="250" customFormat="1" hidden="1" x14ac:dyDescent="0.25">
      <c r="A521" s="250" t="s">
        <v>696</v>
      </c>
      <c r="B521" s="250" t="s">
        <v>666</v>
      </c>
      <c r="H521" s="537" t="s">
        <v>664</v>
      </c>
      <c r="I521" s="548" t="s">
        <v>71</v>
      </c>
      <c r="K521" s="629"/>
      <c r="L521" s="631" cm="1">
        <f t="array" ref="L521">SUMPRODUCT('W2'!$M$12:$R$112*('W2'!$M$7:$R$7=$A521)*('W2'!$A$12:$A$112=$B521))</f>
        <v>5.0000000000000001E-3</v>
      </c>
      <c r="M521" s="630">
        <f>L521</f>
        <v>5.0000000000000001E-3</v>
      </c>
      <c r="N521" s="630">
        <f t="shared" si="872"/>
        <v>5.0000000000000001E-3</v>
      </c>
      <c r="O521" s="630">
        <f t="shared" si="873"/>
        <v>5.0000000000000001E-3</v>
      </c>
      <c r="P521" s="630">
        <f t="shared" si="874"/>
        <v>5.0000000000000001E-3</v>
      </c>
      <c r="Q521" s="630">
        <f t="shared" si="875"/>
        <v>5.0000000000000001E-3</v>
      </c>
      <c r="R521" s="630">
        <f t="shared" si="876"/>
        <v>5.0000000000000001E-3</v>
      </c>
      <c r="S521" s="630">
        <f t="shared" si="877"/>
        <v>5.0000000000000001E-3</v>
      </c>
      <c r="T521" s="630">
        <f t="shared" si="878"/>
        <v>5.0000000000000001E-3</v>
      </c>
      <c r="U521" s="630">
        <f t="shared" si="879"/>
        <v>5.0000000000000001E-3</v>
      </c>
      <c r="V521" s="630">
        <f t="shared" si="880"/>
        <v>5.0000000000000001E-3</v>
      </c>
      <c r="W521" s="630">
        <f t="shared" si="881"/>
        <v>5.0000000000000001E-3</v>
      </c>
      <c r="X521" s="630">
        <f t="shared" si="882"/>
        <v>5.0000000000000001E-3</v>
      </c>
      <c r="Y521" s="630">
        <f t="shared" si="883"/>
        <v>5.0000000000000001E-3</v>
      </c>
      <c r="Z521" s="630">
        <f t="shared" si="884"/>
        <v>5.0000000000000001E-3</v>
      </c>
      <c r="AA521" s="630">
        <f t="shared" si="885"/>
        <v>5.0000000000000001E-3</v>
      </c>
      <c r="AB521" s="630">
        <f t="shared" si="886"/>
        <v>5.0000000000000001E-3</v>
      </c>
      <c r="AC521" s="630">
        <f t="shared" si="887"/>
        <v>5.0000000000000001E-3</v>
      </c>
      <c r="AD521" s="630">
        <f t="shared" si="888"/>
        <v>5.0000000000000001E-3</v>
      </c>
      <c r="AE521" s="630">
        <f t="shared" si="889"/>
        <v>5.0000000000000001E-3</v>
      </c>
      <c r="AF521" s="630">
        <f t="shared" si="890"/>
        <v>5.0000000000000001E-3</v>
      </c>
      <c r="AG521" s="630">
        <f t="shared" si="891"/>
        <v>5.0000000000000001E-3</v>
      </c>
      <c r="AH521" s="630">
        <f t="shared" si="892"/>
        <v>5.0000000000000001E-3</v>
      </c>
      <c r="AI521" s="630">
        <f t="shared" si="893"/>
        <v>5.0000000000000001E-3</v>
      </c>
      <c r="AJ521" s="630">
        <f t="shared" si="894"/>
        <v>5.0000000000000001E-3</v>
      </c>
    </row>
    <row r="522" spans="1:36" hidden="1" x14ac:dyDescent="0.25">
      <c r="A522" t="s">
        <v>696</v>
      </c>
      <c r="H522" s="454" t="s">
        <v>671</v>
      </c>
      <c r="I522" s="497" t="s">
        <v>436</v>
      </c>
      <c r="K522" s="550"/>
      <c r="L522" s="550">
        <f>L520*L516/(1-L514)</f>
        <v>666.04032000000007</v>
      </c>
      <c r="M522" s="550">
        <f>M520*M516/(1-M514)</f>
        <v>932.45644800000014</v>
      </c>
      <c r="N522" s="550">
        <f t="shared" ref="N522:AJ522" si="895">N520*N516/(1-N514)</f>
        <v>1332.0806400000001</v>
      </c>
      <c r="O522" s="550">
        <f t="shared" si="895"/>
        <v>1332.0806400000001</v>
      </c>
      <c r="P522" s="550">
        <f t="shared" si="895"/>
        <v>1332.0806400000001</v>
      </c>
      <c r="Q522" s="550">
        <f t="shared" si="895"/>
        <v>1332.0806400000001</v>
      </c>
      <c r="R522" s="550">
        <f t="shared" si="895"/>
        <v>1332.0806400000001</v>
      </c>
      <c r="S522" s="550">
        <f t="shared" si="895"/>
        <v>1332.0806400000001</v>
      </c>
      <c r="T522" s="550">
        <f t="shared" si="895"/>
        <v>1332.0806400000001</v>
      </c>
      <c r="U522" s="550">
        <f t="shared" si="895"/>
        <v>1332.0806400000001</v>
      </c>
      <c r="V522" s="550">
        <f t="shared" si="895"/>
        <v>1332.0806400000001</v>
      </c>
      <c r="W522" s="550">
        <f t="shared" si="895"/>
        <v>1332.0806400000001</v>
      </c>
      <c r="X522" s="550">
        <f t="shared" si="895"/>
        <v>1332.0806400000001</v>
      </c>
      <c r="Y522" s="550">
        <f t="shared" si="895"/>
        <v>1332.0806400000001</v>
      </c>
      <c r="Z522" s="550">
        <f t="shared" si="895"/>
        <v>1332.0806400000001</v>
      </c>
      <c r="AA522" s="550">
        <f t="shared" si="895"/>
        <v>1332.0806400000001</v>
      </c>
      <c r="AB522" s="550">
        <f t="shared" si="895"/>
        <v>1332.0806400000001</v>
      </c>
      <c r="AC522" s="550">
        <f t="shared" si="895"/>
        <v>1332.0806400000001</v>
      </c>
      <c r="AD522" s="550">
        <f t="shared" si="895"/>
        <v>1332.0806400000001</v>
      </c>
      <c r="AE522" s="550">
        <f t="shared" si="895"/>
        <v>1332.0806400000001</v>
      </c>
      <c r="AF522" s="550">
        <f t="shared" si="895"/>
        <v>1332.0806400000001</v>
      </c>
      <c r="AG522" s="550">
        <f t="shared" si="895"/>
        <v>1332.0806400000001</v>
      </c>
      <c r="AH522" s="550">
        <f t="shared" si="895"/>
        <v>1332.0806400000001</v>
      </c>
      <c r="AI522" s="550">
        <f t="shared" si="895"/>
        <v>1332.0806400000001</v>
      </c>
      <c r="AJ522" s="550">
        <f t="shared" si="895"/>
        <v>1332.0806400000001</v>
      </c>
    </row>
    <row r="523" spans="1:36" hidden="1" x14ac:dyDescent="0.25">
      <c r="A523" t="s">
        <v>696</v>
      </c>
      <c r="H523" s="454" t="s">
        <v>675</v>
      </c>
      <c r="I523" s="497" t="s">
        <v>436</v>
      </c>
      <c r="K523" s="550"/>
      <c r="L523" s="550">
        <f>L521*L516/(1-L514)</f>
        <v>16651.008000000002</v>
      </c>
      <c r="M523" s="550">
        <f t="shared" ref="M523:AJ523" si="896">M521*M516/(1-M514)</f>
        <v>23311.411200000002</v>
      </c>
      <c r="N523" s="550">
        <f t="shared" si="896"/>
        <v>33302.016000000003</v>
      </c>
      <c r="O523" s="550">
        <f t="shared" si="896"/>
        <v>33302.016000000003</v>
      </c>
      <c r="P523" s="550">
        <f t="shared" si="896"/>
        <v>33302.016000000003</v>
      </c>
      <c r="Q523" s="550">
        <f t="shared" si="896"/>
        <v>33302.016000000003</v>
      </c>
      <c r="R523" s="550">
        <f t="shared" si="896"/>
        <v>33302.016000000003</v>
      </c>
      <c r="S523" s="550">
        <f t="shared" si="896"/>
        <v>33302.016000000003</v>
      </c>
      <c r="T523" s="550">
        <f t="shared" si="896"/>
        <v>33302.016000000003</v>
      </c>
      <c r="U523" s="550">
        <f t="shared" si="896"/>
        <v>33302.016000000003</v>
      </c>
      <c r="V523" s="550">
        <f t="shared" si="896"/>
        <v>33302.016000000003</v>
      </c>
      <c r="W523" s="550">
        <f t="shared" si="896"/>
        <v>33302.016000000003</v>
      </c>
      <c r="X523" s="550">
        <f t="shared" si="896"/>
        <v>33302.016000000003</v>
      </c>
      <c r="Y523" s="550">
        <f t="shared" si="896"/>
        <v>33302.016000000003</v>
      </c>
      <c r="Z523" s="550">
        <f t="shared" si="896"/>
        <v>33302.016000000003</v>
      </c>
      <c r="AA523" s="550">
        <f t="shared" si="896"/>
        <v>33302.016000000003</v>
      </c>
      <c r="AB523" s="550">
        <f t="shared" si="896"/>
        <v>33302.016000000003</v>
      </c>
      <c r="AC523" s="550">
        <f t="shared" si="896"/>
        <v>33302.016000000003</v>
      </c>
      <c r="AD523" s="550">
        <f t="shared" si="896"/>
        <v>33302.016000000003</v>
      </c>
      <c r="AE523" s="550">
        <f t="shared" si="896"/>
        <v>33302.016000000003</v>
      </c>
      <c r="AF523" s="550">
        <f t="shared" si="896"/>
        <v>33302.016000000003</v>
      </c>
      <c r="AG523" s="550">
        <f t="shared" si="896"/>
        <v>33302.016000000003</v>
      </c>
      <c r="AH523" s="550">
        <f t="shared" si="896"/>
        <v>33302.016000000003</v>
      </c>
      <c r="AI523" s="550">
        <f t="shared" si="896"/>
        <v>33302.016000000003</v>
      </c>
      <c r="AJ523" s="550">
        <f t="shared" si="896"/>
        <v>33302.016000000003</v>
      </c>
    </row>
    <row r="524" spans="1:36" hidden="1" x14ac:dyDescent="0.25">
      <c r="A524" t="s">
        <v>696</v>
      </c>
      <c r="K524" s="243"/>
      <c r="L524" s="243"/>
      <c r="M524" s="243"/>
      <c r="N524" s="243"/>
      <c r="O524" s="243"/>
      <c r="P524" s="243"/>
      <c r="Q524" s="243"/>
      <c r="R524" s="243"/>
      <c r="S524" s="243"/>
      <c r="T524" s="243"/>
      <c r="U524" s="243"/>
      <c r="V524" s="243"/>
      <c r="W524" s="243"/>
      <c r="X524" s="243"/>
      <c r="Y524" s="243"/>
      <c r="Z524" s="243"/>
      <c r="AA524" s="243"/>
      <c r="AB524" s="243"/>
      <c r="AC524" s="243"/>
      <c r="AD524" s="243"/>
      <c r="AE524" s="243"/>
      <c r="AF524" s="243"/>
      <c r="AG524" s="243"/>
      <c r="AH524" s="243"/>
      <c r="AI524" s="243"/>
      <c r="AJ524" s="243"/>
    </row>
    <row r="525" spans="1:36" hidden="1" x14ac:dyDescent="0.25">
      <c r="A525" t="s">
        <v>696</v>
      </c>
      <c r="K525" s="243"/>
      <c r="L525" s="243"/>
      <c r="M525" s="243"/>
      <c r="N525" s="243"/>
      <c r="O525" s="243"/>
      <c r="P525" s="243"/>
      <c r="Q525" s="243"/>
      <c r="R525" s="243"/>
      <c r="S525" s="243"/>
      <c r="T525" s="243"/>
      <c r="U525" s="243"/>
      <c r="V525" s="243"/>
      <c r="W525" s="243"/>
      <c r="X525" s="243"/>
      <c r="Y525" s="243"/>
      <c r="Z525" s="243"/>
      <c r="AA525" s="243"/>
      <c r="AB525" s="243"/>
      <c r="AC525" s="243"/>
      <c r="AD525" s="243"/>
      <c r="AE525" s="243"/>
      <c r="AF525" s="243"/>
      <c r="AG525" s="243"/>
      <c r="AH525" s="243"/>
      <c r="AI525" s="243"/>
      <c r="AJ525" s="243"/>
    </row>
    <row r="526" spans="1:36" hidden="1" x14ac:dyDescent="0.25">
      <c r="A526" t="s">
        <v>696</v>
      </c>
      <c r="K526" s="243"/>
      <c r="L526" s="243"/>
      <c r="M526" s="243"/>
      <c r="N526" s="243"/>
      <c r="O526" s="243"/>
      <c r="P526" s="243"/>
      <c r="Q526" s="243"/>
      <c r="R526" s="243"/>
      <c r="S526" s="243"/>
      <c r="T526" s="243"/>
      <c r="U526" s="243"/>
      <c r="V526" s="243"/>
      <c r="W526" s="243"/>
      <c r="X526" s="243"/>
      <c r="Y526" s="243"/>
      <c r="Z526" s="243"/>
      <c r="AA526" s="243"/>
      <c r="AB526" s="243"/>
      <c r="AC526" s="243"/>
      <c r="AD526" s="243"/>
      <c r="AE526" s="243"/>
      <c r="AF526" s="243"/>
      <c r="AG526" s="243"/>
      <c r="AH526" s="243"/>
      <c r="AI526" s="243"/>
      <c r="AJ526" s="243"/>
    </row>
    <row r="527" spans="1:36" s="1" customFormat="1" hidden="1" x14ac:dyDescent="0.25">
      <c r="A527" s="1" t="s">
        <v>696</v>
      </c>
      <c r="H527" s="266" t="s">
        <v>434</v>
      </c>
      <c r="I527" s="267" t="str">
        <f t="shared" ref="I527:I535" si="897">IF($H$9="USD","USD","tr. VND")</f>
        <v>tr. VND</v>
      </c>
      <c r="K527" s="268">
        <f t="shared" ref="K527" si="898">SUM(K528:K529,K532:K535,)</f>
        <v>0</v>
      </c>
      <c r="L527" s="268">
        <f>SUM(L528:L529,L532:L535,)</f>
        <v>-49949.936933333338</v>
      </c>
      <c r="M527" s="268">
        <f t="shared" ref="M527:AJ527" si="899">SUM(M528:M529,M532:M535,)</f>
        <v>-49949.936933333338</v>
      </c>
      <c r="N527" s="268">
        <f t="shared" si="899"/>
        <v>-50849.234633333333</v>
      </c>
      <c r="O527" s="268">
        <f t="shared" si="899"/>
        <v>-51793.497218333338</v>
      </c>
      <c r="P527" s="268">
        <f t="shared" si="899"/>
        <v>-52784.97293258334</v>
      </c>
      <c r="Q527" s="268">
        <f t="shared" si="899"/>
        <v>-53826.022432545833</v>
      </c>
      <c r="R527" s="268">
        <f t="shared" si="899"/>
        <v>-54919.124407506461</v>
      </c>
      <c r="S527" s="268">
        <f t="shared" si="899"/>
        <v>-56066.881481215125</v>
      </c>
      <c r="T527" s="268">
        <f t="shared" si="899"/>
        <v>-57272.026408609207</v>
      </c>
      <c r="U527" s="268">
        <f t="shared" si="899"/>
        <v>-58537.428582373002</v>
      </c>
      <c r="V527" s="268">
        <f t="shared" si="899"/>
        <v>-59866.100864824984</v>
      </c>
      <c r="W527" s="268">
        <f t="shared" si="899"/>
        <v>-61261.20676139956</v>
      </c>
      <c r="X527" s="268">
        <f t="shared" si="899"/>
        <v>-37663.584619469548</v>
      </c>
      <c r="Y527" s="268">
        <f t="shared" si="899"/>
        <v>-39201.688870443017</v>
      </c>
      <c r="Z527" s="268">
        <f t="shared" si="899"/>
        <v>-40816.698333965178</v>
      </c>
      <c r="AA527" s="268">
        <f t="shared" si="899"/>
        <v>-42512.458270663432</v>
      </c>
      <c r="AB527" s="268">
        <f t="shared" si="899"/>
        <v>-44293.006204196608</v>
      </c>
      <c r="AC527" s="268">
        <f t="shared" si="899"/>
        <v>-46162.581534406439</v>
      </c>
      <c r="AD527" s="268">
        <f t="shared" si="899"/>
        <v>-48125.635631126766</v>
      </c>
      <c r="AE527" s="268">
        <f t="shared" si="899"/>
        <v>-50186.842432683101</v>
      </c>
      <c r="AF527" s="268">
        <f t="shared" si="899"/>
        <v>-52351.109574317255</v>
      </c>
      <c r="AG527" s="268">
        <f t="shared" si="899"/>
        <v>-54623.59007303312</v>
      </c>
      <c r="AH527" s="268">
        <f t="shared" si="899"/>
        <v>-57009.694596684771</v>
      </c>
      <c r="AI527" s="268">
        <f t="shared" si="899"/>
        <v>-59515.104346519009</v>
      </c>
      <c r="AJ527" s="268">
        <f t="shared" si="899"/>
        <v>-62145.784583844965</v>
      </c>
    </row>
    <row r="528" spans="1:36" hidden="1" x14ac:dyDescent="0.25">
      <c r="A528" t="s">
        <v>696</v>
      </c>
      <c r="B528" t="s">
        <v>173</v>
      </c>
      <c r="H528" s="459" t="s">
        <v>190</v>
      </c>
      <c r="I528" s="494" t="str">
        <f t="shared" si="897"/>
        <v>tr. VND</v>
      </c>
      <c r="K528" s="493"/>
      <c r="L528" s="549" cm="1">
        <f t="array" ref="L528">-SUMPRODUCT('W1'!$AO$10:$HQ$60*('W1'!$AO$7:$HQ$7=$A528)*('W1'!$AO$8:$HQ$8=L$14)*('W1'!$A$10:$A$60=$B528))*$H$10</f>
        <v>-31062.483333333334</v>
      </c>
      <c r="M528" s="549" cm="1">
        <f t="array" ref="M528">-SUMPRODUCT('W1'!$AO$10:$HQ$60*('W1'!$AO$7:$HQ$7=$A528)*('W1'!$AO$8:$HQ$8=M$14)*('W1'!$A$10:$A$60=$B528))*$H$10</f>
        <v>-31062.483333333334</v>
      </c>
      <c r="N528" s="549" cm="1">
        <f t="array" ref="N528">-SUMPRODUCT('W1'!$AO$10:$HQ$60*('W1'!$AO$7:$HQ$7=$A528)*('W1'!$AO$8:$HQ$8=N$14)*('W1'!$A$10:$A$60=$B528))*$H$10</f>
        <v>-31062.483333333334</v>
      </c>
      <c r="O528" s="549" cm="1">
        <f t="array" ref="O528">-SUMPRODUCT('W1'!$AO$10:$HQ$60*('W1'!$AO$7:$HQ$7=$A528)*('W1'!$AO$8:$HQ$8=O$14)*('W1'!$A$10:$A$60=$B528))*$H$10</f>
        <v>-31062.483333333334</v>
      </c>
      <c r="P528" s="549" cm="1">
        <f t="array" ref="P528">-SUMPRODUCT('W1'!$AO$10:$HQ$60*('W1'!$AO$7:$HQ$7=$A528)*('W1'!$AO$8:$HQ$8=P$14)*('W1'!$A$10:$A$60=$B528))*$H$10</f>
        <v>-31062.483333333334</v>
      </c>
      <c r="Q528" s="549" cm="1">
        <f t="array" ref="Q528">-SUMPRODUCT('W1'!$AO$10:$HQ$60*('W1'!$AO$7:$HQ$7=$A528)*('W1'!$AO$8:$HQ$8=Q$14)*('W1'!$A$10:$A$60=$B528))*$H$10</f>
        <v>-31062.483333333334</v>
      </c>
      <c r="R528" s="549" cm="1">
        <f t="array" ref="R528">-SUMPRODUCT('W1'!$AO$10:$HQ$60*('W1'!$AO$7:$HQ$7=$A528)*('W1'!$AO$8:$HQ$8=R$14)*('W1'!$A$10:$A$60=$B528))*$H$10</f>
        <v>-31062.483333333334</v>
      </c>
      <c r="S528" s="549" cm="1">
        <f t="array" ref="S528">-SUMPRODUCT('W1'!$AO$10:$HQ$60*('W1'!$AO$7:$HQ$7=$A528)*('W1'!$AO$8:$HQ$8=S$14)*('W1'!$A$10:$A$60=$B528))*$H$10</f>
        <v>-31062.483333333334</v>
      </c>
      <c r="T528" s="549" cm="1">
        <f t="array" ref="T528">-SUMPRODUCT('W1'!$AO$10:$HQ$60*('W1'!$AO$7:$HQ$7=$A528)*('W1'!$AO$8:$HQ$8=T$14)*('W1'!$A$10:$A$60=$B528))*$H$10</f>
        <v>-31062.483333333334</v>
      </c>
      <c r="U528" s="549" cm="1">
        <f t="array" ref="U528">-SUMPRODUCT('W1'!$AO$10:$HQ$60*('W1'!$AO$7:$HQ$7=$A528)*('W1'!$AO$8:$HQ$8=U$14)*('W1'!$A$10:$A$60=$B528))*$H$10</f>
        <v>-31062.483333333334</v>
      </c>
      <c r="V528" s="549" cm="1">
        <f t="array" ref="V528">-SUMPRODUCT('W1'!$AO$10:$HQ$60*('W1'!$AO$7:$HQ$7=$A528)*('W1'!$AO$8:$HQ$8=V$14)*('W1'!$A$10:$A$60=$B528))*$H$10</f>
        <v>-31062.483333333334</v>
      </c>
      <c r="W528" s="549" cm="1">
        <f t="array" ref="W528">-SUMPRODUCT('W1'!$AO$10:$HQ$60*('W1'!$AO$7:$HQ$7=$A528)*('W1'!$AO$8:$HQ$8=W$14)*('W1'!$A$10:$A$60=$B528))*$H$10</f>
        <v>-31062.483333333334</v>
      </c>
      <c r="X528" s="549" cm="1">
        <f t="array" ref="X528">-SUMPRODUCT('W1'!$AO$10:$HQ$60*('W1'!$AO$7:$HQ$7=$A528)*('W1'!$AO$8:$HQ$8=X$14)*('W1'!$A$10:$A$60=$B528))*$H$10</f>
        <v>-6000</v>
      </c>
      <c r="Y528" s="549" cm="1">
        <f t="array" ref="Y528">-SUMPRODUCT('W1'!$AO$10:$HQ$60*('W1'!$AO$7:$HQ$7=$A528)*('W1'!$AO$8:$HQ$8=Y$14)*('W1'!$A$10:$A$60=$B528))*$H$10</f>
        <v>-6000</v>
      </c>
      <c r="Z528" s="549" cm="1">
        <f t="array" ref="Z528">-SUMPRODUCT('W1'!$AO$10:$HQ$60*('W1'!$AO$7:$HQ$7=$A528)*('W1'!$AO$8:$HQ$8=Z$14)*('W1'!$A$10:$A$60=$B528))*$H$10</f>
        <v>-6000</v>
      </c>
      <c r="AA528" s="549" cm="1">
        <f t="array" ref="AA528">-SUMPRODUCT('W1'!$AO$10:$HQ$60*('W1'!$AO$7:$HQ$7=$A528)*('W1'!$AO$8:$HQ$8=AA$14)*('W1'!$A$10:$A$60=$B528))*$H$10</f>
        <v>-6000</v>
      </c>
      <c r="AB528" s="549" cm="1">
        <f t="array" ref="AB528">-SUMPRODUCT('W1'!$AO$10:$HQ$60*('W1'!$AO$7:$HQ$7=$A528)*('W1'!$AO$8:$HQ$8=AB$14)*('W1'!$A$10:$A$60=$B528))*$H$10</f>
        <v>-6000</v>
      </c>
      <c r="AC528" s="549" cm="1">
        <f t="array" ref="AC528">-SUMPRODUCT('W1'!$AO$10:$HQ$60*('W1'!$AO$7:$HQ$7=$A528)*('W1'!$AO$8:$HQ$8=AC$14)*('W1'!$A$10:$A$60=$B528))*$H$10</f>
        <v>-6000</v>
      </c>
      <c r="AD528" s="549" cm="1">
        <f t="array" ref="AD528">-SUMPRODUCT('W1'!$AO$10:$HQ$60*('W1'!$AO$7:$HQ$7=$A528)*('W1'!$AO$8:$HQ$8=AD$14)*('W1'!$A$10:$A$60=$B528))*$H$10</f>
        <v>-6000</v>
      </c>
      <c r="AE528" s="549" cm="1">
        <f t="array" ref="AE528">-SUMPRODUCT('W1'!$AO$10:$HQ$60*('W1'!$AO$7:$HQ$7=$A528)*('W1'!$AO$8:$HQ$8=AE$14)*('W1'!$A$10:$A$60=$B528))*$H$10</f>
        <v>-6000</v>
      </c>
      <c r="AF528" s="549" cm="1">
        <f t="array" ref="AF528">-SUMPRODUCT('W1'!$AO$10:$HQ$60*('W1'!$AO$7:$HQ$7=$A528)*('W1'!$AO$8:$HQ$8=AF$14)*('W1'!$A$10:$A$60=$B528))*$H$10</f>
        <v>-6000</v>
      </c>
      <c r="AG528" s="549" cm="1">
        <f t="array" ref="AG528">-SUMPRODUCT('W1'!$AO$10:$HQ$60*('W1'!$AO$7:$HQ$7=$A528)*('W1'!$AO$8:$HQ$8=AG$14)*('W1'!$A$10:$A$60=$B528))*$H$10</f>
        <v>-6000</v>
      </c>
      <c r="AH528" s="549" cm="1">
        <f t="array" ref="AH528">-SUMPRODUCT('W1'!$AO$10:$HQ$60*('W1'!$AO$7:$HQ$7=$A528)*('W1'!$AO$8:$HQ$8=AH$14)*('W1'!$A$10:$A$60=$B528))*$H$10</f>
        <v>-6000</v>
      </c>
      <c r="AI528" s="549" cm="1">
        <f t="array" ref="AI528">-SUMPRODUCT('W1'!$AO$10:$HQ$60*('W1'!$AO$7:$HQ$7=$A528)*('W1'!$AO$8:$HQ$8=AI$14)*('W1'!$A$10:$A$60=$B528))*$H$10</f>
        <v>-6000</v>
      </c>
      <c r="AJ528" s="549" cm="1">
        <f t="array" ref="AJ528">-SUMPRODUCT('W1'!$AO$10:$HQ$60*('W1'!$AO$7:$HQ$7=$A528)*('W1'!$AO$8:$HQ$8=AJ$14)*('W1'!$A$10:$A$60=$B528))*$H$10</f>
        <v>-6000</v>
      </c>
    </row>
    <row r="529" spans="1:36" hidden="1" x14ac:dyDescent="0.25">
      <c r="A529" t="s">
        <v>696</v>
      </c>
      <c r="H529" s="454" t="s">
        <v>429</v>
      </c>
      <c r="I529" s="497" t="str">
        <f t="shared" si="897"/>
        <v>tr. VND</v>
      </c>
      <c r="K529" s="550">
        <f>SUM(K530:K531)</f>
        <v>0</v>
      </c>
      <c r="L529" s="550">
        <f t="shared" ref="L529:AJ529" si="900">SUM(L530:L531)</f>
        <v>-6011.46</v>
      </c>
      <c r="M529" s="550">
        <f t="shared" si="900"/>
        <v>-6011.46</v>
      </c>
      <c r="N529" s="550">
        <f t="shared" si="900"/>
        <v>-6312.0329999999994</v>
      </c>
      <c r="O529" s="550">
        <f t="shared" si="900"/>
        <v>-6627.63465</v>
      </c>
      <c r="P529" s="550">
        <f t="shared" si="900"/>
        <v>-6959.0163825000009</v>
      </c>
      <c r="Q529" s="550">
        <f t="shared" si="900"/>
        <v>-7306.9672016249997</v>
      </c>
      <c r="R529" s="550">
        <f t="shared" si="900"/>
        <v>-7672.3155617062503</v>
      </c>
      <c r="S529" s="550">
        <f t="shared" si="900"/>
        <v>-8055.931339791563</v>
      </c>
      <c r="T529" s="550">
        <f t="shared" si="900"/>
        <v>-8458.7279067811414</v>
      </c>
      <c r="U529" s="550">
        <f t="shared" si="900"/>
        <v>-8881.664302120198</v>
      </c>
      <c r="V529" s="550">
        <f t="shared" si="900"/>
        <v>-9325.7475172262075</v>
      </c>
      <c r="W529" s="550">
        <f t="shared" si="900"/>
        <v>-9792.0348930875189</v>
      </c>
      <c r="X529" s="550">
        <f t="shared" si="900"/>
        <v>-10281.636637741896</v>
      </c>
      <c r="Y529" s="550">
        <f t="shared" si="900"/>
        <v>-10795.718469628988</v>
      </c>
      <c r="Z529" s="550">
        <f t="shared" si="900"/>
        <v>-11335.504393110441</v>
      </c>
      <c r="AA529" s="550">
        <f t="shared" si="900"/>
        <v>-11902.27961276596</v>
      </c>
      <c r="AB529" s="550">
        <f t="shared" si="900"/>
        <v>-12497.39359340426</v>
      </c>
      <c r="AC529" s="550">
        <f t="shared" si="900"/>
        <v>-13122.263273074474</v>
      </c>
      <c r="AD529" s="550">
        <f t="shared" si="900"/>
        <v>-13778.376436728198</v>
      </c>
      <c r="AE529" s="550">
        <f t="shared" si="900"/>
        <v>-14467.295258564609</v>
      </c>
      <c r="AF529" s="550">
        <f t="shared" si="900"/>
        <v>-15190.660021492838</v>
      </c>
      <c r="AG529" s="550">
        <f t="shared" si="900"/>
        <v>-15950.193022567481</v>
      </c>
      <c r="AH529" s="550">
        <f t="shared" si="900"/>
        <v>-16747.702673695854</v>
      </c>
      <c r="AI529" s="550">
        <f t="shared" si="900"/>
        <v>-17585.087807380645</v>
      </c>
      <c r="AJ529" s="550">
        <f t="shared" si="900"/>
        <v>-18464.34219774968</v>
      </c>
    </row>
    <row r="530" spans="1:36" s="299" customFormat="1" hidden="1" x14ac:dyDescent="0.25">
      <c r="A530" s="299" t="s">
        <v>696</v>
      </c>
      <c r="B530" s="299" t="s">
        <v>449</v>
      </c>
      <c r="H530" s="554" t="s">
        <v>430</v>
      </c>
      <c r="I530" s="555" t="str">
        <f t="shared" si="897"/>
        <v>tr. VND</v>
      </c>
      <c r="K530" s="556"/>
      <c r="L530" s="556" cm="1">
        <f t="array" ref="L530">-SUMPRODUCT('W2'!$M$12:$R$112*('W2'!$M$7:$R$7=$A530)*('W2'!$A$12:$A$112=$B530))*$H$10*POWER(1+Inflation,L$11+1)</f>
        <v>-982.8</v>
      </c>
      <c r="M530" s="556" cm="1">
        <f t="array" ref="M530">-SUMPRODUCT('W2'!$M$12:$R$112*('W2'!$M$7:$R$7=$A530)*('W2'!$A$12:$A$112=$B530))*$H$10*POWER(1+Inflation,M$11+1)</f>
        <v>-982.8</v>
      </c>
      <c r="N530" s="556" cm="1">
        <f t="array" ref="N530">-SUMPRODUCT('W2'!$M$12:$R$112*('W2'!$M$7:$R$7=$A530)*('W2'!$A$12:$A$112=$B530))*$H$10*POWER(1+Inflation,N$11+1)</f>
        <v>-1031.94</v>
      </c>
      <c r="O530" s="556" cm="1">
        <f t="array" ref="O530">-SUMPRODUCT('W2'!$M$12:$R$112*('W2'!$M$7:$R$7=$A530)*('W2'!$A$12:$A$112=$B530))*$H$10*POWER(1+Inflation,O$11+1)</f>
        <v>-1083.537</v>
      </c>
      <c r="P530" s="556" cm="1">
        <f t="array" ref="P530">-SUMPRODUCT('W2'!$M$12:$R$112*('W2'!$M$7:$R$7=$A530)*('W2'!$A$12:$A$112=$B530))*$H$10*POWER(1+Inflation,P$11+1)</f>
        <v>-1137.7138500000001</v>
      </c>
      <c r="Q530" s="556" cm="1">
        <f t="array" ref="Q530">-SUMPRODUCT('W2'!$M$12:$R$112*('W2'!$M$7:$R$7=$A530)*('W2'!$A$12:$A$112=$B530))*$H$10*POWER(1+Inflation,Q$11+1)</f>
        <v>-1194.5995424999999</v>
      </c>
      <c r="R530" s="556" cm="1">
        <f t="array" ref="R530">-SUMPRODUCT('W2'!$M$12:$R$112*('W2'!$M$7:$R$7=$A530)*('W2'!$A$12:$A$112=$B530))*$H$10*POWER(1+Inflation,R$11+1)</f>
        <v>-1254.3295196250001</v>
      </c>
      <c r="S530" s="556" cm="1">
        <f t="array" ref="S530">-SUMPRODUCT('W2'!$M$12:$R$112*('W2'!$M$7:$R$7=$A530)*('W2'!$A$12:$A$112=$B530))*$H$10*POWER(1+Inflation,S$11+1)</f>
        <v>-1317.04599560625</v>
      </c>
      <c r="T530" s="556" cm="1">
        <f t="array" ref="T530">-SUMPRODUCT('W2'!$M$12:$R$112*('W2'!$M$7:$R$7=$A530)*('W2'!$A$12:$A$112=$B530))*$H$10*POWER(1+Inflation,T$11+1)</f>
        <v>-1382.8982953865627</v>
      </c>
      <c r="U530" s="556" cm="1">
        <f t="array" ref="U530">-SUMPRODUCT('W2'!$M$12:$R$112*('W2'!$M$7:$R$7=$A530)*('W2'!$A$12:$A$112=$B530))*$H$10*POWER(1+Inflation,U$11+1)</f>
        <v>-1452.0432101558906</v>
      </c>
      <c r="V530" s="556" cm="1">
        <f t="array" ref="V530">-SUMPRODUCT('W2'!$M$12:$R$112*('W2'!$M$7:$R$7=$A530)*('W2'!$A$12:$A$112=$B530))*$H$10*POWER(1+Inflation,V$11+1)</f>
        <v>-1524.6453706636853</v>
      </c>
      <c r="W530" s="556" cm="1">
        <f t="array" ref="W530">-SUMPRODUCT('W2'!$M$12:$R$112*('W2'!$M$7:$R$7=$A530)*('W2'!$A$12:$A$112=$B530))*$H$10*POWER(1+Inflation,W$11+1)</f>
        <v>-1600.8776391968695</v>
      </c>
      <c r="X530" s="556" cm="1">
        <f t="array" ref="X530">-SUMPRODUCT('W2'!$M$12:$R$112*('W2'!$M$7:$R$7=$A530)*('W2'!$A$12:$A$112=$B530))*$H$10*POWER(1+Inflation,X$11+1)</f>
        <v>-1680.9215211567132</v>
      </c>
      <c r="Y530" s="556" cm="1">
        <f t="array" ref="Y530">-SUMPRODUCT('W2'!$M$12:$R$112*('W2'!$M$7:$R$7=$A530)*('W2'!$A$12:$A$112=$B530))*$H$10*POWER(1+Inflation,Y$11+1)</f>
        <v>-1764.9675972145485</v>
      </c>
      <c r="Z530" s="556" cm="1">
        <f t="array" ref="Z530">-SUMPRODUCT('W2'!$M$12:$R$112*('W2'!$M$7:$R$7=$A530)*('W2'!$A$12:$A$112=$B530))*$H$10*POWER(1+Inflation,Z$11+1)</f>
        <v>-1853.2159770752762</v>
      </c>
      <c r="AA530" s="556" cm="1">
        <f t="array" ref="AA530">-SUMPRODUCT('W2'!$M$12:$R$112*('W2'!$M$7:$R$7=$A530)*('W2'!$A$12:$A$112=$B530))*$H$10*POWER(1+Inflation,AA$11+1)</f>
        <v>-1945.8767759290397</v>
      </c>
      <c r="AB530" s="556" cm="1">
        <f t="array" ref="AB530">-SUMPRODUCT('W2'!$M$12:$R$112*('W2'!$M$7:$R$7=$A530)*('W2'!$A$12:$A$112=$B530))*$H$10*POWER(1+Inflation,AB$11+1)</f>
        <v>-2043.1706147254922</v>
      </c>
      <c r="AC530" s="556" cm="1">
        <f t="array" ref="AC530">-SUMPRODUCT('W2'!$M$12:$R$112*('W2'!$M$7:$R$7=$A530)*('W2'!$A$12:$A$112=$B530))*$H$10*POWER(1+Inflation,AC$11+1)</f>
        <v>-2145.3291454617665</v>
      </c>
      <c r="AD530" s="556" cm="1">
        <f t="array" ref="AD530">-SUMPRODUCT('W2'!$M$12:$R$112*('W2'!$M$7:$R$7=$A530)*('W2'!$A$12:$A$112=$B530))*$H$10*POWER(1+Inflation,AD$11+1)</f>
        <v>-2252.5956027348552</v>
      </c>
      <c r="AE530" s="556" cm="1">
        <f t="array" ref="AE530">-SUMPRODUCT('W2'!$M$12:$R$112*('W2'!$M$7:$R$7=$A530)*('W2'!$A$12:$A$112=$B530))*$H$10*POWER(1+Inflation,AE$11+1)</f>
        <v>-2365.225382871598</v>
      </c>
      <c r="AF530" s="556" cm="1">
        <f t="array" ref="AF530">-SUMPRODUCT('W2'!$M$12:$R$112*('W2'!$M$7:$R$7=$A530)*('W2'!$A$12:$A$112=$B530))*$H$10*POWER(1+Inflation,AF$11+1)</f>
        <v>-2483.4866520151777</v>
      </c>
      <c r="AG530" s="556" cm="1">
        <f t="array" ref="AG530">-SUMPRODUCT('W2'!$M$12:$R$112*('W2'!$M$7:$R$7=$A530)*('W2'!$A$12:$A$112=$B530))*$H$10*POWER(1+Inflation,AG$11+1)</f>
        <v>-2607.6609846159367</v>
      </c>
      <c r="AH530" s="556" cm="1">
        <f t="array" ref="AH530">-SUMPRODUCT('W2'!$M$12:$R$112*('W2'!$M$7:$R$7=$A530)*('W2'!$A$12:$A$112=$B530))*$H$10*POWER(1+Inflation,AH$11+1)</f>
        <v>-2738.0440338467333</v>
      </c>
      <c r="AI530" s="556" cm="1">
        <f t="array" ref="AI530">-SUMPRODUCT('W2'!$M$12:$R$112*('W2'!$M$7:$R$7=$A530)*('W2'!$A$12:$A$112=$B530))*$H$10*POWER(1+Inflation,AI$11+1)</f>
        <v>-2874.9462355390701</v>
      </c>
      <c r="AJ530" s="556" cm="1">
        <f t="array" ref="AJ530">-SUMPRODUCT('W2'!$M$12:$R$112*('W2'!$M$7:$R$7=$A530)*('W2'!$A$12:$A$112=$B530))*$H$10*POWER(1+Inflation,AJ$11+1)</f>
        <v>-3018.6935473160243</v>
      </c>
    </row>
    <row r="531" spans="1:36" s="299" customFormat="1" hidden="1" x14ac:dyDescent="0.25">
      <c r="A531" s="299" t="s">
        <v>696</v>
      </c>
      <c r="B531" s="299" t="s">
        <v>450</v>
      </c>
      <c r="H531" s="554" t="s">
        <v>431</v>
      </c>
      <c r="I531" s="555" t="str">
        <f t="shared" si="897"/>
        <v>tr. VND</v>
      </c>
      <c r="K531" s="556"/>
      <c r="L531" s="556" cm="1">
        <f t="array" ref="L531">-SUMPRODUCT('W2'!$M$12:$R$112*('W2'!$M$7:$R$7=$A531)*('W2'!$A$12:$A$112=$B531))*$H$10*POWER(1+Inflation,L$11+1)</f>
        <v>-5028.66</v>
      </c>
      <c r="M531" s="556" cm="1">
        <f t="array" ref="M531">-SUMPRODUCT('W2'!$M$12:$R$112*('W2'!$M$7:$R$7=$A531)*('W2'!$A$12:$A$112=$B531))*$H$10*POWER(1+Inflation,M$11+1)</f>
        <v>-5028.66</v>
      </c>
      <c r="N531" s="556" cm="1">
        <f t="array" ref="N531">-SUMPRODUCT('W2'!$M$12:$R$112*('W2'!$M$7:$R$7=$A531)*('W2'!$A$12:$A$112=$B531))*$H$10*POWER(1+Inflation,N$11+1)</f>
        <v>-5280.0929999999998</v>
      </c>
      <c r="O531" s="556" cm="1">
        <f t="array" ref="O531">-SUMPRODUCT('W2'!$M$12:$R$112*('W2'!$M$7:$R$7=$A531)*('W2'!$A$12:$A$112=$B531))*$H$10*POWER(1+Inflation,O$11+1)</f>
        <v>-5544.0976499999997</v>
      </c>
      <c r="P531" s="556" cm="1">
        <f t="array" ref="P531">-SUMPRODUCT('W2'!$M$12:$R$112*('W2'!$M$7:$R$7=$A531)*('W2'!$A$12:$A$112=$B531))*$H$10*POWER(1+Inflation,P$11+1)</f>
        <v>-5821.3025325000008</v>
      </c>
      <c r="Q531" s="556" cm="1">
        <f t="array" ref="Q531">-SUMPRODUCT('W2'!$M$12:$R$112*('W2'!$M$7:$R$7=$A531)*('W2'!$A$12:$A$112=$B531))*$H$10*POWER(1+Inflation,Q$11+1)</f>
        <v>-6112.3676591249996</v>
      </c>
      <c r="R531" s="556" cm="1">
        <f t="array" ref="R531">-SUMPRODUCT('W2'!$M$12:$R$112*('W2'!$M$7:$R$7=$A531)*('W2'!$A$12:$A$112=$B531))*$H$10*POWER(1+Inflation,R$11+1)</f>
        <v>-6417.9860420812502</v>
      </c>
      <c r="S531" s="556" cm="1">
        <f t="array" ref="S531">-SUMPRODUCT('W2'!$M$12:$R$112*('W2'!$M$7:$R$7=$A531)*('W2'!$A$12:$A$112=$B531))*$H$10*POWER(1+Inflation,S$11+1)</f>
        <v>-6738.8853441853125</v>
      </c>
      <c r="T531" s="556" cm="1">
        <f t="array" ref="T531">-SUMPRODUCT('W2'!$M$12:$R$112*('W2'!$M$7:$R$7=$A531)*('W2'!$A$12:$A$112=$B531))*$H$10*POWER(1+Inflation,T$11+1)</f>
        <v>-7075.8296113945789</v>
      </c>
      <c r="U531" s="556" cm="1">
        <f t="array" ref="U531">-SUMPRODUCT('W2'!$M$12:$R$112*('W2'!$M$7:$R$7=$A531)*('W2'!$A$12:$A$112=$B531))*$H$10*POWER(1+Inflation,U$11+1)</f>
        <v>-7429.6210919643072</v>
      </c>
      <c r="V531" s="556" cm="1">
        <f t="array" ref="V531">-SUMPRODUCT('W2'!$M$12:$R$112*('W2'!$M$7:$R$7=$A531)*('W2'!$A$12:$A$112=$B531))*$H$10*POWER(1+Inflation,V$11+1)</f>
        <v>-7801.1021465625226</v>
      </c>
      <c r="W531" s="556" cm="1">
        <f t="array" ref="W531">-SUMPRODUCT('W2'!$M$12:$R$112*('W2'!$M$7:$R$7=$A531)*('W2'!$A$12:$A$112=$B531))*$H$10*POWER(1+Inflation,W$11+1)</f>
        <v>-8191.1572538906494</v>
      </c>
      <c r="X531" s="556" cm="1">
        <f t="array" ref="X531">-SUMPRODUCT('W2'!$M$12:$R$112*('W2'!$M$7:$R$7=$A531)*('W2'!$A$12:$A$112=$B531))*$H$10*POWER(1+Inflation,X$11+1)</f>
        <v>-8600.7151165851828</v>
      </c>
      <c r="Y531" s="556" cm="1">
        <f t="array" ref="Y531">-SUMPRODUCT('W2'!$M$12:$R$112*('W2'!$M$7:$R$7=$A531)*('W2'!$A$12:$A$112=$B531))*$H$10*POWER(1+Inflation,Y$11+1)</f>
        <v>-9030.7508724144391</v>
      </c>
      <c r="Z531" s="556" cm="1">
        <f t="array" ref="Z531">-SUMPRODUCT('W2'!$M$12:$R$112*('W2'!$M$7:$R$7=$A531)*('W2'!$A$12:$A$112=$B531))*$H$10*POWER(1+Inflation,Z$11+1)</f>
        <v>-9482.2884160351641</v>
      </c>
      <c r="AA531" s="556" cm="1">
        <f t="array" ref="AA531">-SUMPRODUCT('W2'!$M$12:$R$112*('W2'!$M$7:$R$7=$A531)*('W2'!$A$12:$A$112=$B531))*$H$10*POWER(1+Inflation,AA$11+1)</f>
        <v>-9956.40283683692</v>
      </c>
      <c r="AB531" s="556" cm="1">
        <f t="array" ref="AB531">-SUMPRODUCT('W2'!$M$12:$R$112*('W2'!$M$7:$R$7=$A531)*('W2'!$A$12:$A$112=$B531))*$H$10*POWER(1+Inflation,AB$11+1)</f>
        <v>-10454.222978678768</v>
      </c>
      <c r="AC531" s="556" cm="1">
        <f t="array" ref="AC531">-SUMPRODUCT('W2'!$M$12:$R$112*('W2'!$M$7:$R$7=$A531)*('W2'!$A$12:$A$112=$B531))*$H$10*POWER(1+Inflation,AC$11+1)</f>
        <v>-10976.934127612707</v>
      </c>
      <c r="AD531" s="556" cm="1">
        <f t="array" ref="AD531">-SUMPRODUCT('W2'!$M$12:$R$112*('W2'!$M$7:$R$7=$A531)*('W2'!$A$12:$A$112=$B531))*$H$10*POWER(1+Inflation,AD$11+1)</f>
        <v>-11525.780833993344</v>
      </c>
      <c r="AE531" s="556" cm="1">
        <f t="array" ref="AE531">-SUMPRODUCT('W2'!$M$12:$R$112*('W2'!$M$7:$R$7=$A531)*('W2'!$A$12:$A$112=$B531))*$H$10*POWER(1+Inflation,AE$11+1)</f>
        <v>-12102.069875693011</v>
      </c>
      <c r="AF531" s="556" cm="1">
        <f t="array" ref="AF531">-SUMPRODUCT('W2'!$M$12:$R$112*('W2'!$M$7:$R$7=$A531)*('W2'!$A$12:$A$112=$B531))*$H$10*POWER(1+Inflation,AF$11+1)</f>
        <v>-12707.173369477661</v>
      </c>
      <c r="AG531" s="556" cm="1">
        <f t="array" ref="AG531">-SUMPRODUCT('W2'!$M$12:$R$112*('W2'!$M$7:$R$7=$A531)*('W2'!$A$12:$A$112=$B531))*$H$10*POWER(1+Inflation,AG$11+1)</f>
        <v>-13342.532037951543</v>
      </c>
      <c r="AH531" s="556" cm="1">
        <f t="array" ref="AH531">-SUMPRODUCT('W2'!$M$12:$R$112*('W2'!$M$7:$R$7=$A531)*('W2'!$A$12:$A$112=$B531))*$H$10*POWER(1+Inflation,AH$11+1)</f>
        <v>-14009.65863984912</v>
      </c>
      <c r="AI531" s="556" cm="1">
        <f t="array" ref="AI531">-SUMPRODUCT('W2'!$M$12:$R$112*('W2'!$M$7:$R$7=$A531)*('W2'!$A$12:$A$112=$B531))*$H$10*POWER(1+Inflation,AI$11+1)</f>
        <v>-14710.141571841576</v>
      </c>
      <c r="AJ531" s="556" cm="1">
        <f t="array" ref="AJ531">-SUMPRODUCT('W2'!$M$12:$R$112*('W2'!$M$7:$R$7=$A531)*('W2'!$A$12:$A$112=$B531))*$H$10*POWER(1+Inflation,AJ$11+1)</f>
        <v>-15445.648650433657</v>
      </c>
    </row>
    <row r="532" spans="1:36" hidden="1" x14ac:dyDescent="0.25">
      <c r="A532" t="s">
        <v>696</v>
      </c>
      <c r="B532" t="s">
        <v>451</v>
      </c>
      <c r="H532" s="454" t="s">
        <v>656</v>
      </c>
      <c r="I532" s="497" t="str">
        <f t="shared" si="897"/>
        <v>tr. VND</v>
      </c>
      <c r="K532" s="550"/>
      <c r="L532" s="550" cm="1">
        <f t="array" ref="L532">-SUMPRODUCT('W2'!$M$12:$R$112*('W2'!$M$7:$R$7=$A532)*('W2'!$A$12:$A$112=$B532))*$H$10*POWER(1+Inflation,L$11+1)</f>
        <v>-2400</v>
      </c>
      <c r="M532" s="550" cm="1">
        <f t="array" ref="M532">-SUMPRODUCT('W2'!$M$12:$R$112*('W2'!$M$7:$R$7=$A532)*('W2'!$A$12:$A$112=$B532))*$H$10*POWER(1+Inflation,M$11+1)</f>
        <v>-2400</v>
      </c>
      <c r="N532" s="550" cm="1">
        <f t="array" ref="N532">-SUMPRODUCT('W2'!$M$12:$R$112*('W2'!$M$7:$R$7=$A532)*('W2'!$A$12:$A$112=$B532))*$H$10*POWER(1+Inflation,N$11+1)</f>
        <v>-2520</v>
      </c>
      <c r="O532" s="550" cm="1">
        <f t="array" ref="O532">-SUMPRODUCT('W2'!$M$12:$R$112*('W2'!$M$7:$R$7=$A532)*('W2'!$A$12:$A$112=$B532))*$H$10*POWER(1+Inflation,O$11+1)</f>
        <v>-2646</v>
      </c>
      <c r="P532" s="550" cm="1">
        <f t="array" ref="P532">-SUMPRODUCT('W2'!$M$12:$R$112*('W2'!$M$7:$R$7=$A532)*('W2'!$A$12:$A$112=$B532))*$H$10*POWER(1+Inflation,P$11+1)</f>
        <v>-2778.3</v>
      </c>
      <c r="Q532" s="550" cm="1">
        <f t="array" ref="Q532">-SUMPRODUCT('W2'!$M$12:$R$112*('W2'!$M$7:$R$7=$A532)*('W2'!$A$12:$A$112=$B532))*$H$10*POWER(1+Inflation,Q$11+1)</f>
        <v>-2917.2150000000001</v>
      </c>
      <c r="R532" s="550" cm="1">
        <f t="array" ref="R532">-SUMPRODUCT('W2'!$M$12:$R$112*('W2'!$M$7:$R$7=$A532)*('W2'!$A$12:$A$112=$B532))*$H$10*POWER(1+Inflation,R$11+1)</f>
        <v>-3063.0757500000004</v>
      </c>
      <c r="S532" s="550" cm="1">
        <f t="array" ref="S532">-SUMPRODUCT('W2'!$M$12:$R$112*('W2'!$M$7:$R$7=$A532)*('W2'!$A$12:$A$112=$B532))*$H$10*POWER(1+Inflation,S$11+1)</f>
        <v>-3216.2295374999999</v>
      </c>
      <c r="T532" s="550" cm="1">
        <f t="array" ref="T532">-SUMPRODUCT('W2'!$M$12:$R$112*('W2'!$M$7:$R$7=$A532)*('W2'!$A$12:$A$112=$B532))*$H$10*POWER(1+Inflation,T$11+1)</f>
        <v>-3377.0410143750005</v>
      </c>
      <c r="U532" s="550" cm="1">
        <f t="array" ref="U532">-SUMPRODUCT('W2'!$M$12:$R$112*('W2'!$M$7:$R$7=$A532)*('W2'!$A$12:$A$112=$B532))*$H$10*POWER(1+Inflation,U$11+1)</f>
        <v>-3545.89306509375</v>
      </c>
      <c r="V532" s="550" cm="1">
        <f t="array" ref="V532">-SUMPRODUCT('W2'!$M$12:$R$112*('W2'!$M$7:$R$7=$A532)*('W2'!$A$12:$A$112=$B532))*$H$10*POWER(1+Inflation,V$11+1)</f>
        <v>-3723.187718348438</v>
      </c>
      <c r="W532" s="550" cm="1">
        <f t="array" ref="W532">-SUMPRODUCT('W2'!$M$12:$R$112*('W2'!$M$7:$R$7=$A532)*('W2'!$A$12:$A$112=$B532))*$H$10*POWER(1+Inflation,W$11+1)</f>
        <v>-3909.3471042658598</v>
      </c>
      <c r="X532" s="550" cm="1">
        <f t="array" ref="X532">-SUMPRODUCT('W2'!$M$12:$R$112*('W2'!$M$7:$R$7=$A532)*('W2'!$A$12:$A$112=$B532))*$H$10*POWER(1+Inflation,X$11+1)</f>
        <v>-4104.8144594791529</v>
      </c>
      <c r="Y532" s="550" cm="1">
        <f t="array" ref="Y532">-SUMPRODUCT('W2'!$M$12:$R$112*('W2'!$M$7:$R$7=$A532)*('W2'!$A$12:$A$112=$B532))*$H$10*POWER(1+Inflation,Y$11+1)</f>
        <v>-4310.0551824531103</v>
      </c>
      <c r="Z532" s="550" cm="1">
        <f t="array" ref="Z532">-SUMPRODUCT('W2'!$M$12:$R$112*('W2'!$M$7:$R$7=$A532)*('W2'!$A$12:$A$112=$B532))*$H$10*POWER(1+Inflation,Z$11+1)</f>
        <v>-4525.5579415757666</v>
      </c>
      <c r="AA532" s="550" cm="1">
        <f t="array" ref="AA532">-SUMPRODUCT('W2'!$M$12:$R$112*('W2'!$M$7:$R$7=$A532)*('W2'!$A$12:$A$112=$B532))*$H$10*POWER(1+Inflation,AA$11+1)</f>
        <v>-4751.8358386545533</v>
      </c>
      <c r="AB532" s="550" cm="1">
        <f t="array" ref="AB532">-SUMPRODUCT('W2'!$M$12:$R$112*('W2'!$M$7:$R$7=$A532)*('W2'!$A$12:$A$112=$B532))*$H$10*POWER(1+Inflation,AB$11+1)</f>
        <v>-4989.4276305872827</v>
      </c>
      <c r="AC532" s="550" cm="1">
        <f t="array" ref="AC532">-SUMPRODUCT('W2'!$M$12:$R$112*('W2'!$M$7:$R$7=$A532)*('W2'!$A$12:$A$112=$B532))*$H$10*POWER(1+Inflation,AC$11+1)</f>
        <v>-5238.8990121166462</v>
      </c>
      <c r="AD532" s="550" cm="1">
        <f t="array" ref="AD532">-SUMPRODUCT('W2'!$M$12:$R$112*('W2'!$M$7:$R$7=$A532)*('W2'!$A$12:$A$112=$B532))*$H$10*POWER(1+Inflation,AD$11+1)</f>
        <v>-5500.8439627224798</v>
      </c>
      <c r="AE532" s="550" cm="1">
        <f t="array" ref="AE532">-SUMPRODUCT('W2'!$M$12:$R$112*('W2'!$M$7:$R$7=$A532)*('W2'!$A$12:$A$112=$B532))*$H$10*POWER(1+Inflation,AE$11+1)</f>
        <v>-5775.886160858603</v>
      </c>
      <c r="AF532" s="550" cm="1">
        <f t="array" ref="AF532">-SUMPRODUCT('W2'!$M$12:$R$112*('W2'!$M$7:$R$7=$A532)*('W2'!$A$12:$A$112=$B532))*$H$10*POWER(1+Inflation,AF$11+1)</f>
        <v>-6064.6804689015335</v>
      </c>
      <c r="AG532" s="550" cm="1">
        <f t="array" ref="AG532">-SUMPRODUCT('W2'!$M$12:$R$112*('W2'!$M$7:$R$7=$A532)*('W2'!$A$12:$A$112=$B532))*$H$10*POWER(1+Inflation,AG$11+1)</f>
        <v>-6367.9144923466101</v>
      </c>
      <c r="AH532" s="550" cm="1">
        <f t="array" ref="AH532">-SUMPRODUCT('W2'!$M$12:$R$112*('W2'!$M$7:$R$7=$A532)*('W2'!$A$12:$A$112=$B532))*$H$10*POWER(1+Inflation,AH$11+1)</f>
        <v>-6686.3102169639405</v>
      </c>
      <c r="AI532" s="550" cm="1">
        <f t="array" ref="AI532">-SUMPRODUCT('W2'!$M$12:$R$112*('W2'!$M$7:$R$7=$A532)*('W2'!$A$12:$A$112=$B532))*$H$10*POWER(1+Inflation,AI$11+1)</f>
        <v>-7020.6257278121375</v>
      </c>
      <c r="AJ532" s="550" cm="1">
        <f t="array" ref="AJ532">-SUMPRODUCT('W2'!$M$12:$R$112*('W2'!$M$7:$R$7=$A532)*('W2'!$A$12:$A$112=$B532))*$H$10*POWER(1+Inflation,AJ$11+1)</f>
        <v>-7371.6570142027458</v>
      </c>
    </row>
    <row r="533" spans="1:36" hidden="1" x14ac:dyDescent="0.25">
      <c r="A533" t="s">
        <v>696</v>
      </c>
      <c r="B533" t="s">
        <v>452</v>
      </c>
      <c r="H533" s="454" t="s">
        <v>432</v>
      </c>
      <c r="I533" s="497" t="str">
        <f t="shared" si="897"/>
        <v>tr. VND</v>
      </c>
      <c r="K533" s="550"/>
      <c r="L533" s="550" cm="1">
        <f t="array" ref="L533">-SUMPRODUCT('W2'!$M$12:$R$112*('W2'!$M$7:$R$7=$A533)*('W2'!$A$12:$A$112=$B533))*$H$10*POWER(1+Inflation,L$11+1)</f>
        <v>-9022.4939999999988</v>
      </c>
      <c r="M533" s="550" cm="1">
        <f t="array" ref="M533">-SUMPRODUCT('W2'!$M$12:$R$112*('W2'!$M$7:$R$7=$A533)*('W2'!$A$12:$A$112=$B533))*$H$10*POWER(1+Inflation,M$11+1)</f>
        <v>-9022.4939999999988</v>
      </c>
      <c r="N533" s="550" cm="1">
        <f t="array" ref="N533">-SUMPRODUCT('W2'!$M$12:$R$112*('W2'!$M$7:$R$7=$A533)*('W2'!$A$12:$A$112=$B533))*$H$10*POWER(1+Inflation,N$11+1)</f>
        <v>-9473.6186999999991</v>
      </c>
      <c r="O533" s="550" cm="1">
        <f t="array" ref="O533">-SUMPRODUCT('W2'!$M$12:$R$112*('W2'!$M$7:$R$7=$A533)*('W2'!$A$12:$A$112=$B533))*$H$10*POWER(1+Inflation,O$11+1)</f>
        <v>-9947.2996349999994</v>
      </c>
      <c r="P533" s="550" cm="1">
        <f t="array" ref="P533">-SUMPRODUCT('W2'!$M$12:$R$112*('W2'!$M$7:$R$7=$A533)*('W2'!$A$12:$A$112=$B533))*$H$10*POWER(1+Inflation,P$11+1)</f>
        <v>-10444.66461675</v>
      </c>
      <c r="Q533" s="550" cm="1">
        <f t="array" ref="Q533">-SUMPRODUCT('W2'!$M$12:$R$112*('W2'!$M$7:$R$7=$A533)*('W2'!$A$12:$A$112=$B533))*$H$10*POWER(1+Inflation,Q$11+1)</f>
        <v>-10966.897847587499</v>
      </c>
      <c r="R533" s="550" cm="1">
        <f t="array" ref="R533">-SUMPRODUCT('W2'!$M$12:$R$112*('W2'!$M$7:$R$7=$A533)*('W2'!$A$12:$A$112=$B533))*$H$10*POWER(1+Inflation,R$11+1)</f>
        <v>-11515.242739966874</v>
      </c>
      <c r="S533" s="550" cm="1">
        <f t="array" ref="S533">-SUMPRODUCT('W2'!$M$12:$R$112*('W2'!$M$7:$R$7=$A533)*('W2'!$A$12:$A$112=$B533))*$H$10*POWER(1+Inflation,S$11+1)</f>
        <v>-12091.004876965217</v>
      </c>
      <c r="T533" s="550" cm="1">
        <f t="array" ref="T533">-SUMPRODUCT('W2'!$M$12:$R$112*('W2'!$M$7:$R$7=$A533)*('W2'!$A$12:$A$112=$B533))*$H$10*POWER(1+Inflation,T$11+1)</f>
        <v>-12695.55512081348</v>
      </c>
      <c r="U533" s="550" cm="1">
        <f t="array" ref="U533">-SUMPRODUCT('W2'!$M$12:$R$112*('W2'!$M$7:$R$7=$A533)*('W2'!$A$12:$A$112=$B533))*$H$10*POWER(1+Inflation,U$11+1)</f>
        <v>-13330.332876854152</v>
      </c>
      <c r="V533" s="550" cm="1">
        <f t="array" ref="V533">-SUMPRODUCT('W2'!$M$12:$R$112*('W2'!$M$7:$R$7=$A533)*('W2'!$A$12:$A$112=$B533))*$H$10*POWER(1+Inflation,V$11+1)</f>
        <v>-13996.84952069686</v>
      </c>
      <c r="W533" s="550" cm="1">
        <f t="array" ref="W533">-SUMPRODUCT('W2'!$M$12:$R$112*('W2'!$M$7:$R$7=$A533)*('W2'!$A$12:$A$112=$B533))*$H$10*POWER(1+Inflation,W$11+1)</f>
        <v>-14696.691996731704</v>
      </c>
      <c r="X533" s="550" cm="1">
        <f t="array" ref="X533">-SUMPRODUCT('W2'!$M$12:$R$112*('W2'!$M$7:$R$7=$A533)*('W2'!$A$12:$A$112=$B533))*$H$10*POWER(1+Inflation,X$11+1)</f>
        <v>-15431.52659656829</v>
      </c>
      <c r="Y533" s="550" cm="1">
        <f t="array" ref="Y533">-SUMPRODUCT('W2'!$M$12:$R$112*('W2'!$M$7:$R$7=$A533)*('W2'!$A$12:$A$112=$B533))*$H$10*POWER(1+Inflation,Y$11+1)</f>
        <v>-16203.102926396703</v>
      </c>
      <c r="Z533" s="550" cm="1">
        <f t="array" ref="Z533">-SUMPRODUCT('W2'!$M$12:$R$112*('W2'!$M$7:$R$7=$A533)*('W2'!$A$12:$A$112=$B533))*$H$10*POWER(1+Inflation,Z$11+1)</f>
        <v>-17013.25807271654</v>
      </c>
      <c r="AA533" s="550" cm="1">
        <f t="array" ref="AA533">-SUMPRODUCT('W2'!$M$12:$R$112*('W2'!$M$7:$R$7=$A533)*('W2'!$A$12:$A$112=$B533))*$H$10*POWER(1+Inflation,AA$11+1)</f>
        <v>-17863.920976352365</v>
      </c>
      <c r="AB533" s="550" cm="1">
        <f t="array" ref="AB533">-SUMPRODUCT('W2'!$M$12:$R$112*('W2'!$M$7:$R$7=$A533)*('W2'!$A$12:$A$112=$B533))*$H$10*POWER(1+Inflation,AB$11+1)</f>
        <v>-18757.117025169988</v>
      </c>
      <c r="AC533" s="550" cm="1">
        <f t="array" ref="AC533">-SUMPRODUCT('W2'!$M$12:$R$112*('W2'!$M$7:$R$7=$A533)*('W2'!$A$12:$A$112=$B533))*$H$10*POWER(1+Inflation,AC$11+1)</f>
        <v>-19694.972876428485</v>
      </c>
      <c r="AD533" s="550" cm="1">
        <f t="array" ref="AD533">-SUMPRODUCT('W2'!$M$12:$R$112*('W2'!$M$7:$R$7=$A533)*('W2'!$A$12:$A$112=$B533))*$H$10*POWER(1+Inflation,AD$11+1)</f>
        <v>-20679.721520249914</v>
      </c>
      <c r="AE533" s="550" cm="1">
        <f t="array" ref="AE533">-SUMPRODUCT('W2'!$M$12:$R$112*('W2'!$M$7:$R$7=$A533)*('W2'!$A$12:$A$112=$B533))*$H$10*POWER(1+Inflation,AE$11+1)</f>
        <v>-21713.707596262408</v>
      </c>
      <c r="AF533" s="550" cm="1">
        <f t="array" ref="AF533">-SUMPRODUCT('W2'!$M$12:$R$112*('W2'!$M$7:$R$7=$A533)*('W2'!$A$12:$A$112=$B533))*$H$10*POWER(1+Inflation,AF$11+1)</f>
        <v>-22799.392976075527</v>
      </c>
      <c r="AG533" s="550" cm="1">
        <f t="array" ref="AG533">-SUMPRODUCT('W2'!$M$12:$R$112*('W2'!$M$7:$R$7=$A533)*('W2'!$A$12:$A$112=$B533))*$H$10*POWER(1+Inflation,AG$11+1)</f>
        <v>-23939.362624879304</v>
      </c>
      <c r="AH533" s="550" cm="1">
        <f t="array" ref="AH533">-SUMPRODUCT('W2'!$M$12:$R$112*('W2'!$M$7:$R$7=$A533)*('W2'!$A$12:$A$112=$B533))*$H$10*POWER(1+Inflation,AH$11+1)</f>
        <v>-25136.330756123269</v>
      </c>
      <c r="AI533" s="550" cm="1">
        <f t="array" ref="AI533">-SUMPRODUCT('W2'!$M$12:$R$112*('W2'!$M$7:$R$7=$A533)*('W2'!$A$12:$A$112=$B533))*$H$10*POWER(1+Inflation,AI$11+1)</f>
        <v>-26393.147293929429</v>
      </c>
      <c r="AJ533" s="550" cm="1">
        <f t="array" ref="AJ533">-SUMPRODUCT('W2'!$M$12:$R$112*('W2'!$M$7:$R$7=$A533)*('W2'!$A$12:$A$112=$B533))*$H$10*POWER(1+Inflation,AJ$11+1)</f>
        <v>-27712.804658625908</v>
      </c>
    </row>
    <row r="534" spans="1:36" hidden="1" x14ac:dyDescent="0.25">
      <c r="A534" t="s">
        <v>696</v>
      </c>
      <c r="B534" t="s">
        <v>453</v>
      </c>
      <c r="H534" s="454" t="s">
        <v>433</v>
      </c>
      <c r="I534" s="497" t="str">
        <f t="shared" si="897"/>
        <v>tr. VND</v>
      </c>
      <c r="K534" s="550"/>
      <c r="L534" s="550" cm="1">
        <f t="array" ref="L534">-SUMPRODUCT('W2'!$M$12:$R$112*('W2'!$M$7:$R$7=$A534)*('W2'!$A$12:$A$112=$B534))*$H$10*POWER(1+Inflation,L$11+1)</f>
        <v>-552</v>
      </c>
      <c r="M534" s="550" cm="1">
        <f t="array" ref="M534">-SUMPRODUCT('W2'!$M$12:$R$112*('W2'!$M$7:$R$7=$A534)*('W2'!$A$12:$A$112=$B534))*$H$10*POWER(1+Inflation,M$11+1)</f>
        <v>-552</v>
      </c>
      <c r="N534" s="550" cm="1">
        <f t="array" ref="N534">-SUMPRODUCT('W2'!$M$12:$R$112*('W2'!$M$7:$R$7=$A534)*('W2'!$A$12:$A$112=$B534))*$H$10*POWER(1+Inflation,N$11+1)</f>
        <v>-579.6</v>
      </c>
      <c r="O534" s="550" cm="1">
        <f t="array" ref="O534">-SUMPRODUCT('W2'!$M$12:$R$112*('W2'!$M$7:$R$7=$A534)*('W2'!$A$12:$A$112=$B534))*$H$10*POWER(1+Inflation,O$11+1)</f>
        <v>-608.58000000000004</v>
      </c>
      <c r="P534" s="550" cm="1">
        <f t="array" ref="P534">-SUMPRODUCT('W2'!$M$12:$R$112*('W2'!$M$7:$R$7=$A534)*('W2'!$A$12:$A$112=$B534))*$H$10*POWER(1+Inflation,P$11+1)</f>
        <v>-639.00900000000001</v>
      </c>
      <c r="Q534" s="550" cm="1">
        <f t="array" ref="Q534">-SUMPRODUCT('W2'!$M$12:$R$112*('W2'!$M$7:$R$7=$A534)*('W2'!$A$12:$A$112=$B534))*$H$10*POWER(1+Inflation,Q$11+1)</f>
        <v>-670.95945000000006</v>
      </c>
      <c r="R534" s="550" cm="1">
        <f t="array" ref="R534">-SUMPRODUCT('W2'!$M$12:$R$112*('W2'!$M$7:$R$7=$A534)*('W2'!$A$12:$A$112=$B534))*$H$10*POWER(1+Inflation,R$11+1)</f>
        <v>-704.50742250000008</v>
      </c>
      <c r="S534" s="550" cm="1">
        <f t="array" ref="S534">-SUMPRODUCT('W2'!$M$12:$R$112*('W2'!$M$7:$R$7=$A534)*('W2'!$A$12:$A$112=$B534))*$H$10*POWER(1+Inflation,S$11+1)</f>
        <v>-739.732793625</v>
      </c>
      <c r="T534" s="550" cm="1">
        <f t="array" ref="T534">-SUMPRODUCT('W2'!$M$12:$R$112*('W2'!$M$7:$R$7=$A534)*('W2'!$A$12:$A$112=$B534))*$H$10*POWER(1+Inflation,T$11+1)</f>
        <v>-776.71943330625015</v>
      </c>
      <c r="U534" s="550" cm="1">
        <f t="array" ref="U534">-SUMPRODUCT('W2'!$M$12:$R$112*('W2'!$M$7:$R$7=$A534)*('W2'!$A$12:$A$112=$B534))*$H$10*POWER(1+Inflation,U$11+1)</f>
        <v>-815.55540497156255</v>
      </c>
      <c r="V534" s="550" cm="1">
        <f t="array" ref="V534">-SUMPRODUCT('W2'!$M$12:$R$112*('W2'!$M$7:$R$7=$A534)*('W2'!$A$12:$A$112=$B534))*$H$10*POWER(1+Inflation,V$11+1)</f>
        <v>-856.33317522014067</v>
      </c>
      <c r="W534" s="550" cm="1">
        <f t="array" ref="W534">-SUMPRODUCT('W2'!$M$12:$R$112*('W2'!$M$7:$R$7=$A534)*('W2'!$A$12:$A$112=$B534))*$H$10*POWER(1+Inflation,W$11+1)</f>
        <v>-899.14983398114771</v>
      </c>
      <c r="X534" s="550" cm="1">
        <f t="array" ref="X534">-SUMPRODUCT('W2'!$M$12:$R$112*('W2'!$M$7:$R$7=$A534)*('W2'!$A$12:$A$112=$B534))*$H$10*POWER(1+Inflation,X$11+1)</f>
        <v>-944.10732568020524</v>
      </c>
      <c r="Y534" s="550" cm="1">
        <f t="array" ref="Y534">-SUMPRODUCT('W2'!$M$12:$R$112*('W2'!$M$7:$R$7=$A534)*('W2'!$A$12:$A$112=$B534))*$H$10*POWER(1+Inflation,Y$11+1)</f>
        <v>-991.31269196421533</v>
      </c>
      <c r="Z534" s="550" cm="1">
        <f t="array" ref="Z534">-SUMPRODUCT('W2'!$M$12:$R$112*('W2'!$M$7:$R$7=$A534)*('W2'!$A$12:$A$112=$B534))*$H$10*POWER(1+Inflation,Z$11+1)</f>
        <v>-1040.8783265624263</v>
      </c>
      <c r="AA534" s="550" cm="1">
        <f t="array" ref="AA534">-SUMPRODUCT('W2'!$M$12:$R$112*('W2'!$M$7:$R$7=$A534)*('W2'!$A$12:$A$112=$B534))*$H$10*POWER(1+Inflation,AA$11+1)</f>
        <v>-1092.9222428905473</v>
      </c>
      <c r="AB534" s="550" cm="1">
        <f t="array" ref="AB534">-SUMPRODUCT('W2'!$M$12:$R$112*('W2'!$M$7:$R$7=$A534)*('W2'!$A$12:$A$112=$B534))*$H$10*POWER(1+Inflation,AB$11+1)</f>
        <v>-1147.568355035075</v>
      </c>
      <c r="AC534" s="550" cm="1">
        <f t="array" ref="AC534">-SUMPRODUCT('W2'!$M$12:$R$112*('W2'!$M$7:$R$7=$A534)*('W2'!$A$12:$A$112=$B534))*$H$10*POWER(1+Inflation,AC$11+1)</f>
        <v>-1204.9467727868287</v>
      </c>
      <c r="AD534" s="550" cm="1">
        <f t="array" ref="AD534">-SUMPRODUCT('W2'!$M$12:$R$112*('W2'!$M$7:$R$7=$A534)*('W2'!$A$12:$A$112=$B534))*$H$10*POWER(1+Inflation,AD$11+1)</f>
        <v>-1265.1941114261704</v>
      </c>
      <c r="AE534" s="550" cm="1">
        <f t="array" ref="AE534">-SUMPRODUCT('W2'!$M$12:$R$112*('W2'!$M$7:$R$7=$A534)*('W2'!$A$12:$A$112=$B534))*$H$10*POWER(1+Inflation,AE$11+1)</f>
        <v>-1328.4538169974787</v>
      </c>
      <c r="AF534" s="550" cm="1">
        <f t="array" ref="AF534">-SUMPRODUCT('W2'!$M$12:$R$112*('W2'!$M$7:$R$7=$A534)*('W2'!$A$12:$A$112=$B534))*$H$10*POWER(1+Inflation,AF$11+1)</f>
        <v>-1394.8765078473527</v>
      </c>
      <c r="AG534" s="550" cm="1">
        <f t="array" ref="AG534">-SUMPRODUCT('W2'!$M$12:$R$112*('W2'!$M$7:$R$7=$A534)*('W2'!$A$12:$A$112=$B534))*$H$10*POWER(1+Inflation,AG$11+1)</f>
        <v>-1464.6203332397204</v>
      </c>
      <c r="AH534" s="550" cm="1">
        <f t="array" ref="AH534">-SUMPRODUCT('W2'!$M$12:$R$112*('W2'!$M$7:$R$7=$A534)*('W2'!$A$12:$A$112=$B534))*$H$10*POWER(1+Inflation,AH$11+1)</f>
        <v>-1537.8513499017063</v>
      </c>
      <c r="AI534" s="550" cm="1">
        <f t="array" ref="AI534">-SUMPRODUCT('W2'!$M$12:$R$112*('W2'!$M$7:$R$7=$A534)*('W2'!$A$12:$A$112=$B534))*$H$10*POWER(1+Inflation,AI$11+1)</f>
        <v>-1614.7439173967914</v>
      </c>
      <c r="AJ534" s="550" cm="1">
        <f t="array" ref="AJ534">-SUMPRODUCT('W2'!$M$12:$R$112*('W2'!$M$7:$R$7=$A534)*('W2'!$A$12:$A$112=$B534))*$H$10*POWER(1+Inflation,AJ$11+1)</f>
        <v>-1695.4811132666314</v>
      </c>
    </row>
    <row r="535" spans="1:36" hidden="1" x14ac:dyDescent="0.25">
      <c r="A535" t="s">
        <v>696</v>
      </c>
      <c r="B535" t="s">
        <v>521</v>
      </c>
      <c r="H535" s="454" t="s">
        <v>520</v>
      </c>
      <c r="I535" s="497" t="str">
        <f t="shared" si="897"/>
        <v>tr. VND</v>
      </c>
      <c r="K535" s="550"/>
      <c r="L535" s="550" cm="1">
        <f t="array" ref="L535">-SUMPRODUCT('W2'!$M$12:$R$112*('W2'!$M$7:$R$7=$A535)*('W2'!$A$12:$A$112=$B535))*$H$10</f>
        <v>-901.49959999999999</v>
      </c>
      <c r="M535" s="550" cm="1">
        <f t="array" ref="M535">-SUMPRODUCT('W2'!$M$12:$R$112*('W2'!$M$7:$R$7=$A535)*('W2'!$A$12:$A$112=$B535))*$H$10</f>
        <v>-901.49959999999999</v>
      </c>
      <c r="N535" s="550" cm="1">
        <f t="array" ref="N535">-SUMPRODUCT('W2'!$M$12:$R$112*('W2'!$M$7:$R$7=$A535)*('W2'!$A$12:$A$112=$B535))*$H$10</f>
        <v>-901.49959999999999</v>
      </c>
      <c r="O535" s="550" cm="1">
        <f t="array" ref="O535">-SUMPRODUCT('W2'!$M$12:$R$112*('W2'!$M$7:$R$7=$A535)*('W2'!$A$12:$A$112=$B535))*$H$10</f>
        <v>-901.49959999999999</v>
      </c>
      <c r="P535" s="550" cm="1">
        <f t="array" ref="P535">-SUMPRODUCT('W2'!$M$12:$R$112*('W2'!$M$7:$R$7=$A535)*('W2'!$A$12:$A$112=$B535))*$H$10</f>
        <v>-901.49959999999999</v>
      </c>
      <c r="Q535" s="550" cm="1">
        <f t="array" ref="Q535">-SUMPRODUCT('W2'!$M$12:$R$112*('W2'!$M$7:$R$7=$A535)*('W2'!$A$12:$A$112=$B535))*$H$10</f>
        <v>-901.49959999999999</v>
      </c>
      <c r="R535" s="550" cm="1">
        <f t="array" ref="R535">-SUMPRODUCT('W2'!$M$12:$R$112*('W2'!$M$7:$R$7=$A535)*('W2'!$A$12:$A$112=$B535))*$H$10</f>
        <v>-901.49959999999999</v>
      </c>
      <c r="S535" s="550" cm="1">
        <f t="array" ref="S535">-SUMPRODUCT('W2'!$M$12:$R$112*('W2'!$M$7:$R$7=$A535)*('W2'!$A$12:$A$112=$B535))*$H$10</f>
        <v>-901.49959999999999</v>
      </c>
      <c r="T535" s="550" cm="1">
        <f t="array" ref="T535">-SUMPRODUCT('W2'!$M$12:$R$112*('W2'!$M$7:$R$7=$A535)*('W2'!$A$12:$A$112=$B535))*$H$10</f>
        <v>-901.49959999999999</v>
      </c>
      <c r="U535" s="550" cm="1">
        <f t="array" ref="U535">-SUMPRODUCT('W2'!$M$12:$R$112*('W2'!$M$7:$R$7=$A535)*('W2'!$A$12:$A$112=$B535))*$H$10</f>
        <v>-901.49959999999999</v>
      </c>
      <c r="V535" s="550" cm="1">
        <f t="array" ref="V535">-SUMPRODUCT('W2'!$M$12:$R$112*('W2'!$M$7:$R$7=$A535)*('W2'!$A$12:$A$112=$B535))*$H$10</f>
        <v>-901.49959999999999</v>
      </c>
      <c r="W535" s="550" cm="1">
        <f t="array" ref="W535">-SUMPRODUCT('W2'!$M$12:$R$112*('W2'!$M$7:$R$7=$A535)*('W2'!$A$12:$A$112=$B535))*$H$10</f>
        <v>-901.49959999999999</v>
      </c>
      <c r="X535" s="550" cm="1">
        <f t="array" ref="X535">-SUMPRODUCT('W2'!$M$12:$R$112*('W2'!$M$7:$R$7=$A535)*('W2'!$A$12:$A$112=$B535))*$H$10</f>
        <v>-901.49959999999999</v>
      </c>
      <c r="Y535" s="550" cm="1">
        <f t="array" ref="Y535">-SUMPRODUCT('W2'!$M$12:$R$112*('W2'!$M$7:$R$7=$A535)*('W2'!$A$12:$A$112=$B535))*$H$10</f>
        <v>-901.49959999999999</v>
      </c>
      <c r="Z535" s="550" cm="1">
        <f t="array" ref="Z535">-SUMPRODUCT('W2'!$M$12:$R$112*('W2'!$M$7:$R$7=$A535)*('W2'!$A$12:$A$112=$B535))*$H$10</f>
        <v>-901.49959999999999</v>
      </c>
      <c r="AA535" s="550" cm="1">
        <f t="array" ref="AA535">-SUMPRODUCT('W2'!$M$12:$R$112*('W2'!$M$7:$R$7=$A535)*('W2'!$A$12:$A$112=$B535))*$H$10</f>
        <v>-901.49959999999999</v>
      </c>
      <c r="AB535" s="550" cm="1">
        <f t="array" ref="AB535">-SUMPRODUCT('W2'!$M$12:$R$112*('W2'!$M$7:$R$7=$A535)*('W2'!$A$12:$A$112=$B535))*$H$10</f>
        <v>-901.49959999999999</v>
      </c>
      <c r="AC535" s="550" cm="1">
        <f t="array" ref="AC535">-SUMPRODUCT('W2'!$M$12:$R$112*('W2'!$M$7:$R$7=$A535)*('W2'!$A$12:$A$112=$B535))*$H$10</f>
        <v>-901.49959999999999</v>
      </c>
      <c r="AD535" s="550" cm="1">
        <f t="array" ref="AD535">-SUMPRODUCT('W2'!$M$12:$R$112*('W2'!$M$7:$R$7=$A535)*('W2'!$A$12:$A$112=$B535))*$H$10</f>
        <v>-901.49959999999999</v>
      </c>
      <c r="AE535" s="550" cm="1">
        <f t="array" ref="AE535">-SUMPRODUCT('W2'!$M$12:$R$112*('W2'!$M$7:$R$7=$A535)*('W2'!$A$12:$A$112=$B535))*$H$10</f>
        <v>-901.49959999999999</v>
      </c>
      <c r="AF535" s="550" cm="1">
        <f t="array" ref="AF535">-SUMPRODUCT('W2'!$M$12:$R$112*('W2'!$M$7:$R$7=$A535)*('W2'!$A$12:$A$112=$B535))*$H$10</f>
        <v>-901.49959999999999</v>
      </c>
      <c r="AG535" s="550" cm="1">
        <f t="array" ref="AG535">-SUMPRODUCT('W2'!$M$12:$R$112*('W2'!$M$7:$R$7=$A535)*('W2'!$A$12:$A$112=$B535))*$H$10</f>
        <v>-901.49959999999999</v>
      </c>
      <c r="AH535" s="550" cm="1">
        <f t="array" ref="AH535">-SUMPRODUCT('W2'!$M$12:$R$112*('W2'!$M$7:$R$7=$A535)*('W2'!$A$12:$A$112=$B535))*$H$10</f>
        <v>-901.49959999999999</v>
      </c>
      <c r="AI535" s="550" cm="1">
        <f t="array" ref="AI535">-SUMPRODUCT('W2'!$M$12:$R$112*('W2'!$M$7:$R$7=$A535)*('W2'!$A$12:$A$112=$B535))*$H$10</f>
        <v>-901.49959999999999</v>
      </c>
      <c r="AJ535" s="550" cm="1">
        <f t="array" ref="AJ535">-SUMPRODUCT('W2'!$M$12:$R$112*('W2'!$M$7:$R$7=$A535)*('W2'!$A$12:$A$112=$B535))*$H$10</f>
        <v>-901.49959999999999</v>
      </c>
    </row>
    <row r="536" spans="1:36" hidden="1" x14ac:dyDescent="0.25">
      <c r="A536" t="s">
        <v>696</v>
      </c>
      <c r="K536" s="243"/>
      <c r="L536" s="243"/>
      <c r="M536" s="243"/>
      <c r="N536" s="243"/>
      <c r="O536" s="243"/>
      <c r="P536" s="243"/>
      <c r="Q536" s="243"/>
      <c r="R536" s="243"/>
      <c r="S536" s="243"/>
      <c r="T536" s="243"/>
      <c r="U536" s="243"/>
      <c r="V536" s="243"/>
      <c r="W536" s="243"/>
      <c r="X536" s="243"/>
      <c r="Y536" s="243"/>
      <c r="Z536" s="243"/>
      <c r="AA536" s="243"/>
      <c r="AB536" s="243"/>
      <c r="AC536" s="243"/>
      <c r="AD536" s="243"/>
      <c r="AE536" s="243"/>
      <c r="AF536" s="243"/>
      <c r="AG536" s="243"/>
      <c r="AH536" s="243"/>
      <c r="AI536" s="243"/>
      <c r="AJ536" s="243"/>
    </row>
    <row r="537" spans="1:36" s="1" customFormat="1" hidden="1" x14ac:dyDescent="0.25">
      <c r="A537" s="1" t="s">
        <v>696</v>
      </c>
      <c r="H537" s="266" t="s">
        <v>435</v>
      </c>
      <c r="I537" s="267" t="str">
        <f t="shared" ref="I537:I540" si="901">IF($H$9="USD","USD","tr. VND")</f>
        <v>tr. VND</v>
      </c>
      <c r="K537" s="269">
        <f>K538+K541+K544</f>
        <v>0</v>
      </c>
      <c r="L537" s="269">
        <f t="shared" ref="L537:AJ537" si="902">L538+L541+L544</f>
        <v>-92746.065303826777</v>
      </c>
      <c r="M537" s="269">
        <f t="shared" si="902"/>
        <v>-129045.29243442416</v>
      </c>
      <c r="N537" s="269">
        <f t="shared" si="902"/>
        <v>-187617.60190480959</v>
      </c>
      <c r="O537" s="269">
        <f t="shared" si="902"/>
        <v>-191847.4979197002</v>
      </c>
      <c r="P537" s="269">
        <f t="shared" si="902"/>
        <v>-196187.14761304564</v>
      </c>
      <c r="Q537" s="269">
        <f t="shared" si="902"/>
        <v>-200640.00384632294</v>
      </c>
      <c r="R537" s="269">
        <f t="shared" si="902"/>
        <v>-205209.65142763397</v>
      </c>
      <c r="S537" s="269">
        <f t="shared" si="902"/>
        <v>-209899.81289510772</v>
      </c>
      <c r="T537" s="269">
        <f t="shared" si="902"/>
        <v>-214714.35457319432</v>
      </c>
      <c r="U537" s="269">
        <f t="shared" si="902"/>
        <v>-219657.29291516927</v>
      </c>
      <c r="V537" s="269">
        <f t="shared" si="902"/>
        <v>-224732.80114582658</v>
      </c>
      <c r="W537" s="269">
        <f t="shared" si="902"/>
        <v>-229945.21621903207</v>
      </c>
      <c r="X537" s="269">
        <f t="shared" si="902"/>
        <v>-234296.54677220009</v>
      </c>
      <c r="Y537" s="269">
        <f t="shared" si="902"/>
        <v>-239796.47809385488</v>
      </c>
      <c r="Z537" s="269">
        <f t="shared" si="902"/>
        <v>-245447.38412123729</v>
      </c>
      <c r="AA537" s="269">
        <f t="shared" si="902"/>
        <v>-251254.33315242664</v>
      </c>
      <c r="AB537" s="269">
        <f t="shared" si="902"/>
        <v>-257222.59729166192</v>
      </c>
      <c r="AC537" s="269">
        <f t="shared" si="902"/>
        <v>-263357.66164747532</v>
      </c>
      <c r="AD537" s="269">
        <f t="shared" si="902"/>
        <v>-269665.23397088796</v>
      </c>
      <c r="AE537" s="269">
        <f t="shared" si="902"/>
        <v>-276151.25475527602</v>
      </c>
      <c r="AF537" s="269">
        <f t="shared" si="902"/>
        <v>-282821.90782058443</v>
      </c>
      <c r="AG537" s="269">
        <f t="shared" si="902"/>
        <v>-289683.63140569301</v>
      </c>
      <c r="AH537" s="269">
        <f t="shared" si="902"/>
        <v>-296743.12979392271</v>
      </c>
      <c r="AI537" s="269">
        <f t="shared" si="902"/>
        <v>-304007.38549790683</v>
      </c>
      <c r="AJ537" s="269">
        <f t="shared" si="902"/>
        <v>-311483.67203135975</v>
      </c>
    </row>
    <row r="538" spans="1:36" hidden="1" x14ac:dyDescent="0.25">
      <c r="A538" t="s">
        <v>696</v>
      </c>
      <c r="H538" s="637" t="s">
        <v>454</v>
      </c>
      <c r="I538" s="638" t="str">
        <f t="shared" si="901"/>
        <v>tr. VND</v>
      </c>
      <c r="K538" s="639">
        <f>SUM(K539:K540)</f>
        <v>0</v>
      </c>
      <c r="L538" s="639">
        <f t="shared" ref="L538:AJ538" si="903">SUM(L539:L540)</f>
        <v>-83121.831936000002</v>
      </c>
      <c r="M538" s="639">
        <f t="shared" si="903"/>
        <v>-116370.56471040001</v>
      </c>
      <c r="N538" s="639">
        <f t="shared" si="903"/>
        <v>-169568.53714944003</v>
      </c>
      <c r="O538" s="639">
        <f t="shared" si="903"/>
        <v>-172959.90789242883</v>
      </c>
      <c r="P538" s="639">
        <f t="shared" si="903"/>
        <v>-176419.10605027739</v>
      </c>
      <c r="Q538" s="639">
        <f t="shared" si="903"/>
        <v>-179947.48817128292</v>
      </c>
      <c r="R538" s="639">
        <f t="shared" si="903"/>
        <v>-183546.43793470861</v>
      </c>
      <c r="S538" s="639">
        <f t="shared" si="903"/>
        <v>-187217.36669340279</v>
      </c>
      <c r="T538" s="639">
        <f t="shared" si="903"/>
        <v>-190961.71402727079</v>
      </c>
      <c r="U538" s="639">
        <f t="shared" si="903"/>
        <v>-194780.9483078162</v>
      </c>
      <c r="V538" s="639">
        <f t="shared" si="903"/>
        <v>-198676.56727397256</v>
      </c>
      <c r="W538" s="639">
        <f t="shared" si="903"/>
        <v>-202650.09861945201</v>
      </c>
      <c r="X538" s="639">
        <f t="shared" si="903"/>
        <v>-206703.10059184101</v>
      </c>
      <c r="Y538" s="639">
        <f t="shared" si="903"/>
        <v>-210837.16260367786</v>
      </c>
      <c r="Z538" s="639">
        <f t="shared" si="903"/>
        <v>-215053.90585575142</v>
      </c>
      <c r="AA538" s="639">
        <f t="shared" si="903"/>
        <v>-219354.98397286647</v>
      </c>
      <c r="AB538" s="639">
        <f t="shared" si="903"/>
        <v>-223742.08365232372</v>
      </c>
      <c r="AC538" s="639">
        <f t="shared" si="903"/>
        <v>-228216.92532537025</v>
      </c>
      <c r="AD538" s="639">
        <f t="shared" si="903"/>
        <v>-232781.26383187764</v>
      </c>
      <c r="AE538" s="639">
        <f t="shared" si="903"/>
        <v>-237436.88910851517</v>
      </c>
      <c r="AF538" s="639">
        <f t="shared" si="903"/>
        <v>-242185.6268906855</v>
      </c>
      <c r="AG538" s="639">
        <f t="shared" si="903"/>
        <v>-247029.3394284992</v>
      </c>
      <c r="AH538" s="639">
        <f t="shared" si="903"/>
        <v>-251969.92621706918</v>
      </c>
      <c r="AI538" s="639">
        <f t="shared" si="903"/>
        <v>-257009.32474141059</v>
      </c>
      <c r="AJ538" s="639">
        <f t="shared" si="903"/>
        <v>-262149.51123623876</v>
      </c>
    </row>
    <row r="539" spans="1:36" s="299" customFormat="1" hidden="1" x14ac:dyDescent="0.25">
      <c r="A539" s="299" t="s">
        <v>696</v>
      </c>
      <c r="B539" s="299" t="s">
        <v>459</v>
      </c>
      <c r="H539" s="554" t="s">
        <v>167</v>
      </c>
      <c r="I539" s="555" t="str">
        <f t="shared" si="901"/>
        <v>tr. VND</v>
      </c>
      <c r="K539" s="556"/>
      <c r="L539" s="556" cm="1">
        <f t="array" ref="L539">-SUMPRODUCT('W2'!$M$12:$R$112*('W2'!$M$7:$R$7=$A539)*('W2'!$A$12:$A$112=$B539))*L516*$H$10*POWER(1+INDEX('Cover Page'!$H$8:$W$8,MATCH($A539,'Cover Page'!$H$5:$W$5,0)),1+L$13)</f>
        <v>-77303.303700479999</v>
      </c>
      <c r="M539" s="556" cm="1">
        <f t="array" ref="M539">-SUMPRODUCT('W2'!$M$12:$R$112*('W2'!$M$7:$R$7=$A539)*('W2'!$A$12:$A$112=$B539))*M516*$H$10*POWER(1+INDEX('Cover Page'!$H$8:$W$8,MATCH($A516,'Cover Page'!$H$5:$W$5,0)),1+M$13)</f>
        <v>-108224.625180672</v>
      </c>
      <c r="N539" s="556" cm="1">
        <f t="array" ref="N539">-SUMPRODUCT('W2'!$M$12:$R$112*('W2'!$M$7:$R$7=$A539)*('W2'!$A$12:$A$112=$B539))*N516*$H$10*POWER(1+INDEX('Cover Page'!$H$8:$W$8,MATCH($A516,'Cover Page'!$H$5:$W$5,0)),1+N$13)</f>
        <v>-157698.73954897921</v>
      </c>
      <c r="O539" s="556" cm="1">
        <f t="array" ref="O539">-SUMPRODUCT('W2'!$M$12:$R$112*('W2'!$M$7:$R$7=$A539)*('W2'!$A$12:$A$112=$B539))*O516*$H$10*POWER(1+INDEX('Cover Page'!$H$8:$W$8,MATCH($A516,'Cover Page'!$H$5:$W$5,0)),1+O$13)</f>
        <v>-160852.71433995879</v>
      </c>
      <c r="P539" s="556" cm="1">
        <f t="array" ref="P539">-SUMPRODUCT('W2'!$M$12:$R$112*('W2'!$M$7:$R$7=$A539)*('W2'!$A$12:$A$112=$B539))*P516*$H$10*POWER(1+INDEX('Cover Page'!$H$8:$W$8,MATCH($A516,'Cover Page'!$H$5:$W$5,0)),1+P$13)</f>
        <v>-164069.76862675796</v>
      </c>
      <c r="Q539" s="556" cm="1">
        <f t="array" ref="Q539">-SUMPRODUCT('W2'!$M$12:$R$112*('W2'!$M$7:$R$7=$A539)*('W2'!$A$12:$A$112=$B539))*Q516*$H$10*POWER(1+INDEX('Cover Page'!$H$8:$W$8,MATCH($A516,'Cover Page'!$H$5:$W$5,0)),1+Q$13)</f>
        <v>-167351.16399929312</v>
      </c>
      <c r="R539" s="556" cm="1">
        <f t="array" ref="R539">-SUMPRODUCT('W2'!$M$12:$R$112*('W2'!$M$7:$R$7=$A539)*('W2'!$A$12:$A$112=$B539))*R516*$H$10*POWER(1+INDEX('Cover Page'!$H$8:$W$8,MATCH($A516,'Cover Page'!$H$5:$W$5,0)),1+R$13)</f>
        <v>-170698.18727927899</v>
      </c>
      <c r="S539" s="556" cm="1">
        <f t="array" ref="S539">-SUMPRODUCT('W2'!$M$12:$R$112*('W2'!$M$7:$R$7=$A539)*('W2'!$A$12:$A$112=$B539))*S516*$H$10*POWER(1+INDEX('Cover Page'!$H$8:$W$8,MATCH($A516,'Cover Page'!$H$5:$W$5,0)),1+S$13)</f>
        <v>-174112.15102486458</v>
      </c>
      <c r="T539" s="556" cm="1">
        <f t="array" ref="T539">-SUMPRODUCT('W2'!$M$12:$R$112*('W2'!$M$7:$R$7=$A539)*('W2'!$A$12:$A$112=$B539))*T516*$H$10*POWER(1+INDEX('Cover Page'!$H$8:$W$8,MATCH($A516,'Cover Page'!$H$5:$W$5,0)),1+T$13)</f>
        <v>-177594.39404536181</v>
      </c>
      <c r="U539" s="556" cm="1">
        <f t="array" ref="U539">-SUMPRODUCT('W2'!$M$12:$R$112*('W2'!$M$7:$R$7=$A539)*('W2'!$A$12:$A$112=$B539))*U516*$H$10*POWER(1+INDEX('Cover Page'!$H$8:$W$8,MATCH($A516,'Cover Page'!$H$5:$W$5,0)),1+U$13)</f>
        <v>-181146.28192626906</v>
      </c>
      <c r="V539" s="556" cm="1">
        <f t="array" ref="V539">-SUMPRODUCT('W2'!$M$12:$R$112*('W2'!$M$7:$R$7=$A539)*('W2'!$A$12:$A$112=$B539))*V516*$H$10*POWER(1+INDEX('Cover Page'!$H$8:$W$8,MATCH($A516,'Cover Page'!$H$5:$W$5,0)),1+V$13)</f>
        <v>-184769.20756479446</v>
      </c>
      <c r="W539" s="556" cm="1">
        <f t="array" ref="W539">-SUMPRODUCT('W2'!$M$12:$R$112*('W2'!$M$7:$R$7=$A539)*('W2'!$A$12:$A$112=$B539))*W516*$H$10*POWER(1+INDEX('Cover Page'!$H$8:$W$8,MATCH($A516,'Cover Page'!$H$5:$W$5,0)),1+W$13)</f>
        <v>-188464.59171609036</v>
      </c>
      <c r="X539" s="556" cm="1">
        <f t="array" ref="X539">-SUMPRODUCT('W2'!$M$12:$R$112*('W2'!$M$7:$R$7=$A539)*('W2'!$A$12:$A$112=$B539))*X516*$H$10*POWER(1+INDEX('Cover Page'!$H$8:$W$8,MATCH($A516,'Cover Page'!$H$5:$W$5,0)),1+X$13)</f>
        <v>-192233.88355041214</v>
      </c>
      <c r="Y539" s="556" cm="1">
        <f t="array" ref="Y539">-SUMPRODUCT('W2'!$M$12:$R$112*('W2'!$M$7:$R$7=$A539)*('W2'!$A$12:$A$112=$B539))*Y516*$H$10*POWER(1+INDEX('Cover Page'!$H$8:$W$8,MATCH($A516,'Cover Page'!$H$5:$W$5,0)),1+Y$13)</f>
        <v>-196078.56122142039</v>
      </c>
      <c r="Z539" s="556" cm="1">
        <f t="array" ref="Z539">-SUMPRODUCT('W2'!$M$12:$R$112*('W2'!$M$7:$R$7=$A539)*('W2'!$A$12:$A$112=$B539))*Z516*$H$10*POWER(1+INDEX('Cover Page'!$H$8:$W$8,MATCH($A516,'Cover Page'!$H$5:$W$5,0)),1+Z$13)</f>
        <v>-200000.13244584881</v>
      </c>
      <c r="AA539" s="556" cm="1">
        <f t="array" ref="AA539">-SUMPRODUCT('W2'!$M$12:$R$112*('W2'!$M$7:$R$7=$A539)*('W2'!$A$12:$A$112=$B539))*AA516*$H$10*POWER(1+INDEX('Cover Page'!$H$8:$W$8,MATCH($A516,'Cover Page'!$H$5:$W$5,0)),1+AA$13)</f>
        <v>-204000.13509476581</v>
      </c>
      <c r="AB539" s="556" cm="1">
        <f t="array" ref="AB539">-SUMPRODUCT('W2'!$M$12:$R$112*('W2'!$M$7:$R$7=$A539)*('W2'!$A$12:$A$112=$B539))*AB516*$H$10*POWER(1+INDEX('Cover Page'!$H$8:$W$8,MATCH($A516,'Cover Page'!$H$5:$W$5,0)),1+AB$13)</f>
        <v>-208080.13779666106</v>
      </c>
      <c r="AC539" s="556" cm="1">
        <f t="array" ref="AC539">-SUMPRODUCT('W2'!$M$12:$R$112*('W2'!$M$7:$R$7=$A539)*('W2'!$A$12:$A$112=$B539))*AC516*$H$10*POWER(1+INDEX('Cover Page'!$H$8:$W$8,MATCH($A516,'Cover Page'!$H$5:$W$5,0)),1+AC$13)</f>
        <v>-212241.7405525943</v>
      </c>
      <c r="AD539" s="556" cm="1">
        <f t="array" ref="AD539">-SUMPRODUCT('W2'!$M$12:$R$112*('W2'!$M$7:$R$7=$A539)*('W2'!$A$12:$A$112=$B539))*AD516*$H$10*POWER(1+INDEX('Cover Page'!$H$8:$W$8,MATCH($A516,'Cover Page'!$H$5:$W$5,0)),1+AD$13)</f>
        <v>-216486.5753636462</v>
      </c>
      <c r="AE539" s="556" cm="1">
        <f t="array" ref="AE539">-SUMPRODUCT('W2'!$M$12:$R$112*('W2'!$M$7:$R$7=$A539)*('W2'!$A$12:$A$112=$B539))*AE516*$H$10*POWER(1+INDEX('Cover Page'!$H$8:$W$8,MATCH($A516,'Cover Page'!$H$5:$W$5,0)),1+AE$13)</f>
        <v>-220816.3068709191</v>
      </c>
      <c r="AF539" s="556" cm="1">
        <f t="array" ref="AF539">-SUMPRODUCT('W2'!$M$12:$R$112*('W2'!$M$7:$R$7=$A539)*('W2'!$A$12:$A$112=$B539))*AF516*$H$10*POWER(1+INDEX('Cover Page'!$H$8:$W$8,MATCH($A516,'Cover Page'!$H$5:$W$5,0)),1+AF$13)</f>
        <v>-225232.63300833749</v>
      </c>
      <c r="AG539" s="556" cm="1">
        <f t="array" ref="AG539">-SUMPRODUCT('W2'!$M$12:$R$112*('W2'!$M$7:$R$7=$A539)*('W2'!$A$12:$A$112=$B539))*AG516*$H$10*POWER(1+INDEX('Cover Page'!$H$8:$W$8,MATCH($A516,'Cover Page'!$H$5:$W$5,0)),1+AG$13)</f>
        <v>-229737.28566850425</v>
      </c>
      <c r="AH539" s="556" cm="1">
        <f t="array" ref="AH539">-SUMPRODUCT('W2'!$M$12:$R$112*('W2'!$M$7:$R$7=$A539)*('W2'!$A$12:$A$112=$B539))*AH516*$H$10*POWER(1+INDEX('Cover Page'!$H$8:$W$8,MATCH($A516,'Cover Page'!$H$5:$W$5,0)),1+AH$13)</f>
        <v>-234332.03138187432</v>
      </c>
      <c r="AI539" s="556" cm="1">
        <f t="array" ref="AI539">-SUMPRODUCT('W2'!$M$12:$R$112*('W2'!$M$7:$R$7=$A539)*('W2'!$A$12:$A$112=$B539))*AI516*$H$10*POWER(1+INDEX('Cover Page'!$H$8:$W$8,MATCH($A516,'Cover Page'!$H$5:$W$5,0)),1+AI$13)</f>
        <v>-239018.67200951182</v>
      </c>
      <c r="AJ539" s="556" cm="1">
        <f t="array" ref="AJ539">-SUMPRODUCT('W2'!$M$12:$R$112*('W2'!$M$7:$R$7=$A539)*('W2'!$A$12:$A$112=$B539))*AJ516*$H$10*POWER(1+INDEX('Cover Page'!$H$8:$W$8,MATCH($A516,'Cover Page'!$H$5:$W$5,0)),1+AJ$13)</f>
        <v>-243799.04544970201</v>
      </c>
    </row>
    <row r="540" spans="1:36" s="299" customFormat="1" hidden="1" x14ac:dyDescent="0.25">
      <c r="A540" s="299" t="s">
        <v>696</v>
      </c>
      <c r="H540" s="554" t="s">
        <v>203</v>
      </c>
      <c r="I540" s="555" t="str">
        <f t="shared" si="901"/>
        <v>tr. VND</v>
      </c>
      <c r="K540" s="640"/>
      <c r="L540" s="640">
        <f>L539/(1-L514)-L539</f>
        <v>-5818.5282355200034</v>
      </c>
      <c r="M540" s="640">
        <f t="shared" ref="M540:AJ540" si="904">M539/(1-M514)-M539</f>
        <v>-8145.9395297280134</v>
      </c>
      <c r="N540" s="640">
        <f t="shared" si="904"/>
        <v>-11869.797600460821</v>
      </c>
      <c r="O540" s="640">
        <f t="shared" si="904"/>
        <v>-12107.193552470038</v>
      </c>
      <c r="P540" s="640">
        <f t="shared" si="904"/>
        <v>-12349.337423519435</v>
      </c>
      <c r="Q540" s="640">
        <f t="shared" si="904"/>
        <v>-12596.324171989807</v>
      </c>
      <c r="R540" s="640">
        <f t="shared" si="904"/>
        <v>-12848.250655429612</v>
      </c>
      <c r="S540" s="640">
        <f t="shared" si="904"/>
        <v>-13105.215668538207</v>
      </c>
      <c r="T540" s="640">
        <f t="shared" si="904"/>
        <v>-13367.319981908979</v>
      </c>
      <c r="U540" s="640">
        <f t="shared" si="904"/>
        <v>-13634.66638154714</v>
      </c>
      <c r="V540" s="640">
        <f t="shared" si="904"/>
        <v>-13907.359709178098</v>
      </c>
      <c r="W540" s="640">
        <f t="shared" si="904"/>
        <v>-14185.506903361646</v>
      </c>
      <c r="X540" s="640">
        <f t="shared" si="904"/>
        <v>-14469.21704142887</v>
      </c>
      <c r="Y540" s="640">
        <f t="shared" si="904"/>
        <v>-14758.601382257475</v>
      </c>
      <c r="Z540" s="640">
        <f t="shared" si="904"/>
        <v>-15053.773409902613</v>
      </c>
      <c r="AA540" s="640">
        <f t="shared" si="904"/>
        <v>-15354.84887810066</v>
      </c>
      <c r="AB540" s="640">
        <f t="shared" si="904"/>
        <v>-15661.945855662663</v>
      </c>
      <c r="AC540" s="640">
        <f t="shared" si="904"/>
        <v>-15975.184772775945</v>
      </c>
      <c r="AD540" s="640">
        <f t="shared" si="904"/>
        <v>-16294.688468231441</v>
      </c>
      <c r="AE540" s="640">
        <f t="shared" si="904"/>
        <v>-16620.582237596071</v>
      </c>
      <c r="AF540" s="640">
        <f t="shared" si="904"/>
        <v>-16952.993882348004</v>
      </c>
      <c r="AG540" s="640">
        <f t="shared" si="904"/>
        <v>-17292.053759994946</v>
      </c>
      <c r="AH540" s="640">
        <f t="shared" si="904"/>
        <v>-17637.894835194864</v>
      </c>
      <c r="AI540" s="640">
        <f t="shared" si="904"/>
        <v>-17990.652731898765</v>
      </c>
      <c r="AJ540" s="640">
        <f t="shared" si="904"/>
        <v>-18350.465786536748</v>
      </c>
    </row>
    <row r="541" spans="1:36" hidden="1" x14ac:dyDescent="0.25">
      <c r="A541" t="s">
        <v>696</v>
      </c>
      <c r="H541" s="454" t="s">
        <v>676</v>
      </c>
      <c r="I541" s="497" t="s">
        <v>672</v>
      </c>
      <c r="K541" s="617">
        <f t="shared" ref="K541" si="905">SUM(K542:K543)</f>
        <v>0</v>
      </c>
      <c r="L541" s="617">
        <f t="shared" ref="L541:AJ541" si="906">SUM(L542:L543)</f>
        <v>-632.43325753344004</v>
      </c>
      <c r="M541" s="617">
        <f t="shared" si="906"/>
        <v>-885.40656054681608</v>
      </c>
      <c r="N541" s="617">
        <f t="shared" si="906"/>
        <v>-1328.1098408202242</v>
      </c>
      <c r="O541" s="617">
        <f t="shared" si="906"/>
        <v>-1394.5153328612353</v>
      </c>
      <c r="P541" s="617">
        <f t="shared" si="906"/>
        <v>-1464.2410995042972</v>
      </c>
      <c r="Q541" s="617">
        <f t="shared" si="906"/>
        <v>-1537.453154479512</v>
      </c>
      <c r="R541" s="617">
        <f t="shared" si="906"/>
        <v>-1614.3258122034877</v>
      </c>
      <c r="S541" s="617">
        <f t="shared" si="906"/>
        <v>-1695.0421028136618</v>
      </c>
      <c r="T541" s="617">
        <f t="shared" si="906"/>
        <v>-1779.7942079543452</v>
      </c>
      <c r="U541" s="617">
        <f t="shared" si="906"/>
        <v>-1868.7839183520623</v>
      </c>
      <c r="V541" s="617">
        <f t="shared" si="906"/>
        <v>-1962.2231142696655</v>
      </c>
      <c r="W541" s="617">
        <f t="shared" si="906"/>
        <v>-2060.3342699831487</v>
      </c>
      <c r="X541" s="617">
        <f t="shared" si="906"/>
        <v>-2163.3509834823062</v>
      </c>
      <c r="Y541" s="617">
        <f t="shared" si="906"/>
        <v>-2271.5185326564215</v>
      </c>
      <c r="Z541" s="617">
        <f t="shared" si="906"/>
        <v>-2385.0944592892429</v>
      </c>
      <c r="AA541" s="617">
        <f t="shared" si="906"/>
        <v>-2504.3491822537044</v>
      </c>
      <c r="AB541" s="617">
        <f t="shared" si="906"/>
        <v>-2629.5666413663907</v>
      </c>
      <c r="AC541" s="617">
        <f t="shared" si="906"/>
        <v>-2761.0449734347098</v>
      </c>
      <c r="AD541" s="617">
        <f t="shared" si="906"/>
        <v>-2899.0972221064458</v>
      </c>
      <c r="AE541" s="617">
        <f t="shared" si="906"/>
        <v>-3044.0520832117677</v>
      </c>
      <c r="AF541" s="617">
        <f t="shared" si="906"/>
        <v>-3196.2546873723563</v>
      </c>
      <c r="AG541" s="617">
        <f t="shared" si="906"/>
        <v>-3356.0674217409742</v>
      </c>
      <c r="AH541" s="617">
        <f t="shared" si="906"/>
        <v>-3523.8707928280228</v>
      </c>
      <c r="AI541" s="617">
        <f t="shared" si="906"/>
        <v>-3700.0643324694233</v>
      </c>
      <c r="AJ541" s="617">
        <f t="shared" si="906"/>
        <v>-3885.0675490928957</v>
      </c>
    </row>
    <row r="542" spans="1:36" s="299" customFormat="1" hidden="1" x14ac:dyDescent="0.25">
      <c r="A542" s="299" t="s">
        <v>696</v>
      </c>
      <c r="B542" s="299" t="s">
        <v>667</v>
      </c>
      <c r="H542" s="554" t="s">
        <v>673</v>
      </c>
      <c r="I542" s="555" t="s">
        <v>672</v>
      </c>
      <c r="K542" s="556"/>
      <c r="L542" s="556" cm="1">
        <f t="array" ref="L542">-SUMPRODUCT('W2'!$M$12:$R$112*('W2'!$M$7:$R$7=$A542)*('W2'!$A$12:$A$112=$B542))*L522*$H$10*POWER(1+Inflation,L$11+1)</f>
        <v>-632.43325753344004</v>
      </c>
      <c r="M542" s="556" cm="1">
        <f t="array" ref="M542">-SUMPRODUCT('W2'!$M$12:$R$112*('W2'!$M$7:$R$7=$A542)*('W2'!$A$12:$A$112=$B542))*M522*$H$10*POWER(1+Inflation,M$11+1)</f>
        <v>-885.40656054681608</v>
      </c>
      <c r="N542" s="556" cm="1">
        <f t="array" ref="N542">-SUMPRODUCT('W2'!$M$12:$R$112*('W2'!$M$7:$R$7=$A542)*('W2'!$A$12:$A$112=$B542))*N522*$H$10*POWER(1+Inflation,N$11+1)</f>
        <v>-1328.1098408202242</v>
      </c>
      <c r="O542" s="556" cm="1">
        <f t="array" ref="O542">-SUMPRODUCT('W2'!$M$12:$R$112*('W2'!$M$7:$R$7=$A542)*('W2'!$A$12:$A$112=$B542))*O522*$H$10*POWER(1+Inflation,O$11+1)</f>
        <v>-1394.5153328612353</v>
      </c>
      <c r="P542" s="556" cm="1">
        <f t="array" ref="P542">-SUMPRODUCT('W2'!$M$12:$R$112*('W2'!$M$7:$R$7=$A542)*('W2'!$A$12:$A$112=$B542))*P522*$H$10*POWER(1+Inflation,P$11+1)</f>
        <v>-1464.2410995042972</v>
      </c>
      <c r="Q542" s="556" cm="1">
        <f t="array" ref="Q542">-SUMPRODUCT('W2'!$M$12:$R$112*('W2'!$M$7:$R$7=$A542)*('W2'!$A$12:$A$112=$B542))*Q522*$H$10*POWER(1+Inflation,Q$11+1)</f>
        <v>-1537.453154479512</v>
      </c>
      <c r="R542" s="556" cm="1">
        <f t="array" ref="R542">-SUMPRODUCT('W2'!$M$12:$R$112*('W2'!$M$7:$R$7=$A542)*('W2'!$A$12:$A$112=$B542))*R522*$H$10*POWER(1+Inflation,R$11+1)</f>
        <v>-1614.3258122034877</v>
      </c>
      <c r="S542" s="556" cm="1">
        <f t="array" ref="S542">-SUMPRODUCT('W2'!$M$12:$R$112*('W2'!$M$7:$R$7=$A542)*('W2'!$A$12:$A$112=$B542))*S522*$H$10*POWER(1+Inflation,S$11+1)</f>
        <v>-1695.0421028136618</v>
      </c>
      <c r="T542" s="556" cm="1">
        <f t="array" ref="T542">-SUMPRODUCT('W2'!$M$12:$R$112*('W2'!$M$7:$R$7=$A542)*('W2'!$A$12:$A$112=$B542))*T522*$H$10*POWER(1+Inflation,T$11+1)</f>
        <v>-1779.7942079543452</v>
      </c>
      <c r="U542" s="556" cm="1">
        <f t="array" ref="U542">-SUMPRODUCT('W2'!$M$12:$R$112*('W2'!$M$7:$R$7=$A542)*('W2'!$A$12:$A$112=$B542))*U522*$H$10*POWER(1+Inflation,U$11+1)</f>
        <v>-1868.7839183520623</v>
      </c>
      <c r="V542" s="556" cm="1">
        <f t="array" ref="V542">-SUMPRODUCT('W2'!$M$12:$R$112*('W2'!$M$7:$R$7=$A542)*('W2'!$A$12:$A$112=$B542))*V522*$H$10*POWER(1+Inflation,V$11+1)</f>
        <v>-1962.2231142696655</v>
      </c>
      <c r="W542" s="556" cm="1">
        <f t="array" ref="W542">-SUMPRODUCT('W2'!$M$12:$R$112*('W2'!$M$7:$R$7=$A542)*('W2'!$A$12:$A$112=$B542))*W522*$H$10*POWER(1+Inflation,W$11+1)</f>
        <v>-2060.3342699831487</v>
      </c>
      <c r="X542" s="556" cm="1">
        <f t="array" ref="X542">-SUMPRODUCT('W2'!$M$12:$R$112*('W2'!$M$7:$R$7=$A542)*('W2'!$A$12:$A$112=$B542))*X522*$H$10*POWER(1+Inflation,X$11+1)</f>
        <v>-2163.3509834823062</v>
      </c>
      <c r="Y542" s="556" cm="1">
        <f t="array" ref="Y542">-SUMPRODUCT('W2'!$M$12:$R$112*('W2'!$M$7:$R$7=$A542)*('W2'!$A$12:$A$112=$B542))*Y522*$H$10*POWER(1+Inflation,Y$11+1)</f>
        <v>-2271.5185326564215</v>
      </c>
      <c r="Z542" s="556" cm="1">
        <f t="array" ref="Z542">-SUMPRODUCT('W2'!$M$12:$R$112*('W2'!$M$7:$R$7=$A542)*('W2'!$A$12:$A$112=$B542))*Z522*$H$10*POWER(1+Inflation,Z$11+1)</f>
        <v>-2385.0944592892429</v>
      </c>
      <c r="AA542" s="556" cm="1">
        <f t="array" ref="AA542">-SUMPRODUCT('W2'!$M$12:$R$112*('W2'!$M$7:$R$7=$A542)*('W2'!$A$12:$A$112=$B542))*AA522*$H$10*POWER(1+Inflation,AA$11+1)</f>
        <v>-2504.3491822537044</v>
      </c>
      <c r="AB542" s="556" cm="1">
        <f t="array" ref="AB542">-SUMPRODUCT('W2'!$M$12:$R$112*('W2'!$M$7:$R$7=$A542)*('W2'!$A$12:$A$112=$B542))*AB522*$H$10*POWER(1+Inflation,AB$11+1)</f>
        <v>-2629.5666413663907</v>
      </c>
      <c r="AC542" s="556" cm="1">
        <f t="array" ref="AC542">-SUMPRODUCT('W2'!$M$12:$R$112*('W2'!$M$7:$R$7=$A542)*('W2'!$A$12:$A$112=$B542))*AC522*$H$10*POWER(1+Inflation,AC$11+1)</f>
        <v>-2761.0449734347098</v>
      </c>
      <c r="AD542" s="556" cm="1">
        <f t="array" ref="AD542">-SUMPRODUCT('W2'!$M$12:$R$112*('W2'!$M$7:$R$7=$A542)*('W2'!$A$12:$A$112=$B542))*AD522*$H$10*POWER(1+Inflation,AD$11+1)</f>
        <v>-2899.0972221064458</v>
      </c>
      <c r="AE542" s="556" cm="1">
        <f t="array" ref="AE542">-SUMPRODUCT('W2'!$M$12:$R$112*('W2'!$M$7:$R$7=$A542)*('W2'!$A$12:$A$112=$B542))*AE522*$H$10*POWER(1+Inflation,AE$11+1)</f>
        <v>-3044.0520832117677</v>
      </c>
      <c r="AF542" s="556" cm="1">
        <f t="array" ref="AF542">-SUMPRODUCT('W2'!$M$12:$R$112*('W2'!$M$7:$R$7=$A542)*('W2'!$A$12:$A$112=$B542))*AF522*$H$10*POWER(1+Inflation,AF$11+1)</f>
        <v>-3196.2546873723563</v>
      </c>
      <c r="AG542" s="556" cm="1">
        <f t="array" ref="AG542">-SUMPRODUCT('W2'!$M$12:$R$112*('W2'!$M$7:$R$7=$A542)*('W2'!$A$12:$A$112=$B542))*AG522*$H$10*POWER(1+Inflation,AG$11+1)</f>
        <v>-3356.0674217409742</v>
      </c>
      <c r="AH542" s="556" cm="1">
        <f t="array" ref="AH542">-SUMPRODUCT('W2'!$M$12:$R$112*('W2'!$M$7:$R$7=$A542)*('W2'!$A$12:$A$112=$B542))*AH522*$H$10*POWER(1+Inflation,AH$11+1)</f>
        <v>-3523.8707928280228</v>
      </c>
      <c r="AI542" s="556" cm="1">
        <f t="array" ref="AI542">-SUMPRODUCT('W2'!$M$12:$R$112*('W2'!$M$7:$R$7=$A542)*('W2'!$A$12:$A$112=$B542))*AI522*$H$10*POWER(1+Inflation,AI$11+1)</f>
        <v>-3700.0643324694233</v>
      </c>
      <c r="AJ542" s="556" cm="1">
        <f t="array" ref="AJ542">-SUMPRODUCT('W2'!$M$12:$R$112*('W2'!$M$7:$R$7=$A542)*('W2'!$A$12:$A$112=$B542))*AJ522*$H$10*POWER(1+Inflation,AJ$11+1)</f>
        <v>-3885.0675490928957</v>
      </c>
    </row>
    <row r="543" spans="1:36" s="299" customFormat="1" hidden="1" x14ac:dyDescent="0.25">
      <c r="A543" s="299" t="s">
        <v>696</v>
      </c>
      <c r="B543" s="299" t="s">
        <v>668</v>
      </c>
      <c r="H543" s="554" t="s">
        <v>674</v>
      </c>
      <c r="I543" s="555" t="s">
        <v>672</v>
      </c>
      <c r="K543" s="556"/>
      <c r="L543" s="556" cm="1">
        <f t="array" ref="L543">-SUMPRODUCT('W2'!$M$12:$R$112*('W2'!$M$7:$R$7=$A543)*('W2'!$A$12:$A$112=$B543))*L523*$H$10*POWER(1+Inflation,L$11+1)</f>
        <v>0</v>
      </c>
      <c r="M543" s="556" cm="1">
        <f t="array" ref="M543">-SUMPRODUCT('W2'!$M$12:$R$112*('W2'!$M$7:$R$7=$A543)*('W2'!$A$12:$A$112=$B543))*M523*$H$10*POWER(1+Inflation,M$11+1)</f>
        <v>0</v>
      </c>
      <c r="N543" s="556" cm="1">
        <f t="array" ref="N543">-SUMPRODUCT('W2'!$M$12:$R$112*('W2'!$M$7:$R$7=$A543)*('W2'!$A$12:$A$112=$B543))*N523*$H$10*POWER(1+Inflation,N$11+1)</f>
        <v>0</v>
      </c>
      <c r="O543" s="556" cm="1">
        <f t="array" ref="O543">-SUMPRODUCT('W2'!$M$12:$R$112*('W2'!$M$7:$R$7=$A543)*('W2'!$A$12:$A$112=$B543))*O523*$H$10*POWER(1+Inflation,O$11+1)</f>
        <v>0</v>
      </c>
      <c r="P543" s="556" cm="1">
        <f t="array" ref="P543">-SUMPRODUCT('W2'!$M$12:$R$112*('W2'!$M$7:$R$7=$A543)*('W2'!$A$12:$A$112=$B543))*P523*$H$10*POWER(1+Inflation,P$11+1)</f>
        <v>0</v>
      </c>
      <c r="Q543" s="556" cm="1">
        <f t="array" ref="Q543">-SUMPRODUCT('W2'!$M$12:$R$112*('W2'!$M$7:$R$7=$A543)*('W2'!$A$12:$A$112=$B543))*Q523*$H$10*POWER(1+Inflation,Q$11+1)</f>
        <v>0</v>
      </c>
      <c r="R543" s="556" cm="1">
        <f t="array" ref="R543">-SUMPRODUCT('W2'!$M$12:$R$112*('W2'!$M$7:$R$7=$A543)*('W2'!$A$12:$A$112=$B543))*R523*$H$10*POWER(1+Inflation,R$11+1)</f>
        <v>0</v>
      </c>
      <c r="S543" s="556" cm="1">
        <f t="array" ref="S543">-SUMPRODUCT('W2'!$M$12:$R$112*('W2'!$M$7:$R$7=$A543)*('W2'!$A$12:$A$112=$B543))*S523*$H$10*POWER(1+Inflation,S$11+1)</f>
        <v>0</v>
      </c>
      <c r="T543" s="556" cm="1">
        <f t="array" ref="T543">-SUMPRODUCT('W2'!$M$12:$R$112*('W2'!$M$7:$R$7=$A543)*('W2'!$A$12:$A$112=$B543))*T523*$H$10*POWER(1+Inflation,T$11+1)</f>
        <v>0</v>
      </c>
      <c r="U543" s="556" cm="1">
        <f t="array" ref="U543">-SUMPRODUCT('W2'!$M$12:$R$112*('W2'!$M$7:$R$7=$A543)*('W2'!$A$12:$A$112=$B543))*U523*$H$10*POWER(1+Inflation,U$11+1)</f>
        <v>0</v>
      </c>
      <c r="V543" s="556" cm="1">
        <f t="array" ref="V543">-SUMPRODUCT('W2'!$M$12:$R$112*('W2'!$M$7:$R$7=$A543)*('W2'!$A$12:$A$112=$B543))*V523*$H$10*POWER(1+Inflation,V$11+1)</f>
        <v>0</v>
      </c>
      <c r="W543" s="556" cm="1">
        <f t="array" ref="W543">-SUMPRODUCT('W2'!$M$12:$R$112*('W2'!$M$7:$R$7=$A543)*('W2'!$A$12:$A$112=$B543))*W523*$H$10*POWER(1+Inflation,W$11+1)</f>
        <v>0</v>
      </c>
      <c r="X543" s="556" cm="1">
        <f t="array" ref="X543">-SUMPRODUCT('W2'!$M$12:$R$112*('W2'!$M$7:$R$7=$A543)*('W2'!$A$12:$A$112=$B543))*X523*$H$10*POWER(1+Inflation,X$11+1)</f>
        <v>0</v>
      </c>
      <c r="Y543" s="556" cm="1">
        <f t="array" ref="Y543">-SUMPRODUCT('W2'!$M$12:$R$112*('W2'!$M$7:$R$7=$A543)*('W2'!$A$12:$A$112=$B543))*Y523*$H$10*POWER(1+Inflation,Y$11+1)</f>
        <v>0</v>
      </c>
      <c r="Z543" s="556" cm="1">
        <f t="array" ref="Z543">-SUMPRODUCT('W2'!$M$12:$R$112*('W2'!$M$7:$R$7=$A543)*('W2'!$A$12:$A$112=$B543))*Z523*$H$10*POWER(1+Inflation,Z$11+1)</f>
        <v>0</v>
      </c>
      <c r="AA543" s="556" cm="1">
        <f t="array" ref="AA543">-SUMPRODUCT('W2'!$M$12:$R$112*('W2'!$M$7:$R$7=$A543)*('W2'!$A$12:$A$112=$B543))*AA523*$H$10*POWER(1+Inflation,AA$11+1)</f>
        <v>0</v>
      </c>
      <c r="AB543" s="556" cm="1">
        <f t="array" ref="AB543">-SUMPRODUCT('W2'!$M$12:$R$112*('W2'!$M$7:$R$7=$A543)*('W2'!$A$12:$A$112=$B543))*AB523*$H$10*POWER(1+Inflation,AB$11+1)</f>
        <v>0</v>
      </c>
      <c r="AC543" s="556" cm="1">
        <f t="array" ref="AC543">-SUMPRODUCT('W2'!$M$12:$R$112*('W2'!$M$7:$R$7=$A543)*('W2'!$A$12:$A$112=$B543))*AC523*$H$10*POWER(1+Inflation,AC$11+1)</f>
        <v>0</v>
      </c>
      <c r="AD543" s="556" cm="1">
        <f t="array" ref="AD543">-SUMPRODUCT('W2'!$M$12:$R$112*('W2'!$M$7:$R$7=$A543)*('W2'!$A$12:$A$112=$B543))*AD523*$H$10*POWER(1+Inflation,AD$11+1)</f>
        <v>0</v>
      </c>
      <c r="AE543" s="556" cm="1">
        <f t="array" ref="AE543">-SUMPRODUCT('W2'!$M$12:$R$112*('W2'!$M$7:$R$7=$A543)*('W2'!$A$12:$A$112=$B543))*AE523*$H$10*POWER(1+Inflation,AE$11+1)</f>
        <v>0</v>
      </c>
      <c r="AF543" s="556" cm="1">
        <f t="array" ref="AF543">-SUMPRODUCT('W2'!$M$12:$R$112*('W2'!$M$7:$R$7=$A543)*('W2'!$A$12:$A$112=$B543))*AF523*$H$10*POWER(1+Inflation,AF$11+1)</f>
        <v>0</v>
      </c>
      <c r="AG543" s="556" cm="1">
        <f t="array" ref="AG543">-SUMPRODUCT('W2'!$M$12:$R$112*('W2'!$M$7:$R$7=$A543)*('W2'!$A$12:$A$112=$B543))*AG523*$H$10*POWER(1+Inflation,AG$11+1)</f>
        <v>0</v>
      </c>
      <c r="AH543" s="556" cm="1">
        <f t="array" ref="AH543">-SUMPRODUCT('W2'!$M$12:$R$112*('W2'!$M$7:$R$7=$A543)*('W2'!$A$12:$A$112=$B543))*AH523*$H$10*POWER(1+Inflation,AH$11+1)</f>
        <v>0</v>
      </c>
      <c r="AI543" s="556" cm="1">
        <f t="array" ref="AI543">-SUMPRODUCT('W2'!$M$12:$R$112*('W2'!$M$7:$R$7=$A543)*('W2'!$A$12:$A$112=$B543))*AI523*$H$10*POWER(1+Inflation,AI$11+1)</f>
        <v>0</v>
      </c>
      <c r="AJ543" s="556" cm="1">
        <f t="array" ref="AJ543">-SUMPRODUCT('W2'!$M$12:$R$112*('W2'!$M$7:$R$7=$A543)*('W2'!$A$12:$A$112=$B543))*AJ523*$H$10*POWER(1+Inflation,AJ$11+1)</f>
        <v>0</v>
      </c>
    </row>
    <row r="544" spans="1:36" hidden="1" x14ac:dyDescent="0.25">
      <c r="A544" t="s">
        <v>696</v>
      </c>
      <c r="H544" s="454" t="s">
        <v>180</v>
      </c>
      <c r="I544" s="497" t="str">
        <f t="shared" ref="I544:I547" si="907">IF($H$9="USD","USD","tr. VND")</f>
        <v>tr. VND</v>
      </c>
      <c r="K544" s="617">
        <f>SUM(K545:K547)</f>
        <v>0</v>
      </c>
      <c r="L544" s="617">
        <f>SUM(L545:L547)</f>
        <v>-8991.800110293334</v>
      </c>
      <c r="M544" s="617">
        <f t="shared" ref="M544:AJ544" si="908">SUM(M545:M547)</f>
        <v>-11789.321163477332</v>
      </c>
      <c r="N544" s="617">
        <f t="shared" si="908"/>
        <v>-16720.954914549333</v>
      </c>
      <c r="O544" s="617">
        <f t="shared" si="908"/>
        <v>-17493.074694410134</v>
      </c>
      <c r="P544" s="617">
        <f t="shared" si="908"/>
        <v>-18303.800463263975</v>
      </c>
      <c r="Q544" s="617">
        <f t="shared" si="908"/>
        <v>-19155.062520560507</v>
      </c>
      <c r="R544" s="617">
        <f t="shared" si="908"/>
        <v>-20048.887680721866</v>
      </c>
      <c r="S544" s="617">
        <f t="shared" si="908"/>
        <v>-20987.404098891289</v>
      </c>
      <c r="T544" s="617">
        <f t="shared" si="908"/>
        <v>-21972.846337969193</v>
      </c>
      <c r="U544" s="617">
        <f t="shared" si="908"/>
        <v>-23007.560689000984</v>
      </c>
      <c r="V544" s="617">
        <f t="shared" si="908"/>
        <v>-24094.010757584365</v>
      </c>
      <c r="W544" s="617">
        <f t="shared" si="908"/>
        <v>-25234.783329596918</v>
      </c>
      <c r="X544" s="617">
        <f t="shared" si="908"/>
        <v>-25430.095196876766</v>
      </c>
      <c r="Y544" s="617">
        <f t="shared" si="908"/>
        <v>-26687.796957520601</v>
      </c>
      <c r="Z544" s="617">
        <f t="shared" si="908"/>
        <v>-28008.383806196634</v>
      </c>
      <c r="AA544" s="617">
        <f t="shared" si="908"/>
        <v>-29394.999997306459</v>
      </c>
      <c r="AB544" s="617">
        <f t="shared" si="908"/>
        <v>-30850.946997971794</v>
      </c>
      <c r="AC544" s="617">
        <f t="shared" si="908"/>
        <v>-32379.691348670378</v>
      </c>
      <c r="AD544" s="617">
        <f t="shared" si="908"/>
        <v>-33984.8729169039</v>
      </c>
      <c r="AE544" s="617">
        <f t="shared" si="908"/>
        <v>-35670.313563549098</v>
      </c>
      <c r="AF544" s="617">
        <f t="shared" si="908"/>
        <v>-37440.026242526554</v>
      </c>
      <c r="AG544" s="617">
        <f t="shared" si="908"/>
        <v>-39298.224555452871</v>
      </c>
      <c r="AH544" s="617">
        <f t="shared" si="908"/>
        <v>-41249.332784025515</v>
      </c>
      <c r="AI544" s="617">
        <f t="shared" si="908"/>
        <v>-43297.996424026795</v>
      </c>
      <c r="AJ544" s="617">
        <f t="shared" si="908"/>
        <v>-45449.093246028147</v>
      </c>
    </row>
    <row r="545" spans="1:36" s="299" customFormat="1" hidden="1" x14ac:dyDescent="0.25">
      <c r="A545" s="299" t="s">
        <v>696</v>
      </c>
      <c r="B545" s="299" t="s">
        <v>174</v>
      </c>
      <c r="H545" s="554" t="s">
        <v>73</v>
      </c>
      <c r="I545" s="555" t="str">
        <f t="shared" si="907"/>
        <v>tr. VND</v>
      </c>
      <c r="K545" s="556"/>
      <c r="L545" s="556" cm="1">
        <f t="array" ref="L545">-SUMPRODUCT('W2'!$M$12:$R$112*('W2'!$M$7:$R$7=$A545)*('W2'!$A$12:$A$112=$B545))*L515*24*$H$10*POWER(1+Inflation,L$11+1)</f>
        <v>-5749.8011999999999</v>
      </c>
      <c r="M545" s="556" cm="1">
        <f t="array" ref="M545">-SUMPRODUCT('W2'!$M$12:$R$112*('W2'!$M$7:$R$7=$A545)*('W2'!$A$12:$A$112=$B545))*M515*24*$H$10*POWER(1+Inflation,M$11+1)</f>
        <v>-8049.7216799999978</v>
      </c>
      <c r="N545" s="556" cm="1">
        <f t="array" ref="N545">-SUMPRODUCT('W2'!$M$12:$R$112*('W2'!$M$7:$R$7=$A545)*('W2'!$A$12:$A$112=$B545))*N515*24*$H$10*POWER(1+Inflation,N$11+1)</f>
        <v>-12074.58252</v>
      </c>
      <c r="O545" s="556" cm="1">
        <f t="array" ref="O545">-SUMPRODUCT('W2'!$M$12:$R$112*('W2'!$M$7:$R$7=$A545)*('W2'!$A$12:$A$112=$B545))*O515*24*$H$10*POWER(1+Inflation,O$11+1)</f>
        <v>-12678.311646</v>
      </c>
      <c r="P545" s="556" cm="1">
        <f t="array" ref="P545">-SUMPRODUCT('W2'!$M$12:$R$112*('W2'!$M$7:$R$7=$A545)*('W2'!$A$12:$A$112=$B545))*P515*24*$H$10*POWER(1+Inflation,P$11+1)</f>
        <v>-13312.227228300002</v>
      </c>
      <c r="Q545" s="556" cm="1">
        <f t="array" ref="Q545">-SUMPRODUCT('W2'!$M$12:$R$112*('W2'!$M$7:$R$7=$A545)*('W2'!$A$12:$A$112=$B545))*Q515*24*$H$10*POWER(1+Inflation,Q$11+1)</f>
        <v>-13977.838589715</v>
      </c>
      <c r="R545" s="556" cm="1">
        <f t="array" ref="R545">-SUMPRODUCT('W2'!$M$12:$R$112*('W2'!$M$7:$R$7=$A545)*('W2'!$A$12:$A$112=$B545))*R515*24*$H$10*POWER(1+Inflation,R$11+1)</f>
        <v>-14676.730519200752</v>
      </c>
      <c r="S545" s="556" cm="1">
        <f t="array" ref="S545">-SUMPRODUCT('W2'!$M$12:$R$112*('W2'!$M$7:$R$7=$A545)*('W2'!$A$12:$A$112=$B545))*S515*24*$H$10*POWER(1+Inflation,S$11+1)</f>
        <v>-15410.567045160788</v>
      </c>
      <c r="T545" s="556" cm="1">
        <f t="array" ref="T545">-SUMPRODUCT('W2'!$M$12:$R$112*('W2'!$M$7:$R$7=$A545)*('W2'!$A$12:$A$112=$B545))*T515*24*$H$10*POWER(1+Inflation,T$11+1)</f>
        <v>-16181.095397418829</v>
      </c>
      <c r="U545" s="556" cm="1">
        <f t="array" ref="U545">-SUMPRODUCT('W2'!$M$12:$R$112*('W2'!$M$7:$R$7=$A545)*('W2'!$A$12:$A$112=$B545))*U515*24*$H$10*POWER(1+Inflation,U$11+1)</f>
        <v>-16990.150167289768</v>
      </c>
      <c r="V545" s="556" cm="1">
        <f t="array" ref="V545">-SUMPRODUCT('W2'!$M$12:$R$112*('W2'!$M$7:$R$7=$A545)*('W2'!$A$12:$A$112=$B545))*V515*24*$H$10*POWER(1+Inflation,V$11+1)</f>
        <v>-17839.657675654256</v>
      </c>
      <c r="W545" s="556" cm="1">
        <f t="array" ref="W545">-SUMPRODUCT('W2'!$M$12:$R$112*('W2'!$M$7:$R$7=$A545)*('W2'!$A$12:$A$112=$B545))*W515*24*$H$10*POWER(1+Inflation,W$11+1)</f>
        <v>-18731.640559436972</v>
      </c>
      <c r="X545" s="556" cm="1">
        <f t="array" ref="X545">-SUMPRODUCT('W2'!$M$12:$R$112*('W2'!$M$7:$R$7=$A545)*('W2'!$A$12:$A$112=$B545))*X515*24*$H$10*POWER(1+Inflation,X$11+1)</f>
        <v>-19668.222587408822</v>
      </c>
      <c r="Y545" s="556" cm="1">
        <f t="array" ref="Y545">-SUMPRODUCT('W2'!$M$12:$R$112*('W2'!$M$7:$R$7=$A545)*('W2'!$A$12:$A$112=$B545))*Y515*24*$H$10*POWER(1+Inflation,Y$11+1)</f>
        <v>-20651.633716779259</v>
      </c>
      <c r="Z545" s="556" cm="1">
        <f t="array" ref="Z545">-SUMPRODUCT('W2'!$M$12:$R$112*('W2'!$M$7:$R$7=$A545)*('W2'!$A$12:$A$112=$B545))*Z515*24*$H$10*POWER(1+Inflation,Z$11+1)</f>
        <v>-21684.215402618225</v>
      </c>
      <c r="AA545" s="556" cm="1">
        <f t="array" ref="AA545">-SUMPRODUCT('W2'!$M$12:$R$112*('W2'!$M$7:$R$7=$A545)*('W2'!$A$12:$A$112=$B545))*AA515*24*$H$10*POWER(1+Inflation,AA$11+1)</f>
        <v>-22768.426172749132</v>
      </c>
      <c r="AB545" s="556" cm="1">
        <f t="array" ref="AB545">-SUMPRODUCT('W2'!$M$12:$R$112*('W2'!$M$7:$R$7=$A545)*('W2'!$A$12:$A$112=$B545))*AB515*24*$H$10*POWER(1+Inflation,AB$11+1)</f>
        <v>-23906.847481386598</v>
      </c>
      <c r="AC545" s="556" cm="1">
        <f t="array" ref="AC545">-SUMPRODUCT('W2'!$M$12:$R$112*('W2'!$M$7:$R$7=$A545)*('W2'!$A$12:$A$112=$B545))*AC515*24*$H$10*POWER(1+Inflation,AC$11+1)</f>
        <v>-25102.189855455923</v>
      </c>
      <c r="AD545" s="556" cm="1">
        <f t="array" ref="AD545">-SUMPRODUCT('W2'!$M$12:$R$112*('W2'!$M$7:$R$7=$A545)*('W2'!$A$12:$A$112=$B545))*AD515*24*$H$10*POWER(1+Inflation,AD$11+1)</f>
        <v>-26357.299348228724</v>
      </c>
      <c r="AE545" s="556" cm="1">
        <f t="array" ref="AE545">-SUMPRODUCT('W2'!$M$12:$R$112*('W2'!$M$7:$R$7=$A545)*('W2'!$A$12:$A$112=$B545))*AE515*24*$H$10*POWER(1+Inflation,AE$11+1)</f>
        <v>-27675.164315640159</v>
      </c>
      <c r="AF545" s="556" cm="1">
        <f t="array" ref="AF545">-SUMPRODUCT('W2'!$M$12:$R$112*('W2'!$M$7:$R$7=$A545)*('W2'!$A$12:$A$112=$B545))*AF515*24*$H$10*POWER(1+Inflation,AF$11+1)</f>
        <v>-29058.922531422166</v>
      </c>
      <c r="AG545" s="556" cm="1">
        <f t="array" ref="AG545">-SUMPRODUCT('W2'!$M$12:$R$112*('W2'!$M$7:$R$7=$A545)*('W2'!$A$12:$A$112=$B545))*AG515*24*$H$10*POWER(1+Inflation,AG$11+1)</f>
        <v>-30511.868657993273</v>
      </c>
      <c r="AH545" s="556" cm="1">
        <f t="array" ref="AH545">-SUMPRODUCT('W2'!$M$12:$R$112*('W2'!$M$7:$R$7=$A545)*('W2'!$A$12:$A$112=$B545))*AH515*24*$H$10*POWER(1+Inflation,AH$11+1)</f>
        <v>-32037.462090892936</v>
      </c>
      <c r="AI545" s="556" cm="1">
        <f t="array" ref="AI545">-SUMPRODUCT('W2'!$M$12:$R$112*('W2'!$M$7:$R$7=$A545)*('W2'!$A$12:$A$112=$B545))*AI515*24*$H$10*POWER(1+Inflation,AI$11+1)</f>
        <v>-33639.335195437583</v>
      </c>
      <c r="AJ545" s="556" cm="1">
        <f t="array" ref="AJ545">-SUMPRODUCT('W2'!$M$12:$R$112*('W2'!$M$7:$R$7=$A545)*('W2'!$A$12:$A$112=$B545))*AJ515*24*$H$10*POWER(1+Inflation,AJ$11+1)</f>
        <v>-35321.30195520947</v>
      </c>
    </row>
    <row r="546" spans="1:36" s="299" customFormat="1" hidden="1" x14ac:dyDescent="0.25">
      <c r="A546" s="299" t="s">
        <v>696</v>
      </c>
      <c r="B546" s="299" t="s">
        <v>462</v>
      </c>
      <c r="H546" s="554" t="s">
        <v>192</v>
      </c>
      <c r="I546" s="555" t="str">
        <f t="shared" si="907"/>
        <v>tr. VND</v>
      </c>
      <c r="K546" s="556"/>
      <c r="L546" s="556" cm="1">
        <f t="array" ref="L546">-SUMPRODUCT('W2'!$M$12:$R$112*('W2'!$M$7:$R$7=$A546)*('W2'!$A$12:$A$112=$B546))*L516*$H$10*POWER(1+Inflation,L$11+1)</f>
        <v>-975.00902399999995</v>
      </c>
      <c r="M546" s="556" cm="1">
        <f t="array" ref="M546">-SUMPRODUCT('W2'!$M$12:$R$112*('W2'!$M$7:$R$7=$A546)*('W2'!$A$12:$A$112=$B546))*M516*$H$10*POWER(1+Inflation,M$11+1)</f>
        <v>-1365.0126335999998</v>
      </c>
      <c r="N546" s="556" cm="1">
        <f t="array" ref="N546">-SUMPRODUCT('W2'!$M$12:$R$112*('W2'!$M$7:$R$7=$A546)*('W2'!$A$12:$A$112=$B546))*N516*$H$10*POWER(1+Inflation,N$11+1)</f>
        <v>-2047.5189504</v>
      </c>
      <c r="O546" s="556" cm="1">
        <f t="array" ref="O546">-SUMPRODUCT('W2'!$M$12:$R$112*('W2'!$M$7:$R$7=$A546)*('W2'!$A$12:$A$112=$B546))*O516*$H$10*POWER(1+Inflation,O$11+1)</f>
        <v>-2149.8948979199999</v>
      </c>
      <c r="P546" s="556" cm="1">
        <f t="array" ref="P546">-SUMPRODUCT('W2'!$M$12:$R$112*('W2'!$M$7:$R$7=$A546)*('W2'!$A$12:$A$112=$B546))*P516*$H$10*POWER(1+Inflation,P$11+1)</f>
        <v>-2257.3896428160001</v>
      </c>
      <c r="Q546" s="556" cm="1">
        <f t="array" ref="Q546">-SUMPRODUCT('W2'!$M$12:$R$112*('W2'!$M$7:$R$7=$A546)*('W2'!$A$12:$A$112=$B546))*Q516*$H$10*POWER(1+Inflation,Q$11+1)</f>
        <v>-2370.2591249568</v>
      </c>
      <c r="R546" s="556" cm="1">
        <f t="array" ref="R546">-SUMPRODUCT('W2'!$M$12:$R$112*('W2'!$M$7:$R$7=$A546)*('W2'!$A$12:$A$112=$B546))*R516*$H$10*POWER(1+Inflation,R$11+1)</f>
        <v>-2488.77208120464</v>
      </c>
      <c r="S546" s="556" cm="1">
        <f t="array" ref="S546">-SUMPRODUCT('W2'!$M$12:$R$112*('W2'!$M$7:$R$7=$A546)*('W2'!$A$12:$A$112=$B546))*S516*$H$10*POWER(1+Inflation,S$11+1)</f>
        <v>-2613.2106852648717</v>
      </c>
      <c r="T546" s="556" cm="1">
        <f t="array" ref="T546">-SUMPRODUCT('W2'!$M$12:$R$112*('W2'!$M$7:$R$7=$A546)*('W2'!$A$12:$A$112=$B546))*T516*$H$10*POWER(1+Inflation,T$11+1)</f>
        <v>-2743.8712195281159</v>
      </c>
      <c r="U546" s="556" cm="1">
        <f t="array" ref="U546">-SUMPRODUCT('W2'!$M$12:$R$112*('W2'!$M$7:$R$7=$A546)*('W2'!$A$12:$A$112=$B546))*U516*$H$10*POWER(1+Inflation,U$11+1)</f>
        <v>-2881.0647805045214</v>
      </c>
      <c r="V546" s="556" cm="1">
        <f t="array" ref="V546">-SUMPRODUCT('W2'!$M$12:$R$112*('W2'!$M$7:$R$7=$A546)*('W2'!$A$12:$A$112=$B546))*V516*$H$10*POWER(1+Inflation,V$11+1)</f>
        <v>-3025.1180195297475</v>
      </c>
      <c r="W546" s="556" cm="1">
        <f t="array" ref="W546">-SUMPRODUCT('W2'!$M$12:$R$112*('W2'!$M$7:$R$7=$A546)*('W2'!$A$12:$A$112=$B546))*W516*$H$10*POWER(1+Inflation,W$11+1)</f>
        <v>-3176.3739205062352</v>
      </c>
      <c r="X546" s="556" cm="1">
        <f t="array" ref="X546">-SUMPRODUCT('W2'!$M$12:$R$112*('W2'!$M$7:$R$7=$A546)*('W2'!$A$12:$A$112=$B546))*X516*$H$10*POWER(1+Inflation,X$11+1)</f>
        <v>-3335.1926165315472</v>
      </c>
      <c r="Y546" s="556" cm="1">
        <f t="array" ref="Y546">-SUMPRODUCT('W2'!$M$12:$R$112*('W2'!$M$7:$R$7=$A546)*('W2'!$A$12:$A$112=$B546))*Y516*$H$10*POWER(1+Inflation,Y$11+1)</f>
        <v>-3501.9522473581237</v>
      </c>
      <c r="Z546" s="556" cm="1">
        <f t="array" ref="Z546">-SUMPRODUCT('W2'!$M$12:$R$112*('W2'!$M$7:$R$7=$A546)*('W2'!$A$12:$A$112=$B546))*Z516*$H$10*POWER(1+Inflation,Z$11+1)</f>
        <v>-3677.0498597260307</v>
      </c>
      <c r="AA546" s="556" cm="1">
        <f t="array" ref="AA546">-SUMPRODUCT('W2'!$M$12:$R$112*('W2'!$M$7:$R$7=$A546)*('W2'!$A$12:$A$112=$B546))*AA516*$H$10*POWER(1+Inflation,AA$11+1)</f>
        <v>-3860.9023527123313</v>
      </c>
      <c r="AB546" s="556" cm="1">
        <f t="array" ref="AB546">-SUMPRODUCT('W2'!$M$12:$R$112*('W2'!$M$7:$R$7=$A546)*('W2'!$A$12:$A$112=$B546))*AB516*$H$10*POWER(1+Inflation,AB$11+1)</f>
        <v>-4053.9474703479491</v>
      </c>
      <c r="AC546" s="556" cm="1">
        <f t="array" ref="AC546">-SUMPRODUCT('W2'!$M$12:$R$112*('W2'!$M$7:$R$7=$A546)*('W2'!$A$12:$A$112=$B546))*AC516*$H$10*POWER(1+Inflation,AC$11+1)</f>
        <v>-4256.644843865346</v>
      </c>
      <c r="AD546" s="556" cm="1">
        <f t="array" ref="AD546">-SUMPRODUCT('W2'!$M$12:$R$112*('W2'!$M$7:$R$7=$A546)*('W2'!$A$12:$A$112=$B546))*AD516*$H$10*POWER(1+Inflation,AD$11+1)</f>
        <v>-4469.4770860586141</v>
      </c>
      <c r="AE546" s="556" cm="1">
        <f t="array" ref="AE546">-SUMPRODUCT('W2'!$M$12:$R$112*('W2'!$M$7:$R$7=$A546)*('W2'!$A$12:$A$112=$B546))*AE516*$H$10*POWER(1+Inflation,AE$11+1)</f>
        <v>-4692.9509403615448</v>
      </c>
      <c r="AF546" s="556" cm="1">
        <f t="array" ref="AF546">-SUMPRODUCT('W2'!$M$12:$R$112*('W2'!$M$7:$R$7=$A546)*('W2'!$A$12:$A$112=$B546))*AF516*$H$10*POWER(1+Inflation,AF$11+1)</f>
        <v>-4927.5984873796224</v>
      </c>
      <c r="AG546" s="556" cm="1">
        <f t="array" ref="AG546">-SUMPRODUCT('W2'!$M$12:$R$112*('W2'!$M$7:$R$7=$A546)*('W2'!$A$12:$A$112=$B546))*AG516*$H$10*POWER(1+Inflation,AG$11+1)</f>
        <v>-5173.9784117486033</v>
      </c>
      <c r="AH546" s="556" cm="1">
        <f t="array" ref="AH546">-SUMPRODUCT('W2'!$M$12:$R$112*('W2'!$M$7:$R$7=$A546)*('W2'!$A$12:$A$112=$B546))*AH516*$H$10*POWER(1+Inflation,AH$11+1)</f>
        <v>-5432.677332336033</v>
      </c>
      <c r="AI546" s="556" cm="1">
        <f t="array" ref="AI546">-SUMPRODUCT('W2'!$M$12:$R$112*('W2'!$M$7:$R$7=$A546)*('W2'!$A$12:$A$112=$B546))*AI516*$H$10*POWER(1+Inflation,AI$11+1)</f>
        <v>-5704.3111989528343</v>
      </c>
      <c r="AJ546" s="556" cm="1">
        <f t="array" ref="AJ546">-SUMPRODUCT('W2'!$M$12:$R$112*('W2'!$M$7:$R$7=$A546)*('W2'!$A$12:$A$112=$B546))*AJ516*$H$10*POWER(1+Inflation,AJ$11+1)</f>
        <v>-5989.526758900477</v>
      </c>
    </row>
    <row r="547" spans="1:36" s="299" customFormat="1" hidden="1" x14ac:dyDescent="0.25">
      <c r="A547" s="299" t="s">
        <v>696</v>
      </c>
      <c r="B547" s="299" t="s">
        <v>140</v>
      </c>
      <c r="H547" s="554" t="s">
        <v>175</v>
      </c>
      <c r="I547" s="555" t="str">
        <f t="shared" si="907"/>
        <v>tr. VND</v>
      </c>
      <c r="K547" s="556"/>
      <c r="L547" s="556" cm="1">
        <f t="array" ref="L547">SUMPRODUCT('W2'!$M$12:$R$112*('W2'!$M$7:$R$7=$A547)*('W2'!$A$12:$A$112=$B547))*(SUM(L527,L545:L546))</f>
        <v>-2266.9898862933337</v>
      </c>
      <c r="M547" s="556" cm="1">
        <f t="array" ref="M547">SUMPRODUCT('W2'!$M$12:$R$112*('W2'!$M$7:$R$7=$A547)*('W2'!$A$12:$A$112=$B547))*(SUM(M527,M545:M546))</f>
        <v>-2374.5868498773334</v>
      </c>
      <c r="N547" s="556" cm="1">
        <f t="array" ref="N547">SUMPRODUCT('W2'!$M$12:$R$112*('W2'!$M$7:$R$7=$A547)*('W2'!$A$12:$A$112=$B547))*(SUM(N527,N545:N546))</f>
        <v>-2598.8534441493334</v>
      </c>
      <c r="O547" s="556" cm="1">
        <f t="array" ref="O547">SUMPRODUCT('W2'!$M$12:$R$112*('W2'!$M$7:$R$7=$A547)*('W2'!$A$12:$A$112=$B547))*(SUM(O527,O545:O546))</f>
        <v>-2664.8681504901338</v>
      </c>
      <c r="P547" s="556" cm="1">
        <f t="array" ref="P547">SUMPRODUCT('W2'!$M$12:$R$112*('W2'!$M$7:$R$7=$A547)*('W2'!$A$12:$A$112=$B547))*(SUM(P527,P545:P546))</f>
        <v>-2734.1835921479733</v>
      </c>
      <c r="Q547" s="556" cm="1">
        <f t="array" ref="Q547">SUMPRODUCT('W2'!$M$12:$R$112*('W2'!$M$7:$R$7=$A547)*('W2'!$A$12:$A$112=$B547))*(SUM(Q527,Q545:Q546))</f>
        <v>-2806.9648058887055</v>
      </c>
      <c r="R547" s="556" cm="1">
        <f t="array" ref="R547">SUMPRODUCT('W2'!$M$12:$R$112*('W2'!$M$7:$R$7=$A547)*('W2'!$A$12:$A$112=$B547))*(SUM(R527,R545:R546))</f>
        <v>-2883.3850803164742</v>
      </c>
      <c r="S547" s="556" cm="1">
        <f t="array" ref="S547">SUMPRODUCT('W2'!$M$12:$R$112*('W2'!$M$7:$R$7=$A547)*('W2'!$A$12:$A$112=$B547))*(SUM(S527,S545:S546))</f>
        <v>-2963.6263684656315</v>
      </c>
      <c r="T547" s="556" cm="1">
        <f t="array" ref="T547">SUMPRODUCT('W2'!$M$12:$R$112*('W2'!$M$7:$R$7=$A547)*('W2'!$A$12:$A$112=$B547))*(SUM(T527,T545:T546))</f>
        <v>-3047.879721022246</v>
      </c>
      <c r="U547" s="556" cm="1">
        <f t="array" ref="U547">SUMPRODUCT('W2'!$M$12:$R$112*('W2'!$M$7:$R$7=$A547)*('W2'!$A$12:$A$112=$B547))*(SUM(U527,U545:U546))</f>
        <v>-3136.3457412066919</v>
      </c>
      <c r="V547" s="556" cm="1">
        <f t="array" ref="V547">SUMPRODUCT('W2'!$M$12:$R$112*('W2'!$M$7:$R$7=$A547)*('W2'!$A$12:$A$112=$B547))*(SUM(V527,V545:V546))</f>
        <v>-3229.2350624003593</v>
      </c>
      <c r="W547" s="556" cm="1">
        <f t="array" ref="W547">SUMPRODUCT('W2'!$M$12:$R$112*('W2'!$M$7:$R$7=$A547)*('W2'!$A$12:$A$112=$B547))*(SUM(W527,W545:W546))</f>
        <v>-3326.7688496537107</v>
      </c>
      <c r="X547" s="556" cm="1">
        <f t="array" ref="X547">SUMPRODUCT('W2'!$M$12:$R$112*('W2'!$M$7:$R$7=$A547)*('W2'!$A$12:$A$112=$B547))*(SUM(X527,X545:X546))</f>
        <v>-2426.6799929363965</v>
      </c>
      <c r="Y547" s="556" cm="1">
        <f t="array" ref="Y547">SUMPRODUCT('W2'!$M$12:$R$112*('W2'!$M$7:$R$7=$A547)*('W2'!$A$12:$A$112=$B547))*(SUM(Y527,Y545:Y546))</f>
        <v>-2534.2109933832162</v>
      </c>
      <c r="Z547" s="556" cm="1">
        <f t="array" ref="Z547">SUMPRODUCT('W2'!$M$12:$R$112*('W2'!$M$7:$R$7=$A547)*('W2'!$A$12:$A$112=$B547))*(SUM(Z527,Z545:Z546))</f>
        <v>-2647.1185438523776</v>
      </c>
      <c r="AA547" s="556" cm="1">
        <f t="array" ref="AA547">SUMPRODUCT('W2'!$M$12:$R$112*('W2'!$M$7:$R$7=$A547)*('W2'!$A$12:$A$112=$B547))*(SUM(AA527,AA545:AA546))</f>
        <v>-2765.6714718449962</v>
      </c>
      <c r="AB547" s="556" cm="1">
        <f t="array" ref="AB547">SUMPRODUCT('W2'!$M$12:$R$112*('W2'!$M$7:$R$7=$A547)*('W2'!$A$12:$A$112=$B547))*(SUM(AB527,AB545:AB546))</f>
        <v>-2890.1520462372464</v>
      </c>
      <c r="AC547" s="556" cm="1">
        <f t="array" ref="AC547">SUMPRODUCT('W2'!$M$12:$R$112*('W2'!$M$7:$R$7=$A547)*('W2'!$A$12:$A$112=$B547))*(SUM(AC527,AC545:AC546))</f>
        <v>-3020.8566493491085</v>
      </c>
      <c r="AD547" s="556" cm="1">
        <f t="array" ref="AD547">SUMPRODUCT('W2'!$M$12:$R$112*('W2'!$M$7:$R$7=$A547)*('W2'!$A$12:$A$112=$B547))*(SUM(AD527,AD545:AD546))</f>
        <v>-3158.0964826165641</v>
      </c>
      <c r="AE547" s="556" cm="1">
        <f t="array" ref="AE547">SUMPRODUCT('W2'!$M$12:$R$112*('W2'!$M$7:$R$7=$A547)*('W2'!$A$12:$A$112=$B547))*(SUM(AE527,AE545:AE546))</f>
        <v>-3302.1983075473922</v>
      </c>
      <c r="AF547" s="556" cm="1">
        <f t="array" ref="AF547">SUMPRODUCT('W2'!$M$12:$R$112*('W2'!$M$7:$R$7=$A547)*('W2'!$A$12:$A$112=$B547))*(SUM(AF527,AF545:AF546))</f>
        <v>-3453.5052237247619</v>
      </c>
      <c r="AG547" s="556" cm="1">
        <f t="array" ref="AG547">SUMPRODUCT('W2'!$M$12:$R$112*('W2'!$M$7:$R$7=$A547)*('W2'!$A$12:$A$112=$B547))*(SUM(AG527,AG545:AG546))</f>
        <v>-3612.3774857109997</v>
      </c>
      <c r="AH547" s="556" cm="1">
        <f t="array" ref="AH547">SUMPRODUCT('W2'!$M$12:$R$112*('W2'!$M$7:$R$7=$A547)*('W2'!$A$12:$A$112=$B547))*(SUM(AH527,AH545:AH546))</f>
        <v>-3779.1933607965498</v>
      </c>
      <c r="AI547" s="556" cm="1">
        <f t="array" ref="AI547">SUMPRODUCT('W2'!$M$12:$R$112*('W2'!$M$7:$R$7=$A547)*('W2'!$A$12:$A$112=$B547))*(SUM(AI527,AI545:AI546))</f>
        <v>-3954.3500296363773</v>
      </c>
      <c r="AJ547" s="556" cm="1">
        <f t="array" ref="AJ547">SUMPRODUCT('W2'!$M$12:$R$112*('W2'!$M$7:$R$7=$A547)*('W2'!$A$12:$A$112=$B547))*(SUM(AJ527,AJ545:AJ546))</f>
        <v>-4138.2645319181966</v>
      </c>
    </row>
    <row r="548" spans="1:36" hidden="1" x14ac:dyDescent="0.25">
      <c r="A548" t="s">
        <v>696</v>
      </c>
      <c r="K548" s="15"/>
      <c r="L548" s="263"/>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spans="1:36" s="300" customFormat="1" hidden="1" x14ac:dyDescent="0.25">
      <c r="A549" s="300" t="s">
        <v>696</v>
      </c>
      <c r="H549" s="301" t="s">
        <v>464</v>
      </c>
      <c r="I549" s="302" t="str">
        <f>IF($H$9="USD","USD","tr. VND")</f>
        <v>tr. VND</v>
      </c>
      <c r="K549" s="303">
        <f>K527+K537</f>
        <v>0</v>
      </c>
      <c r="L549" s="303">
        <f t="shared" ref="L549:AJ549" si="909">L527+L537</f>
        <v>-142696.00223716011</v>
      </c>
      <c r="M549" s="303">
        <f t="shared" si="909"/>
        <v>-178995.22936775751</v>
      </c>
      <c r="N549" s="303">
        <f t="shared" si="909"/>
        <v>-238466.83653814293</v>
      </c>
      <c r="O549" s="303">
        <f t="shared" si="909"/>
        <v>-243640.99513803353</v>
      </c>
      <c r="P549" s="303">
        <f t="shared" si="909"/>
        <v>-248972.12054562898</v>
      </c>
      <c r="Q549" s="303">
        <f t="shared" si="909"/>
        <v>-254466.02627886878</v>
      </c>
      <c r="R549" s="303">
        <f t="shared" si="909"/>
        <v>-260128.77583514043</v>
      </c>
      <c r="S549" s="303">
        <f t="shared" si="909"/>
        <v>-265966.69437632285</v>
      </c>
      <c r="T549" s="303">
        <f t="shared" si="909"/>
        <v>-271986.38098180352</v>
      </c>
      <c r="U549" s="303">
        <f t="shared" si="909"/>
        <v>-278194.72149754228</v>
      </c>
      <c r="V549" s="303">
        <f t="shared" si="909"/>
        <v>-284598.90201065154</v>
      </c>
      <c r="W549" s="303">
        <f t="shared" si="909"/>
        <v>-291206.42298043164</v>
      </c>
      <c r="X549" s="303">
        <f t="shared" si="909"/>
        <v>-271960.13139166962</v>
      </c>
      <c r="Y549" s="303">
        <f t="shared" si="909"/>
        <v>-278998.16696429788</v>
      </c>
      <c r="Z549" s="303">
        <f t="shared" si="909"/>
        <v>-286264.08245520247</v>
      </c>
      <c r="AA549" s="303">
        <f t="shared" si="909"/>
        <v>-293766.79142309009</v>
      </c>
      <c r="AB549" s="303">
        <f t="shared" si="909"/>
        <v>-301515.60349585855</v>
      </c>
      <c r="AC549" s="303">
        <f t="shared" si="909"/>
        <v>-309520.24318188179</v>
      </c>
      <c r="AD549" s="303">
        <f t="shared" si="909"/>
        <v>-317790.86960201472</v>
      </c>
      <c r="AE549" s="303">
        <f t="shared" si="909"/>
        <v>-326338.09718795912</v>
      </c>
      <c r="AF549" s="303">
        <f t="shared" si="909"/>
        <v>-335173.01739490166</v>
      </c>
      <c r="AG549" s="303">
        <f t="shared" si="909"/>
        <v>-344307.22147872613</v>
      </c>
      <c r="AH549" s="303">
        <f t="shared" si="909"/>
        <v>-353752.82439060748</v>
      </c>
      <c r="AI549" s="303">
        <f t="shared" si="909"/>
        <v>-363522.48984442581</v>
      </c>
      <c r="AJ549" s="303">
        <f t="shared" si="909"/>
        <v>-373629.45661520469</v>
      </c>
    </row>
    <row r="550" spans="1:36" hidden="1" x14ac:dyDescent="0.25">
      <c r="A550" t="s">
        <v>696</v>
      </c>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spans="1:36" hidden="1" x14ac:dyDescent="0.25">
      <c r="A551" t="s">
        <v>696</v>
      </c>
      <c r="B551" t="s">
        <v>622</v>
      </c>
      <c r="H551" s="459" t="s">
        <v>166</v>
      </c>
      <c r="I551" s="494" t="str">
        <f>IF($H$9="USD","USD","tr. VND")</f>
        <v>tr. VND</v>
      </c>
      <c r="K551" s="461"/>
      <c r="L551" s="461" cm="1">
        <f t="array" ref="L551">-SUMPRODUCT('W2'!$M$12:$R$112*('W2'!$M$7:$R$7=$A551)*('W2'!$A$12:$A$112=$B551))*L516*$H$10*POWER(1+Inflation,L$11+1)</f>
        <v>-2752.9666560000001</v>
      </c>
      <c r="M551" s="461" cm="1">
        <f t="array" ref="M551">-SUMPRODUCT('W2'!$M$12:$R$112*('W2'!$M$7:$R$7=$A551)*('W2'!$A$12:$A$112=$B551))*M516*$H$10*POWER(1+Inflation,M$11+1)</f>
        <v>-3854.1533183999995</v>
      </c>
      <c r="N551" s="461" cm="1">
        <f t="array" ref="N551">-SUMPRODUCT('W2'!$M$12:$R$112*('W2'!$M$7:$R$7=$A551)*('W2'!$A$12:$A$112=$B551))*N516*$H$10*POWER(1+Inflation,N$11+1)</f>
        <v>-5781.2299776</v>
      </c>
      <c r="O551" s="461" cm="1">
        <f t="array" ref="O551">-SUMPRODUCT('W2'!$M$12:$R$112*('W2'!$M$7:$R$7=$A551)*('W2'!$A$12:$A$112=$B551))*O516*$H$10*POWER(1+Inflation,O$11+1)</f>
        <v>-6070.2914764800007</v>
      </c>
      <c r="P551" s="461" cm="1">
        <f t="array" ref="P551">-SUMPRODUCT('W2'!$M$12:$R$112*('W2'!$M$7:$R$7=$A551)*('W2'!$A$12:$A$112=$B551))*P516*$H$10*POWER(1+Inflation,P$11+1)</f>
        <v>-6373.8060503040006</v>
      </c>
      <c r="Q551" s="461" cm="1">
        <f t="array" ref="Q551">-SUMPRODUCT('W2'!$M$12:$R$112*('W2'!$M$7:$R$7=$A551)*('W2'!$A$12:$A$112=$B551))*Q516*$H$10*POWER(1+Inflation,Q$11+1)</f>
        <v>-6692.4963528192002</v>
      </c>
      <c r="R551" s="461" cm="1">
        <f t="array" ref="R551">-SUMPRODUCT('W2'!$M$12:$R$112*('W2'!$M$7:$R$7=$A551)*('W2'!$A$12:$A$112=$B551))*R516*$H$10*POWER(1+Inflation,R$11+1)</f>
        <v>-7027.121170460161</v>
      </c>
      <c r="S551" s="461" cm="1">
        <f t="array" ref="S551">-SUMPRODUCT('W2'!$M$12:$R$112*('W2'!$M$7:$R$7=$A551)*('W2'!$A$12:$A$112=$B551))*S516*$H$10*POWER(1+Inflation,S$11+1)</f>
        <v>-7378.4772289831681</v>
      </c>
      <c r="T551" s="461" cm="1">
        <f t="array" ref="T551">-SUMPRODUCT('W2'!$M$12:$R$112*('W2'!$M$7:$R$7=$A551)*('W2'!$A$12:$A$112=$B551))*T516*$H$10*POWER(1+Inflation,T$11+1)</f>
        <v>-7747.4010904323277</v>
      </c>
      <c r="U551" s="461" cm="1">
        <f t="array" ref="U551">-SUMPRODUCT('W2'!$M$12:$R$112*('W2'!$M$7:$R$7=$A551)*('W2'!$A$12:$A$112=$B551))*U516*$H$10*POWER(1+Inflation,U$11+1)</f>
        <v>-8134.7711449539429</v>
      </c>
      <c r="V551" s="461" cm="1">
        <f t="array" ref="V551">-SUMPRODUCT('W2'!$M$12:$R$112*('W2'!$M$7:$R$7=$A551)*('W2'!$A$12:$A$112=$B551))*V516*$H$10*POWER(1+Inflation,V$11+1)</f>
        <v>-8541.5097022016416</v>
      </c>
      <c r="W551" s="461" cm="1">
        <f t="array" ref="W551">-SUMPRODUCT('W2'!$M$12:$R$112*('W2'!$M$7:$R$7=$A551)*('W2'!$A$12:$A$112=$B551))*W516*$H$10*POWER(1+Inflation,W$11+1)</f>
        <v>-8968.5851873117226</v>
      </c>
      <c r="X551" s="461" cm="1">
        <f t="array" ref="X551">-SUMPRODUCT('W2'!$M$12:$R$112*('W2'!$M$7:$R$7=$A551)*('W2'!$A$12:$A$112=$B551))*X516*$H$10*POWER(1+Inflation,X$11+1)</f>
        <v>-9417.014446677309</v>
      </c>
      <c r="Y551" s="461" cm="1">
        <f t="array" ref="Y551">-SUMPRODUCT('W2'!$M$12:$R$112*('W2'!$M$7:$R$7=$A551)*('W2'!$A$12:$A$112=$B551))*Y516*$H$10*POWER(1+Inflation,Y$11+1)</f>
        <v>-9887.8651690111747</v>
      </c>
      <c r="Z551" s="461" cm="1">
        <f t="array" ref="Z551">-SUMPRODUCT('W2'!$M$12:$R$112*('W2'!$M$7:$R$7=$A551)*('W2'!$A$12:$A$112=$B551))*Z516*$H$10*POWER(1+Inflation,Z$11+1)</f>
        <v>-10382.258427461735</v>
      </c>
      <c r="AA551" s="461" cm="1">
        <f t="array" ref="AA551">-SUMPRODUCT('W2'!$M$12:$R$112*('W2'!$M$7:$R$7=$A551)*('W2'!$A$12:$A$112=$B551))*AA516*$H$10*POWER(1+Inflation,AA$11+1)</f>
        <v>-10901.371348834818</v>
      </c>
      <c r="AB551" s="461" cm="1">
        <f t="array" ref="AB551">-SUMPRODUCT('W2'!$M$12:$R$112*('W2'!$M$7:$R$7=$A551)*('W2'!$A$12:$A$112=$B551))*AB516*$H$10*POWER(1+Inflation,AB$11+1)</f>
        <v>-11446.439916276564</v>
      </c>
      <c r="AC551" s="461" cm="1">
        <f t="array" ref="AC551">-SUMPRODUCT('W2'!$M$12:$R$112*('W2'!$M$7:$R$7=$A551)*('W2'!$A$12:$A$112=$B551))*AC516*$H$10*POWER(1+Inflation,AC$11+1)</f>
        <v>-12018.761912090391</v>
      </c>
      <c r="AD551" s="461" cm="1">
        <f t="array" ref="AD551">-SUMPRODUCT('W2'!$M$12:$R$112*('W2'!$M$7:$R$7=$A551)*('W2'!$A$12:$A$112=$B551))*AD516*$H$10*POWER(1+Inflation,AD$11+1)</f>
        <v>-12619.700007694912</v>
      </c>
      <c r="AE551" s="461" cm="1">
        <f t="array" ref="AE551">-SUMPRODUCT('W2'!$M$12:$R$112*('W2'!$M$7:$R$7=$A551)*('W2'!$A$12:$A$112=$B551))*AE516*$H$10*POWER(1+Inflation,AE$11+1)</f>
        <v>-13250.685008079656</v>
      </c>
      <c r="AF551" s="461" cm="1">
        <f t="array" ref="AF551">-SUMPRODUCT('W2'!$M$12:$R$112*('W2'!$M$7:$R$7=$A551)*('W2'!$A$12:$A$112=$B551))*AF516*$H$10*POWER(1+Inflation,AF$11+1)</f>
        <v>-13913.219258483639</v>
      </c>
      <c r="AG551" s="461" cm="1">
        <f t="array" ref="AG551">-SUMPRODUCT('W2'!$M$12:$R$112*('W2'!$M$7:$R$7=$A551)*('W2'!$A$12:$A$112=$B551))*AG516*$H$10*POWER(1+Inflation,AG$11+1)</f>
        <v>-14608.88022140782</v>
      </c>
      <c r="AH551" s="461" cm="1">
        <f t="array" ref="AH551">-SUMPRODUCT('W2'!$M$12:$R$112*('W2'!$M$7:$R$7=$A551)*('W2'!$A$12:$A$112=$B551))*AH516*$H$10*POWER(1+Inflation,AH$11+1)</f>
        <v>-15339.324232478211</v>
      </c>
      <c r="AI551" s="461" cm="1">
        <f t="array" ref="AI551">-SUMPRODUCT('W2'!$M$12:$R$112*('W2'!$M$7:$R$7=$A551)*('W2'!$A$12:$A$112=$B551))*AI516*$H$10*POWER(1+Inflation,AI$11+1)</f>
        <v>-16106.290444102122</v>
      </c>
      <c r="AJ551" s="461" cm="1">
        <f t="array" ref="AJ551">-SUMPRODUCT('W2'!$M$12:$R$112*('W2'!$M$7:$R$7=$A551)*('W2'!$A$12:$A$112=$B551))*AJ516*$H$10*POWER(1+Inflation,AJ$11+1)</f>
        <v>-16911.60496630723</v>
      </c>
    </row>
    <row r="552" spans="1:36" hidden="1" x14ac:dyDescent="0.25">
      <c r="A552" t="s">
        <v>696</v>
      </c>
      <c r="B552" t="s">
        <v>527</v>
      </c>
      <c r="H552" s="454" t="s">
        <v>469</v>
      </c>
      <c r="I552" s="497" t="str">
        <f>IF($H$9="USD","USD","tr. VND")</f>
        <v>tr. VND</v>
      </c>
      <c r="K552" s="457"/>
      <c r="L552" s="457" cm="1">
        <f t="array" ref="L552">-SUMPRODUCT('W2'!$M$12:$R$112*('W2'!$M$7:$R$7=$A552)*('W2'!$A$12:$A$112=$B552))*L516*$H$10*POWER(1+Inflation,L$11+1)</f>
        <v>0</v>
      </c>
      <c r="M552" s="457" cm="1">
        <f t="array" ref="M552">-SUMPRODUCT('W2'!$M$12:$R$112*('W2'!$M$7:$R$7=$A552)*('W2'!$A$12:$A$112=$B552))*M516*$H$10*POWER(1+Inflation,M$11+1)</f>
        <v>0</v>
      </c>
      <c r="N552" s="457" cm="1">
        <f t="array" ref="N552">-SUMPRODUCT('W2'!$M$12:$R$112*('W2'!$M$7:$R$7=$A552)*('W2'!$A$12:$A$112=$B552))*N516*$H$10*POWER(1+Inflation,N$11+1)</f>
        <v>0</v>
      </c>
      <c r="O552" s="457" cm="1">
        <f t="array" ref="O552">-SUMPRODUCT('W2'!$M$12:$R$112*('W2'!$M$7:$R$7=$A552)*('W2'!$A$12:$A$112=$B552))*O516*$H$10*POWER(1+Inflation,O$11+1)</f>
        <v>0</v>
      </c>
      <c r="P552" s="457" cm="1">
        <f t="array" ref="P552">-SUMPRODUCT('W2'!$M$12:$R$112*('W2'!$M$7:$R$7=$A552)*('W2'!$A$12:$A$112=$B552))*P516*$H$10*POWER(1+Inflation,P$11+1)</f>
        <v>0</v>
      </c>
      <c r="Q552" s="457" cm="1">
        <f t="array" ref="Q552">-SUMPRODUCT('W2'!$M$12:$R$112*('W2'!$M$7:$R$7=$A552)*('W2'!$A$12:$A$112=$B552))*Q516*$H$10*POWER(1+Inflation,Q$11+1)</f>
        <v>0</v>
      </c>
      <c r="R552" s="457" cm="1">
        <f t="array" ref="R552">-SUMPRODUCT('W2'!$M$12:$R$112*('W2'!$M$7:$R$7=$A552)*('W2'!$A$12:$A$112=$B552))*R516*$H$10*POWER(1+Inflation,R$11+1)</f>
        <v>0</v>
      </c>
      <c r="S552" s="457" cm="1">
        <f t="array" ref="S552">-SUMPRODUCT('W2'!$M$12:$R$112*('W2'!$M$7:$R$7=$A552)*('W2'!$A$12:$A$112=$B552))*S516*$H$10*POWER(1+Inflation,S$11+1)</f>
        <v>0</v>
      </c>
      <c r="T552" s="457" cm="1">
        <f t="array" ref="T552">-SUMPRODUCT('W2'!$M$12:$R$112*('W2'!$M$7:$R$7=$A552)*('W2'!$A$12:$A$112=$B552))*T516*$H$10*POWER(1+Inflation,T$11+1)</f>
        <v>0</v>
      </c>
      <c r="U552" s="457" cm="1">
        <f t="array" ref="U552">-SUMPRODUCT('W2'!$M$12:$R$112*('W2'!$M$7:$R$7=$A552)*('W2'!$A$12:$A$112=$B552))*U516*$H$10*POWER(1+Inflation,U$11+1)</f>
        <v>0</v>
      </c>
      <c r="V552" s="457" cm="1">
        <f t="array" ref="V552">-SUMPRODUCT('W2'!$M$12:$R$112*('W2'!$M$7:$R$7=$A552)*('W2'!$A$12:$A$112=$B552))*V516*$H$10*POWER(1+Inflation,V$11+1)</f>
        <v>0</v>
      </c>
      <c r="W552" s="457" cm="1">
        <f t="array" ref="W552">-SUMPRODUCT('W2'!$M$12:$R$112*('W2'!$M$7:$R$7=$A552)*('W2'!$A$12:$A$112=$B552))*W516*$H$10*POWER(1+Inflation,W$11+1)</f>
        <v>0</v>
      </c>
      <c r="X552" s="457" cm="1">
        <f t="array" ref="X552">-SUMPRODUCT('W2'!$M$12:$R$112*('W2'!$M$7:$R$7=$A552)*('W2'!$A$12:$A$112=$B552))*X516*$H$10*POWER(1+Inflation,X$11+1)</f>
        <v>0</v>
      </c>
      <c r="Y552" s="457" cm="1">
        <f t="array" ref="Y552">-SUMPRODUCT('W2'!$M$12:$R$112*('W2'!$M$7:$R$7=$A552)*('W2'!$A$12:$A$112=$B552))*Y516*$H$10*POWER(1+Inflation,Y$11+1)</f>
        <v>0</v>
      </c>
      <c r="Z552" s="457" cm="1">
        <f t="array" ref="Z552">-SUMPRODUCT('W2'!$M$12:$R$112*('W2'!$M$7:$R$7=$A552)*('W2'!$A$12:$A$112=$B552))*Z516*$H$10*POWER(1+Inflation,Z$11+1)</f>
        <v>0</v>
      </c>
      <c r="AA552" s="457" cm="1">
        <f t="array" ref="AA552">-SUMPRODUCT('W2'!$M$12:$R$112*('W2'!$M$7:$R$7=$A552)*('W2'!$A$12:$A$112=$B552))*AA516*$H$10*POWER(1+Inflation,AA$11+1)</f>
        <v>0</v>
      </c>
      <c r="AB552" s="457" cm="1">
        <f t="array" ref="AB552">-SUMPRODUCT('W2'!$M$12:$R$112*('W2'!$M$7:$R$7=$A552)*('W2'!$A$12:$A$112=$B552))*AB516*$H$10*POWER(1+Inflation,AB$11+1)</f>
        <v>0</v>
      </c>
      <c r="AC552" s="457" cm="1">
        <f t="array" ref="AC552">-SUMPRODUCT('W2'!$M$12:$R$112*('W2'!$M$7:$R$7=$A552)*('W2'!$A$12:$A$112=$B552))*AC516*$H$10*POWER(1+Inflation,AC$11+1)</f>
        <v>0</v>
      </c>
      <c r="AD552" s="457" cm="1">
        <f t="array" ref="AD552">-SUMPRODUCT('W2'!$M$12:$R$112*('W2'!$M$7:$R$7=$A552)*('W2'!$A$12:$A$112=$B552))*AD516*$H$10*POWER(1+Inflation,AD$11+1)</f>
        <v>0</v>
      </c>
      <c r="AE552" s="457" cm="1">
        <f t="array" ref="AE552">-SUMPRODUCT('W2'!$M$12:$R$112*('W2'!$M$7:$R$7=$A552)*('W2'!$A$12:$A$112=$B552))*AE516*$H$10*POWER(1+Inflation,AE$11+1)</f>
        <v>0</v>
      </c>
      <c r="AF552" s="457" cm="1">
        <f t="array" ref="AF552">-SUMPRODUCT('W2'!$M$12:$R$112*('W2'!$M$7:$R$7=$A552)*('W2'!$A$12:$A$112=$B552))*AF516*$H$10*POWER(1+Inflation,AF$11+1)</f>
        <v>0</v>
      </c>
      <c r="AG552" s="457" cm="1">
        <f t="array" ref="AG552">-SUMPRODUCT('W2'!$M$12:$R$112*('W2'!$M$7:$R$7=$A552)*('W2'!$A$12:$A$112=$B552))*AG516*$H$10*POWER(1+Inflation,AG$11+1)</f>
        <v>0</v>
      </c>
      <c r="AH552" s="457" cm="1">
        <f t="array" ref="AH552">-SUMPRODUCT('W2'!$M$12:$R$112*('W2'!$M$7:$R$7=$A552)*('W2'!$A$12:$A$112=$B552))*AH516*$H$10*POWER(1+Inflation,AH$11+1)</f>
        <v>0</v>
      </c>
      <c r="AI552" s="457" cm="1">
        <f t="array" ref="AI552">-SUMPRODUCT('W2'!$M$12:$R$112*('W2'!$M$7:$R$7=$A552)*('W2'!$A$12:$A$112=$B552))*AI516*$H$10*POWER(1+Inflation,AI$11+1)</f>
        <v>0</v>
      </c>
      <c r="AJ552" s="457" cm="1">
        <f t="array" ref="AJ552">-SUMPRODUCT('W2'!$M$12:$R$112*('W2'!$M$7:$R$7=$A552)*('W2'!$A$12:$A$112=$B552))*AJ516*$H$10*POWER(1+Inflation,AJ$11+1)</f>
        <v>0</v>
      </c>
    </row>
    <row r="553" spans="1:36" hidden="1" x14ac:dyDescent="0.25">
      <c r="A553" t="s">
        <v>696</v>
      </c>
      <c r="B553" t="s">
        <v>522</v>
      </c>
      <c r="H553" s="454" t="s">
        <v>468</v>
      </c>
      <c r="I553" s="497" t="str">
        <f>IF($H$9="USD","USD","tr. VND")</f>
        <v>tr. VND</v>
      </c>
      <c r="K553" s="454"/>
      <c r="L553" s="457" cm="1">
        <f t="array" ref="L553">-SUMPRODUCT('W2'!$M$12:$R$112*('W2'!$M$7:$R$7=$A553)*('W2'!$A$12:$A$112=$B553))*L516*$H$10*POWER(1+Inflation,L$11+1)</f>
        <v>0</v>
      </c>
      <c r="M553" s="457" cm="1">
        <f t="array" ref="M553">-SUMPRODUCT('W2'!$M$12:$R$112*('W2'!$M$7:$R$7=$A553)*('W2'!$A$12:$A$112=$B553))*M516*$H$10*POWER(1+Inflation,M$11+1)</f>
        <v>0</v>
      </c>
      <c r="N553" s="457" cm="1">
        <f t="array" ref="N553">-SUMPRODUCT('W2'!$M$12:$R$112*('W2'!$M$7:$R$7=$A553)*('W2'!$A$12:$A$112=$B553))*N516*$H$10*POWER(1+Inflation,N$11+1)</f>
        <v>0</v>
      </c>
      <c r="O553" s="457" cm="1">
        <f t="array" ref="O553">-SUMPRODUCT('W2'!$M$12:$R$112*('W2'!$M$7:$R$7=$A553)*('W2'!$A$12:$A$112=$B553))*O516*$H$10*POWER(1+Inflation,O$11+1)</f>
        <v>0</v>
      </c>
      <c r="P553" s="457" cm="1">
        <f t="array" ref="P553">-SUMPRODUCT('W2'!$M$12:$R$112*('W2'!$M$7:$R$7=$A553)*('W2'!$A$12:$A$112=$B553))*P516*$H$10*POWER(1+Inflation,P$11+1)</f>
        <v>0</v>
      </c>
      <c r="Q553" s="457" cm="1">
        <f t="array" ref="Q553">-SUMPRODUCT('W2'!$M$12:$R$112*('W2'!$M$7:$R$7=$A553)*('W2'!$A$12:$A$112=$B553))*Q516*$H$10*POWER(1+Inflation,Q$11+1)</f>
        <v>0</v>
      </c>
      <c r="R553" s="457" cm="1">
        <f t="array" ref="R553">-SUMPRODUCT('W2'!$M$12:$R$112*('W2'!$M$7:$R$7=$A553)*('W2'!$A$12:$A$112=$B553))*R516*$H$10*POWER(1+Inflation,R$11+1)</f>
        <v>0</v>
      </c>
      <c r="S553" s="457" cm="1">
        <f t="array" ref="S553">-SUMPRODUCT('W2'!$M$12:$R$112*('W2'!$M$7:$R$7=$A553)*('W2'!$A$12:$A$112=$B553))*S516*$H$10*POWER(1+Inflation,S$11+1)</f>
        <v>0</v>
      </c>
      <c r="T553" s="457" cm="1">
        <f t="array" ref="T553">-SUMPRODUCT('W2'!$M$12:$R$112*('W2'!$M$7:$R$7=$A553)*('W2'!$A$12:$A$112=$B553))*T516*$H$10*POWER(1+Inflation,T$11+1)</f>
        <v>0</v>
      </c>
      <c r="U553" s="457" cm="1">
        <f t="array" ref="U553">-SUMPRODUCT('W2'!$M$12:$R$112*('W2'!$M$7:$R$7=$A553)*('W2'!$A$12:$A$112=$B553))*U516*$H$10*POWER(1+Inflation,U$11+1)</f>
        <v>0</v>
      </c>
      <c r="V553" s="457" cm="1">
        <f t="array" ref="V553">-SUMPRODUCT('W2'!$M$12:$R$112*('W2'!$M$7:$R$7=$A553)*('W2'!$A$12:$A$112=$B553))*V516*$H$10*POWER(1+Inflation,V$11+1)</f>
        <v>0</v>
      </c>
      <c r="W553" s="457" cm="1">
        <f t="array" ref="W553">-SUMPRODUCT('W2'!$M$12:$R$112*('W2'!$M$7:$R$7=$A553)*('W2'!$A$12:$A$112=$B553))*W516*$H$10*POWER(1+Inflation,W$11+1)</f>
        <v>0</v>
      </c>
      <c r="X553" s="457" cm="1">
        <f t="array" ref="X553">-SUMPRODUCT('W2'!$M$12:$R$112*('W2'!$M$7:$R$7=$A553)*('W2'!$A$12:$A$112=$B553))*X516*$H$10*POWER(1+Inflation,X$11+1)</f>
        <v>0</v>
      </c>
      <c r="Y553" s="457" cm="1">
        <f t="array" ref="Y553">-SUMPRODUCT('W2'!$M$12:$R$112*('W2'!$M$7:$R$7=$A553)*('W2'!$A$12:$A$112=$B553))*Y516*$H$10*POWER(1+Inflation,Y$11+1)</f>
        <v>0</v>
      </c>
      <c r="Z553" s="457" cm="1">
        <f t="array" ref="Z553">-SUMPRODUCT('W2'!$M$12:$R$112*('W2'!$M$7:$R$7=$A553)*('W2'!$A$12:$A$112=$B553))*Z516*$H$10*POWER(1+Inflation,Z$11+1)</f>
        <v>0</v>
      </c>
      <c r="AA553" s="457" cm="1">
        <f t="array" ref="AA553">-SUMPRODUCT('W2'!$M$12:$R$112*('W2'!$M$7:$R$7=$A553)*('W2'!$A$12:$A$112=$B553))*AA516*$H$10*POWER(1+Inflation,AA$11+1)</f>
        <v>0</v>
      </c>
      <c r="AB553" s="457" cm="1">
        <f t="array" ref="AB553">-SUMPRODUCT('W2'!$M$12:$R$112*('W2'!$M$7:$R$7=$A553)*('W2'!$A$12:$A$112=$B553))*AB516*$H$10*POWER(1+Inflation,AB$11+1)</f>
        <v>0</v>
      </c>
      <c r="AC553" s="457" cm="1">
        <f t="array" ref="AC553">-SUMPRODUCT('W2'!$M$12:$R$112*('W2'!$M$7:$R$7=$A553)*('W2'!$A$12:$A$112=$B553))*AC516*$H$10*POWER(1+Inflation,AC$11+1)</f>
        <v>0</v>
      </c>
      <c r="AD553" s="457" cm="1">
        <f t="array" ref="AD553">-SUMPRODUCT('W2'!$M$12:$R$112*('W2'!$M$7:$R$7=$A553)*('W2'!$A$12:$A$112=$B553))*AD516*$H$10*POWER(1+Inflation,AD$11+1)</f>
        <v>0</v>
      </c>
      <c r="AE553" s="457" cm="1">
        <f t="array" ref="AE553">-SUMPRODUCT('W2'!$M$12:$R$112*('W2'!$M$7:$R$7=$A553)*('W2'!$A$12:$A$112=$B553))*AE516*$H$10*POWER(1+Inflation,AE$11+1)</f>
        <v>0</v>
      </c>
      <c r="AF553" s="457" cm="1">
        <f t="array" ref="AF553">-SUMPRODUCT('W2'!$M$12:$R$112*('W2'!$M$7:$R$7=$A553)*('W2'!$A$12:$A$112=$B553))*AF516*$H$10*POWER(1+Inflation,AF$11+1)</f>
        <v>0</v>
      </c>
      <c r="AG553" s="457" cm="1">
        <f t="array" ref="AG553">-SUMPRODUCT('W2'!$M$12:$R$112*('W2'!$M$7:$R$7=$A553)*('W2'!$A$12:$A$112=$B553))*AG516*$H$10*POWER(1+Inflation,AG$11+1)</f>
        <v>0</v>
      </c>
      <c r="AH553" s="457" cm="1">
        <f t="array" ref="AH553">-SUMPRODUCT('W2'!$M$12:$R$112*('W2'!$M$7:$R$7=$A553)*('W2'!$A$12:$A$112=$B553))*AH516*$H$10*POWER(1+Inflation,AH$11+1)</f>
        <v>0</v>
      </c>
      <c r="AI553" s="457" cm="1">
        <f t="array" ref="AI553">-SUMPRODUCT('W2'!$M$12:$R$112*('W2'!$M$7:$R$7=$A553)*('W2'!$A$12:$A$112=$B553))*AI516*$H$10*POWER(1+Inflation,AI$11+1)</f>
        <v>0</v>
      </c>
      <c r="AJ553" s="457" cm="1">
        <f t="array" ref="AJ553">-SUMPRODUCT('W2'!$M$12:$R$112*('W2'!$M$7:$R$7=$A553)*('W2'!$A$12:$A$112=$B553))*AJ516*$H$10*POWER(1+Inflation,AJ$11+1)</f>
        <v>0</v>
      </c>
    </row>
    <row r="554" spans="1:36" hidden="1" x14ac:dyDescent="0.25">
      <c r="A554" t="s">
        <v>696</v>
      </c>
      <c r="H554" s="454" t="s">
        <v>470</v>
      </c>
      <c r="I554" s="497" t="str">
        <f>IF($H$9="USD","USD","tr. VND")</f>
        <v>tr. VND</v>
      </c>
      <c r="K554" s="454"/>
      <c r="L554" s="457" cm="1">
        <f t="array" ref="L554">-SUMPRODUCT('Lãi vay'!$E$5:$AI$34*('Lãi vay'!$A$5:$A$34=$A554)*('Lãi vay'!$B$5:$B$34="Lãi vay")*('Lãi vay'!$E$3:$AI$3=L$14))*$H$10</f>
        <v>-22086.740200000004</v>
      </c>
      <c r="M554" s="457" cm="1">
        <f t="array" ref="M554">-SUMPRODUCT('Lãi vay'!$E$5:$AI$34*('Lãi vay'!$A$5:$A$34=$A554)*('Lãi vay'!$B$5:$B$34="Lãi vay")*('Lãi vay'!$E$3:$AI$3=M$14))*$H$10</f>
        <v>-21852.921055997718</v>
      </c>
      <c r="N554" s="457" cm="1">
        <f t="array" ref="N554">-SUMPRODUCT('Lãi vay'!$E$5:$AI$34*('Lãi vay'!$A$5:$A$34=$A554)*('Lãi vay'!$B$5:$B$34="Lãi vay")*('Lãi vay'!$E$3:$AI$3=N$14))*$H$10</f>
        <v>-21602.73457191528</v>
      </c>
      <c r="O554" s="457" cm="1">
        <f t="array" ref="O554">-SUMPRODUCT('Lãi vay'!$E$5:$AI$34*('Lãi vay'!$A$5:$A$34=$A554)*('Lãi vay'!$B$5:$B$34="Lãi vay")*('Lãi vay'!$E$3:$AI$3=O$14))*$H$10</f>
        <v>-21335.035033947068</v>
      </c>
      <c r="P554" s="457" cm="1">
        <f t="array" ref="P554">-SUMPRODUCT('Lãi vay'!$E$5:$AI$34*('Lãi vay'!$A$5:$A$34=$A554)*('Lãi vay'!$B$5:$B$34="Lãi vay")*('Lãi vay'!$E$3:$AI$3=P$14))*$H$10</f>
        <v>-21048.596528321079</v>
      </c>
      <c r="Q554" s="457" cm="1">
        <f t="array" ref="Q554">-SUMPRODUCT('Lãi vay'!$E$5:$AI$34*('Lãi vay'!$A$5:$A$34=$A554)*('Lãi vay'!$B$5:$B$34="Lãi vay")*('Lãi vay'!$E$3:$AI$3=Q$14))*$H$10</f>
        <v>-20742.107327301277</v>
      </c>
      <c r="R554" s="457" cm="1">
        <f t="array" ref="R554">-SUMPRODUCT('Lãi vay'!$E$5:$AI$34*('Lãi vay'!$A$5:$A$34=$A554)*('Lãi vay'!$B$5:$B$34="Lãi vay")*('Lãi vay'!$E$3:$AI$3=R$14))*$H$10</f>
        <v>-20414.163882210083</v>
      </c>
      <c r="S554" s="457" cm="1">
        <f t="array" ref="S554">-SUMPRODUCT('Lãi vay'!$E$5:$AI$34*('Lãi vay'!$A$5:$A$34=$A554)*('Lãi vay'!$B$5:$B$34="Lãi vay")*('Lãi vay'!$E$3:$AI$3=S$14))*$H$10</f>
        <v>-20063.264395962506</v>
      </c>
      <c r="T554" s="457" cm="1">
        <f t="array" ref="T554">-SUMPRODUCT('Lãi vay'!$E$5:$AI$34*('Lãi vay'!$A$5:$A$34=$A554)*('Lãi vay'!$B$5:$B$34="Lãi vay")*('Lãi vay'!$E$3:$AI$3=T$14))*$H$10</f>
        <v>-19687.801945677598</v>
      </c>
      <c r="U554" s="457" cm="1">
        <f t="array" ref="U554">-SUMPRODUCT('Lãi vay'!$E$5:$AI$34*('Lãi vay'!$A$5:$A$34=$A554)*('Lãi vay'!$B$5:$B$34="Lãi vay")*('Lãi vay'!$E$3:$AI$3=U$14))*$H$10</f>
        <v>-19286.057123872753</v>
      </c>
      <c r="V554" s="457" cm="1">
        <f t="array" ref="V554">-SUMPRODUCT('Lãi vay'!$E$5:$AI$34*('Lãi vay'!$A$5:$A$34=$A554)*('Lãi vay'!$B$5:$B$34="Lãi vay")*('Lãi vay'!$E$3:$AI$3=V$14))*$H$10</f>
        <v>-18856.190164541564</v>
      </c>
      <c r="W554" s="457" cm="1">
        <f t="array" ref="W554">-SUMPRODUCT('Lãi vay'!$E$5:$AI$34*('Lãi vay'!$A$5:$A$34=$A554)*('Lãi vay'!$B$5:$B$34="Lãi vay")*('Lãi vay'!$E$3:$AI$3=W$14))*$H$10</f>
        <v>-18396.232518057193</v>
      </c>
      <c r="X554" s="457" cm="1">
        <f t="array" ref="X554">-SUMPRODUCT('Lãi vay'!$E$5:$AI$34*('Lãi vay'!$A$5:$A$34=$A554)*('Lãi vay'!$B$5:$B$34="Lãi vay")*('Lãi vay'!$E$3:$AI$3=X$14))*$H$10</f>
        <v>-17904.07783631892</v>
      </c>
      <c r="Y554" s="457" cm="1">
        <f t="array" ref="Y554">-SUMPRODUCT('Lãi vay'!$E$5:$AI$34*('Lãi vay'!$A$5:$A$34=$A554)*('Lãi vay'!$B$5:$B$34="Lãi vay")*('Lãi vay'!$E$3:$AI$3=Y$14))*$H$10</f>
        <v>-17377.472326858962</v>
      </c>
      <c r="Z554" s="457" cm="1">
        <f t="array" ref="Z554">-SUMPRODUCT('Lãi vay'!$E$5:$AI$34*('Lãi vay'!$A$5:$A$34=$A554)*('Lãi vay'!$B$5:$B$34="Lãi vay")*('Lãi vay'!$E$3:$AI$3=Z$14))*$H$10</f>
        <v>-16814.004431736808</v>
      </c>
      <c r="AA554" s="457" cm="1">
        <f t="array" ref="AA554">-SUMPRODUCT('Lãi vay'!$E$5:$AI$34*('Lãi vay'!$A$5:$A$34=$A554)*('Lãi vay'!$B$5:$B$34="Lãi vay")*('Lãi vay'!$E$3:$AI$3=AA$14))*$H$10</f>
        <v>-16211.093783956107</v>
      </c>
      <c r="AB554" s="457" cm="1">
        <f t="array" ref="AB554">-SUMPRODUCT('Lãi vay'!$E$5:$AI$34*('Lãi vay'!$A$5:$A$34=$A554)*('Lãi vay'!$B$5:$B$34="Lãi vay")*('Lãi vay'!$E$3:$AI$3=AB$14))*$H$10</f>
        <v>-15565.979390830755</v>
      </c>
      <c r="AC554" s="457" cm="1">
        <f t="array" ref="AC554">-SUMPRODUCT('Lãi vay'!$E$5:$AI$34*('Lãi vay'!$A$5:$A$34=$A554)*('Lãi vay'!$B$5:$B$34="Lãi vay")*('Lãi vay'!$E$3:$AI$3=AC$14))*$H$10</f>
        <v>-14875.706990186627</v>
      </c>
      <c r="AD554" s="457" cm="1">
        <f t="array" ref="AD554">-SUMPRODUCT('Lãi vay'!$E$5:$AI$34*('Lãi vay'!$A$5:$A$34=$A554)*('Lãi vay'!$B$5:$B$34="Lãi vay")*('Lãi vay'!$E$3:$AI$3=AD$14))*$H$10</f>
        <v>-14137.115521497411</v>
      </c>
      <c r="AE554" s="457" cm="1">
        <f t="array" ref="AE554">-SUMPRODUCT('Lãi vay'!$E$5:$AI$34*('Lãi vay'!$A$5:$A$34=$A554)*('Lãi vay'!$B$5:$B$34="Lãi vay")*('Lãi vay'!$E$3:$AI$3=AE$14))*$H$10</f>
        <v>-13346.822649999949</v>
      </c>
      <c r="AF554" s="457" cm="1">
        <f t="array" ref="AF554">-SUMPRODUCT('Lãi vay'!$E$5:$AI$34*('Lãi vay'!$A$5:$A$34=$A554)*('Lãi vay'!$B$5:$B$34="Lãi vay")*('Lãi vay'!$E$3:$AI$3=AF$14))*$H$10</f>
        <v>-12501.209277497665</v>
      </c>
      <c r="AG554" s="457" cm="1">
        <f t="array" ref="AG554">-SUMPRODUCT('Lãi vay'!$E$5:$AI$34*('Lãi vay'!$A$5:$A$34=$A554)*('Lãi vay'!$B$5:$B$34="Lãi vay")*('Lãi vay'!$E$3:$AI$3=AG$14))*$H$10</f>
        <v>-11596.402968920222</v>
      </c>
      <c r="AH554" s="457" cm="1">
        <f t="array" ref="AH554">-SUMPRODUCT('Lãi vay'!$E$5:$AI$34*('Lãi vay'!$A$5:$A$34=$A554)*('Lãi vay'!$B$5:$B$34="Lãi vay")*('Lãi vay'!$E$3:$AI$3=AH$14))*$H$10</f>
        <v>-10628.260218742356</v>
      </c>
      <c r="AI554" s="457" cm="1">
        <f t="array" ref="AI554">-SUMPRODUCT('Lãi vay'!$E$5:$AI$34*('Lãi vay'!$A$5:$A$34=$A554)*('Lãi vay'!$B$5:$B$34="Lãi vay")*('Lãi vay'!$E$3:$AI$3=AI$14))*$H$10</f>
        <v>-9592.3474760520421</v>
      </c>
      <c r="AJ554" s="457" cm="1">
        <f t="array" ref="AJ554">-SUMPRODUCT('Lãi vay'!$E$5:$AI$34*('Lãi vay'!$A$5:$A$34=$A554)*('Lãi vay'!$B$5:$B$34="Lãi vay")*('Lãi vay'!$E$3:$AI$3=AJ$14))*$H$10</f>
        <v>-8483.9208413734032</v>
      </c>
    </row>
    <row r="555" spans="1:36" hidden="1" x14ac:dyDescent="0.25">
      <c r="A555" t="s">
        <v>696</v>
      </c>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row r="556" spans="1:36" s="16" customFormat="1" hidden="1" x14ac:dyDescent="0.25">
      <c r="A556" s="16" t="s">
        <v>696</v>
      </c>
      <c r="H556" s="270" t="s">
        <v>472</v>
      </c>
      <c r="I556" s="271" t="str">
        <f>IF($H$9="USD","USD","tr. VND")</f>
        <v>tr. VND</v>
      </c>
      <c r="K556" s="272">
        <f t="shared" ref="K556" si="910">K549+SUM(K551:K554)</f>
        <v>0</v>
      </c>
      <c r="L556" s="272">
        <f>L549+SUM(L551:L554)</f>
        <v>-167535.70909316011</v>
      </c>
      <c r="M556" s="272">
        <f t="shared" ref="M556:AJ556" si="911">M549+SUM(M551:M554)</f>
        <v>-204702.30374215523</v>
      </c>
      <c r="N556" s="272">
        <f t="shared" si="911"/>
        <v>-265850.80108765821</v>
      </c>
      <c r="O556" s="272">
        <f t="shared" si="911"/>
        <v>-271046.32164846058</v>
      </c>
      <c r="P556" s="272">
        <f t="shared" si="911"/>
        <v>-276394.52312425408</v>
      </c>
      <c r="Q556" s="272">
        <f t="shared" si="911"/>
        <v>-281900.62995898927</v>
      </c>
      <c r="R556" s="272">
        <f t="shared" si="911"/>
        <v>-287570.06088781066</v>
      </c>
      <c r="S556" s="272">
        <f t="shared" si="911"/>
        <v>-293408.43600126851</v>
      </c>
      <c r="T556" s="272">
        <f t="shared" si="911"/>
        <v>-299421.58401791344</v>
      </c>
      <c r="U556" s="272">
        <f t="shared" si="911"/>
        <v>-305615.54976636899</v>
      </c>
      <c r="V556" s="272">
        <f t="shared" si="911"/>
        <v>-311996.60187739471</v>
      </c>
      <c r="W556" s="272">
        <f t="shared" si="911"/>
        <v>-318571.24068580056</v>
      </c>
      <c r="X556" s="272">
        <f t="shared" si="911"/>
        <v>-299281.22367466585</v>
      </c>
      <c r="Y556" s="272">
        <f t="shared" si="911"/>
        <v>-306263.50446016801</v>
      </c>
      <c r="Z556" s="272">
        <f t="shared" si="911"/>
        <v>-313460.34531440103</v>
      </c>
      <c r="AA556" s="272">
        <f t="shared" si="911"/>
        <v>-320879.256555881</v>
      </c>
      <c r="AB556" s="272">
        <f t="shared" si="911"/>
        <v>-328528.02280296589</v>
      </c>
      <c r="AC556" s="272">
        <f t="shared" si="911"/>
        <v>-336414.71208415879</v>
      </c>
      <c r="AD556" s="272">
        <f t="shared" si="911"/>
        <v>-344547.68513120705</v>
      </c>
      <c r="AE556" s="272">
        <f t="shared" si="911"/>
        <v>-352935.60484603874</v>
      </c>
      <c r="AF556" s="272">
        <f t="shared" si="911"/>
        <v>-361587.44593088294</v>
      </c>
      <c r="AG556" s="272">
        <f t="shared" si="911"/>
        <v>-370512.50466905418</v>
      </c>
      <c r="AH556" s="272">
        <f t="shared" si="911"/>
        <v>-379720.40884182806</v>
      </c>
      <c r="AI556" s="272">
        <f t="shared" si="911"/>
        <v>-389221.12776457996</v>
      </c>
      <c r="AJ556" s="272">
        <f t="shared" si="911"/>
        <v>-399024.98242288531</v>
      </c>
    </row>
    <row r="557" spans="1:36" hidden="1" x14ac:dyDescent="0.25">
      <c r="A557" t="s">
        <v>696</v>
      </c>
    </row>
    <row r="558" spans="1:36" s="24" customFormat="1" ht="17.25" hidden="1" x14ac:dyDescent="0.3">
      <c r="A558" s="24" t="s">
        <v>696</v>
      </c>
      <c r="H558" s="644" t="s">
        <v>473</v>
      </c>
      <c r="I558" s="644"/>
      <c r="K558" s="644"/>
      <c r="L558" s="644"/>
      <c r="M558" s="644"/>
      <c r="N558" s="644"/>
      <c r="O558" s="644"/>
      <c r="P558" s="644"/>
      <c r="Q558" s="644"/>
      <c r="R558" s="644"/>
      <c r="S558" s="644"/>
      <c r="T558" s="644"/>
      <c r="U558" s="644"/>
      <c r="V558" s="644"/>
      <c r="W558" s="644"/>
      <c r="X558" s="644"/>
      <c r="Y558" s="644"/>
      <c r="Z558" s="644"/>
      <c r="AA558" s="644"/>
      <c r="AB558" s="644"/>
      <c r="AC558" s="644"/>
      <c r="AD558" s="644"/>
      <c r="AE558" s="644"/>
      <c r="AF558" s="644"/>
      <c r="AG558" s="644"/>
      <c r="AH558" s="644"/>
      <c r="AI558" s="644"/>
      <c r="AJ558" s="644"/>
    </row>
    <row r="559" spans="1:36" s="1" customFormat="1" hidden="1" x14ac:dyDescent="0.25">
      <c r="A559" s="1" t="s">
        <v>696</v>
      </c>
      <c r="H559" s="273" t="s">
        <v>434</v>
      </c>
      <c r="I559" s="274" t="str">
        <f>IF($H$9="USD","USD/tấn","tr. VND/tấn")</f>
        <v>tr. VND/tấn</v>
      </c>
      <c r="K559" s="278">
        <f t="shared" ref="K559" si="912">SUM(K560:K561,K564:K567,)</f>
        <v>0</v>
      </c>
      <c r="L559" s="278">
        <f>SUM(L560:L561,L564:L567,)</f>
        <v>16.128035493627401</v>
      </c>
      <c r="M559" s="278">
        <f t="shared" ref="M559:AJ559" si="913">SUM(M560:M561,M564:M567,)</f>
        <v>11.520025352591</v>
      </c>
      <c r="N559" s="278">
        <f t="shared" si="913"/>
        <v>8.2092021666088186</v>
      </c>
      <c r="O559" s="278">
        <f t="shared" si="913"/>
        <v>8.3616458073936943</v>
      </c>
      <c r="P559" s="278">
        <f t="shared" si="913"/>
        <v>8.5217116302178137</v>
      </c>
      <c r="Q559" s="278">
        <f t="shared" si="913"/>
        <v>8.6897807441831354</v>
      </c>
      <c r="R559" s="278">
        <f t="shared" si="913"/>
        <v>8.866253313846725</v>
      </c>
      <c r="S559" s="278">
        <f t="shared" si="913"/>
        <v>9.0515495119934961</v>
      </c>
      <c r="T559" s="278">
        <f t="shared" si="913"/>
        <v>9.2461105200476048</v>
      </c>
      <c r="U559" s="278">
        <f t="shared" si="913"/>
        <v>9.450399578504415</v>
      </c>
      <c r="V559" s="278">
        <f t="shared" si="913"/>
        <v>9.6649030898840689</v>
      </c>
      <c r="W559" s="278">
        <f t="shared" si="913"/>
        <v>9.8901317768327068</v>
      </c>
      <c r="X559" s="278">
        <f t="shared" si="913"/>
        <v>6.0804844495677273</v>
      </c>
      <c r="Y559" s="278">
        <f t="shared" si="913"/>
        <v>6.3287990769285969</v>
      </c>
      <c r="Z559" s="278">
        <f t="shared" si="913"/>
        <v>6.5895294356575143</v>
      </c>
      <c r="AA559" s="278">
        <f t="shared" si="913"/>
        <v>6.8632963123228743</v>
      </c>
      <c r="AB559" s="278">
        <f t="shared" si="913"/>
        <v>7.1507515328215057</v>
      </c>
      <c r="AC559" s="278">
        <f t="shared" si="913"/>
        <v>7.4525795143450653</v>
      </c>
      <c r="AD559" s="278">
        <f t="shared" si="913"/>
        <v>7.7694988949448049</v>
      </c>
      <c r="AE559" s="278">
        <f t="shared" si="913"/>
        <v>8.1022642445745294</v>
      </c>
      <c r="AF559" s="278">
        <f t="shared" si="913"/>
        <v>8.4516678616857419</v>
      </c>
      <c r="AG559" s="278">
        <f t="shared" si="913"/>
        <v>8.8185416596525137</v>
      </c>
      <c r="AH559" s="278">
        <f t="shared" si="913"/>
        <v>9.2037591475176264</v>
      </c>
      <c r="AI559" s="278">
        <f t="shared" si="913"/>
        <v>9.6082375097759929</v>
      </c>
      <c r="AJ559" s="278">
        <f t="shared" si="913"/>
        <v>10.032939790147278</v>
      </c>
    </row>
    <row r="560" spans="1:36" hidden="1" x14ac:dyDescent="0.25">
      <c r="A560" t="s">
        <v>696</v>
      </c>
      <c r="C560" t="s">
        <v>367</v>
      </c>
      <c r="H560" s="557" t="s">
        <v>190</v>
      </c>
      <c r="I560" s="558" t="str">
        <f t="shared" ref="I560:I593" si="914">IF($H$9="USD","USD/tấn","tr. VND/tấn")</f>
        <v>tr. VND/tấn</v>
      </c>
      <c r="K560" s="563"/>
      <c r="L560" s="564">
        <f t="shared" ref="L560:AJ560" si="915">-IF($H$9="VND",L528/L516/$H$10/10^3,L528/L516/$H$10*10^3)</f>
        <v>10.029578903950334</v>
      </c>
      <c r="M560" s="564">
        <f t="shared" si="915"/>
        <v>7.1639849313930961</v>
      </c>
      <c r="N560" s="564">
        <f t="shared" si="915"/>
        <v>5.014789451975167</v>
      </c>
      <c r="O560" s="564">
        <f t="shared" si="915"/>
        <v>5.014789451975167</v>
      </c>
      <c r="P560" s="564">
        <f t="shared" si="915"/>
        <v>5.014789451975167</v>
      </c>
      <c r="Q560" s="564">
        <f t="shared" si="915"/>
        <v>5.014789451975167</v>
      </c>
      <c r="R560" s="564">
        <f t="shared" si="915"/>
        <v>5.014789451975167</v>
      </c>
      <c r="S560" s="564">
        <f t="shared" si="915"/>
        <v>5.014789451975167</v>
      </c>
      <c r="T560" s="564">
        <f t="shared" si="915"/>
        <v>5.014789451975167</v>
      </c>
      <c r="U560" s="564">
        <f t="shared" si="915"/>
        <v>5.014789451975167</v>
      </c>
      <c r="V560" s="564">
        <f t="shared" si="915"/>
        <v>5.014789451975167</v>
      </c>
      <c r="W560" s="564">
        <f t="shared" si="915"/>
        <v>5.014789451975167</v>
      </c>
      <c r="X560" s="564">
        <f t="shared" si="915"/>
        <v>0.96865200341411861</v>
      </c>
      <c r="Y560" s="564">
        <f t="shared" si="915"/>
        <v>0.96865200341411861</v>
      </c>
      <c r="Z560" s="564">
        <f t="shared" si="915"/>
        <v>0.96865200341411861</v>
      </c>
      <c r="AA560" s="564">
        <f t="shared" si="915"/>
        <v>0.96865200341411861</v>
      </c>
      <c r="AB560" s="564">
        <f t="shared" si="915"/>
        <v>0.96865200341411861</v>
      </c>
      <c r="AC560" s="564">
        <f t="shared" si="915"/>
        <v>0.96865200341411861</v>
      </c>
      <c r="AD560" s="564">
        <f t="shared" si="915"/>
        <v>0.96865200341411861</v>
      </c>
      <c r="AE560" s="564">
        <f t="shared" si="915"/>
        <v>0.96865200341411861</v>
      </c>
      <c r="AF560" s="564">
        <f t="shared" si="915"/>
        <v>0.96865200341411861</v>
      </c>
      <c r="AG560" s="564">
        <f t="shared" si="915"/>
        <v>0.96865200341411861</v>
      </c>
      <c r="AH560" s="564">
        <f t="shared" si="915"/>
        <v>0.96865200341411861</v>
      </c>
      <c r="AI560" s="564">
        <f t="shared" si="915"/>
        <v>0.96865200341411861</v>
      </c>
      <c r="AJ560" s="564">
        <f t="shared" si="915"/>
        <v>0.96865200341411861</v>
      </c>
    </row>
    <row r="561" spans="1:36" hidden="1" x14ac:dyDescent="0.25">
      <c r="A561" t="s">
        <v>696</v>
      </c>
      <c r="H561" s="559" t="s">
        <v>429</v>
      </c>
      <c r="I561" s="560" t="str">
        <f t="shared" si="914"/>
        <v>tr. VND/tấn</v>
      </c>
      <c r="K561" s="565">
        <f>SUM(K562:K563)</f>
        <v>0</v>
      </c>
      <c r="L561" s="565">
        <f t="shared" ref="L561:AJ561" si="916">SUM(L562:L563)</f>
        <v>1.9410042574812794</v>
      </c>
      <c r="M561" s="565">
        <f t="shared" si="916"/>
        <v>1.3864316124866283</v>
      </c>
      <c r="N561" s="565">
        <f t="shared" si="916"/>
        <v>1.0190272351776717</v>
      </c>
      <c r="O561" s="565">
        <f t="shared" si="916"/>
        <v>1.0699785969365552</v>
      </c>
      <c r="P561" s="565">
        <f t="shared" si="916"/>
        <v>1.1234775267833832</v>
      </c>
      <c r="Q561" s="565">
        <f t="shared" si="916"/>
        <v>1.179651403122552</v>
      </c>
      <c r="R561" s="565">
        <f t="shared" si="916"/>
        <v>1.2386339732786797</v>
      </c>
      <c r="S561" s="565">
        <f t="shared" si="916"/>
        <v>1.3005656719426137</v>
      </c>
      <c r="T561" s="565">
        <f t="shared" si="916"/>
        <v>1.3655939555397447</v>
      </c>
      <c r="U561" s="565">
        <f t="shared" si="916"/>
        <v>1.4338736533167316</v>
      </c>
      <c r="V561" s="565">
        <f t="shared" si="916"/>
        <v>1.5055673359825681</v>
      </c>
      <c r="W561" s="565">
        <f t="shared" si="916"/>
        <v>1.5808457027816967</v>
      </c>
      <c r="X561" s="565">
        <f t="shared" si="916"/>
        <v>1.6598879879207817</v>
      </c>
      <c r="Y561" s="565">
        <f t="shared" si="916"/>
        <v>1.7428823873168202</v>
      </c>
      <c r="Z561" s="565">
        <f t="shared" si="916"/>
        <v>1.8300265066826618</v>
      </c>
      <c r="AA561" s="565">
        <f t="shared" si="916"/>
        <v>1.9215278320167946</v>
      </c>
      <c r="AB561" s="565">
        <f t="shared" si="916"/>
        <v>2.0176042236176346</v>
      </c>
      <c r="AC561" s="565">
        <f t="shared" si="916"/>
        <v>2.1184844347985163</v>
      </c>
      <c r="AD561" s="565">
        <f t="shared" si="916"/>
        <v>2.2244086565384427</v>
      </c>
      <c r="AE561" s="565">
        <f t="shared" si="916"/>
        <v>2.3356290893653648</v>
      </c>
      <c r="AF561" s="565">
        <f t="shared" si="916"/>
        <v>2.4524105438336328</v>
      </c>
      <c r="AG561" s="565">
        <f t="shared" si="916"/>
        <v>2.5750310710253141</v>
      </c>
      <c r="AH561" s="565">
        <f t="shared" si="916"/>
        <v>2.7037826245765801</v>
      </c>
      <c r="AI561" s="565">
        <f t="shared" si="916"/>
        <v>2.8389717558054088</v>
      </c>
      <c r="AJ561" s="565">
        <f t="shared" si="916"/>
        <v>2.9809203435956801</v>
      </c>
    </row>
    <row r="562" spans="1:36" s="299" customFormat="1" hidden="1" x14ac:dyDescent="0.25">
      <c r="A562" s="299" t="s">
        <v>696</v>
      </c>
      <c r="C562" s="299" t="s">
        <v>367</v>
      </c>
      <c r="H562" s="561" t="s">
        <v>430</v>
      </c>
      <c r="I562" s="562" t="str">
        <f t="shared" si="914"/>
        <v>tr. VND/tấn</v>
      </c>
      <c r="K562" s="566"/>
      <c r="L562" s="566">
        <f t="shared" ref="L562:AJ562" si="917">-IF($H$9="VND",L530/L516/$H$10/10^3,L530/L516/$H$10*10^3)</f>
        <v>0.31733039631846527</v>
      </c>
      <c r="M562" s="566">
        <f t="shared" si="917"/>
        <v>0.22666456879890379</v>
      </c>
      <c r="N562" s="566">
        <f t="shared" si="917"/>
        <v>0.16659845806719425</v>
      </c>
      <c r="O562" s="566">
        <f t="shared" si="917"/>
        <v>0.17492838097055399</v>
      </c>
      <c r="P562" s="566">
        <f t="shared" si="917"/>
        <v>0.18367480001908168</v>
      </c>
      <c r="Q562" s="566">
        <f t="shared" si="917"/>
        <v>0.19285854002003575</v>
      </c>
      <c r="R562" s="566">
        <f t="shared" si="917"/>
        <v>0.20250146702103758</v>
      </c>
      <c r="S562" s="566">
        <f t="shared" si="917"/>
        <v>0.21262654037208945</v>
      </c>
      <c r="T562" s="566">
        <f t="shared" si="917"/>
        <v>0.22325786739069392</v>
      </c>
      <c r="U562" s="566">
        <f t="shared" si="917"/>
        <v>0.23442076076022861</v>
      </c>
      <c r="V562" s="566">
        <f t="shared" si="917"/>
        <v>0.24614179879824005</v>
      </c>
      <c r="W562" s="566">
        <f t="shared" si="917"/>
        <v>0.25844888873815203</v>
      </c>
      <c r="X562" s="566">
        <f t="shared" si="917"/>
        <v>0.27137133317505963</v>
      </c>
      <c r="Y562" s="566">
        <f t="shared" si="917"/>
        <v>0.28493989983381263</v>
      </c>
      <c r="Z562" s="566">
        <f t="shared" si="917"/>
        <v>0.29918689482550326</v>
      </c>
      <c r="AA562" s="566">
        <f t="shared" si="917"/>
        <v>0.3141462395667784</v>
      </c>
      <c r="AB562" s="566">
        <f t="shared" si="917"/>
        <v>0.32985355154511742</v>
      </c>
      <c r="AC562" s="566">
        <f t="shared" si="917"/>
        <v>0.34634622912237323</v>
      </c>
      <c r="AD562" s="566">
        <f t="shared" si="917"/>
        <v>0.36366354057849198</v>
      </c>
      <c r="AE562" s="566">
        <f t="shared" si="917"/>
        <v>0.38184671760741651</v>
      </c>
      <c r="AF562" s="566">
        <f t="shared" si="917"/>
        <v>0.40093905348778736</v>
      </c>
      <c r="AG562" s="566">
        <f t="shared" si="917"/>
        <v>0.42098600616217674</v>
      </c>
      <c r="AH562" s="566">
        <f t="shared" si="917"/>
        <v>0.44203530647028555</v>
      </c>
      <c r="AI562" s="566">
        <f t="shared" si="917"/>
        <v>0.46413707179379982</v>
      </c>
      <c r="AJ562" s="566">
        <f t="shared" si="917"/>
        <v>0.48734392538348992</v>
      </c>
    </row>
    <row r="563" spans="1:36" s="299" customFormat="1" hidden="1" x14ac:dyDescent="0.25">
      <c r="A563" s="299" t="s">
        <v>696</v>
      </c>
      <c r="C563" s="299" t="s">
        <v>367</v>
      </c>
      <c r="H563" s="561" t="s">
        <v>431</v>
      </c>
      <c r="I563" s="562" t="str">
        <f t="shared" si="914"/>
        <v>tr. VND/tấn</v>
      </c>
      <c r="K563" s="566"/>
      <c r="L563" s="566">
        <f t="shared" ref="L563:AJ563" si="918">-IF($H$9="VND",L531/L516/$H$10/10^3,L531/L516/$H$10*10^3)</f>
        <v>1.6236738611628141</v>
      </c>
      <c r="M563" s="566">
        <f t="shared" si="918"/>
        <v>1.1597670436877245</v>
      </c>
      <c r="N563" s="566">
        <f t="shared" si="918"/>
        <v>0.85242877711047738</v>
      </c>
      <c r="O563" s="566">
        <f t="shared" si="918"/>
        <v>0.89505021596600121</v>
      </c>
      <c r="P563" s="566">
        <f t="shared" si="918"/>
        <v>0.93980272676430154</v>
      </c>
      <c r="Q563" s="566">
        <f t="shared" si="918"/>
        <v>0.98679286310251635</v>
      </c>
      <c r="R563" s="566">
        <f t="shared" si="918"/>
        <v>1.0361325062576421</v>
      </c>
      <c r="S563" s="566">
        <f t="shared" si="918"/>
        <v>1.0879391315705242</v>
      </c>
      <c r="T563" s="566">
        <f t="shared" si="918"/>
        <v>1.1423360881490507</v>
      </c>
      <c r="U563" s="566">
        <f t="shared" si="918"/>
        <v>1.1994528925565029</v>
      </c>
      <c r="V563" s="566">
        <f t="shared" si="918"/>
        <v>1.2594255371843281</v>
      </c>
      <c r="W563" s="566">
        <f t="shared" si="918"/>
        <v>1.3223968140435447</v>
      </c>
      <c r="X563" s="566">
        <f t="shared" si="918"/>
        <v>1.3885166547457222</v>
      </c>
      <c r="Y563" s="566">
        <f t="shared" si="918"/>
        <v>1.4579424874830076</v>
      </c>
      <c r="Z563" s="566">
        <f t="shared" si="918"/>
        <v>1.5308396118571586</v>
      </c>
      <c r="AA563" s="566">
        <f t="shared" si="918"/>
        <v>1.6073815924500161</v>
      </c>
      <c r="AB563" s="566">
        <f t="shared" si="918"/>
        <v>1.6877506720725173</v>
      </c>
      <c r="AC563" s="566">
        <f t="shared" si="918"/>
        <v>1.7721382056761432</v>
      </c>
      <c r="AD563" s="566">
        <f t="shared" si="918"/>
        <v>1.8607451159599506</v>
      </c>
      <c r="AE563" s="566">
        <f t="shared" si="918"/>
        <v>1.9537823717579481</v>
      </c>
      <c r="AF563" s="566">
        <f t="shared" si="918"/>
        <v>2.0514714903458455</v>
      </c>
      <c r="AG563" s="566">
        <f t="shared" si="918"/>
        <v>2.1540450648631375</v>
      </c>
      <c r="AH563" s="566">
        <f t="shared" si="918"/>
        <v>2.2617473181062948</v>
      </c>
      <c r="AI563" s="566">
        <f t="shared" si="918"/>
        <v>2.374834684011609</v>
      </c>
      <c r="AJ563" s="566">
        <f t="shared" si="918"/>
        <v>2.4935764182121902</v>
      </c>
    </row>
    <row r="564" spans="1:36" hidden="1" x14ac:dyDescent="0.25">
      <c r="A564" t="s">
        <v>696</v>
      </c>
      <c r="C564" t="s">
        <v>367</v>
      </c>
      <c r="H564" s="559" t="s">
        <v>656</v>
      </c>
      <c r="I564" s="560" t="str">
        <f t="shared" si="914"/>
        <v>tr. VND/tấn</v>
      </c>
      <c r="K564" s="565"/>
      <c r="L564" s="565">
        <f t="shared" ref="L564:AJ564" si="919">-IF($H$9="VND",L532/L516/$H$10/10^3,L532/L516/$H$10*10^3)</f>
        <v>0.77492160273129496</v>
      </c>
      <c r="M564" s="565">
        <f t="shared" si="919"/>
        <v>0.55351543052235352</v>
      </c>
      <c r="N564" s="565">
        <f t="shared" si="919"/>
        <v>0.40683384143392981</v>
      </c>
      <c r="O564" s="565">
        <f t="shared" si="919"/>
        <v>0.42717553350562631</v>
      </c>
      <c r="P564" s="565">
        <f t="shared" si="919"/>
        <v>0.44853431018090767</v>
      </c>
      <c r="Q564" s="565">
        <f t="shared" si="919"/>
        <v>0.47096102568995302</v>
      </c>
      <c r="R564" s="565">
        <f t="shared" si="919"/>
        <v>0.49450907697445079</v>
      </c>
      <c r="S564" s="565">
        <f t="shared" si="919"/>
        <v>0.51923453082317328</v>
      </c>
      <c r="T564" s="565">
        <f t="shared" si="919"/>
        <v>0.54519625736433197</v>
      </c>
      <c r="U564" s="565">
        <f t="shared" si="919"/>
        <v>0.57245607023254841</v>
      </c>
      <c r="V564" s="565">
        <f t="shared" si="919"/>
        <v>0.60107887374417601</v>
      </c>
      <c r="W564" s="565">
        <f t="shared" si="919"/>
        <v>0.63113281743138472</v>
      </c>
      <c r="X564" s="565">
        <f t="shared" si="919"/>
        <v>0.662689458302954</v>
      </c>
      <c r="Y564" s="565">
        <f t="shared" si="919"/>
        <v>0.69582393121810171</v>
      </c>
      <c r="Z564" s="565">
        <f t="shared" si="919"/>
        <v>0.73061512777900695</v>
      </c>
      <c r="AA564" s="565">
        <f t="shared" si="919"/>
        <v>0.76714588416795693</v>
      </c>
      <c r="AB564" s="565">
        <f t="shared" si="919"/>
        <v>0.8055031783763551</v>
      </c>
      <c r="AC564" s="565">
        <f t="shared" si="919"/>
        <v>0.84577833729517282</v>
      </c>
      <c r="AD564" s="565">
        <f t="shared" si="919"/>
        <v>0.8880672541599316</v>
      </c>
      <c r="AE564" s="565">
        <f t="shared" si="919"/>
        <v>0.93247061686792809</v>
      </c>
      <c r="AF564" s="565">
        <f t="shared" si="919"/>
        <v>0.97909414771132464</v>
      </c>
      <c r="AG564" s="565">
        <f t="shared" si="919"/>
        <v>1.0280488550968905</v>
      </c>
      <c r="AH564" s="565">
        <f t="shared" si="919"/>
        <v>1.0794512978517352</v>
      </c>
      <c r="AI564" s="565">
        <f t="shared" si="919"/>
        <v>1.1334238627443218</v>
      </c>
      <c r="AJ564" s="565">
        <f t="shared" si="919"/>
        <v>1.1900950558815384</v>
      </c>
    </row>
    <row r="565" spans="1:36" hidden="1" x14ac:dyDescent="0.25">
      <c r="A565" t="s">
        <v>696</v>
      </c>
      <c r="C565" t="s">
        <v>367</v>
      </c>
      <c r="H565" s="559" t="s">
        <v>432</v>
      </c>
      <c r="I565" s="560" t="str">
        <f t="shared" si="914"/>
        <v>tr. VND/tấn</v>
      </c>
      <c r="K565" s="565"/>
      <c r="L565" s="565">
        <f t="shared" ref="L565:AJ565" si="920">-IF($H$9="VND",L533/L516/$H$10/10^3,L533/L516/$H$10*10^3)</f>
        <v>2.9132189629639549</v>
      </c>
      <c r="M565" s="565">
        <f t="shared" si="920"/>
        <v>2.0808706878313963</v>
      </c>
      <c r="N565" s="565">
        <f t="shared" si="920"/>
        <v>1.5294399555560763</v>
      </c>
      <c r="O565" s="565">
        <f t="shared" si="920"/>
        <v>1.6059119533338804</v>
      </c>
      <c r="P565" s="565">
        <f t="shared" si="920"/>
        <v>1.6862075510005743</v>
      </c>
      <c r="Q565" s="565">
        <f t="shared" si="920"/>
        <v>1.7705179285506027</v>
      </c>
      <c r="R565" s="565">
        <f t="shared" si="920"/>
        <v>1.8590438249781329</v>
      </c>
      <c r="S565" s="565">
        <f t="shared" si="920"/>
        <v>1.9519960162270396</v>
      </c>
      <c r="T565" s="565">
        <f t="shared" si="920"/>
        <v>2.0495958170383921</v>
      </c>
      <c r="U565" s="565">
        <f t="shared" si="920"/>
        <v>2.1520756078903109</v>
      </c>
      <c r="V565" s="565">
        <f t="shared" si="920"/>
        <v>2.2596793882848267</v>
      </c>
      <c r="W565" s="565">
        <f t="shared" si="920"/>
        <v>2.3726633576990679</v>
      </c>
      <c r="X565" s="565">
        <f t="shared" si="920"/>
        <v>2.4912965255840218</v>
      </c>
      <c r="Y565" s="565">
        <f t="shared" si="920"/>
        <v>2.6158613518632223</v>
      </c>
      <c r="Z565" s="565">
        <f t="shared" si="920"/>
        <v>2.7466544194563838</v>
      </c>
      <c r="AA565" s="565">
        <f t="shared" si="920"/>
        <v>2.8839871404292028</v>
      </c>
      <c r="AB565" s="565">
        <f t="shared" si="920"/>
        <v>3.028186497450664</v>
      </c>
      <c r="AC565" s="565">
        <f t="shared" si="920"/>
        <v>3.1795958223231966</v>
      </c>
      <c r="AD565" s="565">
        <f t="shared" si="920"/>
        <v>3.3385756134393567</v>
      </c>
      <c r="AE565" s="565">
        <f t="shared" si="920"/>
        <v>3.5055043941113251</v>
      </c>
      <c r="AF565" s="565">
        <f t="shared" si="920"/>
        <v>3.6807796138168904</v>
      </c>
      <c r="AG565" s="565">
        <f t="shared" si="920"/>
        <v>3.8648185945077356</v>
      </c>
      <c r="AH565" s="565">
        <f t="shared" si="920"/>
        <v>4.0580595242331228</v>
      </c>
      <c r="AI565" s="565">
        <f t="shared" si="920"/>
        <v>4.2609625004447782</v>
      </c>
      <c r="AJ565" s="565">
        <f t="shared" si="920"/>
        <v>4.4740106254670176</v>
      </c>
    </row>
    <row r="566" spans="1:36" hidden="1" x14ac:dyDescent="0.25">
      <c r="A566" t="s">
        <v>696</v>
      </c>
      <c r="C566" t="s">
        <v>367</v>
      </c>
      <c r="H566" s="559" t="s">
        <v>433</v>
      </c>
      <c r="I566" s="560" t="str">
        <f t="shared" si="914"/>
        <v>tr. VND/tấn</v>
      </c>
      <c r="K566" s="565"/>
      <c r="L566" s="565">
        <f t="shared" ref="L566:AJ566" si="921">-IF($H$9="VND",L534/L516/$H$10/10^3,L534/L516/$H$10*10^3)</f>
        <v>0.17823196862819785</v>
      </c>
      <c r="M566" s="565">
        <f t="shared" si="921"/>
        <v>0.12730854902014133</v>
      </c>
      <c r="N566" s="565">
        <f t="shared" si="921"/>
        <v>9.3571783529803873E-2</v>
      </c>
      <c r="O566" s="565">
        <f t="shared" si="921"/>
        <v>9.8250372706294054E-2</v>
      </c>
      <c r="P566" s="565">
        <f t="shared" si="921"/>
        <v>0.10316289134160876</v>
      </c>
      <c r="Q566" s="565">
        <f t="shared" si="921"/>
        <v>0.1083210359086892</v>
      </c>
      <c r="R566" s="565">
        <f t="shared" si="921"/>
        <v>0.11373708770412366</v>
      </c>
      <c r="S566" s="565">
        <f t="shared" si="921"/>
        <v>0.11942394208932984</v>
      </c>
      <c r="T566" s="565">
        <f t="shared" si="921"/>
        <v>0.12539513919379636</v>
      </c>
      <c r="U566" s="565">
        <f t="shared" si="921"/>
        <v>0.13166489615348614</v>
      </c>
      <c r="V566" s="565">
        <f t="shared" si="921"/>
        <v>0.13824814096116045</v>
      </c>
      <c r="W566" s="565">
        <f t="shared" si="921"/>
        <v>0.14516054800921852</v>
      </c>
      <c r="X566" s="565">
        <f t="shared" si="921"/>
        <v>0.15241857540967946</v>
      </c>
      <c r="Y566" s="565">
        <f t="shared" si="921"/>
        <v>0.16003950418016336</v>
      </c>
      <c r="Z566" s="565">
        <f t="shared" si="921"/>
        <v>0.16804147938917158</v>
      </c>
      <c r="AA566" s="565">
        <f t="shared" si="921"/>
        <v>0.1764435533586301</v>
      </c>
      <c r="AB566" s="565">
        <f t="shared" si="921"/>
        <v>0.18526573102656166</v>
      </c>
      <c r="AC566" s="565">
        <f t="shared" si="921"/>
        <v>0.19452901757788973</v>
      </c>
      <c r="AD566" s="565">
        <f t="shared" si="921"/>
        <v>0.20425546845678427</v>
      </c>
      <c r="AE566" s="565">
        <f t="shared" si="921"/>
        <v>0.21446824187962346</v>
      </c>
      <c r="AF566" s="565">
        <f t="shared" si="921"/>
        <v>0.22519165397360463</v>
      </c>
      <c r="AG566" s="565">
        <f t="shared" si="921"/>
        <v>0.2364512366722849</v>
      </c>
      <c r="AH566" s="565">
        <f t="shared" si="921"/>
        <v>0.24827379850589909</v>
      </c>
      <c r="AI566" s="565">
        <f t="shared" si="921"/>
        <v>0.26068748843119405</v>
      </c>
      <c r="AJ566" s="565">
        <f t="shared" si="921"/>
        <v>0.27372186285275374</v>
      </c>
    </row>
    <row r="567" spans="1:36" hidden="1" x14ac:dyDescent="0.25">
      <c r="A567" t="s">
        <v>696</v>
      </c>
      <c r="C567" t="s">
        <v>367</v>
      </c>
      <c r="H567" s="559" t="s">
        <v>520</v>
      </c>
      <c r="I567" s="560" t="str">
        <f t="shared" si="914"/>
        <v>tr. VND/tấn</v>
      </c>
      <c r="K567" s="565"/>
      <c r="L567" s="565">
        <f t="shared" ref="L567:AJ567" si="922">-IF($H$9="VND",L535/L516/$H$10/10^3,L535/L516/$H$10*10^3)</f>
        <v>0.29107979787234217</v>
      </c>
      <c r="M567" s="565">
        <f t="shared" si="922"/>
        <v>0.20791414133738728</v>
      </c>
      <c r="N567" s="565">
        <f t="shared" si="922"/>
        <v>0.14553989893617109</v>
      </c>
      <c r="O567" s="565">
        <f t="shared" si="922"/>
        <v>0.14553989893617109</v>
      </c>
      <c r="P567" s="565">
        <f t="shared" si="922"/>
        <v>0.14553989893617109</v>
      </c>
      <c r="Q567" s="565">
        <f t="shared" si="922"/>
        <v>0.14553989893617109</v>
      </c>
      <c r="R567" s="565">
        <f t="shared" si="922"/>
        <v>0.14553989893617109</v>
      </c>
      <c r="S567" s="565">
        <f t="shared" si="922"/>
        <v>0.14553989893617109</v>
      </c>
      <c r="T567" s="565">
        <f t="shared" si="922"/>
        <v>0.14553989893617109</v>
      </c>
      <c r="U567" s="565">
        <f t="shared" si="922"/>
        <v>0.14553989893617109</v>
      </c>
      <c r="V567" s="565">
        <f t="shared" si="922"/>
        <v>0.14553989893617109</v>
      </c>
      <c r="W567" s="565">
        <f t="shared" si="922"/>
        <v>0.14553989893617109</v>
      </c>
      <c r="X567" s="565">
        <f t="shared" si="922"/>
        <v>0.14553989893617109</v>
      </c>
      <c r="Y567" s="565">
        <f t="shared" si="922"/>
        <v>0.14553989893617109</v>
      </c>
      <c r="Z567" s="565">
        <f t="shared" si="922"/>
        <v>0.14553989893617109</v>
      </c>
      <c r="AA567" s="565">
        <f t="shared" si="922"/>
        <v>0.14553989893617109</v>
      </c>
      <c r="AB567" s="565">
        <f t="shared" si="922"/>
        <v>0.14553989893617109</v>
      </c>
      <c r="AC567" s="565">
        <f t="shared" si="922"/>
        <v>0.14553989893617109</v>
      </c>
      <c r="AD567" s="565">
        <f t="shared" si="922"/>
        <v>0.14553989893617109</v>
      </c>
      <c r="AE567" s="565">
        <f t="shared" si="922"/>
        <v>0.14553989893617109</v>
      </c>
      <c r="AF567" s="565">
        <f t="shared" si="922"/>
        <v>0.14553989893617109</v>
      </c>
      <c r="AG567" s="565">
        <f t="shared" si="922"/>
        <v>0.14553989893617109</v>
      </c>
      <c r="AH567" s="565">
        <f t="shared" si="922"/>
        <v>0.14553989893617109</v>
      </c>
      <c r="AI567" s="565">
        <f t="shared" si="922"/>
        <v>0.14553989893617109</v>
      </c>
      <c r="AJ567" s="565">
        <f t="shared" si="922"/>
        <v>0.14553989893617109</v>
      </c>
    </row>
    <row r="568" spans="1:36" hidden="1" x14ac:dyDescent="0.25">
      <c r="A568" t="s">
        <v>696</v>
      </c>
      <c r="H568" s="247"/>
      <c r="I568" s="275"/>
      <c r="K568" s="279"/>
      <c r="L568" s="279"/>
      <c r="M568" s="279"/>
      <c r="N568" s="279"/>
      <c r="O568" s="279"/>
      <c r="P568" s="279"/>
      <c r="Q568" s="279"/>
      <c r="R568" s="279"/>
      <c r="S568" s="279"/>
      <c r="T568" s="279"/>
      <c r="U568" s="279"/>
      <c r="V568" s="279"/>
      <c r="W568" s="279"/>
      <c r="X568" s="279"/>
      <c r="Y568" s="279"/>
      <c r="Z568" s="279"/>
      <c r="AA568" s="279"/>
      <c r="AB568" s="279"/>
      <c r="AC568" s="279"/>
      <c r="AD568" s="279"/>
      <c r="AE568" s="279"/>
      <c r="AF568" s="279"/>
      <c r="AG568" s="279"/>
      <c r="AH568" s="279"/>
      <c r="AI568" s="279"/>
      <c r="AJ568" s="279"/>
    </row>
    <row r="569" spans="1:36" s="1" customFormat="1" hidden="1" x14ac:dyDescent="0.25">
      <c r="A569" s="1" t="s">
        <v>696</v>
      </c>
      <c r="H569" s="273" t="s">
        <v>435</v>
      </c>
      <c r="I569" s="274" t="str">
        <f t="shared" si="914"/>
        <v>tr. VND/tấn</v>
      </c>
      <c r="K569" s="280">
        <f>K570+K573+K576</f>
        <v>0</v>
      </c>
      <c r="L569" s="280">
        <f t="shared" ref="L569:AJ569" si="923">L570+L573+L576</f>
        <v>29.946220655109496</v>
      </c>
      <c r="M569" s="280">
        <f t="shared" si="923"/>
        <v>29.761900249468042</v>
      </c>
      <c r="N569" s="280">
        <f t="shared" si="923"/>
        <v>30.289360993474389</v>
      </c>
      <c r="O569" s="280">
        <f t="shared" si="923"/>
        <v>30.972243868317261</v>
      </c>
      <c r="P569" s="280">
        <f t="shared" si="923"/>
        <v>31.672845596579684</v>
      </c>
      <c r="Q569" s="280">
        <f t="shared" si="923"/>
        <v>32.391723615126203</v>
      </c>
      <c r="R569" s="280">
        <f t="shared" si="923"/>
        <v>33.129456662548428</v>
      </c>
      <c r="S569" s="280">
        <f t="shared" si="923"/>
        <v>33.886645712849131</v>
      </c>
      <c r="T569" s="280">
        <f t="shared" si="923"/>
        <v>34.663914953182356</v>
      </c>
      <c r="U569" s="280">
        <f t="shared" si="923"/>
        <v>35.461912807800097</v>
      </c>
      <c r="V569" s="280">
        <f t="shared" si="923"/>
        <v>36.281313010461943</v>
      </c>
      <c r="W569" s="280">
        <f t="shared" si="923"/>
        <v>37.122815727676354</v>
      </c>
      <c r="X569" s="280">
        <f t="shared" si="923"/>
        <v>37.825303237316888</v>
      </c>
      <c r="Y569" s="280">
        <f t="shared" si="923"/>
        <v>38.713223152877063</v>
      </c>
      <c r="Z569" s="280">
        <f t="shared" si="923"/>
        <v>39.625516726965209</v>
      </c>
      <c r="AA569" s="280">
        <f t="shared" si="923"/>
        <v>40.563002195762735</v>
      </c>
      <c r="AB569" s="280">
        <f t="shared" si="923"/>
        <v>41.526530698325224</v>
      </c>
      <c r="AC569" s="280">
        <f t="shared" si="923"/>
        <v>42.516987761547433</v>
      </c>
      <c r="AD569" s="280">
        <f t="shared" si="923"/>
        <v>43.535294856172946</v>
      </c>
      <c r="AE569" s="280">
        <f t="shared" si="923"/>
        <v>44.582411027336803</v>
      </c>
      <c r="AF569" s="280">
        <f t="shared" si="923"/>
        <v>45.659334603302042</v>
      </c>
      <c r="AG569" s="280">
        <f t="shared" si="923"/>
        <v>46.767104986233612</v>
      </c>
      <c r="AH569" s="280">
        <f t="shared" si="923"/>
        <v>47.906804529043171</v>
      </c>
      <c r="AI569" s="280">
        <f t="shared" si="923"/>
        <v>49.079560502539294</v>
      </c>
      <c r="AJ569" s="280">
        <f t="shared" si="923"/>
        <v>50.286547157327163</v>
      </c>
    </row>
    <row r="570" spans="1:36" hidden="1" x14ac:dyDescent="0.25">
      <c r="A570" t="s">
        <v>696</v>
      </c>
      <c r="H570" s="557" t="s">
        <v>454</v>
      </c>
      <c r="I570" s="558" t="str">
        <f t="shared" si="914"/>
        <v>tr. VND/tấn</v>
      </c>
      <c r="K570" s="567">
        <f>SUM(K571:K572)</f>
        <v>0</v>
      </c>
      <c r="L570" s="567">
        <f t="shared" ref="L570:AJ570" si="924">SUM(L571:L572)</f>
        <v>26.838709677419356</v>
      </c>
      <c r="M570" s="567">
        <f t="shared" si="924"/>
        <v>26.838709677419359</v>
      </c>
      <c r="N570" s="567">
        <f t="shared" si="924"/>
        <v>27.375483870967745</v>
      </c>
      <c r="O570" s="567">
        <f t="shared" si="924"/>
        <v>27.922993548387105</v>
      </c>
      <c r="P570" s="567">
        <f t="shared" si="924"/>
        <v>28.481453419354843</v>
      </c>
      <c r="Q570" s="567">
        <f t="shared" si="924"/>
        <v>29.05108248774194</v>
      </c>
      <c r="R570" s="567">
        <f t="shared" si="924"/>
        <v>29.632104137496778</v>
      </c>
      <c r="S570" s="567">
        <f t="shared" si="924"/>
        <v>30.224746220246715</v>
      </c>
      <c r="T570" s="567">
        <f t="shared" si="924"/>
        <v>30.829241144651643</v>
      </c>
      <c r="U570" s="567">
        <f t="shared" si="924"/>
        <v>31.445825967544675</v>
      </c>
      <c r="V570" s="567">
        <f t="shared" si="924"/>
        <v>32.074742486895573</v>
      </c>
      <c r="W570" s="567">
        <f t="shared" si="924"/>
        <v>32.71623733663349</v>
      </c>
      <c r="X570" s="567">
        <f t="shared" si="924"/>
        <v>33.370562083366146</v>
      </c>
      <c r="Y570" s="567">
        <f t="shared" si="924"/>
        <v>34.037973325033477</v>
      </c>
      <c r="Z570" s="567">
        <f t="shared" si="924"/>
        <v>34.718732791534151</v>
      </c>
      <c r="AA570" s="567">
        <f t="shared" si="924"/>
        <v>35.413107447364823</v>
      </c>
      <c r="AB570" s="567">
        <f t="shared" si="924"/>
        <v>36.121369596312114</v>
      </c>
      <c r="AC570" s="567">
        <f t="shared" si="924"/>
        <v>36.843796988238367</v>
      </c>
      <c r="AD570" s="567">
        <f t="shared" si="924"/>
        <v>37.580672928003132</v>
      </c>
      <c r="AE570" s="567">
        <f t="shared" si="924"/>
        <v>38.332286386563197</v>
      </c>
      <c r="AF570" s="567">
        <f t="shared" si="924"/>
        <v>39.098932114294456</v>
      </c>
      <c r="AG570" s="567">
        <f t="shared" si="924"/>
        <v>39.880910756580349</v>
      </c>
      <c r="AH570" s="567">
        <f t="shared" si="924"/>
        <v>40.678528971711948</v>
      </c>
      <c r="AI570" s="567">
        <f t="shared" si="924"/>
        <v>41.492099551146204</v>
      </c>
      <c r="AJ570" s="567">
        <f t="shared" si="924"/>
        <v>42.321941542169114</v>
      </c>
    </row>
    <row r="571" spans="1:36" s="299" customFormat="1" hidden="1" x14ac:dyDescent="0.25">
      <c r="A571" s="299" t="s">
        <v>696</v>
      </c>
      <c r="C571" s="299" t="s">
        <v>504</v>
      </c>
      <c r="E571" s="331"/>
      <c r="F571" s="331"/>
      <c r="H571" s="561" t="s">
        <v>167</v>
      </c>
      <c r="I571" s="562" t="str">
        <f t="shared" si="914"/>
        <v>tr. VND/tấn</v>
      </c>
      <c r="K571" s="566"/>
      <c r="L571" s="566">
        <f t="shared" ref="L571:AJ571" si="925">-IF($H$9="VND",L539/L516/$H$10/10^3,L539/L516/$H$10*10^3)</f>
        <v>24.96</v>
      </c>
      <c r="M571" s="566">
        <f t="shared" si="925"/>
        <v>24.96</v>
      </c>
      <c r="N571" s="566">
        <f t="shared" si="925"/>
        <v>25.459199999999999</v>
      </c>
      <c r="O571" s="566">
        <f t="shared" si="925"/>
        <v>25.968384000000004</v>
      </c>
      <c r="P571" s="566">
        <f t="shared" si="925"/>
        <v>26.487751680000002</v>
      </c>
      <c r="Q571" s="566">
        <f t="shared" si="925"/>
        <v>27.017506713600003</v>
      </c>
      <c r="R571" s="566">
        <f t="shared" si="925"/>
        <v>27.557856847872003</v>
      </c>
      <c r="S571" s="566">
        <f t="shared" si="925"/>
        <v>28.109013984829442</v>
      </c>
      <c r="T571" s="566">
        <f t="shared" si="925"/>
        <v>28.671194264526026</v>
      </c>
      <c r="U571" s="566">
        <f t="shared" si="925"/>
        <v>29.244618149816546</v>
      </c>
      <c r="V571" s="566">
        <f t="shared" si="925"/>
        <v>29.829510512812881</v>
      </c>
      <c r="W571" s="566">
        <f t="shared" si="925"/>
        <v>30.426100723069144</v>
      </c>
      <c r="X571" s="566">
        <f t="shared" si="925"/>
        <v>31.034622737530515</v>
      </c>
      <c r="Y571" s="566">
        <f t="shared" si="925"/>
        <v>31.655315192281126</v>
      </c>
      <c r="Z571" s="566">
        <f t="shared" si="925"/>
        <v>32.288421496126759</v>
      </c>
      <c r="AA571" s="566">
        <f t="shared" si="925"/>
        <v>32.934189926049285</v>
      </c>
      <c r="AB571" s="566">
        <f t="shared" si="925"/>
        <v>33.592873724570268</v>
      </c>
      <c r="AC571" s="566">
        <f t="shared" si="925"/>
        <v>34.264731199061679</v>
      </c>
      <c r="AD571" s="566">
        <f t="shared" si="925"/>
        <v>34.950025823042914</v>
      </c>
      <c r="AE571" s="566">
        <f t="shared" si="925"/>
        <v>35.64902633950377</v>
      </c>
      <c r="AF571" s="566">
        <f t="shared" si="925"/>
        <v>36.362006866293839</v>
      </c>
      <c r="AG571" s="566">
        <f t="shared" si="925"/>
        <v>37.089247003619725</v>
      </c>
      <c r="AH571" s="566">
        <f t="shared" si="925"/>
        <v>37.831031943692111</v>
      </c>
      <c r="AI571" s="566">
        <f t="shared" si="925"/>
        <v>38.587652582565966</v>
      </c>
      <c r="AJ571" s="566">
        <f t="shared" si="925"/>
        <v>39.359405634217268</v>
      </c>
    </row>
    <row r="572" spans="1:36" s="299" customFormat="1" hidden="1" x14ac:dyDescent="0.25">
      <c r="A572" s="299" t="s">
        <v>696</v>
      </c>
      <c r="C572" s="299" t="s">
        <v>387</v>
      </c>
      <c r="E572" s="331"/>
      <c r="F572" s="331"/>
      <c r="H572" s="641" t="s">
        <v>203</v>
      </c>
      <c r="I572" s="642" t="str">
        <f t="shared" si="914"/>
        <v>tr. VND/tấn</v>
      </c>
      <c r="K572" s="643"/>
      <c r="L572" s="643">
        <f t="shared" ref="L572:AJ572" si="926">-IF($H$9="VND",L540/L516/$H$10/10^3,L540/L516/$H$10*10^3)</f>
        <v>1.8787096774193559</v>
      </c>
      <c r="M572" s="643">
        <f t="shared" si="926"/>
        <v>1.8787096774193583</v>
      </c>
      <c r="N572" s="643">
        <f t="shared" si="926"/>
        <v>1.9162838709677454</v>
      </c>
      <c r="O572" s="643">
        <f t="shared" si="926"/>
        <v>1.9546095483871007</v>
      </c>
      <c r="P572" s="643">
        <f t="shared" si="926"/>
        <v>1.9937017393548417</v>
      </c>
      <c r="Q572" s="643">
        <f t="shared" si="926"/>
        <v>2.0335757741419362</v>
      </c>
      <c r="R572" s="643">
        <f t="shared" si="926"/>
        <v>2.0742472896247759</v>
      </c>
      <c r="S572" s="643">
        <f t="shared" si="926"/>
        <v>2.1157322354172718</v>
      </c>
      <c r="T572" s="643">
        <f t="shared" si="926"/>
        <v>2.1580468801256183</v>
      </c>
      <c r="U572" s="643">
        <f t="shared" si="926"/>
        <v>2.2012078177281285</v>
      </c>
      <c r="V572" s="643">
        <f t="shared" si="926"/>
        <v>2.2452319740826931</v>
      </c>
      <c r="W572" s="643">
        <f t="shared" si="926"/>
        <v>2.2901366135643446</v>
      </c>
      <c r="X572" s="643">
        <f t="shared" si="926"/>
        <v>2.3359393458356301</v>
      </c>
      <c r="Y572" s="643">
        <f t="shared" si="926"/>
        <v>2.3826581327523475</v>
      </c>
      <c r="Z572" s="643">
        <f t="shared" si="926"/>
        <v>2.430311295407392</v>
      </c>
      <c r="AA572" s="643">
        <f t="shared" si="926"/>
        <v>2.4789175213155397</v>
      </c>
      <c r="AB572" s="643">
        <f t="shared" si="926"/>
        <v>2.5284958717418484</v>
      </c>
      <c r="AC572" s="643">
        <f t="shared" si="926"/>
        <v>2.5790657891766906</v>
      </c>
      <c r="AD572" s="643">
        <f t="shared" si="926"/>
        <v>2.6306471049602203</v>
      </c>
      <c r="AE572" s="643">
        <f t="shared" si="926"/>
        <v>2.6832600470594246</v>
      </c>
      <c r="AF572" s="643">
        <f t="shared" si="926"/>
        <v>2.7369252480006154</v>
      </c>
      <c r="AG572" s="643">
        <f t="shared" si="926"/>
        <v>2.7916637529606247</v>
      </c>
      <c r="AH572" s="643">
        <f t="shared" si="926"/>
        <v>2.8474970280198399</v>
      </c>
      <c r="AI572" s="643">
        <f t="shared" si="926"/>
        <v>2.9044469685802379</v>
      </c>
      <c r="AJ572" s="643">
        <f t="shared" si="926"/>
        <v>2.9625359079518438</v>
      </c>
    </row>
    <row r="573" spans="1:36" hidden="1" x14ac:dyDescent="0.25">
      <c r="A573" t="s">
        <v>696</v>
      </c>
      <c r="H573" s="559" t="s">
        <v>676</v>
      </c>
      <c r="I573" s="560" t="str">
        <f t="shared" si="914"/>
        <v>tr. VND/tấn</v>
      </c>
      <c r="K573" s="568">
        <f>SUM(K574:K575)</f>
        <v>0</v>
      </c>
      <c r="L573" s="568">
        <f t="shared" ref="L573:AJ573" si="927">SUM(L574:L575)</f>
        <v>0.20420258064516131</v>
      </c>
      <c r="M573" s="568">
        <f t="shared" si="927"/>
        <v>0.20420258064516134</v>
      </c>
      <c r="N573" s="568">
        <f t="shared" si="927"/>
        <v>0.21441270967741941</v>
      </c>
      <c r="O573" s="568">
        <f t="shared" si="927"/>
        <v>0.22513334516129035</v>
      </c>
      <c r="P573" s="568">
        <f t="shared" si="927"/>
        <v>0.23639001241935489</v>
      </c>
      <c r="Q573" s="568">
        <f t="shared" si="927"/>
        <v>0.24820951304032263</v>
      </c>
      <c r="R573" s="568">
        <f t="shared" si="927"/>
        <v>0.26061998869233877</v>
      </c>
      <c r="S573" s="568">
        <f t="shared" si="927"/>
        <v>0.27365098812695565</v>
      </c>
      <c r="T573" s="568">
        <f t="shared" si="927"/>
        <v>0.28733353753330354</v>
      </c>
      <c r="U573" s="568">
        <f t="shared" si="927"/>
        <v>0.30170021440996864</v>
      </c>
      <c r="V573" s="568">
        <f t="shared" si="927"/>
        <v>0.31678522513046709</v>
      </c>
      <c r="W573" s="568">
        <f t="shared" si="927"/>
        <v>0.33262448638699044</v>
      </c>
      <c r="X573" s="568">
        <f t="shared" si="927"/>
        <v>0.34925571070633998</v>
      </c>
      <c r="Y573" s="568">
        <f t="shared" si="927"/>
        <v>0.36671849624165698</v>
      </c>
      <c r="Z573" s="568">
        <f t="shared" si="927"/>
        <v>0.38505442105373988</v>
      </c>
      <c r="AA573" s="568">
        <f t="shared" si="927"/>
        <v>0.40430714210642676</v>
      </c>
      <c r="AB573" s="568">
        <f t="shared" si="927"/>
        <v>0.42452249921174823</v>
      </c>
      <c r="AC573" s="568">
        <f t="shared" si="927"/>
        <v>0.44574862417233563</v>
      </c>
      <c r="AD573" s="568">
        <f t="shared" si="927"/>
        <v>0.46803605538095244</v>
      </c>
      <c r="AE573" s="568">
        <f t="shared" si="927"/>
        <v>0.49143785815000002</v>
      </c>
      <c r="AF573" s="568">
        <f t="shared" si="927"/>
        <v>0.51600975105750013</v>
      </c>
      <c r="AG573" s="568">
        <f t="shared" si="927"/>
        <v>0.54181023861037514</v>
      </c>
      <c r="AH573" s="568">
        <f t="shared" si="927"/>
        <v>0.56890075054089384</v>
      </c>
      <c r="AI573" s="568">
        <f t="shared" si="927"/>
        <v>0.59734578806793848</v>
      </c>
      <c r="AJ573" s="568">
        <f t="shared" si="927"/>
        <v>0.62721307747133548</v>
      </c>
    </row>
    <row r="574" spans="1:36" s="299" customFormat="1" hidden="1" x14ac:dyDescent="0.25">
      <c r="A574" s="299" t="s">
        <v>696</v>
      </c>
      <c r="C574" s="299" t="s">
        <v>367</v>
      </c>
      <c r="E574" s="331"/>
      <c r="F574" s="331"/>
      <c r="H574" s="561" t="s">
        <v>673</v>
      </c>
      <c r="I574" s="562" t="str">
        <f t="shared" si="914"/>
        <v>tr. VND/tấn</v>
      </c>
      <c r="K574" s="566"/>
      <c r="L574" s="566">
        <f>-IF($H$9="VND",L542/L516/$H$10/10^3,L542/L516/$H$10*10^3)</f>
        <v>0.20420258064516131</v>
      </c>
      <c r="M574" s="566">
        <f t="shared" ref="M574:AJ574" si="928">-IF($H$9="VND",M542/M516/$H$10/10^3,M542/M516/$H$10*10^3)</f>
        <v>0.20420258064516134</v>
      </c>
      <c r="N574" s="566">
        <f t="shared" si="928"/>
        <v>0.21441270967741941</v>
      </c>
      <c r="O574" s="566">
        <f t="shared" si="928"/>
        <v>0.22513334516129035</v>
      </c>
      <c r="P574" s="566">
        <f t="shared" si="928"/>
        <v>0.23639001241935489</v>
      </c>
      <c r="Q574" s="566">
        <f t="shared" si="928"/>
        <v>0.24820951304032263</v>
      </c>
      <c r="R574" s="566">
        <f t="shared" si="928"/>
        <v>0.26061998869233877</v>
      </c>
      <c r="S574" s="566">
        <f t="shared" si="928"/>
        <v>0.27365098812695565</v>
      </c>
      <c r="T574" s="566">
        <f t="shared" si="928"/>
        <v>0.28733353753330354</v>
      </c>
      <c r="U574" s="566">
        <f t="shared" si="928"/>
        <v>0.30170021440996864</v>
      </c>
      <c r="V574" s="566">
        <f t="shared" si="928"/>
        <v>0.31678522513046709</v>
      </c>
      <c r="W574" s="566">
        <f t="shared" si="928"/>
        <v>0.33262448638699044</v>
      </c>
      <c r="X574" s="566">
        <f t="shared" si="928"/>
        <v>0.34925571070633998</v>
      </c>
      <c r="Y574" s="566">
        <f t="shared" si="928"/>
        <v>0.36671849624165698</v>
      </c>
      <c r="Z574" s="566">
        <f t="shared" si="928"/>
        <v>0.38505442105373988</v>
      </c>
      <c r="AA574" s="566">
        <f t="shared" si="928"/>
        <v>0.40430714210642676</v>
      </c>
      <c r="AB574" s="566">
        <f t="shared" si="928"/>
        <v>0.42452249921174823</v>
      </c>
      <c r="AC574" s="566">
        <f t="shared" si="928"/>
        <v>0.44574862417233563</v>
      </c>
      <c r="AD574" s="566">
        <f t="shared" si="928"/>
        <v>0.46803605538095244</v>
      </c>
      <c r="AE574" s="566">
        <f t="shared" si="928"/>
        <v>0.49143785815000002</v>
      </c>
      <c r="AF574" s="566">
        <f t="shared" si="928"/>
        <v>0.51600975105750013</v>
      </c>
      <c r="AG574" s="566">
        <f t="shared" si="928"/>
        <v>0.54181023861037514</v>
      </c>
      <c r="AH574" s="566">
        <f t="shared" si="928"/>
        <v>0.56890075054089384</v>
      </c>
      <c r="AI574" s="566">
        <f t="shared" si="928"/>
        <v>0.59734578806793848</v>
      </c>
      <c r="AJ574" s="566">
        <f t="shared" si="928"/>
        <v>0.62721307747133548</v>
      </c>
    </row>
    <row r="575" spans="1:36" s="299" customFormat="1" hidden="1" x14ac:dyDescent="0.25">
      <c r="A575" s="299" t="s">
        <v>696</v>
      </c>
      <c r="C575" s="299" t="s">
        <v>367</v>
      </c>
      <c r="E575" s="331"/>
      <c r="F575" s="331"/>
      <c r="H575" s="561" t="s">
        <v>674</v>
      </c>
      <c r="I575" s="562" t="str">
        <f t="shared" si="914"/>
        <v>tr. VND/tấn</v>
      </c>
      <c r="K575" s="566"/>
      <c r="L575" s="566">
        <f>-IF($H$9="VND",L543/L516/$H$10/10^3,L543/L516/$H$10*10^3)</f>
        <v>0</v>
      </c>
      <c r="M575" s="566">
        <f t="shared" ref="M575:AJ575" si="929">-IF($H$9="VND",M543/M516/$H$10/10^3,M543/M516/$H$10*10^3)</f>
        <v>0</v>
      </c>
      <c r="N575" s="566">
        <f t="shared" si="929"/>
        <v>0</v>
      </c>
      <c r="O575" s="566">
        <f t="shared" si="929"/>
        <v>0</v>
      </c>
      <c r="P575" s="566">
        <f t="shared" si="929"/>
        <v>0</v>
      </c>
      <c r="Q575" s="566">
        <f t="shared" si="929"/>
        <v>0</v>
      </c>
      <c r="R575" s="566">
        <f t="shared" si="929"/>
        <v>0</v>
      </c>
      <c r="S575" s="566">
        <f t="shared" si="929"/>
        <v>0</v>
      </c>
      <c r="T575" s="566">
        <f t="shared" si="929"/>
        <v>0</v>
      </c>
      <c r="U575" s="566">
        <f t="shared" si="929"/>
        <v>0</v>
      </c>
      <c r="V575" s="566">
        <f t="shared" si="929"/>
        <v>0</v>
      </c>
      <c r="W575" s="566">
        <f t="shared" si="929"/>
        <v>0</v>
      </c>
      <c r="X575" s="566">
        <f t="shared" si="929"/>
        <v>0</v>
      </c>
      <c r="Y575" s="566">
        <f t="shared" si="929"/>
        <v>0</v>
      </c>
      <c r="Z575" s="566">
        <f t="shared" si="929"/>
        <v>0</v>
      </c>
      <c r="AA575" s="566">
        <f t="shared" si="929"/>
        <v>0</v>
      </c>
      <c r="AB575" s="566">
        <f t="shared" si="929"/>
        <v>0</v>
      </c>
      <c r="AC575" s="566">
        <f t="shared" si="929"/>
        <v>0</v>
      </c>
      <c r="AD575" s="566">
        <f t="shared" si="929"/>
        <v>0</v>
      </c>
      <c r="AE575" s="566">
        <f t="shared" si="929"/>
        <v>0</v>
      </c>
      <c r="AF575" s="566">
        <f t="shared" si="929"/>
        <v>0</v>
      </c>
      <c r="AG575" s="566">
        <f t="shared" si="929"/>
        <v>0</v>
      </c>
      <c r="AH575" s="566">
        <f t="shared" si="929"/>
        <v>0</v>
      </c>
      <c r="AI575" s="566">
        <f t="shared" si="929"/>
        <v>0</v>
      </c>
      <c r="AJ575" s="566">
        <f t="shared" si="929"/>
        <v>0</v>
      </c>
    </row>
    <row r="576" spans="1:36" hidden="1" x14ac:dyDescent="0.25">
      <c r="A576" t="s">
        <v>696</v>
      </c>
      <c r="H576" s="559" t="s">
        <v>180</v>
      </c>
      <c r="I576" s="560" t="str">
        <f t="shared" si="914"/>
        <v>tr. VND/tấn</v>
      </c>
      <c r="K576" s="568">
        <f>SUM(K577:K579)</f>
        <v>0</v>
      </c>
      <c r="L576" s="568">
        <f>SUM(L577:L579)</f>
        <v>2.9033083970449769</v>
      </c>
      <c r="M576" s="568">
        <f t="shared" ref="M576:AJ576" si="930">SUM(M577:M579)</f>
        <v>2.7189879914035204</v>
      </c>
      <c r="N576" s="568">
        <f t="shared" si="930"/>
        <v>2.6994644128292276</v>
      </c>
      <c r="O576" s="568">
        <f t="shared" si="930"/>
        <v>2.8241169747688661</v>
      </c>
      <c r="P576" s="568">
        <f t="shared" si="930"/>
        <v>2.9550021648054869</v>
      </c>
      <c r="Q576" s="568">
        <f t="shared" si="930"/>
        <v>3.0924316143439388</v>
      </c>
      <c r="R576" s="568">
        <f t="shared" si="930"/>
        <v>3.2367325363593134</v>
      </c>
      <c r="S576" s="568">
        <f t="shared" si="930"/>
        <v>3.3882485044754564</v>
      </c>
      <c r="T576" s="568">
        <f t="shared" si="930"/>
        <v>3.547340270997406</v>
      </c>
      <c r="U576" s="568">
        <f t="shared" si="930"/>
        <v>3.7143866258454539</v>
      </c>
      <c r="V576" s="568">
        <f t="shared" si="930"/>
        <v>3.8897852984359034</v>
      </c>
      <c r="W576" s="568">
        <f t="shared" si="930"/>
        <v>4.0739539046558768</v>
      </c>
      <c r="X576" s="568">
        <f t="shared" si="930"/>
        <v>4.1054854432444063</v>
      </c>
      <c r="Y576" s="568">
        <f t="shared" si="930"/>
        <v>4.3085313316019249</v>
      </c>
      <c r="Z576" s="568">
        <f t="shared" si="930"/>
        <v>4.5217295143773217</v>
      </c>
      <c r="AA576" s="568">
        <f t="shared" si="930"/>
        <v>4.7455876062914868</v>
      </c>
      <c r="AB576" s="568">
        <f t="shared" si="930"/>
        <v>4.9806386028013616</v>
      </c>
      <c r="AC576" s="568">
        <f t="shared" si="930"/>
        <v>5.2274421491367278</v>
      </c>
      <c r="AD576" s="568">
        <f t="shared" si="930"/>
        <v>5.486585872788865</v>
      </c>
      <c r="AE576" s="568">
        <f t="shared" si="930"/>
        <v>5.7586867826236068</v>
      </c>
      <c r="AF576" s="568">
        <f t="shared" si="930"/>
        <v>6.044392737950087</v>
      </c>
      <c r="AG576" s="568">
        <f t="shared" si="930"/>
        <v>6.344383991042891</v>
      </c>
      <c r="AH576" s="568">
        <f t="shared" si="930"/>
        <v>6.6593748067903347</v>
      </c>
      <c r="AI576" s="568">
        <f t="shared" si="930"/>
        <v>6.990115163325151</v>
      </c>
      <c r="AJ576" s="568">
        <f t="shared" si="930"/>
        <v>7.3373925376867088</v>
      </c>
    </row>
    <row r="577" spans="1:36" s="299" customFormat="1" hidden="1" x14ac:dyDescent="0.25">
      <c r="A577" s="299" t="s">
        <v>696</v>
      </c>
      <c r="C577" s="299" t="s">
        <v>367</v>
      </c>
      <c r="H577" s="561" t="s">
        <v>73</v>
      </c>
      <c r="I577" s="562" t="str">
        <f t="shared" si="914"/>
        <v>tr. VND/tấn</v>
      </c>
      <c r="K577" s="566"/>
      <c r="L577" s="566">
        <f t="shared" ref="L577:AJ577" si="931">-IF($H$9="VND",L545/L516/$H$10/10^3,L545/L516/$H$10*10^3)</f>
        <v>1.8565188172043012</v>
      </c>
      <c r="M577" s="566">
        <f t="shared" si="931"/>
        <v>1.8565188172043008</v>
      </c>
      <c r="N577" s="566">
        <f t="shared" si="931"/>
        <v>1.949344758064516</v>
      </c>
      <c r="O577" s="566">
        <f t="shared" si="931"/>
        <v>2.046811995967742</v>
      </c>
      <c r="P577" s="566">
        <f t="shared" si="931"/>
        <v>2.1491525957661293</v>
      </c>
      <c r="Q577" s="566">
        <f t="shared" si="931"/>
        <v>2.2566102255544358</v>
      </c>
      <c r="R577" s="566">
        <f t="shared" si="931"/>
        <v>2.3694407368321579</v>
      </c>
      <c r="S577" s="566">
        <f t="shared" si="931"/>
        <v>2.4879127736737656</v>
      </c>
      <c r="T577" s="566">
        <f t="shared" si="931"/>
        <v>2.6123084123574536</v>
      </c>
      <c r="U577" s="566">
        <f t="shared" si="931"/>
        <v>2.7429238329753267</v>
      </c>
      <c r="V577" s="566">
        <f t="shared" si="931"/>
        <v>2.8800700246240925</v>
      </c>
      <c r="W577" s="566">
        <f t="shared" si="931"/>
        <v>3.0240735258552975</v>
      </c>
      <c r="X577" s="566">
        <f t="shared" si="931"/>
        <v>3.1752772021480626</v>
      </c>
      <c r="Y577" s="566">
        <f t="shared" si="931"/>
        <v>3.3340410622554648</v>
      </c>
      <c r="Z577" s="566">
        <f t="shared" si="931"/>
        <v>3.5007431153682393</v>
      </c>
      <c r="AA577" s="566">
        <f t="shared" si="931"/>
        <v>3.6757802711366505</v>
      </c>
      <c r="AB577" s="566">
        <f t="shared" si="931"/>
        <v>3.8595692846934839</v>
      </c>
      <c r="AC577" s="566">
        <f t="shared" si="931"/>
        <v>4.0525477489281574</v>
      </c>
      <c r="AD577" s="566">
        <f t="shared" si="931"/>
        <v>4.2551751363745662</v>
      </c>
      <c r="AE577" s="566">
        <f t="shared" si="931"/>
        <v>4.4679338931932939</v>
      </c>
      <c r="AF577" s="566">
        <f t="shared" si="931"/>
        <v>4.691330587852959</v>
      </c>
      <c r="AG577" s="566">
        <f t="shared" si="931"/>
        <v>4.925897117245607</v>
      </c>
      <c r="AH577" s="566">
        <f t="shared" si="931"/>
        <v>5.1721919731078874</v>
      </c>
      <c r="AI577" s="566">
        <f t="shared" si="931"/>
        <v>5.4308015717632818</v>
      </c>
      <c r="AJ577" s="566">
        <f t="shared" si="931"/>
        <v>5.702341650351447</v>
      </c>
    </row>
    <row r="578" spans="1:36" s="299" customFormat="1" hidden="1" x14ac:dyDescent="0.25">
      <c r="A578" s="299" t="s">
        <v>696</v>
      </c>
      <c r="C578" s="299" t="s">
        <v>370</v>
      </c>
      <c r="H578" s="561" t="s">
        <v>192</v>
      </c>
      <c r="I578" s="562" t="str">
        <f t="shared" si="914"/>
        <v>tr. VND/tấn</v>
      </c>
      <c r="K578" s="566"/>
      <c r="L578" s="566">
        <f t="shared" ref="L578:AJ578" si="932">-IF($H$9="VND",L546/L516/$H$10/10^3,L546/L516/$H$10*10^3)</f>
        <v>0.31481481481481483</v>
      </c>
      <c r="M578" s="566">
        <f t="shared" si="932"/>
        <v>0.31481481481481483</v>
      </c>
      <c r="N578" s="566">
        <f t="shared" si="932"/>
        <v>0.3305555555555556</v>
      </c>
      <c r="O578" s="566">
        <f t="shared" si="932"/>
        <v>0.34708333333333335</v>
      </c>
      <c r="P578" s="566">
        <f t="shared" si="932"/>
        <v>0.36443750000000008</v>
      </c>
      <c r="Q578" s="566">
        <f t="shared" si="932"/>
        <v>0.38265937500000002</v>
      </c>
      <c r="R578" s="566">
        <f t="shared" si="932"/>
        <v>0.40179234375000006</v>
      </c>
      <c r="S578" s="566">
        <f t="shared" si="932"/>
        <v>0.42188196093749997</v>
      </c>
      <c r="T578" s="566">
        <f t="shared" si="932"/>
        <v>0.44297605898437514</v>
      </c>
      <c r="U578" s="566">
        <f t="shared" si="932"/>
        <v>0.46512486193359376</v>
      </c>
      <c r="V578" s="566">
        <f t="shared" si="932"/>
        <v>0.48838110503027343</v>
      </c>
      <c r="W578" s="566">
        <f t="shared" si="932"/>
        <v>0.51280016028178721</v>
      </c>
      <c r="X578" s="566">
        <f t="shared" si="932"/>
        <v>0.5384401682958766</v>
      </c>
      <c r="Y578" s="566">
        <f t="shared" si="932"/>
        <v>0.56536217671067035</v>
      </c>
      <c r="Z578" s="566">
        <f t="shared" si="932"/>
        <v>0.5936302855462039</v>
      </c>
      <c r="AA578" s="566">
        <f t="shared" si="932"/>
        <v>0.62331179982351403</v>
      </c>
      <c r="AB578" s="566">
        <f t="shared" si="932"/>
        <v>0.65447738981468995</v>
      </c>
      <c r="AC578" s="566">
        <f t="shared" si="932"/>
        <v>0.68720125930542431</v>
      </c>
      <c r="AD578" s="566">
        <f t="shared" si="932"/>
        <v>0.72156132227069569</v>
      </c>
      <c r="AE578" s="566">
        <f t="shared" si="932"/>
        <v>0.75763938838423039</v>
      </c>
      <c r="AF578" s="566">
        <f t="shared" si="932"/>
        <v>0.79552135780344191</v>
      </c>
      <c r="AG578" s="566">
        <f t="shared" si="932"/>
        <v>0.83529742569361409</v>
      </c>
      <c r="AH578" s="566">
        <f t="shared" si="932"/>
        <v>0.87706229697829474</v>
      </c>
      <c r="AI578" s="566">
        <f t="shared" si="932"/>
        <v>0.92091541182720937</v>
      </c>
      <c r="AJ578" s="566">
        <f t="shared" si="932"/>
        <v>0.9669611824185701</v>
      </c>
    </row>
    <row r="579" spans="1:36" s="299" customFormat="1" hidden="1" x14ac:dyDescent="0.25">
      <c r="A579" s="299" t="s">
        <v>696</v>
      </c>
      <c r="C579" s="299" t="s">
        <v>367</v>
      </c>
      <c r="H579" s="561" t="s">
        <v>175</v>
      </c>
      <c r="I579" s="562" t="str">
        <f t="shared" si="914"/>
        <v>tr. VND/tấn</v>
      </c>
      <c r="K579" s="566"/>
      <c r="L579" s="566">
        <f>-IF($H$9="VND",L547/L516/$H$10/10^3,L547/L516/$H$10*10^3)</f>
        <v>0.73197476502586101</v>
      </c>
      <c r="M579" s="566">
        <f t="shared" ref="M579:AJ579" si="933">-IF($H$9="VND",M547/M516/$H$10/10^3,M547/M516/$H$10*10^3)</f>
        <v>0.54765435938440488</v>
      </c>
      <c r="N579" s="566">
        <f t="shared" si="933"/>
        <v>0.41956409920915572</v>
      </c>
      <c r="O579" s="566">
        <f t="shared" si="933"/>
        <v>0.43022164546779085</v>
      </c>
      <c r="P579" s="566">
        <f t="shared" si="933"/>
        <v>0.4414120690393577</v>
      </c>
      <c r="Q579" s="566">
        <f t="shared" si="933"/>
        <v>0.45316201378950288</v>
      </c>
      <c r="R579" s="566">
        <f t="shared" si="933"/>
        <v>0.4654994557771554</v>
      </c>
      <c r="S579" s="566">
        <f t="shared" si="933"/>
        <v>0.47845376986419047</v>
      </c>
      <c r="T579" s="566">
        <f t="shared" si="933"/>
        <v>0.49205579965557728</v>
      </c>
      <c r="U579" s="566">
        <f t="shared" si="933"/>
        <v>0.50633793093653356</v>
      </c>
      <c r="V579" s="566">
        <f t="shared" si="933"/>
        <v>0.52133416878153738</v>
      </c>
      <c r="W579" s="566">
        <f t="shared" si="933"/>
        <v>0.53708021851879162</v>
      </c>
      <c r="X579" s="566">
        <f t="shared" si="933"/>
        <v>0.39176807280046666</v>
      </c>
      <c r="Y579" s="566">
        <f t="shared" si="933"/>
        <v>0.40912809263578942</v>
      </c>
      <c r="Z579" s="566">
        <f t="shared" si="933"/>
        <v>0.42735611346287838</v>
      </c>
      <c r="AA579" s="566">
        <f t="shared" si="933"/>
        <v>0.44649553533132164</v>
      </c>
      <c r="AB579" s="566">
        <f t="shared" si="933"/>
        <v>0.46659192829318719</v>
      </c>
      <c r="AC579" s="566">
        <f t="shared" si="933"/>
        <v>0.48769314090314603</v>
      </c>
      <c r="AD579" s="566">
        <f t="shared" si="933"/>
        <v>0.50984941414360274</v>
      </c>
      <c r="AE579" s="566">
        <f t="shared" si="933"/>
        <v>0.53311350104608224</v>
      </c>
      <c r="AF579" s="566">
        <f t="shared" si="933"/>
        <v>0.55754079229368569</v>
      </c>
      <c r="AG579" s="566">
        <f t="shared" si="933"/>
        <v>0.58318944810366946</v>
      </c>
      <c r="AH579" s="566">
        <f t="shared" si="933"/>
        <v>0.61012053670415245</v>
      </c>
      <c r="AI579" s="566">
        <f t="shared" si="933"/>
        <v>0.6383981797346594</v>
      </c>
      <c r="AJ579" s="566">
        <f t="shared" si="933"/>
        <v>0.66808970491669184</v>
      </c>
    </row>
    <row r="580" spans="1:36" hidden="1" x14ac:dyDescent="0.25">
      <c r="A580" t="s">
        <v>696</v>
      </c>
      <c r="H580" s="247"/>
      <c r="I580" s="275"/>
      <c r="K580" s="281"/>
      <c r="L580" s="282"/>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row>
    <row r="581" spans="1:36" s="16" customFormat="1" hidden="1" x14ac:dyDescent="0.25">
      <c r="A581" s="16" t="s">
        <v>696</v>
      </c>
      <c r="H581" s="276" t="s">
        <v>464</v>
      </c>
      <c r="I581" s="277" t="str">
        <f t="shared" si="914"/>
        <v>tr. VND/tấn</v>
      </c>
      <c r="K581" s="283">
        <f>K559+K569</f>
        <v>0</v>
      </c>
      <c r="L581" s="283">
        <f t="shared" ref="L581:AJ581" si="934">L559+L569</f>
        <v>46.074256148736893</v>
      </c>
      <c r="M581" s="283">
        <f t="shared" si="934"/>
        <v>41.28192560205904</v>
      </c>
      <c r="N581" s="283">
        <f t="shared" si="934"/>
        <v>38.498563160083208</v>
      </c>
      <c r="O581" s="283">
        <f t="shared" si="934"/>
        <v>39.333889675710957</v>
      </c>
      <c r="P581" s="283">
        <f t="shared" si="934"/>
        <v>40.1945572267975</v>
      </c>
      <c r="Q581" s="283">
        <f t="shared" si="934"/>
        <v>41.081504359309335</v>
      </c>
      <c r="R581" s="283">
        <f t="shared" si="934"/>
        <v>41.995709976395155</v>
      </c>
      <c r="S581" s="283">
        <f t="shared" si="934"/>
        <v>42.93819522484263</v>
      </c>
      <c r="T581" s="283">
        <f t="shared" si="934"/>
        <v>43.910025473229965</v>
      </c>
      <c r="U581" s="283">
        <f t="shared" si="934"/>
        <v>44.912312386304514</v>
      </c>
      <c r="V581" s="283">
        <f t="shared" si="934"/>
        <v>45.946216100346014</v>
      </c>
      <c r="W581" s="283">
        <f t="shared" si="934"/>
        <v>47.012947504509057</v>
      </c>
      <c r="X581" s="283">
        <f t="shared" si="934"/>
        <v>43.905787686884615</v>
      </c>
      <c r="Y581" s="283">
        <f t="shared" si="934"/>
        <v>45.04202222980566</v>
      </c>
      <c r="Z581" s="283">
        <f t="shared" si="934"/>
        <v>46.215046162622727</v>
      </c>
      <c r="AA581" s="283">
        <f t="shared" si="934"/>
        <v>47.426298508085608</v>
      </c>
      <c r="AB581" s="283">
        <f t="shared" si="934"/>
        <v>48.677282231146734</v>
      </c>
      <c r="AC581" s="283">
        <f t="shared" si="934"/>
        <v>49.969567275892501</v>
      </c>
      <c r="AD581" s="283">
        <f t="shared" si="934"/>
        <v>51.304793751117749</v>
      </c>
      <c r="AE581" s="283">
        <f t="shared" si="934"/>
        <v>52.684675271911331</v>
      </c>
      <c r="AF581" s="283">
        <f t="shared" si="934"/>
        <v>54.111002464987784</v>
      </c>
      <c r="AG581" s="283">
        <f t="shared" si="934"/>
        <v>55.585646645886129</v>
      </c>
      <c r="AH581" s="283">
        <f t="shared" si="934"/>
        <v>57.110563676560801</v>
      </c>
      <c r="AI581" s="283">
        <f t="shared" si="934"/>
        <v>58.687798012315284</v>
      </c>
      <c r="AJ581" s="283">
        <f t="shared" si="934"/>
        <v>60.319486947474445</v>
      </c>
    </row>
    <row r="582" spans="1:36" hidden="1" x14ac:dyDescent="0.25">
      <c r="A582" t="s">
        <v>696</v>
      </c>
      <c r="H582" s="247"/>
      <c r="I582" s="275"/>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row>
    <row r="583" spans="1:36" hidden="1" x14ac:dyDescent="0.25">
      <c r="A583" t="s">
        <v>696</v>
      </c>
      <c r="C583" t="s">
        <v>367</v>
      </c>
      <c r="H583" s="569" t="s">
        <v>166</v>
      </c>
      <c r="I583" s="570" t="str">
        <f t="shared" si="914"/>
        <v>tr. VND/tấn</v>
      </c>
      <c r="K583" s="571"/>
      <c r="L583" s="571">
        <f>-IF($H$9="VND",L551/L516/$H$10/10^3,L551/L516/$H$10*10^3)</f>
        <v>0.88888888888888906</v>
      </c>
      <c r="M583" s="571">
        <f t="shared" ref="M583:AJ583" si="935">-IF($H$9="VND",M551/M516/$H$10/10^3,M551/M516/$H$10*10^3)</f>
        <v>0.88888888888888895</v>
      </c>
      <c r="N583" s="571">
        <f t="shared" si="935"/>
        <v>0.93333333333333335</v>
      </c>
      <c r="O583" s="571">
        <f t="shared" si="935"/>
        <v>0.9800000000000002</v>
      </c>
      <c r="P583" s="571">
        <f t="shared" si="935"/>
        <v>1.0290000000000001</v>
      </c>
      <c r="Q583" s="571">
        <f t="shared" si="935"/>
        <v>1.0804500000000004</v>
      </c>
      <c r="R583" s="571">
        <f t="shared" si="935"/>
        <v>1.1344725000000002</v>
      </c>
      <c r="S583" s="571">
        <f t="shared" si="935"/>
        <v>1.1911961249999998</v>
      </c>
      <c r="T583" s="571">
        <f t="shared" si="935"/>
        <v>1.2507559312500003</v>
      </c>
      <c r="U583" s="571">
        <f t="shared" si="935"/>
        <v>1.3132937278125001</v>
      </c>
      <c r="V583" s="571">
        <f t="shared" si="935"/>
        <v>1.3789584142031253</v>
      </c>
      <c r="W583" s="571">
        <f t="shared" si="935"/>
        <v>1.4479063349132817</v>
      </c>
      <c r="X583" s="571">
        <f t="shared" si="935"/>
        <v>1.5203016516589456</v>
      </c>
      <c r="Y583" s="571">
        <f t="shared" si="935"/>
        <v>1.5963167342418931</v>
      </c>
      <c r="Z583" s="571">
        <f t="shared" si="935"/>
        <v>1.6761325709539878</v>
      </c>
      <c r="AA583" s="571">
        <f t="shared" si="935"/>
        <v>1.7599391995016864</v>
      </c>
      <c r="AB583" s="571">
        <f t="shared" si="935"/>
        <v>1.8479361594767718</v>
      </c>
      <c r="AC583" s="571">
        <f t="shared" si="935"/>
        <v>1.94033296745061</v>
      </c>
      <c r="AD583" s="571">
        <f t="shared" si="935"/>
        <v>2.0373496158231408</v>
      </c>
      <c r="AE583" s="571">
        <f t="shared" si="935"/>
        <v>2.1392170966142974</v>
      </c>
      <c r="AF583" s="571">
        <f t="shared" si="935"/>
        <v>2.2461779514450129</v>
      </c>
      <c r="AG583" s="571">
        <f t="shared" si="935"/>
        <v>2.3584868490172628</v>
      </c>
      <c r="AH583" s="571">
        <f t="shared" si="935"/>
        <v>2.4764111914681264</v>
      </c>
      <c r="AI583" s="571">
        <f t="shared" si="935"/>
        <v>2.6002317510415329</v>
      </c>
      <c r="AJ583" s="571">
        <f t="shared" si="935"/>
        <v>2.7302433385936098</v>
      </c>
    </row>
    <row r="584" spans="1:36" hidden="1" x14ac:dyDescent="0.25">
      <c r="A584" t="s">
        <v>696</v>
      </c>
      <c r="C584" t="s">
        <v>367</v>
      </c>
      <c r="H584" s="559" t="s">
        <v>469</v>
      </c>
      <c r="I584" s="560" t="str">
        <f t="shared" si="914"/>
        <v>tr. VND/tấn</v>
      </c>
      <c r="K584" s="572"/>
      <c r="L584" s="572">
        <f t="shared" ref="L584:AJ584" si="936">-IF($H$9="VND",L552/L516/$H$10/10^3,L552/L516/$H$10*10^3)</f>
        <v>0</v>
      </c>
      <c r="M584" s="572">
        <f t="shared" si="936"/>
        <v>0</v>
      </c>
      <c r="N584" s="572">
        <f t="shared" si="936"/>
        <v>0</v>
      </c>
      <c r="O584" s="572">
        <f t="shared" si="936"/>
        <v>0</v>
      </c>
      <c r="P584" s="572">
        <f t="shared" si="936"/>
        <v>0</v>
      </c>
      <c r="Q584" s="572">
        <f t="shared" si="936"/>
        <v>0</v>
      </c>
      <c r="R584" s="572">
        <f t="shared" si="936"/>
        <v>0</v>
      </c>
      <c r="S584" s="572">
        <f t="shared" si="936"/>
        <v>0</v>
      </c>
      <c r="T584" s="572">
        <f t="shared" si="936"/>
        <v>0</v>
      </c>
      <c r="U584" s="572">
        <f t="shared" si="936"/>
        <v>0</v>
      </c>
      <c r="V584" s="572">
        <f t="shared" si="936"/>
        <v>0</v>
      </c>
      <c r="W584" s="572">
        <f t="shared" si="936"/>
        <v>0</v>
      </c>
      <c r="X584" s="572">
        <f t="shared" si="936"/>
        <v>0</v>
      </c>
      <c r="Y584" s="572">
        <f t="shared" si="936"/>
        <v>0</v>
      </c>
      <c r="Z584" s="572">
        <f t="shared" si="936"/>
        <v>0</v>
      </c>
      <c r="AA584" s="572">
        <f t="shared" si="936"/>
        <v>0</v>
      </c>
      <c r="AB584" s="572">
        <f t="shared" si="936"/>
        <v>0</v>
      </c>
      <c r="AC584" s="572">
        <f t="shared" si="936"/>
        <v>0</v>
      </c>
      <c r="AD584" s="572">
        <f t="shared" si="936"/>
        <v>0</v>
      </c>
      <c r="AE584" s="572">
        <f t="shared" si="936"/>
        <v>0</v>
      </c>
      <c r="AF584" s="572">
        <f t="shared" si="936"/>
        <v>0</v>
      </c>
      <c r="AG584" s="572">
        <f t="shared" si="936"/>
        <v>0</v>
      </c>
      <c r="AH584" s="572">
        <f t="shared" si="936"/>
        <v>0</v>
      </c>
      <c r="AI584" s="572">
        <f t="shared" si="936"/>
        <v>0</v>
      </c>
      <c r="AJ584" s="572">
        <f t="shared" si="936"/>
        <v>0</v>
      </c>
    </row>
    <row r="585" spans="1:36" hidden="1" x14ac:dyDescent="0.25">
      <c r="A585" t="s">
        <v>696</v>
      </c>
      <c r="C585" t="s">
        <v>367</v>
      </c>
      <c r="H585" s="559" t="s">
        <v>468</v>
      </c>
      <c r="I585" s="560" t="str">
        <f t="shared" si="914"/>
        <v>tr. VND/tấn</v>
      </c>
      <c r="K585" s="559"/>
      <c r="L585" s="572">
        <f t="shared" ref="L585:AJ585" si="937">-IF($H$9="VND",L553/L516/$H$10/10^3,L553/L516/$H$10*10^3)</f>
        <v>0</v>
      </c>
      <c r="M585" s="572">
        <f t="shared" si="937"/>
        <v>0</v>
      </c>
      <c r="N585" s="572">
        <f t="shared" si="937"/>
        <v>0</v>
      </c>
      <c r="O585" s="572">
        <f t="shared" si="937"/>
        <v>0</v>
      </c>
      <c r="P585" s="572">
        <f t="shared" si="937"/>
        <v>0</v>
      </c>
      <c r="Q585" s="572">
        <f t="shared" si="937"/>
        <v>0</v>
      </c>
      <c r="R585" s="572">
        <f t="shared" si="937"/>
        <v>0</v>
      </c>
      <c r="S585" s="572">
        <f t="shared" si="937"/>
        <v>0</v>
      </c>
      <c r="T585" s="572">
        <f t="shared" si="937"/>
        <v>0</v>
      </c>
      <c r="U585" s="572">
        <f t="shared" si="937"/>
        <v>0</v>
      </c>
      <c r="V585" s="572">
        <f t="shared" si="937"/>
        <v>0</v>
      </c>
      <c r="W585" s="572">
        <f t="shared" si="937"/>
        <v>0</v>
      </c>
      <c r="X585" s="572">
        <f t="shared" si="937"/>
        <v>0</v>
      </c>
      <c r="Y585" s="572">
        <f t="shared" si="937"/>
        <v>0</v>
      </c>
      <c r="Z585" s="572">
        <f t="shared" si="937"/>
        <v>0</v>
      </c>
      <c r="AA585" s="572">
        <f t="shared" si="937"/>
        <v>0</v>
      </c>
      <c r="AB585" s="572">
        <f t="shared" si="937"/>
        <v>0</v>
      </c>
      <c r="AC585" s="572">
        <f t="shared" si="937"/>
        <v>0</v>
      </c>
      <c r="AD585" s="572">
        <f t="shared" si="937"/>
        <v>0</v>
      </c>
      <c r="AE585" s="572">
        <f t="shared" si="937"/>
        <v>0</v>
      </c>
      <c r="AF585" s="572">
        <f t="shared" si="937"/>
        <v>0</v>
      </c>
      <c r="AG585" s="572">
        <f t="shared" si="937"/>
        <v>0</v>
      </c>
      <c r="AH585" s="572">
        <f t="shared" si="937"/>
        <v>0</v>
      </c>
      <c r="AI585" s="572">
        <f t="shared" si="937"/>
        <v>0</v>
      </c>
      <c r="AJ585" s="572">
        <f t="shared" si="937"/>
        <v>0</v>
      </c>
    </row>
    <row r="586" spans="1:36" hidden="1" x14ac:dyDescent="0.25">
      <c r="A586" t="s">
        <v>696</v>
      </c>
      <c r="C586" t="s">
        <v>367</v>
      </c>
      <c r="H586" s="559" t="s">
        <v>470</v>
      </c>
      <c r="I586" s="560" t="str">
        <f t="shared" si="914"/>
        <v>tr. VND/tấn</v>
      </c>
      <c r="K586" s="559"/>
      <c r="L586" s="572">
        <f t="shared" ref="L586:AJ586" si="938">-IF($H$9="VND",L554/L516/$H$10/10^3,L554/L516/$H$10*10^3)</f>
        <v>7.131455047872385</v>
      </c>
      <c r="M586" s="572">
        <f t="shared" si="938"/>
        <v>5.039970419367326</v>
      </c>
      <c r="N586" s="572">
        <f t="shared" si="938"/>
        <v>3.4875886870515296</v>
      </c>
      <c r="O586" s="572">
        <f t="shared" si="938"/>
        <v>3.4443707380905395</v>
      </c>
      <c r="P586" s="572">
        <f t="shared" si="938"/>
        <v>3.3981275327022793</v>
      </c>
      <c r="Q586" s="572">
        <f t="shared" si="938"/>
        <v>3.348647302936842</v>
      </c>
      <c r="R586" s="572">
        <f t="shared" si="938"/>
        <v>3.2957034570878232</v>
      </c>
      <c r="S586" s="572">
        <f t="shared" si="938"/>
        <v>3.2390535420293727</v>
      </c>
      <c r="T586" s="572">
        <f t="shared" si="938"/>
        <v>3.1784381329168312</v>
      </c>
      <c r="U586" s="572">
        <f t="shared" si="938"/>
        <v>3.1135796451664133</v>
      </c>
      <c r="V586" s="572">
        <f t="shared" si="938"/>
        <v>3.0441810632734643</v>
      </c>
      <c r="W586" s="572">
        <f t="shared" si="938"/>
        <v>2.9699245806480095</v>
      </c>
      <c r="X586" s="572">
        <f t="shared" si="938"/>
        <v>2.8904701442387735</v>
      </c>
      <c r="Y586" s="572">
        <f t="shared" si="938"/>
        <v>2.80545389728089</v>
      </c>
      <c r="Z586" s="572">
        <f t="shared" si="938"/>
        <v>2.714486513035955</v>
      </c>
      <c r="AA586" s="572">
        <f t="shared" si="938"/>
        <v>2.6171514118938748</v>
      </c>
      <c r="AB586" s="572">
        <f t="shared" si="938"/>
        <v>2.5130028536718485</v>
      </c>
      <c r="AC586" s="572">
        <f t="shared" si="938"/>
        <v>2.4015638963742814</v>
      </c>
      <c r="AD586" s="572">
        <f t="shared" si="938"/>
        <v>2.2823242120658835</v>
      </c>
      <c r="AE586" s="572">
        <f t="shared" si="938"/>
        <v>2.1547377498558977</v>
      </c>
      <c r="AF586" s="572">
        <f t="shared" si="938"/>
        <v>2.0182202352912135</v>
      </c>
      <c r="AG586" s="572">
        <f t="shared" si="938"/>
        <v>1.872146494707001</v>
      </c>
      <c r="AH586" s="572">
        <f t="shared" si="938"/>
        <v>1.7158475922818937</v>
      </c>
      <c r="AI586" s="572">
        <f t="shared" si="938"/>
        <v>1.5486077666870293</v>
      </c>
      <c r="AJ586" s="572">
        <f t="shared" si="938"/>
        <v>1.3696611533005236</v>
      </c>
    </row>
    <row r="587" spans="1:36" hidden="1" x14ac:dyDescent="0.25">
      <c r="A587" t="s">
        <v>696</v>
      </c>
      <c r="H587" s="247"/>
      <c r="I587" s="275"/>
      <c r="K587" s="247"/>
      <c r="L587" s="247"/>
      <c r="M587" s="247"/>
      <c r="N587" s="247"/>
      <c r="O587" s="247"/>
      <c r="P587" s="247"/>
      <c r="Q587" s="247"/>
      <c r="R587" s="247"/>
      <c r="S587" s="247"/>
      <c r="T587" s="247"/>
      <c r="U587" s="247"/>
      <c r="V587" s="247"/>
      <c r="W587" s="247"/>
      <c r="X587" s="247"/>
      <c r="Y587" s="247"/>
      <c r="Z587" s="247"/>
      <c r="AA587" s="247"/>
      <c r="AB587" s="247"/>
      <c r="AC587" s="247"/>
      <c r="AD587" s="247"/>
      <c r="AE587" s="247"/>
      <c r="AF587" s="247"/>
      <c r="AG587" s="247"/>
      <c r="AH587" s="247"/>
      <c r="AI587" s="247"/>
      <c r="AJ587" s="247"/>
    </row>
    <row r="588" spans="1:36" s="16" customFormat="1" hidden="1" x14ac:dyDescent="0.25">
      <c r="A588" s="16" t="s">
        <v>696</v>
      </c>
      <c r="H588" s="276" t="s">
        <v>474</v>
      </c>
      <c r="I588" s="277" t="str">
        <f t="shared" si="914"/>
        <v>tr. VND/tấn</v>
      </c>
      <c r="K588" s="283">
        <f t="shared" ref="K588" si="939">K581+SUM(K583:K586)</f>
        <v>0</v>
      </c>
      <c r="L588" s="283">
        <f>L581+SUM(L583:L586)</f>
        <v>54.094600085498165</v>
      </c>
      <c r="M588" s="283">
        <f t="shared" ref="M588:AJ588" si="940">M581+SUM(M583:M586)</f>
        <v>47.210784910315255</v>
      </c>
      <c r="N588" s="283">
        <f t="shared" si="940"/>
        <v>42.919485180468072</v>
      </c>
      <c r="O588" s="283">
        <f t="shared" si="940"/>
        <v>43.758260413801494</v>
      </c>
      <c r="P588" s="283">
        <f t="shared" si="940"/>
        <v>44.621684759499779</v>
      </c>
      <c r="Q588" s="283">
        <f t="shared" si="940"/>
        <v>45.510601662246174</v>
      </c>
      <c r="R588" s="283">
        <f t="shared" si="940"/>
        <v>46.425885933482981</v>
      </c>
      <c r="S588" s="283">
        <f t="shared" si="940"/>
        <v>47.368444891872002</v>
      </c>
      <c r="T588" s="283">
        <f t="shared" si="940"/>
        <v>48.339219537396794</v>
      </c>
      <c r="U588" s="283">
        <f t="shared" si="940"/>
        <v>49.339185759283424</v>
      </c>
      <c r="V588" s="283">
        <f t="shared" si="940"/>
        <v>50.369355577822603</v>
      </c>
      <c r="W588" s="283">
        <f t="shared" si="940"/>
        <v>51.430778420070347</v>
      </c>
      <c r="X588" s="283">
        <f t="shared" si="940"/>
        <v>48.316559482782331</v>
      </c>
      <c r="Y588" s="283">
        <f t="shared" si="940"/>
        <v>49.443792861328447</v>
      </c>
      <c r="Z588" s="283">
        <f t="shared" si="940"/>
        <v>50.605665246612674</v>
      </c>
      <c r="AA588" s="283">
        <f t="shared" si="940"/>
        <v>51.803389119481167</v>
      </c>
      <c r="AB588" s="283">
        <f t="shared" si="940"/>
        <v>53.038221244295357</v>
      </c>
      <c r="AC588" s="283">
        <f t="shared" si="940"/>
        <v>54.311464139717394</v>
      </c>
      <c r="AD588" s="283">
        <f t="shared" si="940"/>
        <v>55.624467579006776</v>
      </c>
      <c r="AE588" s="283">
        <f t="shared" si="940"/>
        <v>56.978630118381524</v>
      </c>
      <c r="AF588" s="283">
        <f t="shared" si="940"/>
        <v>58.375400651724007</v>
      </c>
      <c r="AG588" s="283">
        <f t="shared" si="940"/>
        <v>59.816279989610393</v>
      </c>
      <c r="AH588" s="283">
        <f t="shared" si="940"/>
        <v>61.302822460310821</v>
      </c>
      <c r="AI588" s="283">
        <f t="shared" si="940"/>
        <v>62.836637530043845</v>
      </c>
      <c r="AJ588" s="283">
        <f t="shared" si="940"/>
        <v>64.419391439368582</v>
      </c>
    </row>
    <row r="589" spans="1:36" hidden="1" x14ac:dyDescent="0.25">
      <c r="A589" t="s">
        <v>696</v>
      </c>
    </row>
    <row r="590" spans="1:36" hidden="1" x14ac:dyDescent="0.25">
      <c r="A590" t="s">
        <v>696</v>
      </c>
      <c r="H590" s="569" t="s">
        <v>361</v>
      </c>
      <c r="I590" s="570" t="str">
        <f t="shared" si="914"/>
        <v>tr. VND/tấn</v>
      </c>
      <c r="K590" s="569"/>
      <c r="L590" s="590">
        <f>INDEX('Cover Page'!$H$12:$W$12,MATCH($A590,'Cover Page'!$H$5:$W$5,0))</f>
        <v>6.6666666666666666E-2</v>
      </c>
      <c r="M590" s="590">
        <f>INDEX('Cover Page'!$H$12:$W$12,MATCH($A590,'Cover Page'!$H$5:$W$5,0))</f>
        <v>6.6666666666666666E-2</v>
      </c>
      <c r="N590" s="590">
        <f>INDEX('Cover Page'!$H$12:$W$12,MATCH($A590,'Cover Page'!$H$5:$W$5,0))</f>
        <v>6.6666666666666666E-2</v>
      </c>
      <c r="O590" s="590">
        <f>INDEX('Cover Page'!$H$12:$W$12,MATCH($A590,'Cover Page'!$H$5:$W$5,0))</f>
        <v>6.6666666666666666E-2</v>
      </c>
      <c r="P590" s="590">
        <f>INDEX('Cover Page'!$H$12:$W$12,MATCH($A590,'Cover Page'!$H$5:$W$5,0))</f>
        <v>6.6666666666666666E-2</v>
      </c>
      <c r="Q590" s="590">
        <f>INDEX('Cover Page'!$H$12:$W$12,MATCH($A590,'Cover Page'!$H$5:$W$5,0))</f>
        <v>6.6666666666666666E-2</v>
      </c>
      <c r="R590" s="590">
        <f>INDEX('Cover Page'!$H$12:$W$12,MATCH($A590,'Cover Page'!$H$5:$W$5,0))</f>
        <v>6.6666666666666666E-2</v>
      </c>
      <c r="S590" s="590">
        <f>INDEX('Cover Page'!$H$12:$W$12,MATCH($A590,'Cover Page'!$H$5:$W$5,0))</f>
        <v>6.6666666666666666E-2</v>
      </c>
      <c r="T590" s="590">
        <f>INDEX('Cover Page'!$H$12:$W$12,MATCH($A590,'Cover Page'!$H$5:$W$5,0))</f>
        <v>6.6666666666666666E-2</v>
      </c>
      <c r="U590" s="590">
        <f>INDEX('Cover Page'!$H$12:$W$12,MATCH($A590,'Cover Page'!$H$5:$W$5,0))</f>
        <v>6.6666666666666666E-2</v>
      </c>
      <c r="V590" s="590">
        <f>INDEX('Cover Page'!$H$12:$W$12,MATCH($A590,'Cover Page'!$H$5:$W$5,0))</f>
        <v>6.6666666666666666E-2</v>
      </c>
      <c r="W590" s="590">
        <f>INDEX('Cover Page'!$H$12:$W$12,MATCH($A590,'Cover Page'!$H$5:$W$5,0))</f>
        <v>6.6666666666666666E-2</v>
      </c>
      <c r="X590" s="590">
        <f>INDEX('Cover Page'!$H$12:$W$12,MATCH($A590,'Cover Page'!$H$5:$W$5,0))</f>
        <v>6.6666666666666666E-2</v>
      </c>
      <c r="Y590" s="590">
        <f>INDEX('Cover Page'!$H$12:$W$12,MATCH($A590,'Cover Page'!$H$5:$W$5,0))</f>
        <v>6.6666666666666666E-2</v>
      </c>
      <c r="Z590" s="590">
        <f>INDEX('Cover Page'!$H$12:$W$12,MATCH($A590,'Cover Page'!$H$5:$W$5,0))</f>
        <v>6.6666666666666666E-2</v>
      </c>
      <c r="AA590" s="590">
        <f>INDEX('Cover Page'!$H$12:$W$12,MATCH($A590,'Cover Page'!$H$5:$W$5,0))</f>
        <v>6.6666666666666666E-2</v>
      </c>
      <c r="AB590" s="590">
        <f>INDEX('Cover Page'!$H$12:$W$12,MATCH($A590,'Cover Page'!$H$5:$W$5,0))</f>
        <v>6.6666666666666666E-2</v>
      </c>
      <c r="AC590" s="590">
        <f>INDEX('Cover Page'!$H$12:$W$12,MATCH($A590,'Cover Page'!$H$5:$W$5,0))</f>
        <v>6.6666666666666666E-2</v>
      </c>
      <c r="AD590" s="590">
        <f>INDEX('Cover Page'!$H$12:$W$12,MATCH($A590,'Cover Page'!$H$5:$W$5,0))</f>
        <v>6.6666666666666666E-2</v>
      </c>
      <c r="AE590" s="590">
        <f>INDEX('Cover Page'!$H$12:$W$12,MATCH($A590,'Cover Page'!$H$5:$W$5,0))</f>
        <v>6.6666666666666666E-2</v>
      </c>
      <c r="AF590" s="590">
        <f>INDEX('Cover Page'!$H$12:$W$12,MATCH($A590,'Cover Page'!$H$5:$W$5,0))</f>
        <v>6.6666666666666666E-2</v>
      </c>
      <c r="AG590" s="590">
        <f>INDEX('Cover Page'!$H$12:$W$12,MATCH($A590,'Cover Page'!$H$5:$W$5,0))</f>
        <v>6.6666666666666666E-2</v>
      </c>
      <c r="AH590" s="590">
        <f>INDEX('Cover Page'!$H$12:$W$12,MATCH($A590,'Cover Page'!$H$5:$W$5,0))</f>
        <v>6.6666666666666666E-2</v>
      </c>
      <c r="AI590" s="590">
        <f>INDEX('Cover Page'!$H$12:$W$12,MATCH($A590,'Cover Page'!$H$5:$W$5,0))</f>
        <v>6.6666666666666666E-2</v>
      </c>
      <c r="AJ590" s="590">
        <f>INDEX('Cover Page'!$H$12:$W$12,MATCH($A590,'Cover Page'!$H$5:$W$5,0))</f>
        <v>6.6666666666666666E-2</v>
      </c>
    </row>
    <row r="591" spans="1:36" s="1" customFormat="1" hidden="1" x14ac:dyDescent="0.25">
      <c r="A591" s="1" t="s">
        <v>696</v>
      </c>
      <c r="H591" s="586" t="s">
        <v>490</v>
      </c>
      <c r="I591" s="587" t="str">
        <f t="shared" si="914"/>
        <v>tr. VND/tấn</v>
      </c>
      <c r="K591" s="586"/>
      <c r="L591" s="591">
        <f t="shared" ref="L591:AJ591" si="941">L588*(1+L590)</f>
        <v>57.700906757864708</v>
      </c>
      <c r="M591" s="591">
        <f t="shared" si="941"/>
        <v>50.358170571002937</v>
      </c>
      <c r="N591" s="591">
        <f t="shared" si="941"/>
        <v>45.780784192499276</v>
      </c>
      <c r="O591" s="591">
        <f t="shared" si="941"/>
        <v>46.675477774721593</v>
      </c>
      <c r="P591" s="591">
        <f t="shared" si="941"/>
        <v>47.59646374346643</v>
      </c>
      <c r="Q591" s="591">
        <f t="shared" si="941"/>
        <v>48.544641773062587</v>
      </c>
      <c r="R591" s="591">
        <f t="shared" si="941"/>
        <v>49.520944995715176</v>
      </c>
      <c r="S591" s="591">
        <f t="shared" si="941"/>
        <v>50.526341217996801</v>
      </c>
      <c r="T591" s="591">
        <f t="shared" si="941"/>
        <v>51.561834173223247</v>
      </c>
      <c r="U591" s="591">
        <f t="shared" si="941"/>
        <v>52.628464809902319</v>
      </c>
      <c r="V591" s="591">
        <f t="shared" si="941"/>
        <v>53.727312616344108</v>
      </c>
      <c r="W591" s="591">
        <f t="shared" si="941"/>
        <v>54.85949698140837</v>
      </c>
      <c r="X591" s="591">
        <f t="shared" si="941"/>
        <v>51.537663448301153</v>
      </c>
      <c r="Y591" s="591">
        <f t="shared" si="941"/>
        <v>52.740045718750345</v>
      </c>
      <c r="Z591" s="591">
        <f t="shared" si="941"/>
        <v>53.979376263053517</v>
      </c>
      <c r="AA591" s="591">
        <f t="shared" si="941"/>
        <v>55.256948394113245</v>
      </c>
      <c r="AB591" s="591">
        <f t="shared" si="941"/>
        <v>56.574102660581715</v>
      </c>
      <c r="AC591" s="591">
        <f t="shared" si="941"/>
        <v>57.932228415698553</v>
      </c>
      <c r="AD591" s="591">
        <f t="shared" si="941"/>
        <v>59.332765417607227</v>
      </c>
      <c r="AE591" s="591">
        <f t="shared" si="941"/>
        <v>60.777205459606961</v>
      </c>
      <c r="AF591" s="591">
        <f t="shared" si="941"/>
        <v>62.267094028505603</v>
      </c>
      <c r="AG591" s="591">
        <f t="shared" si="941"/>
        <v>63.80403198891775</v>
      </c>
      <c r="AH591" s="591">
        <f t="shared" si="941"/>
        <v>65.389677290998208</v>
      </c>
      <c r="AI591" s="591">
        <f t="shared" si="941"/>
        <v>67.025746698713434</v>
      </c>
      <c r="AJ591" s="591">
        <f t="shared" si="941"/>
        <v>68.714017535326491</v>
      </c>
    </row>
    <row r="592" spans="1:36" hidden="1" x14ac:dyDescent="0.25">
      <c r="A592" t="s">
        <v>696</v>
      </c>
      <c r="H592" s="559" t="s">
        <v>292</v>
      </c>
      <c r="I592" s="560" t="str">
        <f t="shared" si="914"/>
        <v>tr. VND/tấn</v>
      </c>
      <c r="K592" s="559"/>
      <c r="L592" s="592">
        <f t="shared" ref="L592:AJ592" si="942">Tax_rate</f>
        <v>0.2</v>
      </c>
      <c r="M592" s="592">
        <f t="shared" si="942"/>
        <v>0.2</v>
      </c>
      <c r="N592" s="592">
        <f t="shared" si="942"/>
        <v>0.2</v>
      </c>
      <c r="O592" s="592">
        <f t="shared" si="942"/>
        <v>0.2</v>
      </c>
      <c r="P592" s="592">
        <f t="shared" si="942"/>
        <v>0.2</v>
      </c>
      <c r="Q592" s="592">
        <f t="shared" si="942"/>
        <v>0.2</v>
      </c>
      <c r="R592" s="592">
        <f t="shared" si="942"/>
        <v>0.2</v>
      </c>
      <c r="S592" s="592">
        <f t="shared" si="942"/>
        <v>0.2</v>
      </c>
      <c r="T592" s="592">
        <f t="shared" si="942"/>
        <v>0.2</v>
      </c>
      <c r="U592" s="592">
        <f t="shared" si="942"/>
        <v>0.2</v>
      </c>
      <c r="V592" s="592">
        <f t="shared" si="942"/>
        <v>0.2</v>
      </c>
      <c r="W592" s="592">
        <f t="shared" si="942"/>
        <v>0.2</v>
      </c>
      <c r="X592" s="592">
        <f t="shared" si="942"/>
        <v>0.2</v>
      </c>
      <c r="Y592" s="592">
        <f t="shared" si="942"/>
        <v>0.2</v>
      </c>
      <c r="Z592" s="592">
        <f t="shared" si="942"/>
        <v>0.2</v>
      </c>
      <c r="AA592" s="592">
        <f t="shared" si="942"/>
        <v>0.2</v>
      </c>
      <c r="AB592" s="592">
        <f t="shared" si="942"/>
        <v>0.2</v>
      </c>
      <c r="AC592" s="592">
        <f t="shared" si="942"/>
        <v>0.2</v>
      </c>
      <c r="AD592" s="592">
        <f t="shared" si="942"/>
        <v>0.2</v>
      </c>
      <c r="AE592" s="592">
        <f t="shared" si="942"/>
        <v>0.2</v>
      </c>
      <c r="AF592" s="592">
        <f t="shared" si="942"/>
        <v>0.2</v>
      </c>
      <c r="AG592" s="592">
        <f t="shared" si="942"/>
        <v>0.2</v>
      </c>
      <c r="AH592" s="592">
        <f t="shared" si="942"/>
        <v>0.2</v>
      </c>
      <c r="AI592" s="592">
        <f t="shared" si="942"/>
        <v>0.2</v>
      </c>
      <c r="AJ592" s="592">
        <f t="shared" si="942"/>
        <v>0.2</v>
      </c>
    </row>
    <row r="593" spans="1:36" s="1" customFormat="1" hidden="1" x14ac:dyDescent="0.25">
      <c r="A593" s="1" t="s">
        <v>696</v>
      </c>
      <c r="H593" s="586" t="s">
        <v>491</v>
      </c>
      <c r="I593" s="587" t="str">
        <f t="shared" si="914"/>
        <v>tr. VND/tấn</v>
      </c>
      <c r="K593" s="586"/>
      <c r="L593" s="591">
        <f>(L591-L588)*(1-L592)</f>
        <v>2.8850453378932346</v>
      </c>
      <c r="M593" s="591">
        <f t="shared" ref="M593:AJ593" si="943">(M591-M588)*(1-M592)</f>
        <v>2.5179085285501461</v>
      </c>
      <c r="N593" s="591">
        <f t="shared" si="943"/>
        <v>2.289039209624963</v>
      </c>
      <c r="O593" s="591">
        <f t="shared" si="943"/>
        <v>2.3337738887360788</v>
      </c>
      <c r="P593" s="591">
        <f t="shared" si="943"/>
        <v>2.3798231871733209</v>
      </c>
      <c r="Q593" s="591">
        <f t="shared" si="943"/>
        <v>2.4272320886531307</v>
      </c>
      <c r="R593" s="591">
        <f t="shared" si="943"/>
        <v>2.4760472497857564</v>
      </c>
      <c r="S593" s="591">
        <f t="shared" si="943"/>
        <v>2.5263170608998395</v>
      </c>
      <c r="T593" s="591">
        <f t="shared" si="943"/>
        <v>2.5780917086611623</v>
      </c>
      <c r="U593" s="591">
        <f t="shared" si="943"/>
        <v>2.6314232404951157</v>
      </c>
      <c r="V593" s="591">
        <f t="shared" si="943"/>
        <v>2.6863656308172041</v>
      </c>
      <c r="W593" s="591">
        <f t="shared" si="943"/>
        <v>2.7429748490704187</v>
      </c>
      <c r="X593" s="591">
        <f t="shared" si="943"/>
        <v>2.5768831724150574</v>
      </c>
      <c r="Y593" s="591">
        <f t="shared" si="943"/>
        <v>2.6370022859375184</v>
      </c>
      <c r="Z593" s="591">
        <f t="shared" si="943"/>
        <v>2.6989688131526748</v>
      </c>
      <c r="AA593" s="591">
        <f t="shared" si="943"/>
        <v>2.7628474197056621</v>
      </c>
      <c r="AB593" s="591">
        <f t="shared" si="943"/>
        <v>2.8287051330290867</v>
      </c>
      <c r="AC593" s="591">
        <f t="shared" si="943"/>
        <v>2.8966114207849274</v>
      </c>
      <c r="AD593" s="591">
        <f t="shared" si="943"/>
        <v>2.9666382708803614</v>
      </c>
      <c r="AE593" s="591">
        <f t="shared" si="943"/>
        <v>3.0388602729803496</v>
      </c>
      <c r="AF593" s="591">
        <f t="shared" si="943"/>
        <v>3.1133547014252771</v>
      </c>
      <c r="AG593" s="591">
        <f t="shared" si="943"/>
        <v>3.190201599445885</v>
      </c>
      <c r="AH593" s="591">
        <f t="shared" si="943"/>
        <v>3.2694838645499091</v>
      </c>
      <c r="AI593" s="591">
        <f t="shared" si="943"/>
        <v>3.3512873349356713</v>
      </c>
      <c r="AJ593" s="591">
        <f t="shared" si="943"/>
        <v>3.4357008767663277</v>
      </c>
    </row>
    <row r="594" spans="1:36" s="146" customFormat="1" hidden="1" x14ac:dyDescent="0.25">
      <c r="A594" s="146" t="s">
        <v>696</v>
      </c>
      <c r="H594" s="588" t="s">
        <v>492</v>
      </c>
      <c r="I594" s="589"/>
      <c r="K594" s="588"/>
      <c r="L594" s="593">
        <f>IFERROR(L593/L591,0)</f>
        <v>4.9999999999999989E-2</v>
      </c>
      <c r="M594" s="593">
        <f>IFERROR(M593/M591,0)</f>
        <v>4.9999999999999989E-2</v>
      </c>
      <c r="N594" s="593">
        <f t="shared" ref="N594:AJ594" si="944">IFERROR(N593/N591,0)</f>
        <v>4.9999999999999982E-2</v>
      </c>
      <c r="O594" s="593">
        <f t="shared" si="944"/>
        <v>4.9999999999999982E-2</v>
      </c>
      <c r="P594" s="593">
        <f t="shared" si="944"/>
        <v>4.9999999999999989E-2</v>
      </c>
      <c r="Q594" s="593">
        <f t="shared" si="944"/>
        <v>5.0000000000000031E-2</v>
      </c>
      <c r="R594" s="593">
        <f t="shared" si="944"/>
        <v>4.9999999999999954E-2</v>
      </c>
      <c r="S594" s="593">
        <f t="shared" si="944"/>
        <v>4.9999999999999989E-2</v>
      </c>
      <c r="T594" s="593">
        <f t="shared" si="944"/>
        <v>0.05</v>
      </c>
      <c r="U594" s="593">
        <f t="shared" si="944"/>
        <v>4.9999999999999996E-2</v>
      </c>
      <c r="V594" s="593">
        <f t="shared" si="944"/>
        <v>4.9999999999999975E-2</v>
      </c>
      <c r="W594" s="593">
        <f t="shared" si="944"/>
        <v>0.05</v>
      </c>
      <c r="X594" s="593">
        <f t="shared" si="944"/>
        <v>4.9999999999999996E-2</v>
      </c>
      <c r="Y594" s="593">
        <f t="shared" si="944"/>
        <v>5.0000000000000024E-2</v>
      </c>
      <c r="Z594" s="593">
        <f t="shared" si="944"/>
        <v>4.9999999999999982E-2</v>
      </c>
      <c r="AA594" s="593">
        <f t="shared" si="944"/>
        <v>4.9999999999999996E-2</v>
      </c>
      <c r="AB594" s="593">
        <f t="shared" si="944"/>
        <v>5.0000000000000017E-2</v>
      </c>
      <c r="AC594" s="593">
        <f t="shared" si="944"/>
        <v>4.9999999999999996E-2</v>
      </c>
      <c r="AD594" s="593">
        <f t="shared" si="944"/>
        <v>0.05</v>
      </c>
      <c r="AE594" s="593">
        <f t="shared" si="944"/>
        <v>5.0000000000000024E-2</v>
      </c>
      <c r="AF594" s="593">
        <f t="shared" si="944"/>
        <v>4.9999999999999954E-2</v>
      </c>
      <c r="AG594" s="593">
        <f t="shared" si="944"/>
        <v>4.9999999999999961E-2</v>
      </c>
      <c r="AH594" s="593">
        <f t="shared" si="944"/>
        <v>4.9999999999999982E-2</v>
      </c>
      <c r="AI594" s="593">
        <f t="shared" si="944"/>
        <v>4.9999999999999996E-2</v>
      </c>
      <c r="AJ594" s="593">
        <f t="shared" si="944"/>
        <v>5.0000000000000044E-2</v>
      </c>
    </row>
    <row r="595" spans="1:36" hidden="1" x14ac:dyDescent="0.25">
      <c r="A595" t="s">
        <v>696</v>
      </c>
    </row>
    <row r="596" spans="1:36" s="24" customFormat="1" ht="17.25" hidden="1" x14ac:dyDescent="0.3">
      <c r="A596" s="24" t="s">
        <v>696</v>
      </c>
      <c r="H596" s="645" t="s">
        <v>476</v>
      </c>
      <c r="I596" s="645"/>
      <c r="K596" s="645"/>
      <c r="L596" s="645"/>
      <c r="M596" s="645"/>
      <c r="N596" s="645"/>
      <c r="O596" s="645"/>
      <c r="P596" s="645"/>
      <c r="Q596" s="645"/>
      <c r="R596" s="645"/>
      <c r="S596" s="645"/>
      <c r="T596" s="645"/>
      <c r="U596" s="645"/>
      <c r="V596" s="645"/>
      <c r="W596" s="645"/>
      <c r="X596" s="645"/>
      <c r="Y596" s="645"/>
      <c r="Z596" s="645"/>
      <c r="AA596" s="645"/>
      <c r="AB596" s="645"/>
      <c r="AC596" s="645"/>
      <c r="AD596" s="645"/>
      <c r="AE596" s="645"/>
      <c r="AF596" s="645"/>
      <c r="AG596" s="645"/>
      <c r="AH596" s="645"/>
      <c r="AI596" s="645"/>
      <c r="AJ596" s="645"/>
    </row>
    <row r="597" spans="1:36" s="1" customFormat="1" hidden="1" x14ac:dyDescent="0.25">
      <c r="A597" s="1" t="s">
        <v>696</v>
      </c>
      <c r="H597" s="287" t="s">
        <v>434</v>
      </c>
      <c r="I597" s="288" t="str">
        <f>IF($H$9="USD","USD/1.000 phôi","VND/phôi")</f>
        <v>VND/phôi</v>
      </c>
      <c r="K597" s="293">
        <f t="shared" ref="K597" si="945">SUM(K598:K599,K602:K605,)</f>
        <v>0</v>
      </c>
      <c r="L597" s="293">
        <f>SUM(L598:L599,L602:L605,)</f>
        <v>241.92053240441103</v>
      </c>
      <c r="M597" s="293">
        <f t="shared" ref="M597:AJ597" si="946">SUM(M598:M599,M602:M605,)</f>
        <v>172.80038028886503</v>
      </c>
      <c r="N597" s="293">
        <f t="shared" si="946"/>
        <v>123.13803249913229</v>
      </c>
      <c r="O597" s="293">
        <f t="shared" si="946"/>
        <v>125.42468711090538</v>
      </c>
      <c r="P597" s="293">
        <f t="shared" si="946"/>
        <v>127.82567445326717</v>
      </c>
      <c r="Q597" s="293">
        <f t="shared" si="946"/>
        <v>130.34671116274703</v>
      </c>
      <c r="R597" s="293">
        <f t="shared" si="946"/>
        <v>132.99379970770087</v>
      </c>
      <c r="S597" s="293">
        <f t="shared" si="946"/>
        <v>135.77324267990244</v>
      </c>
      <c r="T597" s="293">
        <f t="shared" si="946"/>
        <v>138.69165780071404</v>
      </c>
      <c r="U597" s="293">
        <f t="shared" si="946"/>
        <v>141.75599367756624</v>
      </c>
      <c r="V597" s="293">
        <f t="shared" si="946"/>
        <v>144.97354634826104</v>
      </c>
      <c r="W597" s="293">
        <f t="shared" si="946"/>
        <v>148.35197665249063</v>
      </c>
      <c r="X597" s="293">
        <f t="shared" si="946"/>
        <v>91.207266743515888</v>
      </c>
      <c r="Y597" s="293">
        <f t="shared" si="946"/>
        <v>94.931986153928946</v>
      </c>
      <c r="Z597" s="293">
        <f t="shared" si="946"/>
        <v>98.842941534862703</v>
      </c>
      <c r="AA597" s="293">
        <f t="shared" si="946"/>
        <v>102.9494446848431</v>
      </c>
      <c r="AB597" s="293">
        <f t="shared" si="946"/>
        <v>107.26127299232256</v>
      </c>
      <c r="AC597" s="293">
        <f t="shared" si="946"/>
        <v>111.78869271517596</v>
      </c>
      <c r="AD597" s="293">
        <f t="shared" si="946"/>
        <v>116.54248342417206</v>
      </c>
      <c r="AE597" s="293">
        <f t="shared" si="946"/>
        <v>121.53396366861794</v>
      </c>
      <c r="AF597" s="293">
        <f t="shared" si="946"/>
        <v>126.77501792528612</v>
      </c>
      <c r="AG597" s="293">
        <f t="shared" si="946"/>
        <v>132.27812489478771</v>
      </c>
      <c r="AH597" s="293">
        <f t="shared" si="946"/>
        <v>138.05638721276438</v>
      </c>
      <c r="AI597" s="293">
        <f t="shared" si="946"/>
        <v>144.12356264663987</v>
      </c>
      <c r="AJ597" s="293">
        <f t="shared" si="946"/>
        <v>150.4940968522092</v>
      </c>
    </row>
    <row r="598" spans="1:36" hidden="1" x14ac:dyDescent="0.25">
      <c r="A598" t="s">
        <v>696</v>
      </c>
      <c r="E598" t="s">
        <v>173</v>
      </c>
      <c r="H598" s="573" t="s">
        <v>190</v>
      </c>
      <c r="I598" s="574" t="str">
        <f t="shared" ref="I598:I605" si="947">IF($H$9="USD","USD/1.000 phôi","VND/phôi")</f>
        <v>VND/phôi</v>
      </c>
      <c r="K598" s="579"/>
      <c r="L598" s="580">
        <f t="shared" ref="L598:AJ598" si="948">-IF($H$9="USD",L528/L517/$H$10*10^3,L528/L517/$H$10)</f>
        <v>150.44368355925502</v>
      </c>
      <c r="M598" s="580">
        <f t="shared" si="948"/>
        <v>107.45977397089644</v>
      </c>
      <c r="N598" s="580">
        <f t="shared" si="948"/>
        <v>75.221841779627511</v>
      </c>
      <c r="O598" s="580">
        <f t="shared" si="948"/>
        <v>75.221841779627511</v>
      </c>
      <c r="P598" s="580">
        <f t="shared" si="948"/>
        <v>75.221841779627511</v>
      </c>
      <c r="Q598" s="580">
        <f t="shared" si="948"/>
        <v>75.221841779627511</v>
      </c>
      <c r="R598" s="580">
        <f t="shared" si="948"/>
        <v>75.221841779627511</v>
      </c>
      <c r="S598" s="580">
        <f t="shared" si="948"/>
        <v>75.221841779627511</v>
      </c>
      <c r="T598" s="580">
        <f t="shared" si="948"/>
        <v>75.221841779627511</v>
      </c>
      <c r="U598" s="580">
        <f t="shared" si="948"/>
        <v>75.221841779627511</v>
      </c>
      <c r="V598" s="580">
        <f t="shared" si="948"/>
        <v>75.221841779627511</v>
      </c>
      <c r="W598" s="580">
        <f t="shared" si="948"/>
        <v>75.221841779627511</v>
      </c>
      <c r="X598" s="580">
        <f t="shared" si="948"/>
        <v>14.529780051211779</v>
      </c>
      <c r="Y598" s="580">
        <f t="shared" si="948"/>
        <v>14.529780051211779</v>
      </c>
      <c r="Z598" s="580">
        <f t="shared" si="948"/>
        <v>14.529780051211779</v>
      </c>
      <c r="AA598" s="580">
        <f t="shared" si="948"/>
        <v>14.529780051211779</v>
      </c>
      <c r="AB598" s="580">
        <f t="shared" si="948"/>
        <v>14.529780051211779</v>
      </c>
      <c r="AC598" s="580">
        <f t="shared" si="948"/>
        <v>14.529780051211779</v>
      </c>
      <c r="AD598" s="580">
        <f t="shared" si="948"/>
        <v>14.529780051211779</v>
      </c>
      <c r="AE598" s="580">
        <f t="shared" si="948"/>
        <v>14.529780051211779</v>
      </c>
      <c r="AF598" s="580">
        <f t="shared" si="948"/>
        <v>14.529780051211779</v>
      </c>
      <c r="AG598" s="580">
        <f t="shared" si="948"/>
        <v>14.529780051211779</v>
      </c>
      <c r="AH598" s="580">
        <f t="shared" si="948"/>
        <v>14.529780051211779</v>
      </c>
      <c r="AI598" s="580">
        <f t="shared" si="948"/>
        <v>14.529780051211779</v>
      </c>
      <c r="AJ598" s="580">
        <f t="shared" si="948"/>
        <v>14.529780051211779</v>
      </c>
    </row>
    <row r="599" spans="1:36" hidden="1" x14ac:dyDescent="0.25">
      <c r="A599" t="s">
        <v>696</v>
      </c>
      <c r="H599" s="575" t="s">
        <v>429</v>
      </c>
      <c r="I599" s="576" t="str">
        <f t="shared" si="947"/>
        <v>VND/phôi</v>
      </c>
      <c r="K599" s="581">
        <f>SUM(K600:K601)</f>
        <v>0</v>
      </c>
      <c r="L599" s="581">
        <f t="shared" ref="L599:AJ599" si="949">SUM(L600:L601)</f>
        <v>29.115063862219181</v>
      </c>
      <c r="M599" s="581">
        <f t="shared" si="949"/>
        <v>20.79647418729942</v>
      </c>
      <c r="N599" s="581">
        <f t="shared" si="949"/>
        <v>15.285408527665071</v>
      </c>
      <c r="O599" s="581">
        <f t="shared" si="949"/>
        <v>16.049678954048325</v>
      </c>
      <c r="P599" s="581">
        <f t="shared" si="949"/>
        <v>16.852162901750745</v>
      </c>
      <c r="Q599" s="581">
        <f t="shared" si="949"/>
        <v>17.69477104683828</v>
      </c>
      <c r="R599" s="581">
        <f t="shared" si="949"/>
        <v>18.579509599180195</v>
      </c>
      <c r="S599" s="581">
        <f t="shared" si="949"/>
        <v>19.508485079139202</v>
      </c>
      <c r="T599" s="581">
        <f t="shared" si="949"/>
        <v>20.483909333096165</v>
      </c>
      <c r="U599" s="581">
        <f t="shared" si="949"/>
        <v>21.508104799750974</v>
      </c>
      <c r="V599" s="581">
        <f t="shared" si="949"/>
        <v>22.58351003973852</v>
      </c>
      <c r="W599" s="581">
        <f t="shared" si="949"/>
        <v>23.712685541725449</v>
      </c>
      <c r="X599" s="581">
        <f t="shared" si="949"/>
        <v>24.898319818811725</v>
      </c>
      <c r="Y599" s="581">
        <f t="shared" si="949"/>
        <v>26.143235809752301</v>
      </c>
      <c r="Z599" s="581">
        <f t="shared" si="949"/>
        <v>27.450397600239924</v>
      </c>
      <c r="AA599" s="581">
        <f t="shared" si="949"/>
        <v>28.822917480251917</v>
      </c>
      <c r="AB599" s="581">
        <f t="shared" si="949"/>
        <v>30.264063354264518</v>
      </c>
      <c r="AC599" s="581">
        <f t="shared" si="949"/>
        <v>31.777266521977747</v>
      </c>
      <c r="AD599" s="581">
        <f t="shared" si="949"/>
        <v>33.366129848076632</v>
      </c>
      <c r="AE599" s="581">
        <f t="shared" si="949"/>
        <v>35.034436340480468</v>
      </c>
      <c r="AF599" s="581">
        <f t="shared" si="949"/>
        <v>36.786158157504488</v>
      </c>
      <c r="AG599" s="581">
        <f t="shared" si="949"/>
        <v>38.625466065379712</v>
      </c>
      <c r="AH599" s="581">
        <f t="shared" si="949"/>
        <v>40.556739368648692</v>
      </c>
      <c r="AI599" s="581">
        <f t="shared" si="949"/>
        <v>42.584576337081131</v>
      </c>
      <c r="AJ599" s="581">
        <f t="shared" si="949"/>
        <v>44.713805153935191</v>
      </c>
    </row>
    <row r="600" spans="1:36" s="299" customFormat="1" hidden="1" x14ac:dyDescent="0.25">
      <c r="A600" s="299" t="s">
        <v>696</v>
      </c>
      <c r="E600" s="299" t="s">
        <v>171</v>
      </c>
      <c r="H600" s="577" t="s">
        <v>430</v>
      </c>
      <c r="I600" s="578" t="str">
        <f t="shared" si="947"/>
        <v>VND/phôi</v>
      </c>
      <c r="K600" s="582"/>
      <c r="L600" s="582">
        <f t="shared" ref="L600:AJ600" si="950">-IF($H$9="USD",L530/L517/$H$10*10^3,L530/L517/$H$10)</f>
        <v>4.7599559447769781</v>
      </c>
      <c r="M600" s="582">
        <f t="shared" si="950"/>
        <v>3.3999685319835566</v>
      </c>
      <c r="N600" s="582">
        <f t="shared" si="950"/>
        <v>2.4989768710079137</v>
      </c>
      <c r="O600" s="582">
        <f t="shared" si="950"/>
        <v>2.6239257145583097</v>
      </c>
      <c r="P600" s="582">
        <f t="shared" si="950"/>
        <v>2.7551220002862253</v>
      </c>
      <c r="Q600" s="582">
        <f t="shared" si="950"/>
        <v>2.8928781003005359</v>
      </c>
      <c r="R600" s="582">
        <f t="shared" si="950"/>
        <v>3.0375220053155632</v>
      </c>
      <c r="S600" s="582">
        <f t="shared" si="950"/>
        <v>3.1893981055813412</v>
      </c>
      <c r="T600" s="582">
        <f t="shared" si="950"/>
        <v>3.3488680108604085</v>
      </c>
      <c r="U600" s="582">
        <f t="shared" si="950"/>
        <v>3.5163114114034286</v>
      </c>
      <c r="V600" s="582">
        <f t="shared" si="950"/>
        <v>3.6921269819736002</v>
      </c>
      <c r="W600" s="582">
        <f t="shared" si="950"/>
        <v>3.8767333310722805</v>
      </c>
      <c r="X600" s="582">
        <f t="shared" si="950"/>
        <v>4.0705699976258947</v>
      </c>
      <c r="Y600" s="582">
        <f t="shared" si="950"/>
        <v>4.2740984975071887</v>
      </c>
      <c r="Z600" s="582">
        <f t="shared" si="950"/>
        <v>4.4878034223825489</v>
      </c>
      <c r="AA600" s="582">
        <f t="shared" si="950"/>
        <v>4.7121935935016754</v>
      </c>
      <c r="AB600" s="582">
        <f t="shared" si="950"/>
        <v>4.9478032731767607</v>
      </c>
      <c r="AC600" s="582">
        <f t="shared" si="950"/>
        <v>5.1951934368355976</v>
      </c>
      <c r="AD600" s="582">
        <f t="shared" si="950"/>
        <v>5.4549531086773788</v>
      </c>
      <c r="AE600" s="582">
        <f t="shared" si="950"/>
        <v>5.7277007641112467</v>
      </c>
      <c r="AF600" s="582">
        <f t="shared" si="950"/>
        <v>6.01408580231681</v>
      </c>
      <c r="AG600" s="582">
        <f t="shared" si="950"/>
        <v>6.3147900924326503</v>
      </c>
      <c r="AH600" s="582">
        <f t="shared" si="950"/>
        <v>6.6305295970542826</v>
      </c>
      <c r="AI600" s="582">
        <f t="shared" si="950"/>
        <v>6.9620560769069968</v>
      </c>
      <c r="AJ600" s="582">
        <f t="shared" si="950"/>
        <v>7.3101588807523488</v>
      </c>
    </row>
    <row r="601" spans="1:36" s="299" customFormat="1" hidden="1" x14ac:dyDescent="0.25">
      <c r="A601" s="299" t="s">
        <v>696</v>
      </c>
      <c r="E601" s="299" t="s">
        <v>171</v>
      </c>
      <c r="H601" s="577" t="s">
        <v>431</v>
      </c>
      <c r="I601" s="578" t="str">
        <f t="shared" si="947"/>
        <v>VND/phôi</v>
      </c>
      <c r="K601" s="582"/>
      <c r="L601" s="582">
        <f t="shared" ref="L601:AJ601" si="951">-IF($H$9="USD",L531/L517/$H$10*10^3,L531/L517/$H$10)</f>
        <v>24.355107917442204</v>
      </c>
      <c r="M601" s="582">
        <f t="shared" si="951"/>
        <v>17.396505655315863</v>
      </c>
      <c r="N601" s="582">
        <f t="shared" si="951"/>
        <v>12.786431656657157</v>
      </c>
      <c r="O601" s="582">
        <f t="shared" si="951"/>
        <v>13.425753239490016</v>
      </c>
      <c r="P601" s="582">
        <f t="shared" si="951"/>
        <v>14.097040901464521</v>
      </c>
      <c r="Q601" s="582">
        <f t="shared" si="951"/>
        <v>14.801892946537743</v>
      </c>
      <c r="R601" s="582">
        <f t="shared" si="951"/>
        <v>15.541987593864631</v>
      </c>
      <c r="S601" s="582">
        <f t="shared" si="951"/>
        <v>16.319086973557862</v>
      </c>
      <c r="T601" s="582">
        <f t="shared" si="951"/>
        <v>17.135041322235757</v>
      </c>
      <c r="U601" s="582">
        <f t="shared" si="951"/>
        <v>17.991793388347546</v>
      </c>
      <c r="V601" s="582">
        <f t="shared" si="951"/>
        <v>18.891383057764919</v>
      </c>
      <c r="W601" s="582">
        <f t="shared" si="951"/>
        <v>19.835952210653168</v>
      </c>
      <c r="X601" s="582">
        <f t="shared" si="951"/>
        <v>20.827749821185829</v>
      </c>
      <c r="Y601" s="582">
        <f t="shared" si="951"/>
        <v>21.869137312245112</v>
      </c>
      <c r="Z601" s="582">
        <f t="shared" si="951"/>
        <v>22.962594177857376</v>
      </c>
      <c r="AA601" s="582">
        <f t="shared" si="951"/>
        <v>24.11072388675024</v>
      </c>
      <c r="AB601" s="582">
        <f t="shared" si="951"/>
        <v>25.316260081087758</v>
      </c>
      <c r="AC601" s="582">
        <f t="shared" si="951"/>
        <v>26.582073085142149</v>
      </c>
      <c r="AD601" s="582">
        <f t="shared" si="951"/>
        <v>27.911176739399256</v>
      </c>
      <c r="AE601" s="582">
        <f t="shared" si="951"/>
        <v>29.306735576369221</v>
      </c>
      <c r="AF601" s="582">
        <f t="shared" si="951"/>
        <v>30.772072355187682</v>
      </c>
      <c r="AG601" s="582">
        <f t="shared" si="951"/>
        <v>32.31067597294706</v>
      </c>
      <c r="AH601" s="582">
        <f t="shared" si="951"/>
        <v>33.926209771594408</v>
      </c>
      <c r="AI601" s="582">
        <f t="shared" si="951"/>
        <v>35.622520260174134</v>
      </c>
      <c r="AJ601" s="582">
        <f t="shared" si="951"/>
        <v>37.403646273182844</v>
      </c>
    </row>
    <row r="602" spans="1:36" hidden="1" x14ac:dyDescent="0.25">
      <c r="A602" t="s">
        <v>696</v>
      </c>
      <c r="E602" t="s">
        <v>172</v>
      </c>
      <c r="H602" s="575" t="s">
        <v>656</v>
      </c>
      <c r="I602" s="576" t="str">
        <f t="shared" si="947"/>
        <v>VND/phôi</v>
      </c>
      <c r="K602" s="581"/>
      <c r="L602" s="581">
        <f t="shared" ref="L602:AJ602" si="952">-IF($H$9="USD",L532/L517/$H$10*10^3,L532/L517/$H$10)</f>
        <v>11.623824040969422</v>
      </c>
      <c r="M602" s="581">
        <f t="shared" si="952"/>
        <v>8.3027314578353018</v>
      </c>
      <c r="N602" s="581">
        <f t="shared" si="952"/>
        <v>6.1025076215089467</v>
      </c>
      <c r="O602" s="581">
        <f t="shared" si="952"/>
        <v>6.4076330025843937</v>
      </c>
      <c r="P602" s="581">
        <f t="shared" si="952"/>
        <v>6.7280146527136147</v>
      </c>
      <c r="Q602" s="581">
        <f t="shared" si="952"/>
        <v>7.064415385349295</v>
      </c>
      <c r="R602" s="581">
        <f t="shared" si="952"/>
        <v>7.4176361546167602</v>
      </c>
      <c r="S602" s="581">
        <f t="shared" si="952"/>
        <v>7.7885179623475977</v>
      </c>
      <c r="T602" s="581">
        <f t="shared" si="952"/>
        <v>8.1779438604649783</v>
      </c>
      <c r="U602" s="581">
        <f t="shared" si="952"/>
        <v>8.5868410534882269</v>
      </c>
      <c r="V602" s="581">
        <f t="shared" si="952"/>
        <v>9.0161831061626376</v>
      </c>
      <c r="W602" s="581">
        <f t="shared" si="952"/>
        <v>9.4669922614707716</v>
      </c>
      <c r="X602" s="581">
        <f t="shared" si="952"/>
        <v>9.9403418745443091</v>
      </c>
      <c r="Y602" s="581">
        <f t="shared" si="952"/>
        <v>10.437358968271525</v>
      </c>
      <c r="Z602" s="581">
        <f t="shared" si="952"/>
        <v>10.959226916685102</v>
      </c>
      <c r="AA602" s="581">
        <f t="shared" si="952"/>
        <v>11.507188262519353</v>
      </c>
      <c r="AB602" s="581">
        <f t="shared" si="952"/>
        <v>12.082547675645325</v>
      </c>
      <c r="AC602" s="581">
        <f t="shared" si="952"/>
        <v>12.686675059427589</v>
      </c>
      <c r="AD602" s="581">
        <f t="shared" si="952"/>
        <v>13.321008812398972</v>
      </c>
      <c r="AE602" s="581">
        <f t="shared" si="952"/>
        <v>13.98705925301892</v>
      </c>
      <c r="AF602" s="581">
        <f t="shared" si="952"/>
        <v>14.686412215669867</v>
      </c>
      <c r="AG602" s="581">
        <f t="shared" si="952"/>
        <v>15.420732826453358</v>
      </c>
      <c r="AH602" s="581">
        <f t="shared" si="952"/>
        <v>16.191769467776027</v>
      </c>
      <c r="AI602" s="581">
        <f t="shared" si="952"/>
        <v>17.00135794116483</v>
      </c>
      <c r="AJ602" s="581">
        <f t="shared" si="952"/>
        <v>17.851425838223072</v>
      </c>
    </row>
    <row r="603" spans="1:36" hidden="1" x14ac:dyDescent="0.25">
      <c r="A603" t="s">
        <v>696</v>
      </c>
      <c r="E603" t="s">
        <v>172</v>
      </c>
      <c r="H603" s="575" t="s">
        <v>432</v>
      </c>
      <c r="I603" s="576" t="str">
        <f t="shared" si="947"/>
        <v>VND/phôi</v>
      </c>
      <c r="K603" s="581"/>
      <c r="L603" s="581">
        <f t="shared" ref="L603:AJ603" si="953">-IF($H$9="USD",L533/L517/$H$10*10^3,L533/L517/$H$10)</f>
        <v>43.698284444459318</v>
      </c>
      <c r="M603" s="581">
        <f t="shared" si="953"/>
        <v>31.213060317470944</v>
      </c>
      <c r="N603" s="581">
        <f t="shared" si="953"/>
        <v>22.941599333341141</v>
      </c>
      <c r="O603" s="581">
        <f t="shared" si="953"/>
        <v>24.088679300008199</v>
      </c>
      <c r="P603" s="581">
        <f t="shared" si="953"/>
        <v>25.293113265008611</v>
      </c>
      <c r="Q603" s="581">
        <f t="shared" si="953"/>
        <v>26.557768928259037</v>
      </c>
      <c r="R603" s="581">
        <f t="shared" si="953"/>
        <v>27.88565737467199</v>
      </c>
      <c r="S603" s="581">
        <f t="shared" si="953"/>
        <v>29.279940243405587</v>
      </c>
      <c r="T603" s="581">
        <f t="shared" si="953"/>
        <v>30.743937255575872</v>
      </c>
      <c r="U603" s="581">
        <f t="shared" si="953"/>
        <v>32.281134118354665</v>
      </c>
      <c r="V603" s="581">
        <f t="shared" si="953"/>
        <v>33.895190824272397</v>
      </c>
      <c r="W603" s="581">
        <f t="shared" si="953"/>
        <v>35.589950365486018</v>
      </c>
      <c r="X603" s="581">
        <f t="shared" si="953"/>
        <v>37.369447883760323</v>
      </c>
      <c r="Y603" s="581">
        <f t="shared" si="953"/>
        <v>39.237920277948334</v>
      </c>
      <c r="Z603" s="581">
        <f t="shared" si="953"/>
        <v>41.199816291845757</v>
      </c>
      <c r="AA603" s="581">
        <f t="shared" si="953"/>
        <v>43.259807106438032</v>
      </c>
      <c r="AB603" s="581">
        <f t="shared" si="953"/>
        <v>45.422797461759956</v>
      </c>
      <c r="AC603" s="581">
        <f t="shared" si="953"/>
        <v>47.693937334847945</v>
      </c>
      <c r="AD603" s="581">
        <f t="shared" si="953"/>
        <v>50.078634201590354</v>
      </c>
      <c r="AE603" s="581">
        <f t="shared" si="953"/>
        <v>52.58256591166986</v>
      </c>
      <c r="AF603" s="581">
        <f t="shared" si="953"/>
        <v>55.211694207253352</v>
      </c>
      <c r="AG603" s="581">
        <f t="shared" si="953"/>
        <v>57.972278917616023</v>
      </c>
      <c r="AH603" s="581">
        <f t="shared" si="953"/>
        <v>60.87089286349682</v>
      </c>
      <c r="AI603" s="581">
        <f t="shared" si="953"/>
        <v>63.914437506671653</v>
      </c>
      <c r="AJ603" s="581">
        <f t="shared" si="953"/>
        <v>67.110159382005264</v>
      </c>
    </row>
    <row r="604" spans="1:36" hidden="1" x14ac:dyDescent="0.25">
      <c r="A604" t="s">
        <v>696</v>
      </c>
      <c r="E604" t="s">
        <v>172</v>
      </c>
      <c r="H604" s="575" t="s">
        <v>433</v>
      </c>
      <c r="I604" s="576" t="str">
        <f t="shared" si="947"/>
        <v>VND/phôi</v>
      </c>
      <c r="K604" s="581"/>
      <c r="L604" s="581">
        <f t="shared" ref="L604:AJ604" si="954">-IF($H$9="USD",L534/L517/$H$10*10^3,L534/L517/$H$10)</f>
        <v>2.6734795294229672</v>
      </c>
      <c r="M604" s="581">
        <f t="shared" si="954"/>
        <v>1.9096282353021197</v>
      </c>
      <c r="N604" s="581">
        <f t="shared" si="954"/>
        <v>1.4035767529470577</v>
      </c>
      <c r="O604" s="581">
        <f t="shared" si="954"/>
        <v>1.4737555905944109</v>
      </c>
      <c r="P604" s="581">
        <f t="shared" si="954"/>
        <v>1.5474433701241312</v>
      </c>
      <c r="Q604" s="581">
        <f t="shared" si="954"/>
        <v>1.624815538630338</v>
      </c>
      <c r="R604" s="581">
        <f t="shared" si="954"/>
        <v>1.7060563155618549</v>
      </c>
      <c r="S604" s="581">
        <f t="shared" si="954"/>
        <v>1.7913591313399475</v>
      </c>
      <c r="T604" s="581">
        <f t="shared" si="954"/>
        <v>1.8809270879069451</v>
      </c>
      <c r="U604" s="581">
        <f t="shared" si="954"/>
        <v>1.9749734423022924</v>
      </c>
      <c r="V604" s="581">
        <f t="shared" si="954"/>
        <v>2.0737221144174067</v>
      </c>
      <c r="W604" s="581">
        <f t="shared" si="954"/>
        <v>2.1774082201382772</v>
      </c>
      <c r="X604" s="581">
        <f t="shared" si="954"/>
        <v>2.2862786311451915</v>
      </c>
      <c r="Y604" s="581">
        <f t="shared" si="954"/>
        <v>2.4005925627024505</v>
      </c>
      <c r="Z604" s="581">
        <f t="shared" si="954"/>
        <v>2.5206221908375732</v>
      </c>
      <c r="AA604" s="581">
        <f t="shared" si="954"/>
        <v>2.6466533003794512</v>
      </c>
      <c r="AB604" s="581">
        <f t="shared" si="954"/>
        <v>2.7789859653984248</v>
      </c>
      <c r="AC604" s="581">
        <f t="shared" si="954"/>
        <v>2.9179352636683458</v>
      </c>
      <c r="AD604" s="581">
        <f t="shared" si="954"/>
        <v>3.063832026851764</v>
      </c>
      <c r="AE604" s="581">
        <f t="shared" si="954"/>
        <v>3.2170236281943514</v>
      </c>
      <c r="AF604" s="581">
        <f t="shared" si="954"/>
        <v>3.3778748096040694</v>
      </c>
      <c r="AG604" s="581">
        <f t="shared" si="954"/>
        <v>3.5467685500842729</v>
      </c>
      <c r="AH604" s="581">
        <f t="shared" si="954"/>
        <v>3.7241069775884861</v>
      </c>
      <c r="AI604" s="581">
        <f t="shared" si="954"/>
        <v>3.9103123264679103</v>
      </c>
      <c r="AJ604" s="581">
        <f t="shared" si="954"/>
        <v>4.1058279427913069</v>
      </c>
    </row>
    <row r="605" spans="1:36" hidden="1" x14ac:dyDescent="0.25">
      <c r="A605" t="s">
        <v>696</v>
      </c>
      <c r="E605" t="s">
        <v>172</v>
      </c>
      <c r="H605" s="575" t="s">
        <v>520</v>
      </c>
      <c r="I605" s="576" t="str">
        <f t="shared" si="947"/>
        <v>VND/phôi</v>
      </c>
      <c r="K605" s="581"/>
      <c r="L605" s="581">
        <f t="shared" ref="L605:AJ605" si="955">-IF($H$9="USD",L535/L517/$H$10*10^3,L535/L517/$H$10)</f>
        <v>4.3661969680851325</v>
      </c>
      <c r="M605" s="581">
        <f t="shared" si="955"/>
        <v>3.1187121200608092</v>
      </c>
      <c r="N605" s="581">
        <f t="shared" si="955"/>
        <v>2.1830984840425662</v>
      </c>
      <c r="O605" s="581">
        <f t="shared" si="955"/>
        <v>2.1830984840425662</v>
      </c>
      <c r="P605" s="581">
        <f t="shared" si="955"/>
        <v>2.1830984840425662</v>
      </c>
      <c r="Q605" s="581">
        <f t="shared" si="955"/>
        <v>2.1830984840425662</v>
      </c>
      <c r="R605" s="581">
        <f t="shared" si="955"/>
        <v>2.1830984840425662</v>
      </c>
      <c r="S605" s="581">
        <f t="shared" si="955"/>
        <v>2.1830984840425662</v>
      </c>
      <c r="T605" s="581">
        <f t="shared" si="955"/>
        <v>2.1830984840425662</v>
      </c>
      <c r="U605" s="581">
        <f t="shared" si="955"/>
        <v>2.1830984840425662</v>
      </c>
      <c r="V605" s="581">
        <f t="shared" si="955"/>
        <v>2.1830984840425662</v>
      </c>
      <c r="W605" s="581">
        <f t="shared" si="955"/>
        <v>2.1830984840425662</v>
      </c>
      <c r="X605" s="581">
        <f t="shared" si="955"/>
        <v>2.1830984840425662</v>
      </c>
      <c r="Y605" s="581">
        <f t="shared" si="955"/>
        <v>2.1830984840425662</v>
      </c>
      <c r="Z605" s="581">
        <f t="shared" si="955"/>
        <v>2.1830984840425662</v>
      </c>
      <c r="AA605" s="581">
        <f t="shared" si="955"/>
        <v>2.1830984840425662</v>
      </c>
      <c r="AB605" s="581">
        <f t="shared" si="955"/>
        <v>2.1830984840425662</v>
      </c>
      <c r="AC605" s="581">
        <f t="shared" si="955"/>
        <v>2.1830984840425662</v>
      </c>
      <c r="AD605" s="581">
        <f t="shared" si="955"/>
        <v>2.1830984840425662</v>
      </c>
      <c r="AE605" s="581">
        <f t="shared" si="955"/>
        <v>2.1830984840425662</v>
      </c>
      <c r="AF605" s="581">
        <f t="shared" si="955"/>
        <v>2.1830984840425662</v>
      </c>
      <c r="AG605" s="581">
        <f t="shared" si="955"/>
        <v>2.1830984840425662</v>
      </c>
      <c r="AH605" s="581">
        <f t="shared" si="955"/>
        <v>2.1830984840425662</v>
      </c>
      <c r="AI605" s="581">
        <f t="shared" si="955"/>
        <v>2.1830984840425662</v>
      </c>
      <c r="AJ605" s="581">
        <f t="shared" si="955"/>
        <v>2.1830984840425662</v>
      </c>
    </row>
    <row r="606" spans="1:36" hidden="1" x14ac:dyDescent="0.25">
      <c r="A606" t="s">
        <v>696</v>
      </c>
      <c r="H606" s="289"/>
      <c r="I606" s="290"/>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c r="AJ606" s="294"/>
    </row>
    <row r="607" spans="1:36" s="1" customFormat="1" hidden="1" x14ac:dyDescent="0.25">
      <c r="A607" s="1" t="s">
        <v>696</v>
      </c>
      <c r="H607" s="287" t="s">
        <v>435</v>
      </c>
      <c r="I607" s="288" t="str">
        <f t="shared" ref="I607:I631" si="956">IF($H$9="USD","USD/1.000 phôi","VND/phôi")</f>
        <v>VND/phôi</v>
      </c>
      <c r="K607" s="295">
        <f>K608+K611+K614</f>
        <v>0</v>
      </c>
      <c r="L607" s="295">
        <f t="shared" ref="L607:AJ607" si="957">L608+L611+L614</f>
        <v>449.19330982664235</v>
      </c>
      <c r="M607" s="295">
        <f t="shared" si="957"/>
        <v>446.42850374202067</v>
      </c>
      <c r="N607" s="295">
        <f t="shared" si="957"/>
        <v>454.34041490211587</v>
      </c>
      <c r="O607" s="295">
        <f t="shared" si="957"/>
        <v>464.58365802475885</v>
      </c>
      <c r="P607" s="295">
        <f t="shared" si="957"/>
        <v>475.09268394869514</v>
      </c>
      <c r="Q607" s="295">
        <f t="shared" si="957"/>
        <v>485.87585422689295</v>
      </c>
      <c r="R607" s="295">
        <f t="shared" si="957"/>
        <v>496.94184993822643</v>
      </c>
      <c r="S607" s="295">
        <f t="shared" si="957"/>
        <v>508.29968569273683</v>
      </c>
      <c r="T607" s="295">
        <f t="shared" si="957"/>
        <v>519.95872429773522</v>
      </c>
      <c r="U607" s="295">
        <f t="shared" si="957"/>
        <v>531.92869211700133</v>
      </c>
      <c r="V607" s="295">
        <f t="shared" si="957"/>
        <v>544.21969515692911</v>
      </c>
      <c r="W607" s="295">
        <f t="shared" si="957"/>
        <v>556.84223591514524</v>
      </c>
      <c r="X607" s="295">
        <f t="shared" si="957"/>
        <v>567.37954855975329</v>
      </c>
      <c r="Y607" s="295">
        <f t="shared" si="957"/>
        <v>580.69834729315585</v>
      </c>
      <c r="Z607" s="295">
        <f t="shared" si="957"/>
        <v>594.38275090447803</v>
      </c>
      <c r="AA607" s="295">
        <f t="shared" si="957"/>
        <v>608.44503293644107</v>
      </c>
      <c r="AB607" s="295">
        <f t="shared" si="957"/>
        <v>622.89796047487835</v>
      </c>
      <c r="AC607" s="295">
        <f t="shared" si="957"/>
        <v>637.75481642321142</v>
      </c>
      <c r="AD607" s="295">
        <f t="shared" si="957"/>
        <v>653.02942284259416</v>
      </c>
      <c r="AE607" s="295">
        <f t="shared" si="957"/>
        <v>668.73616541005185</v>
      </c>
      <c r="AF607" s="295">
        <f t="shared" si="957"/>
        <v>684.89001904953057</v>
      </c>
      <c r="AG607" s="295">
        <f t="shared" si="957"/>
        <v>701.50657479350411</v>
      </c>
      <c r="AH607" s="295">
        <f t="shared" si="957"/>
        <v>718.6020679356476</v>
      </c>
      <c r="AI607" s="295">
        <f t="shared" si="957"/>
        <v>736.19340753808922</v>
      </c>
      <c r="AJ607" s="295">
        <f t="shared" si="957"/>
        <v>754.29820735990734</v>
      </c>
    </row>
    <row r="608" spans="1:36" hidden="1" x14ac:dyDescent="0.25">
      <c r="A608" t="s">
        <v>696</v>
      </c>
      <c r="H608" s="573" t="s">
        <v>454</v>
      </c>
      <c r="I608" s="574" t="str">
        <f t="shared" si="956"/>
        <v>VND/phôi</v>
      </c>
      <c r="K608" s="583">
        <f>SUM(K609:K610)</f>
        <v>0</v>
      </c>
      <c r="L608" s="583">
        <f t="shared" ref="L608:AJ608" si="958">SUM(L609:L610)</f>
        <v>402.58064516129031</v>
      </c>
      <c r="M608" s="583">
        <f t="shared" si="958"/>
        <v>402.58064516129042</v>
      </c>
      <c r="N608" s="583">
        <f t="shared" si="958"/>
        <v>410.63225806451618</v>
      </c>
      <c r="O608" s="583">
        <f t="shared" si="958"/>
        <v>418.84490322580649</v>
      </c>
      <c r="P608" s="583">
        <f t="shared" si="958"/>
        <v>427.22180129032256</v>
      </c>
      <c r="Q608" s="583">
        <f t="shared" si="958"/>
        <v>435.76623731612904</v>
      </c>
      <c r="R608" s="583">
        <f t="shared" si="958"/>
        <v>444.48156206245164</v>
      </c>
      <c r="S608" s="583">
        <f t="shared" si="958"/>
        <v>453.37119330370069</v>
      </c>
      <c r="T608" s="583">
        <f t="shared" si="958"/>
        <v>462.4386171697746</v>
      </c>
      <c r="U608" s="583">
        <f t="shared" si="958"/>
        <v>471.68738951317005</v>
      </c>
      <c r="V608" s="583">
        <f t="shared" si="958"/>
        <v>481.12113730343356</v>
      </c>
      <c r="W608" s="583">
        <f t="shared" si="958"/>
        <v>490.74356004950221</v>
      </c>
      <c r="X608" s="583">
        <f t="shared" si="958"/>
        <v>500.55843125049216</v>
      </c>
      <c r="Y608" s="583">
        <f t="shared" si="958"/>
        <v>510.56959987550215</v>
      </c>
      <c r="Z608" s="583">
        <f t="shared" si="958"/>
        <v>520.78099187301211</v>
      </c>
      <c r="AA608" s="583">
        <f t="shared" si="958"/>
        <v>531.19661171047244</v>
      </c>
      <c r="AB608" s="583">
        <f t="shared" si="958"/>
        <v>541.82054394468173</v>
      </c>
      <c r="AC608" s="583">
        <f t="shared" si="958"/>
        <v>552.65695482357557</v>
      </c>
      <c r="AD608" s="583">
        <f t="shared" si="958"/>
        <v>563.71009392004692</v>
      </c>
      <c r="AE608" s="583">
        <f t="shared" si="958"/>
        <v>574.98429579844776</v>
      </c>
      <c r="AF608" s="583">
        <f t="shared" si="958"/>
        <v>586.48398171441681</v>
      </c>
      <c r="AG608" s="583">
        <f t="shared" si="958"/>
        <v>598.21366134870516</v>
      </c>
      <c r="AH608" s="583">
        <f t="shared" si="958"/>
        <v>610.17793457567916</v>
      </c>
      <c r="AI608" s="583">
        <f t="shared" si="958"/>
        <v>622.38149326719292</v>
      </c>
      <c r="AJ608" s="583">
        <f t="shared" si="958"/>
        <v>634.82912313253667</v>
      </c>
    </row>
    <row r="609" spans="1:36" s="299" customFormat="1" hidden="1" x14ac:dyDescent="0.25">
      <c r="A609" s="299" t="s">
        <v>696</v>
      </c>
      <c r="E609" s="299" t="s">
        <v>536</v>
      </c>
      <c r="H609" s="577" t="s">
        <v>167</v>
      </c>
      <c r="I609" s="578" t="str">
        <f t="shared" si="956"/>
        <v>VND/phôi</v>
      </c>
      <c r="K609" s="582"/>
      <c r="L609" s="582">
        <f>-IF($H$9="USD",L539/L517/$H$10*10^3,L539/L517/$H$10)</f>
        <v>374.4</v>
      </c>
      <c r="M609" s="582">
        <f t="shared" ref="M609:AJ609" si="959">-IF($H$9="USD",M539/M517/$H$10*10^3,M539/M517/$H$10)</f>
        <v>374.40000000000003</v>
      </c>
      <c r="N609" s="582">
        <f t="shared" si="959"/>
        <v>381.88799999999998</v>
      </c>
      <c r="O609" s="582">
        <f t="shared" si="959"/>
        <v>389.52575999999999</v>
      </c>
      <c r="P609" s="582">
        <f t="shared" si="959"/>
        <v>397.31627519999995</v>
      </c>
      <c r="Q609" s="582">
        <f t="shared" si="959"/>
        <v>405.26260070400002</v>
      </c>
      <c r="R609" s="582">
        <f t="shared" si="959"/>
        <v>413.36785271808003</v>
      </c>
      <c r="S609" s="582">
        <f t="shared" si="959"/>
        <v>421.63520977244161</v>
      </c>
      <c r="T609" s="582">
        <f t="shared" si="959"/>
        <v>430.06791396789032</v>
      </c>
      <c r="U609" s="582">
        <f t="shared" si="959"/>
        <v>438.66927224724816</v>
      </c>
      <c r="V609" s="582">
        <f t="shared" si="959"/>
        <v>447.44265769219317</v>
      </c>
      <c r="W609" s="582">
        <f t="shared" si="959"/>
        <v>456.39151084603702</v>
      </c>
      <c r="X609" s="582">
        <f t="shared" si="959"/>
        <v>465.51934106295772</v>
      </c>
      <c r="Y609" s="582">
        <f t="shared" si="959"/>
        <v>474.82972788421694</v>
      </c>
      <c r="Z609" s="582">
        <f t="shared" si="959"/>
        <v>484.32632244190125</v>
      </c>
      <c r="AA609" s="582">
        <f t="shared" si="959"/>
        <v>494.01284889073935</v>
      </c>
      <c r="AB609" s="582">
        <f t="shared" si="959"/>
        <v>503.89310586855402</v>
      </c>
      <c r="AC609" s="582">
        <f t="shared" si="959"/>
        <v>513.9709679859252</v>
      </c>
      <c r="AD609" s="582">
        <f t="shared" si="959"/>
        <v>524.25038734564362</v>
      </c>
      <c r="AE609" s="582">
        <f t="shared" si="959"/>
        <v>534.73539509255636</v>
      </c>
      <c r="AF609" s="582">
        <f t="shared" si="959"/>
        <v>545.43010299440755</v>
      </c>
      <c r="AG609" s="582">
        <f t="shared" si="959"/>
        <v>556.33870505429581</v>
      </c>
      <c r="AH609" s="582">
        <f t="shared" si="959"/>
        <v>567.46547915538156</v>
      </c>
      <c r="AI609" s="582">
        <f t="shared" si="959"/>
        <v>578.81478873848937</v>
      </c>
      <c r="AJ609" s="582">
        <f t="shared" si="959"/>
        <v>590.39108451325899</v>
      </c>
    </row>
    <row r="610" spans="1:36" s="299" customFormat="1" hidden="1" x14ac:dyDescent="0.25">
      <c r="A610" s="299" t="s">
        <v>696</v>
      </c>
      <c r="E610" s="299" t="s">
        <v>537</v>
      </c>
      <c r="H610" s="646" t="s">
        <v>203</v>
      </c>
      <c r="I610" s="647" t="str">
        <f t="shared" si="956"/>
        <v>VND/phôi</v>
      </c>
      <c r="K610" s="648"/>
      <c r="L610" s="648">
        <f t="shared" ref="L610:AJ610" si="960">-IF($H$9="USD",L540/L517/$H$10*10^3,L540/L517/$H$10)</f>
        <v>28.180645161290336</v>
      </c>
      <c r="M610" s="648">
        <f t="shared" si="960"/>
        <v>28.180645161290371</v>
      </c>
      <c r="N610" s="648">
        <f t="shared" si="960"/>
        <v>28.744258064516178</v>
      </c>
      <c r="O610" s="648">
        <f t="shared" si="960"/>
        <v>29.319143225806506</v>
      </c>
      <c r="P610" s="648">
        <f t="shared" si="960"/>
        <v>29.905526090322624</v>
      </c>
      <c r="Q610" s="648">
        <f t="shared" si="960"/>
        <v>30.503636612129036</v>
      </c>
      <c r="R610" s="648">
        <f t="shared" si="960"/>
        <v>31.113709344371639</v>
      </c>
      <c r="S610" s="648">
        <f t="shared" si="960"/>
        <v>31.735983531259077</v>
      </c>
      <c r="T610" s="648">
        <f t="shared" si="960"/>
        <v>32.370703201884282</v>
      </c>
      <c r="U610" s="648">
        <f t="shared" si="960"/>
        <v>33.018117265921916</v>
      </c>
      <c r="V610" s="648">
        <f t="shared" si="960"/>
        <v>33.678479611240391</v>
      </c>
      <c r="W610" s="648">
        <f t="shared" si="960"/>
        <v>34.352049203465171</v>
      </c>
      <c r="X610" s="648">
        <f t="shared" si="960"/>
        <v>35.039090187534455</v>
      </c>
      <c r="Y610" s="648">
        <f t="shared" si="960"/>
        <v>35.739871991285206</v>
      </c>
      <c r="Z610" s="648">
        <f t="shared" si="960"/>
        <v>36.454669431110879</v>
      </c>
      <c r="AA610" s="648">
        <f t="shared" si="960"/>
        <v>37.18376281973309</v>
      </c>
      <c r="AB610" s="648">
        <f t="shared" si="960"/>
        <v>37.927438076127729</v>
      </c>
      <c r="AC610" s="648">
        <f t="shared" si="960"/>
        <v>38.685986837650347</v>
      </c>
      <c r="AD610" s="648">
        <f t="shared" si="960"/>
        <v>39.459706574403299</v>
      </c>
      <c r="AE610" s="648">
        <f t="shared" si="960"/>
        <v>40.248900705891366</v>
      </c>
      <c r="AF610" s="648">
        <f t="shared" si="960"/>
        <v>41.05387872000923</v>
      </c>
      <c r="AG610" s="648">
        <f t="shared" si="960"/>
        <v>41.874956294409365</v>
      </c>
      <c r="AH610" s="648">
        <f t="shared" si="960"/>
        <v>42.712455420297601</v>
      </c>
      <c r="AI610" s="648">
        <f t="shared" si="960"/>
        <v>43.566704528703553</v>
      </c>
      <c r="AJ610" s="648">
        <f t="shared" si="960"/>
        <v>44.438038619277648</v>
      </c>
    </row>
    <row r="611" spans="1:36" hidden="1" x14ac:dyDescent="0.25">
      <c r="A611" t="s">
        <v>696</v>
      </c>
      <c r="E611" t="s">
        <v>177</v>
      </c>
      <c r="H611" s="575" t="s">
        <v>676</v>
      </c>
      <c r="I611" s="576" t="str">
        <f t="shared" si="956"/>
        <v>VND/phôi</v>
      </c>
      <c r="K611" s="584">
        <f>SUM(K612:K613)</f>
        <v>0</v>
      </c>
      <c r="L611" s="584">
        <f t="shared" ref="L611:AJ611" si="961">SUM(L612:L613)</f>
        <v>3.0630387096774192</v>
      </c>
      <c r="M611" s="584">
        <f t="shared" si="961"/>
        <v>3.0630387096774196</v>
      </c>
      <c r="N611" s="584">
        <f t="shared" si="961"/>
        <v>3.2161906451612912</v>
      </c>
      <c r="O611" s="584">
        <f t="shared" si="961"/>
        <v>3.377000177419355</v>
      </c>
      <c r="P611" s="584">
        <f t="shared" si="961"/>
        <v>3.5458501862903229</v>
      </c>
      <c r="Q611" s="584">
        <f t="shared" si="961"/>
        <v>3.7231426956048392</v>
      </c>
      <c r="R611" s="584">
        <f t="shared" si="961"/>
        <v>3.9092998303850814</v>
      </c>
      <c r="S611" s="584">
        <f t="shared" si="961"/>
        <v>4.1047648219043342</v>
      </c>
      <c r="T611" s="584">
        <f t="shared" si="961"/>
        <v>4.3100030629995523</v>
      </c>
      <c r="U611" s="584">
        <f t="shared" si="961"/>
        <v>4.525503216149529</v>
      </c>
      <c r="V611" s="584">
        <f t="shared" si="961"/>
        <v>4.7517783769570059</v>
      </c>
      <c r="W611" s="584">
        <f t="shared" si="961"/>
        <v>4.9893672958048558</v>
      </c>
      <c r="X611" s="584">
        <f t="shared" si="961"/>
        <v>5.2388356605950994</v>
      </c>
      <c r="Y611" s="584">
        <f t="shared" si="961"/>
        <v>5.5007774436248544</v>
      </c>
      <c r="Z611" s="584">
        <f t="shared" si="961"/>
        <v>5.7758163158060976</v>
      </c>
      <c r="AA611" s="584">
        <f t="shared" si="961"/>
        <v>6.0646071315964001</v>
      </c>
      <c r="AB611" s="584">
        <f t="shared" si="961"/>
        <v>6.3678374881762236</v>
      </c>
      <c r="AC611" s="584">
        <f t="shared" si="961"/>
        <v>6.6862293625850331</v>
      </c>
      <c r="AD611" s="584">
        <f t="shared" si="961"/>
        <v>7.0205408307142863</v>
      </c>
      <c r="AE611" s="584">
        <f t="shared" si="961"/>
        <v>7.37156787225</v>
      </c>
      <c r="AF611" s="584">
        <f t="shared" si="961"/>
        <v>7.7401462658625002</v>
      </c>
      <c r="AG611" s="584">
        <f t="shared" si="961"/>
        <v>8.1271535791556264</v>
      </c>
      <c r="AH611" s="584">
        <f t="shared" si="961"/>
        <v>8.5335112581134069</v>
      </c>
      <c r="AI611" s="584">
        <f t="shared" si="961"/>
        <v>8.9601868210190769</v>
      </c>
      <c r="AJ611" s="584">
        <f t="shared" si="961"/>
        <v>9.4081961620700323</v>
      </c>
    </row>
    <row r="612" spans="1:36" s="299" customFormat="1" hidden="1" x14ac:dyDescent="0.25">
      <c r="A612" s="299" t="s">
        <v>696</v>
      </c>
      <c r="H612" s="577" t="s">
        <v>673</v>
      </c>
      <c r="I612" s="578" t="str">
        <f t="shared" si="956"/>
        <v>VND/phôi</v>
      </c>
      <c r="K612" s="582"/>
      <c r="L612" s="582">
        <f>-IF($H$9="USD",L542/L517/$H$10*10^3,L542/L517/$H$10)</f>
        <v>3.0630387096774192</v>
      </c>
      <c r="M612" s="582">
        <f t="shared" ref="M612:AJ612" si="962">-IF($H$9="USD",M542/M517/$H$10*10^3,M542/M517/$H$10)</f>
        <v>3.0630387096774196</v>
      </c>
      <c r="N612" s="582">
        <f t="shared" si="962"/>
        <v>3.2161906451612912</v>
      </c>
      <c r="O612" s="582">
        <f t="shared" si="962"/>
        <v>3.377000177419355</v>
      </c>
      <c r="P612" s="582">
        <f t="shared" si="962"/>
        <v>3.5458501862903229</v>
      </c>
      <c r="Q612" s="582">
        <f t="shared" si="962"/>
        <v>3.7231426956048392</v>
      </c>
      <c r="R612" s="582">
        <f t="shared" si="962"/>
        <v>3.9092998303850814</v>
      </c>
      <c r="S612" s="582">
        <f t="shared" si="962"/>
        <v>4.1047648219043342</v>
      </c>
      <c r="T612" s="582">
        <f t="shared" si="962"/>
        <v>4.3100030629995523</v>
      </c>
      <c r="U612" s="582">
        <f t="shared" si="962"/>
        <v>4.525503216149529</v>
      </c>
      <c r="V612" s="582">
        <f t="shared" si="962"/>
        <v>4.7517783769570059</v>
      </c>
      <c r="W612" s="582">
        <f t="shared" si="962"/>
        <v>4.9893672958048558</v>
      </c>
      <c r="X612" s="582">
        <f t="shared" si="962"/>
        <v>5.2388356605950994</v>
      </c>
      <c r="Y612" s="582">
        <f t="shared" si="962"/>
        <v>5.5007774436248544</v>
      </c>
      <c r="Z612" s="582">
        <f t="shared" si="962"/>
        <v>5.7758163158060976</v>
      </c>
      <c r="AA612" s="582">
        <f t="shared" si="962"/>
        <v>6.0646071315964001</v>
      </c>
      <c r="AB612" s="582">
        <f t="shared" si="962"/>
        <v>6.3678374881762236</v>
      </c>
      <c r="AC612" s="582">
        <f t="shared" si="962"/>
        <v>6.6862293625850331</v>
      </c>
      <c r="AD612" s="582">
        <f t="shared" si="962"/>
        <v>7.0205408307142863</v>
      </c>
      <c r="AE612" s="582">
        <f t="shared" si="962"/>
        <v>7.37156787225</v>
      </c>
      <c r="AF612" s="582">
        <f t="shared" si="962"/>
        <v>7.7401462658625002</v>
      </c>
      <c r="AG612" s="582">
        <f t="shared" si="962"/>
        <v>8.1271535791556264</v>
      </c>
      <c r="AH612" s="582">
        <f t="shared" si="962"/>
        <v>8.5335112581134069</v>
      </c>
      <c r="AI612" s="582">
        <f t="shared" si="962"/>
        <v>8.9601868210190769</v>
      </c>
      <c r="AJ612" s="582">
        <f t="shared" si="962"/>
        <v>9.4081961620700323</v>
      </c>
    </row>
    <row r="613" spans="1:36" s="299" customFormat="1" hidden="1" x14ac:dyDescent="0.25">
      <c r="A613" s="299" t="s">
        <v>696</v>
      </c>
      <c r="H613" s="577" t="s">
        <v>674</v>
      </c>
      <c r="I613" s="578" t="str">
        <f t="shared" si="956"/>
        <v>VND/phôi</v>
      </c>
      <c r="K613" s="582"/>
      <c r="L613" s="582">
        <f>-IF($H$9="USD",L543/L517/$H$10*10^3,L543/L517/$H$10)</f>
        <v>0</v>
      </c>
      <c r="M613" s="582">
        <f t="shared" ref="M613:AJ613" si="963">-IF($H$9="USD",M543/M517/$H$10*10^3,M543/M517/$H$10)</f>
        <v>0</v>
      </c>
      <c r="N613" s="582">
        <f t="shared" si="963"/>
        <v>0</v>
      </c>
      <c r="O613" s="582">
        <f t="shared" si="963"/>
        <v>0</v>
      </c>
      <c r="P613" s="582">
        <f t="shared" si="963"/>
        <v>0</v>
      </c>
      <c r="Q613" s="582">
        <f t="shared" si="963"/>
        <v>0</v>
      </c>
      <c r="R613" s="582">
        <f t="shared" si="963"/>
        <v>0</v>
      </c>
      <c r="S613" s="582">
        <f t="shared" si="963"/>
        <v>0</v>
      </c>
      <c r="T613" s="582">
        <f t="shared" si="963"/>
        <v>0</v>
      </c>
      <c r="U613" s="582">
        <f t="shared" si="963"/>
        <v>0</v>
      </c>
      <c r="V613" s="582">
        <f t="shared" si="963"/>
        <v>0</v>
      </c>
      <c r="W613" s="582">
        <f t="shared" si="963"/>
        <v>0</v>
      </c>
      <c r="X613" s="582">
        <f t="shared" si="963"/>
        <v>0</v>
      </c>
      <c r="Y613" s="582">
        <f t="shared" si="963"/>
        <v>0</v>
      </c>
      <c r="Z613" s="582">
        <f t="shared" si="963"/>
        <v>0</v>
      </c>
      <c r="AA613" s="582">
        <f t="shared" si="963"/>
        <v>0</v>
      </c>
      <c r="AB613" s="582">
        <f t="shared" si="963"/>
        <v>0</v>
      </c>
      <c r="AC613" s="582">
        <f t="shared" si="963"/>
        <v>0</v>
      </c>
      <c r="AD613" s="582">
        <f t="shared" si="963"/>
        <v>0</v>
      </c>
      <c r="AE613" s="582">
        <f t="shared" si="963"/>
        <v>0</v>
      </c>
      <c r="AF613" s="582">
        <f t="shared" si="963"/>
        <v>0</v>
      </c>
      <c r="AG613" s="582">
        <f t="shared" si="963"/>
        <v>0</v>
      </c>
      <c r="AH613" s="582">
        <f t="shared" si="963"/>
        <v>0</v>
      </c>
      <c r="AI613" s="582">
        <f t="shared" si="963"/>
        <v>0</v>
      </c>
      <c r="AJ613" s="582">
        <f t="shared" si="963"/>
        <v>0</v>
      </c>
    </row>
    <row r="614" spans="1:36" hidden="1" x14ac:dyDescent="0.25">
      <c r="A614" t="s">
        <v>696</v>
      </c>
      <c r="H614" s="575" t="s">
        <v>180</v>
      </c>
      <c r="I614" s="576" t="str">
        <f t="shared" si="956"/>
        <v>VND/phôi</v>
      </c>
      <c r="K614" s="584">
        <f>SUM(K615:K617)</f>
        <v>0</v>
      </c>
      <c r="L614" s="584">
        <f>SUM(L615:L617)</f>
        <v>43.549625955674657</v>
      </c>
      <c r="M614" s="584">
        <f t="shared" ref="M614:AJ614" si="964">SUM(M615:M617)</f>
        <v>40.784819871052804</v>
      </c>
      <c r="N614" s="584">
        <f t="shared" si="964"/>
        <v>40.491966192438404</v>
      </c>
      <c r="O614" s="584">
        <f t="shared" si="964"/>
        <v>42.361754621532988</v>
      </c>
      <c r="P614" s="584">
        <f t="shared" si="964"/>
        <v>44.325032472082299</v>
      </c>
      <c r="Q614" s="584">
        <f t="shared" si="964"/>
        <v>46.386474215159069</v>
      </c>
      <c r="R614" s="584">
        <f t="shared" si="964"/>
        <v>48.550988045389694</v>
      </c>
      <c r="S614" s="584">
        <f t="shared" si="964"/>
        <v>50.823727567131826</v>
      </c>
      <c r="T614" s="584">
        <f t="shared" si="964"/>
        <v>53.210104064961087</v>
      </c>
      <c r="U614" s="584">
        <f t="shared" si="964"/>
        <v>55.715799387681798</v>
      </c>
      <c r="V614" s="584">
        <f t="shared" si="964"/>
        <v>58.346779476538543</v>
      </c>
      <c r="W614" s="584">
        <f t="shared" si="964"/>
        <v>61.109308569838142</v>
      </c>
      <c r="X614" s="584">
        <f t="shared" si="964"/>
        <v>61.582281648666068</v>
      </c>
      <c r="Y614" s="584">
        <f t="shared" si="964"/>
        <v>64.627969974028858</v>
      </c>
      <c r="Z614" s="584">
        <f t="shared" si="964"/>
        <v>67.825942715659806</v>
      </c>
      <c r="AA614" s="584">
        <f t="shared" si="964"/>
        <v>71.183814094372281</v>
      </c>
      <c r="AB614" s="584">
        <f t="shared" si="964"/>
        <v>74.709579042020408</v>
      </c>
      <c r="AC614" s="584">
        <f t="shared" si="964"/>
        <v>78.411632237050924</v>
      </c>
      <c r="AD614" s="584">
        <f t="shared" si="964"/>
        <v>82.298788091832961</v>
      </c>
      <c r="AE614" s="584">
        <f t="shared" si="964"/>
        <v>86.38030173935411</v>
      </c>
      <c r="AF614" s="584">
        <f t="shared" si="964"/>
        <v>90.665891069251288</v>
      </c>
      <c r="AG614" s="584">
        <f t="shared" si="964"/>
        <v>95.165759865643338</v>
      </c>
      <c r="AH614" s="584">
        <f t="shared" si="964"/>
        <v>99.890622101855001</v>
      </c>
      <c r="AI614" s="584">
        <f t="shared" si="964"/>
        <v>104.85172744987725</v>
      </c>
      <c r="AJ614" s="584">
        <f t="shared" si="964"/>
        <v>110.06088806530062</v>
      </c>
    </row>
    <row r="615" spans="1:36" s="299" customFormat="1" hidden="1" x14ac:dyDescent="0.25">
      <c r="A615" s="299" t="s">
        <v>696</v>
      </c>
      <c r="E615" s="299" t="s">
        <v>174</v>
      </c>
      <c r="H615" s="577" t="s">
        <v>73</v>
      </c>
      <c r="I615" s="578" t="str">
        <f t="shared" si="956"/>
        <v>VND/phôi</v>
      </c>
      <c r="K615" s="582"/>
      <c r="L615" s="582">
        <f t="shared" ref="L615:AJ615" si="965">-IF($H$9="USD",L545/L517/$H$10*10^3,L545/L517/$H$10)</f>
        <v>27.847782258064516</v>
      </c>
      <c r="M615" s="582">
        <f t="shared" si="965"/>
        <v>27.847782258064512</v>
      </c>
      <c r="N615" s="582">
        <f t="shared" si="965"/>
        <v>29.24017137096774</v>
      </c>
      <c r="O615" s="582">
        <f t="shared" si="965"/>
        <v>30.702179939516128</v>
      </c>
      <c r="P615" s="582">
        <f t="shared" si="965"/>
        <v>32.237288936491936</v>
      </c>
      <c r="Q615" s="582">
        <f t="shared" si="965"/>
        <v>33.849153383316526</v>
      </c>
      <c r="R615" s="582">
        <f t="shared" si="965"/>
        <v>35.541611052482359</v>
      </c>
      <c r="S615" s="582">
        <f t="shared" si="965"/>
        <v>37.318691605106473</v>
      </c>
      <c r="T615" s="582">
        <f t="shared" si="965"/>
        <v>39.1846261853618</v>
      </c>
      <c r="U615" s="582">
        <f t="shared" si="965"/>
        <v>41.143857494629891</v>
      </c>
      <c r="V615" s="582">
        <f t="shared" si="965"/>
        <v>43.201050369361383</v>
      </c>
      <c r="W615" s="582">
        <f t="shared" si="965"/>
        <v>45.36110288782946</v>
      </c>
      <c r="X615" s="582">
        <f t="shared" si="965"/>
        <v>47.629158032220928</v>
      </c>
      <c r="Y615" s="582">
        <f t="shared" si="965"/>
        <v>50.010615933831971</v>
      </c>
      <c r="Z615" s="582">
        <f t="shared" si="965"/>
        <v>52.511146730523578</v>
      </c>
      <c r="AA615" s="582">
        <f t="shared" si="965"/>
        <v>55.136704067049749</v>
      </c>
      <c r="AB615" s="582">
        <f t="shared" si="965"/>
        <v>57.893539270402258</v>
      </c>
      <c r="AC615" s="582">
        <f t="shared" si="965"/>
        <v>60.788216233922363</v>
      </c>
      <c r="AD615" s="582">
        <f t="shared" si="965"/>
        <v>63.827627045618485</v>
      </c>
      <c r="AE615" s="582">
        <f t="shared" si="965"/>
        <v>67.019008397899412</v>
      </c>
      <c r="AF615" s="582">
        <f t="shared" si="965"/>
        <v>70.36995881779437</v>
      </c>
      <c r="AG615" s="582">
        <f t="shared" si="965"/>
        <v>73.8884567586841</v>
      </c>
      <c r="AH615" s="582">
        <f t="shared" si="965"/>
        <v>77.582879596618298</v>
      </c>
      <c r="AI615" s="582">
        <f t="shared" si="965"/>
        <v>81.462023576449212</v>
      </c>
      <c r="AJ615" s="582">
        <f t="shared" si="965"/>
        <v>85.535124755271696</v>
      </c>
    </row>
    <row r="616" spans="1:36" s="299" customFormat="1" hidden="1" x14ac:dyDescent="0.25">
      <c r="A616" s="299" t="s">
        <v>696</v>
      </c>
      <c r="E616" s="299" t="s">
        <v>306</v>
      </c>
      <c r="H616" s="577" t="s">
        <v>192</v>
      </c>
      <c r="I616" s="578" t="str">
        <f t="shared" si="956"/>
        <v>VND/phôi</v>
      </c>
      <c r="K616" s="582"/>
      <c r="L616" s="582">
        <f t="shared" ref="L616:AJ616" si="966">-IF($H$9="USD",L546/L517/$H$10*10^3,L546/L517/$H$10)</f>
        <v>4.7222222222222214</v>
      </c>
      <c r="M616" s="582">
        <f t="shared" si="966"/>
        <v>4.7222222222222214</v>
      </c>
      <c r="N616" s="582">
        <f t="shared" si="966"/>
        <v>4.958333333333333</v>
      </c>
      <c r="O616" s="582">
        <f t="shared" si="966"/>
        <v>5.2062499999999998</v>
      </c>
      <c r="P616" s="582">
        <f t="shared" si="966"/>
        <v>5.4665624999999993</v>
      </c>
      <c r="Q616" s="582">
        <f t="shared" si="966"/>
        <v>5.7398906249999992</v>
      </c>
      <c r="R616" s="582">
        <f t="shared" si="966"/>
        <v>6.0268851562500005</v>
      </c>
      <c r="S616" s="582">
        <f t="shared" si="966"/>
        <v>6.3282294140624984</v>
      </c>
      <c r="T616" s="582">
        <f t="shared" si="966"/>
        <v>6.6446408847656251</v>
      </c>
      <c r="U616" s="582">
        <f t="shared" si="966"/>
        <v>6.976872929003906</v>
      </c>
      <c r="V616" s="582">
        <f t="shared" si="966"/>
        <v>7.3257165754541012</v>
      </c>
      <c r="W616" s="582">
        <f t="shared" si="966"/>
        <v>7.6920024042268071</v>
      </c>
      <c r="X616" s="582">
        <f t="shared" si="966"/>
        <v>8.0766025244381474</v>
      </c>
      <c r="Y616" s="582">
        <f t="shared" si="966"/>
        <v>8.4804326506600525</v>
      </c>
      <c r="Z616" s="582">
        <f t="shared" si="966"/>
        <v>8.9044542831930595</v>
      </c>
      <c r="AA616" s="582">
        <f t="shared" si="966"/>
        <v>9.3496769973527094</v>
      </c>
      <c r="AB616" s="582">
        <f t="shared" si="966"/>
        <v>9.8171608472203467</v>
      </c>
      <c r="AC616" s="582">
        <f t="shared" si="966"/>
        <v>10.308018889581364</v>
      </c>
      <c r="AD616" s="582">
        <f t="shared" si="966"/>
        <v>10.823419834060434</v>
      </c>
      <c r="AE616" s="582">
        <f t="shared" si="966"/>
        <v>11.364590825763454</v>
      </c>
      <c r="AF616" s="582">
        <f t="shared" si="966"/>
        <v>11.932820367051628</v>
      </c>
      <c r="AG616" s="582">
        <f t="shared" si="966"/>
        <v>12.529461385404209</v>
      </c>
      <c r="AH616" s="582">
        <f t="shared" si="966"/>
        <v>13.155934454674419</v>
      </c>
      <c r="AI616" s="582">
        <f t="shared" si="966"/>
        <v>13.813731177408139</v>
      </c>
      <c r="AJ616" s="582">
        <f t="shared" si="966"/>
        <v>14.504417736278548</v>
      </c>
    </row>
    <row r="617" spans="1:36" s="299" customFormat="1" hidden="1" x14ac:dyDescent="0.25">
      <c r="A617" s="299" t="s">
        <v>696</v>
      </c>
      <c r="E617" s="299" t="s">
        <v>172</v>
      </c>
      <c r="H617" s="577" t="s">
        <v>175</v>
      </c>
      <c r="I617" s="578" t="str">
        <f t="shared" si="956"/>
        <v>VND/phôi</v>
      </c>
      <c r="K617" s="582"/>
      <c r="L617" s="582">
        <f t="shared" ref="L617:AJ617" si="967">-IF($H$9="USD",L547/L517/$H$10*10^3,L547/L517/$H$10)</f>
        <v>10.979621475387912</v>
      </c>
      <c r="M617" s="582">
        <f t="shared" si="967"/>
        <v>8.2148153907660717</v>
      </c>
      <c r="N617" s="582">
        <f t="shared" si="967"/>
        <v>6.2934614881373347</v>
      </c>
      <c r="O617" s="582">
        <f t="shared" si="967"/>
        <v>6.4533246820168619</v>
      </c>
      <c r="P617" s="582">
        <f t="shared" si="967"/>
        <v>6.6211810355903635</v>
      </c>
      <c r="Q617" s="582">
        <f t="shared" si="967"/>
        <v>6.7974302068425425</v>
      </c>
      <c r="R617" s="582">
        <f t="shared" si="967"/>
        <v>6.9824918366573296</v>
      </c>
      <c r="S617" s="582">
        <f t="shared" si="967"/>
        <v>7.1768065479628564</v>
      </c>
      <c r="T617" s="582">
        <f t="shared" si="967"/>
        <v>7.3808369948336585</v>
      </c>
      <c r="U617" s="582">
        <f t="shared" si="967"/>
        <v>7.5950689640480018</v>
      </c>
      <c r="V617" s="582">
        <f t="shared" si="967"/>
        <v>7.8200125317230604</v>
      </c>
      <c r="W617" s="582">
        <f t="shared" si="967"/>
        <v>8.056203277781874</v>
      </c>
      <c r="X617" s="582">
        <f t="shared" si="967"/>
        <v>5.8765210920069988</v>
      </c>
      <c r="Y617" s="582">
        <f t="shared" si="967"/>
        <v>6.1369213895368393</v>
      </c>
      <c r="Z617" s="582">
        <f t="shared" si="967"/>
        <v>6.4103417019431745</v>
      </c>
      <c r="AA617" s="582">
        <f t="shared" si="967"/>
        <v>6.6974330299698241</v>
      </c>
      <c r="AB617" s="582">
        <f t="shared" si="967"/>
        <v>6.9988789243978067</v>
      </c>
      <c r="AC617" s="582">
        <f t="shared" si="967"/>
        <v>7.3153971135471885</v>
      </c>
      <c r="AD617" s="582">
        <f t="shared" si="967"/>
        <v>7.6477412121540409</v>
      </c>
      <c r="AE617" s="582">
        <f t="shared" si="967"/>
        <v>7.9967025156912328</v>
      </c>
      <c r="AF617" s="582">
        <f t="shared" si="967"/>
        <v>8.3631118844052867</v>
      </c>
      <c r="AG617" s="582">
        <f t="shared" si="967"/>
        <v>8.7478417215550408</v>
      </c>
      <c r="AH617" s="582">
        <f t="shared" si="967"/>
        <v>9.1518080505622859</v>
      </c>
      <c r="AI617" s="582">
        <f t="shared" si="967"/>
        <v>9.5759726960198908</v>
      </c>
      <c r="AJ617" s="582">
        <f t="shared" si="967"/>
        <v>10.021345573750375</v>
      </c>
    </row>
    <row r="618" spans="1:36" hidden="1" x14ac:dyDescent="0.25">
      <c r="A618" t="s">
        <v>696</v>
      </c>
      <c r="H618" s="289"/>
      <c r="I618" s="290"/>
      <c r="K618" s="296"/>
      <c r="L618" s="297"/>
      <c r="M618" s="296"/>
      <c r="N618" s="296"/>
      <c r="O618" s="296"/>
      <c r="P618" s="296"/>
      <c r="Q618" s="296"/>
      <c r="R618" s="296"/>
      <c r="S618" s="296"/>
      <c r="T618" s="296"/>
      <c r="U618" s="296"/>
      <c r="V618" s="296"/>
      <c r="W618" s="296"/>
      <c r="X618" s="296"/>
      <c r="Y618" s="296"/>
      <c r="Z618" s="296"/>
      <c r="AA618" s="296"/>
      <c r="AB618" s="296"/>
      <c r="AC618" s="296"/>
      <c r="AD618" s="296"/>
      <c r="AE618" s="296"/>
      <c r="AF618" s="296"/>
      <c r="AG618" s="296"/>
      <c r="AH618" s="296"/>
      <c r="AI618" s="296"/>
      <c r="AJ618" s="296"/>
    </row>
    <row r="619" spans="1:36" s="16" customFormat="1" hidden="1" x14ac:dyDescent="0.25">
      <c r="A619" s="16" t="s">
        <v>696</v>
      </c>
      <c r="H619" s="291" t="s">
        <v>464</v>
      </c>
      <c r="I619" s="292" t="str">
        <f t="shared" si="956"/>
        <v>VND/phôi</v>
      </c>
      <c r="K619" s="298">
        <f>K597+K607</f>
        <v>0</v>
      </c>
      <c r="L619" s="298">
        <f t="shared" ref="L619:AJ619" si="968">L597+L607</f>
        <v>691.11384223105335</v>
      </c>
      <c r="M619" s="298">
        <f t="shared" si="968"/>
        <v>619.22888403088564</v>
      </c>
      <c r="N619" s="298">
        <f t="shared" si="968"/>
        <v>577.4784474012481</v>
      </c>
      <c r="O619" s="298">
        <f t="shared" si="968"/>
        <v>590.00834513566429</v>
      </c>
      <c r="P619" s="298">
        <f t="shared" si="968"/>
        <v>602.91835840196234</v>
      </c>
      <c r="Q619" s="298">
        <f t="shared" si="968"/>
        <v>616.22256538963995</v>
      </c>
      <c r="R619" s="298">
        <f t="shared" si="968"/>
        <v>629.93564964592724</v>
      </c>
      <c r="S619" s="298">
        <f t="shared" si="968"/>
        <v>644.07292837263924</v>
      </c>
      <c r="T619" s="298">
        <f t="shared" si="968"/>
        <v>658.6503820984492</v>
      </c>
      <c r="U619" s="298">
        <f t="shared" si="968"/>
        <v>673.6846857945676</v>
      </c>
      <c r="V619" s="298">
        <f t="shared" si="968"/>
        <v>689.19324150519014</v>
      </c>
      <c r="W619" s="298">
        <f t="shared" si="968"/>
        <v>705.19421256763587</v>
      </c>
      <c r="X619" s="298">
        <f t="shared" si="968"/>
        <v>658.58681530326919</v>
      </c>
      <c r="Y619" s="298">
        <f t="shared" si="968"/>
        <v>675.63033344708481</v>
      </c>
      <c r="Z619" s="298">
        <f t="shared" si="968"/>
        <v>693.22569243934072</v>
      </c>
      <c r="AA619" s="298">
        <f t="shared" si="968"/>
        <v>711.39447762128418</v>
      </c>
      <c r="AB619" s="298">
        <f t="shared" si="968"/>
        <v>730.15923346720092</v>
      </c>
      <c r="AC619" s="298">
        <f t="shared" si="968"/>
        <v>749.54350913838744</v>
      </c>
      <c r="AD619" s="298">
        <f t="shared" si="968"/>
        <v>769.57190626676618</v>
      </c>
      <c r="AE619" s="298">
        <f t="shared" si="968"/>
        <v>790.27012907866981</v>
      </c>
      <c r="AF619" s="298">
        <f t="shared" si="968"/>
        <v>811.66503697481664</v>
      </c>
      <c r="AG619" s="298">
        <f t="shared" si="968"/>
        <v>833.78469968829177</v>
      </c>
      <c r="AH619" s="298">
        <f t="shared" si="968"/>
        <v>856.65845514841203</v>
      </c>
      <c r="AI619" s="298">
        <f t="shared" si="968"/>
        <v>880.31697018472914</v>
      </c>
      <c r="AJ619" s="298">
        <f t="shared" si="968"/>
        <v>904.79230421211651</v>
      </c>
    </row>
    <row r="620" spans="1:36" hidden="1" x14ac:dyDescent="0.25">
      <c r="A620" t="s">
        <v>696</v>
      </c>
      <c r="H620" s="289"/>
      <c r="I620" s="290"/>
      <c r="K620" s="296"/>
      <c r="L620" s="296"/>
      <c r="M620" s="296"/>
      <c r="N620" s="296"/>
      <c r="O620" s="296"/>
      <c r="P620" s="296"/>
      <c r="Q620" s="296"/>
      <c r="R620" s="296"/>
      <c r="S620" s="296"/>
      <c r="T620" s="296"/>
      <c r="U620" s="296"/>
      <c r="V620" s="296"/>
      <c r="W620" s="296"/>
      <c r="X620" s="296"/>
      <c r="Y620" s="296"/>
      <c r="Z620" s="296"/>
      <c r="AA620" s="296"/>
      <c r="AB620" s="296"/>
      <c r="AC620" s="296"/>
      <c r="AD620" s="296"/>
      <c r="AE620" s="296"/>
      <c r="AF620" s="296"/>
      <c r="AG620" s="296"/>
      <c r="AH620" s="296"/>
      <c r="AI620" s="296"/>
      <c r="AJ620" s="296"/>
    </row>
    <row r="621" spans="1:36" hidden="1" x14ac:dyDescent="0.25">
      <c r="A621" t="s">
        <v>696</v>
      </c>
      <c r="E621" t="s">
        <v>172</v>
      </c>
      <c r="H621" s="594" t="s">
        <v>166</v>
      </c>
      <c r="I621" s="595" t="str">
        <f t="shared" si="956"/>
        <v>VND/phôi</v>
      </c>
      <c r="K621" s="605"/>
      <c r="L621" s="605">
        <f>-IF($H$9="USD",L551/L517/$H$10*10^3,L551/L517/$H$10)</f>
        <v>13.333333333333334</v>
      </c>
      <c r="M621" s="605">
        <f t="shared" ref="M621:AJ621" si="969">-IF($H$9="USD",M551/M517/$H$10*10^3,M551/M517/$H$10)</f>
        <v>13.333333333333332</v>
      </c>
      <c r="N621" s="605">
        <f t="shared" si="969"/>
        <v>13.999999999999998</v>
      </c>
      <c r="O621" s="605">
        <f t="shared" si="969"/>
        <v>14.700000000000001</v>
      </c>
      <c r="P621" s="605">
        <f t="shared" si="969"/>
        <v>15.435</v>
      </c>
      <c r="Q621" s="605">
        <f t="shared" si="969"/>
        <v>16.20675</v>
      </c>
      <c r="R621" s="605">
        <f t="shared" si="969"/>
        <v>17.017087500000002</v>
      </c>
      <c r="S621" s="605">
        <f t="shared" si="969"/>
        <v>17.867941875</v>
      </c>
      <c r="T621" s="605">
        <f t="shared" si="969"/>
        <v>18.761338968750003</v>
      </c>
      <c r="U621" s="605">
        <f t="shared" si="969"/>
        <v>19.699405917187502</v>
      </c>
      <c r="V621" s="605">
        <f t="shared" si="969"/>
        <v>20.684376213046878</v>
      </c>
      <c r="W621" s="605">
        <f t="shared" si="969"/>
        <v>21.718595023699219</v>
      </c>
      <c r="X621" s="605">
        <f t="shared" si="969"/>
        <v>22.804524774884179</v>
      </c>
      <c r="Y621" s="605">
        <f t="shared" si="969"/>
        <v>23.944751013628391</v>
      </c>
      <c r="Z621" s="605">
        <f t="shared" si="969"/>
        <v>25.141988564309816</v>
      </c>
      <c r="AA621" s="605">
        <f t="shared" si="969"/>
        <v>26.399087992525299</v>
      </c>
      <c r="AB621" s="605">
        <f t="shared" si="969"/>
        <v>27.719042392151572</v>
      </c>
      <c r="AC621" s="605">
        <f t="shared" si="969"/>
        <v>29.104994511759148</v>
      </c>
      <c r="AD621" s="605">
        <f t="shared" si="969"/>
        <v>30.56024423734711</v>
      </c>
      <c r="AE621" s="605">
        <f t="shared" si="969"/>
        <v>32.088256449214462</v>
      </c>
      <c r="AF621" s="605">
        <f t="shared" si="969"/>
        <v>33.692669271675186</v>
      </c>
      <c r="AG621" s="605">
        <f t="shared" si="969"/>
        <v>35.377302735258944</v>
      </c>
      <c r="AH621" s="605">
        <f t="shared" si="969"/>
        <v>37.146167872021891</v>
      </c>
      <c r="AI621" s="605">
        <f t="shared" si="969"/>
        <v>39.003476265622986</v>
      </c>
      <c r="AJ621" s="605">
        <f t="shared" si="969"/>
        <v>40.95365007890414</v>
      </c>
    </row>
    <row r="622" spans="1:36" hidden="1" x14ac:dyDescent="0.25">
      <c r="A622" t="s">
        <v>696</v>
      </c>
      <c r="E622" t="s">
        <v>171</v>
      </c>
      <c r="H622" s="575" t="s">
        <v>469</v>
      </c>
      <c r="I622" s="576" t="str">
        <f t="shared" si="956"/>
        <v>VND/phôi</v>
      </c>
      <c r="K622" s="585"/>
      <c r="L622" s="585">
        <f t="shared" ref="L622:AJ622" si="970">-IF($H$9="USD",L552/L517/$H$10*10^3,L552/L517/$H$10)</f>
        <v>0</v>
      </c>
      <c r="M622" s="585">
        <f t="shared" si="970"/>
        <v>0</v>
      </c>
      <c r="N622" s="585">
        <f t="shared" si="970"/>
        <v>0</v>
      </c>
      <c r="O622" s="585">
        <f t="shared" si="970"/>
        <v>0</v>
      </c>
      <c r="P622" s="585">
        <f t="shared" si="970"/>
        <v>0</v>
      </c>
      <c r="Q622" s="585">
        <f t="shared" si="970"/>
        <v>0</v>
      </c>
      <c r="R622" s="585">
        <f t="shared" si="970"/>
        <v>0</v>
      </c>
      <c r="S622" s="585">
        <f t="shared" si="970"/>
        <v>0</v>
      </c>
      <c r="T622" s="585">
        <f t="shared" si="970"/>
        <v>0</v>
      </c>
      <c r="U622" s="585">
        <f t="shared" si="970"/>
        <v>0</v>
      </c>
      <c r="V622" s="585">
        <f t="shared" si="970"/>
        <v>0</v>
      </c>
      <c r="W622" s="585">
        <f t="shared" si="970"/>
        <v>0</v>
      </c>
      <c r="X622" s="585">
        <f t="shared" si="970"/>
        <v>0</v>
      </c>
      <c r="Y622" s="585">
        <f t="shared" si="970"/>
        <v>0</v>
      </c>
      <c r="Z622" s="585">
        <f t="shared" si="970"/>
        <v>0</v>
      </c>
      <c r="AA622" s="585">
        <f t="shared" si="970"/>
        <v>0</v>
      </c>
      <c r="AB622" s="585">
        <f t="shared" si="970"/>
        <v>0</v>
      </c>
      <c r="AC622" s="585">
        <f t="shared" si="970"/>
        <v>0</v>
      </c>
      <c r="AD622" s="585">
        <f t="shared" si="970"/>
        <v>0</v>
      </c>
      <c r="AE622" s="585">
        <f t="shared" si="970"/>
        <v>0</v>
      </c>
      <c r="AF622" s="585">
        <f t="shared" si="970"/>
        <v>0</v>
      </c>
      <c r="AG622" s="585">
        <f t="shared" si="970"/>
        <v>0</v>
      </c>
      <c r="AH622" s="585">
        <f t="shared" si="970"/>
        <v>0</v>
      </c>
      <c r="AI622" s="585">
        <f t="shared" si="970"/>
        <v>0</v>
      </c>
      <c r="AJ622" s="585">
        <f t="shared" si="970"/>
        <v>0</v>
      </c>
    </row>
    <row r="623" spans="1:36" hidden="1" x14ac:dyDescent="0.25">
      <c r="A623" t="s">
        <v>696</v>
      </c>
      <c r="E623" t="s">
        <v>182</v>
      </c>
      <c r="H623" s="575" t="s">
        <v>468</v>
      </c>
      <c r="I623" s="576" t="str">
        <f t="shared" si="956"/>
        <v>VND/phôi</v>
      </c>
      <c r="K623" s="575"/>
      <c r="L623" s="585">
        <f t="shared" ref="L623:AJ623" si="971">-IF($H$9="USD",L553/L517/$H$10*10^3,L553/L517/$H$10)</f>
        <v>0</v>
      </c>
      <c r="M623" s="585">
        <f t="shared" si="971"/>
        <v>0</v>
      </c>
      <c r="N623" s="585">
        <f t="shared" si="971"/>
        <v>0</v>
      </c>
      <c r="O623" s="585">
        <f t="shared" si="971"/>
        <v>0</v>
      </c>
      <c r="P623" s="585">
        <f t="shared" si="971"/>
        <v>0</v>
      </c>
      <c r="Q623" s="585">
        <f t="shared" si="971"/>
        <v>0</v>
      </c>
      <c r="R623" s="585">
        <f t="shared" si="971"/>
        <v>0</v>
      </c>
      <c r="S623" s="585">
        <f t="shared" si="971"/>
        <v>0</v>
      </c>
      <c r="T623" s="585">
        <f t="shared" si="971"/>
        <v>0</v>
      </c>
      <c r="U623" s="585">
        <f t="shared" si="971"/>
        <v>0</v>
      </c>
      <c r="V623" s="585">
        <f t="shared" si="971"/>
        <v>0</v>
      </c>
      <c r="W623" s="585">
        <f t="shared" si="971"/>
        <v>0</v>
      </c>
      <c r="X623" s="585">
        <f t="shared" si="971"/>
        <v>0</v>
      </c>
      <c r="Y623" s="585">
        <f t="shared" si="971"/>
        <v>0</v>
      </c>
      <c r="Z623" s="585">
        <f t="shared" si="971"/>
        <v>0</v>
      </c>
      <c r="AA623" s="585">
        <f t="shared" si="971"/>
        <v>0</v>
      </c>
      <c r="AB623" s="585">
        <f t="shared" si="971"/>
        <v>0</v>
      </c>
      <c r="AC623" s="585">
        <f t="shared" si="971"/>
        <v>0</v>
      </c>
      <c r="AD623" s="585">
        <f t="shared" si="971"/>
        <v>0</v>
      </c>
      <c r="AE623" s="585">
        <f t="shared" si="971"/>
        <v>0</v>
      </c>
      <c r="AF623" s="585">
        <f t="shared" si="971"/>
        <v>0</v>
      </c>
      <c r="AG623" s="585">
        <f t="shared" si="971"/>
        <v>0</v>
      </c>
      <c r="AH623" s="585">
        <f t="shared" si="971"/>
        <v>0</v>
      </c>
      <c r="AI623" s="585">
        <f t="shared" si="971"/>
        <v>0</v>
      </c>
      <c r="AJ623" s="585">
        <f t="shared" si="971"/>
        <v>0</v>
      </c>
    </row>
    <row r="624" spans="1:36" hidden="1" x14ac:dyDescent="0.25">
      <c r="A624" t="s">
        <v>696</v>
      </c>
      <c r="E624" t="s">
        <v>182</v>
      </c>
      <c r="H624" s="575" t="s">
        <v>470</v>
      </c>
      <c r="I624" s="576" t="str">
        <f t="shared" si="956"/>
        <v>VND/phôi</v>
      </c>
      <c r="K624" s="575"/>
      <c r="L624" s="585">
        <f t="shared" ref="L624:AJ624" si="972">-IF($H$9="USD",L554/L517/$H$10*10^3,L554/L517/$H$10)</f>
        <v>106.97182571808577</v>
      </c>
      <c r="M624" s="585">
        <f t="shared" si="972"/>
        <v>75.599556290509881</v>
      </c>
      <c r="N624" s="585">
        <f t="shared" si="972"/>
        <v>52.313830305772946</v>
      </c>
      <c r="O624" s="585">
        <f t="shared" si="972"/>
        <v>51.665561071358084</v>
      </c>
      <c r="P624" s="585">
        <f t="shared" si="972"/>
        <v>50.971912990534186</v>
      </c>
      <c r="Q624" s="585">
        <f t="shared" si="972"/>
        <v>50.229709544052625</v>
      </c>
      <c r="R624" s="585">
        <f t="shared" si="972"/>
        <v>49.435551856317346</v>
      </c>
      <c r="S624" s="585">
        <f t="shared" si="972"/>
        <v>48.585803130440588</v>
      </c>
      <c r="T624" s="585">
        <f t="shared" si="972"/>
        <v>47.676571993752468</v>
      </c>
      <c r="U624" s="585">
        <f t="shared" si="972"/>
        <v>46.703694677496188</v>
      </c>
      <c r="V624" s="585">
        <f t="shared" si="972"/>
        <v>45.662715949101958</v>
      </c>
      <c r="W624" s="585">
        <f t="shared" si="972"/>
        <v>44.548868709720132</v>
      </c>
      <c r="X624" s="585">
        <f t="shared" si="972"/>
        <v>43.357052163581599</v>
      </c>
      <c r="Y624" s="585">
        <f t="shared" si="972"/>
        <v>42.081808459213349</v>
      </c>
      <c r="Z624" s="585">
        <f t="shared" si="972"/>
        <v>40.717297695539322</v>
      </c>
      <c r="AA624" s="585">
        <f t="shared" si="972"/>
        <v>39.257271178408111</v>
      </c>
      <c r="AB624" s="585">
        <f t="shared" si="972"/>
        <v>37.695042805077726</v>
      </c>
      <c r="AC624" s="585">
        <f t="shared" si="972"/>
        <v>36.02345844561421</v>
      </c>
      <c r="AD624" s="585">
        <f t="shared" si="972"/>
        <v>34.234863180988249</v>
      </c>
      <c r="AE624" s="585">
        <f t="shared" si="972"/>
        <v>32.321066247838466</v>
      </c>
      <c r="AF624" s="585">
        <f t="shared" si="972"/>
        <v>30.273303529368196</v>
      </c>
      <c r="AG624" s="585">
        <f t="shared" si="972"/>
        <v>28.082197420605013</v>
      </c>
      <c r="AH624" s="585">
        <f t="shared" si="972"/>
        <v>25.737713884228402</v>
      </c>
      <c r="AI624" s="585">
        <f t="shared" si="972"/>
        <v>23.229116500305437</v>
      </c>
      <c r="AJ624" s="585">
        <f t="shared" si="972"/>
        <v>20.544917299507851</v>
      </c>
    </row>
    <row r="625" spans="1:36" hidden="1" x14ac:dyDescent="0.25">
      <c r="A625" t="s">
        <v>696</v>
      </c>
      <c r="H625" s="289"/>
      <c r="I625" s="290"/>
      <c r="K625" s="289"/>
      <c r="L625" s="289"/>
      <c r="M625" s="289"/>
      <c r="N625" s="289"/>
      <c r="O625" s="289"/>
      <c r="P625" s="289"/>
      <c r="Q625" s="289"/>
      <c r="R625" s="289"/>
      <c r="S625" s="289"/>
      <c r="T625" s="289"/>
      <c r="U625" s="289"/>
      <c r="V625" s="289"/>
      <c r="W625" s="289"/>
      <c r="X625" s="289"/>
      <c r="Y625" s="289"/>
      <c r="Z625" s="289"/>
      <c r="AA625" s="289"/>
      <c r="AB625" s="289"/>
      <c r="AC625" s="289"/>
      <c r="AD625" s="289"/>
      <c r="AE625" s="289"/>
      <c r="AF625" s="289"/>
      <c r="AG625" s="289"/>
      <c r="AH625" s="289"/>
      <c r="AI625" s="289"/>
      <c r="AJ625" s="289"/>
    </row>
    <row r="626" spans="1:36" s="16" customFormat="1" hidden="1" x14ac:dyDescent="0.25">
      <c r="A626" s="16" t="s">
        <v>696</v>
      </c>
      <c r="H626" s="291" t="s">
        <v>487</v>
      </c>
      <c r="I626" s="292" t="str">
        <f t="shared" si="956"/>
        <v>VND/phôi</v>
      </c>
      <c r="K626" s="298">
        <f>K619+SUM(K621:K624)</f>
        <v>0</v>
      </c>
      <c r="L626" s="298">
        <f t="shared" ref="L626:AJ626" si="973">L619+SUM(L621:L624)</f>
        <v>811.41900128247244</v>
      </c>
      <c r="M626" s="298">
        <f t="shared" si="973"/>
        <v>708.1617736547289</v>
      </c>
      <c r="N626" s="298">
        <f t="shared" si="973"/>
        <v>643.79227770702107</v>
      </c>
      <c r="O626" s="298">
        <f t="shared" si="973"/>
        <v>656.3739062070224</v>
      </c>
      <c r="P626" s="298">
        <f t="shared" si="973"/>
        <v>669.32527139249646</v>
      </c>
      <c r="Q626" s="298">
        <f t="shared" si="973"/>
        <v>682.65902493369254</v>
      </c>
      <c r="R626" s="298">
        <f t="shared" si="973"/>
        <v>696.38828900224462</v>
      </c>
      <c r="S626" s="298">
        <f t="shared" si="973"/>
        <v>710.52667337807986</v>
      </c>
      <c r="T626" s="298">
        <f t="shared" si="973"/>
        <v>725.08829306095163</v>
      </c>
      <c r="U626" s="298">
        <f t="shared" si="973"/>
        <v>740.08778638925128</v>
      </c>
      <c r="V626" s="298">
        <f t="shared" si="973"/>
        <v>755.54033366733893</v>
      </c>
      <c r="W626" s="298">
        <f t="shared" si="973"/>
        <v>771.46167630105526</v>
      </c>
      <c r="X626" s="298">
        <f t="shared" si="973"/>
        <v>724.74839224173502</v>
      </c>
      <c r="Y626" s="298">
        <f t="shared" si="973"/>
        <v>741.65689291992658</v>
      </c>
      <c r="Z626" s="298">
        <f t="shared" si="973"/>
        <v>759.08497869918983</v>
      </c>
      <c r="AA626" s="298">
        <f t="shared" si="973"/>
        <v>777.05083679221764</v>
      </c>
      <c r="AB626" s="298">
        <f t="shared" si="973"/>
        <v>795.57331866443019</v>
      </c>
      <c r="AC626" s="298">
        <f t="shared" si="973"/>
        <v>814.67196209576082</v>
      </c>
      <c r="AD626" s="298">
        <f t="shared" si="973"/>
        <v>834.36701368510148</v>
      </c>
      <c r="AE626" s="298">
        <f t="shared" si="973"/>
        <v>854.67945177572278</v>
      </c>
      <c r="AF626" s="298">
        <f t="shared" si="973"/>
        <v>875.63100977585998</v>
      </c>
      <c r="AG626" s="298">
        <f t="shared" si="973"/>
        <v>897.24419984415567</v>
      </c>
      <c r="AH626" s="298">
        <f t="shared" si="973"/>
        <v>919.54233690466231</v>
      </c>
      <c r="AI626" s="298">
        <f t="shared" si="973"/>
        <v>942.54956295065756</v>
      </c>
      <c r="AJ626" s="298">
        <f t="shared" si="973"/>
        <v>966.29087159052847</v>
      </c>
    </row>
    <row r="627" spans="1:36" hidden="1" x14ac:dyDescent="0.25">
      <c r="A627" t="s">
        <v>696</v>
      </c>
    </row>
    <row r="628" spans="1:36" hidden="1" x14ac:dyDescent="0.25">
      <c r="A628" t="s">
        <v>696</v>
      </c>
      <c r="H628" s="594" t="s">
        <v>361</v>
      </c>
      <c r="I628" s="595" t="str">
        <f t="shared" si="956"/>
        <v>VND/phôi</v>
      </c>
      <c r="K628" s="594"/>
      <c r="L628" s="600">
        <f>INDEX('Cover Page'!$H$12:$W$12,MATCH($A628,'Cover Page'!$H$5:$W$5,0))</f>
        <v>6.6666666666666666E-2</v>
      </c>
      <c r="M628" s="600">
        <f>INDEX('Cover Page'!$H$12:$W$12,MATCH($A628,'Cover Page'!$H$5:$W$5,0))</f>
        <v>6.6666666666666666E-2</v>
      </c>
      <c r="N628" s="600">
        <f>INDEX('Cover Page'!$H$12:$W$12,MATCH($A628,'Cover Page'!$H$5:$W$5,0))</f>
        <v>6.6666666666666666E-2</v>
      </c>
      <c r="O628" s="600">
        <f>INDEX('Cover Page'!$H$12:$W$12,MATCH($A628,'Cover Page'!$H$5:$W$5,0))</f>
        <v>6.6666666666666666E-2</v>
      </c>
      <c r="P628" s="600">
        <f>INDEX('Cover Page'!$H$12:$W$12,MATCH($A628,'Cover Page'!$H$5:$W$5,0))</f>
        <v>6.6666666666666666E-2</v>
      </c>
      <c r="Q628" s="600">
        <f>INDEX('Cover Page'!$H$12:$W$12,MATCH($A628,'Cover Page'!$H$5:$W$5,0))</f>
        <v>6.6666666666666666E-2</v>
      </c>
      <c r="R628" s="600">
        <f>INDEX('Cover Page'!$H$12:$W$12,MATCH($A628,'Cover Page'!$H$5:$W$5,0))</f>
        <v>6.6666666666666666E-2</v>
      </c>
      <c r="S628" s="600">
        <f>INDEX('Cover Page'!$H$12:$W$12,MATCH($A628,'Cover Page'!$H$5:$W$5,0))</f>
        <v>6.6666666666666666E-2</v>
      </c>
      <c r="T628" s="600">
        <f>INDEX('Cover Page'!$H$12:$W$12,MATCH($A628,'Cover Page'!$H$5:$W$5,0))</f>
        <v>6.6666666666666666E-2</v>
      </c>
      <c r="U628" s="600">
        <f>INDEX('Cover Page'!$H$12:$W$12,MATCH($A628,'Cover Page'!$H$5:$W$5,0))</f>
        <v>6.6666666666666666E-2</v>
      </c>
      <c r="V628" s="600">
        <f>INDEX('Cover Page'!$H$12:$W$12,MATCH($A628,'Cover Page'!$H$5:$W$5,0))</f>
        <v>6.6666666666666666E-2</v>
      </c>
      <c r="W628" s="600">
        <f>INDEX('Cover Page'!$H$12:$W$12,MATCH($A628,'Cover Page'!$H$5:$W$5,0))</f>
        <v>6.6666666666666666E-2</v>
      </c>
      <c r="X628" s="600">
        <f>INDEX('Cover Page'!$H$12:$W$12,MATCH($A628,'Cover Page'!$H$5:$W$5,0))</f>
        <v>6.6666666666666666E-2</v>
      </c>
      <c r="Y628" s="600">
        <f>INDEX('Cover Page'!$H$12:$W$12,MATCH($A628,'Cover Page'!$H$5:$W$5,0))</f>
        <v>6.6666666666666666E-2</v>
      </c>
      <c r="Z628" s="600">
        <f>INDEX('Cover Page'!$H$12:$W$12,MATCH($A628,'Cover Page'!$H$5:$W$5,0))</f>
        <v>6.6666666666666666E-2</v>
      </c>
      <c r="AA628" s="600">
        <f>INDEX('Cover Page'!$H$12:$W$12,MATCH($A628,'Cover Page'!$H$5:$W$5,0))</f>
        <v>6.6666666666666666E-2</v>
      </c>
      <c r="AB628" s="600">
        <f>INDEX('Cover Page'!$H$12:$W$12,MATCH($A628,'Cover Page'!$H$5:$W$5,0))</f>
        <v>6.6666666666666666E-2</v>
      </c>
      <c r="AC628" s="600">
        <f>INDEX('Cover Page'!$H$12:$W$12,MATCH($A628,'Cover Page'!$H$5:$W$5,0))</f>
        <v>6.6666666666666666E-2</v>
      </c>
      <c r="AD628" s="600">
        <f>INDEX('Cover Page'!$H$12:$W$12,MATCH($A628,'Cover Page'!$H$5:$W$5,0))</f>
        <v>6.6666666666666666E-2</v>
      </c>
      <c r="AE628" s="600">
        <f>INDEX('Cover Page'!$H$12:$W$12,MATCH($A628,'Cover Page'!$H$5:$W$5,0))</f>
        <v>6.6666666666666666E-2</v>
      </c>
      <c r="AF628" s="600">
        <f>INDEX('Cover Page'!$H$12:$W$12,MATCH($A628,'Cover Page'!$H$5:$W$5,0))</f>
        <v>6.6666666666666666E-2</v>
      </c>
      <c r="AG628" s="600">
        <f>INDEX('Cover Page'!$H$12:$W$12,MATCH($A628,'Cover Page'!$H$5:$W$5,0))</f>
        <v>6.6666666666666666E-2</v>
      </c>
      <c r="AH628" s="600">
        <f>INDEX('Cover Page'!$H$12:$W$12,MATCH($A628,'Cover Page'!$H$5:$W$5,0))</f>
        <v>6.6666666666666666E-2</v>
      </c>
      <c r="AI628" s="600">
        <f>INDEX('Cover Page'!$H$12:$W$12,MATCH($A628,'Cover Page'!$H$5:$W$5,0))</f>
        <v>6.6666666666666666E-2</v>
      </c>
      <c r="AJ628" s="600">
        <f>INDEX('Cover Page'!$H$12:$W$12,MATCH($A628,'Cover Page'!$H$5:$W$5,0))</f>
        <v>6.6666666666666666E-2</v>
      </c>
    </row>
    <row r="629" spans="1:36" s="1" customFormat="1" hidden="1" x14ac:dyDescent="0.25">
      <c r="A629" s="1" t="s">
        <v>696</v>
      </c>
      <c r="H629" s="596" t="s">
        <v>490</v>
      </c>
      <c r="I629" s="597" t="str">
        <f t="shared" si="956"/>
        <v>VND/phôi</v>
      </c>
      <c r="K629" s="596"/>
      <c r="L629" s="601">
        <f>L626*(1+L628)</f>
        <v>865.51360136797064</v>
      </c>
      <c r="M629" s="601">
        <f t="shared" ref="M629:AJ629" si="974">M626*(1+M628)</f>
        <v>755.37255856504419</v>
      </c>
      <c r="N629" s="601">
        <f t="shared" si="974"/>
        <v>686.71176288748916</v>
      </c>
      <c r="O629" s="601">
        <f t="shared" si="974"/>
        <v>700.13216662082391</v>
      </c>
      <c r="P629" s="601">
        <f t="shared" si="974"/>
        <v>713.94695615199623</v>
      </c>
      <c r="Q629" s="601">
        <f t="shared" si="974"/>
        <v>728.16962659593867</v>
      </c>
      <c r="R629" s="601">
        <f t="shared" si="974"/>
        <v>742.81417493572758</v>
      </c>
      <c r="S629" s="601">
        <f t="shared" si="974"/>
        <v>757.89511826995181</v>
      </c>
      <c r="T629" s="601">
        <f t="shared" si="974"/>
        <v>773.42751259834836</v>
      </c>
      <c r="U629" s="601">
        <f t="shared" si="974"/>
        <v>789.42697214853467</v>
      </c>
      <c r="V629" s="601">
        <f t="shared" si="974"/>
        <v>805.90968924516153</v>
      </c>
      <c r="W629" s="601">
        <f t="shared" si="974"/>
        <v>822.89245472112555</v>
      </c>
      <c r="X629" s="601">
        <f t="shared" si="974"/>
        <v>773.0649517245173</v>
      </c>
      <c r="Y629" s="601">
        <f t="shared" si="974"/>
        <v>791.10068578125504</v>
      </c>
      <c r="Z629" s="601">
        <f t="shared" si="974"/>
        <v>809.69064394580244</v>
      </c>
      <c r="AA629" s="601">
        <f t="shared" si="974"/>
        <v>828.85422591169879</v>
      </c>
      <c r="AB629" s="601">
        <f t="shared" si="974"/>
        <v>848.61153990872549</v>
      </c>
      <c r="AC629" s="601">
        <f t="shared" si="974"/>
        <v>868.98342623547819</v>
      </c>
      <c r="AD629" s="601">
        <f t="shared" si="974"/>
        <v>889.99148126410819</v>
      </c>
      <c r="AE629" s="601">
        <f t="shared" si="974"/>
        <v>911.65808189410427</v>
      </c>
      <c r="AF629" s="601">
        <f t="shared" si="974"/>
        <v>934.006410427584</v>
      </c>
      <c r="AG629" s="601">
        <f t="shared" si="974"/>
        <v>957.06047983376607</v>
      </c>
      <c r="AH629" s="601">
        <f t="shared" si="974"/>
        <v>980.84515936497314</v>
      </c>
      <c r="AI629" s="601">
        <f t="shared" si="974"/>
        <v>1005.3862004807014</v>
      </c>
      <c r="AJ629" s="601">
        <f t="shared" si="974"/>
        <v>1030.7102630298971</v>
      </c>
    </row>
    <row r="630" spans="1:36" hidden="1" x14ac:dyDescent="0.25">
      <c r="A630" t="s">
        <v>696</v>
      </c>
      <c r="H630" s="575" t="s">
        <v>292</v>
      </c>
      <c r="I630" s="576" t="str">
        <f t="shared" si="956"/>
        <v>VND/phôi</v>
      </c>
      <c r="K630" s="575"/>
      <c r="L630" s="602">
        <f t="shared" ref="L630:AJ630" si="975">Tax_rate</f>
        <v>0.2</v>
      </c>
      <c r="M630" s="602">
        <f t="shared" si="975"/>
        <v>0.2</v>
      </c>
      <c r="N630" s="602">
        <f t="shared" si="975"/>
        <v>0.2</v>
      </c>
      <c r="O630" s="602">
        <f t="shared" si="975"/>
        <v>0.2</v>
      </c>
      <c r="P630" s="602">
        <f t="shared" si="975"/>
        <v>0.2</v>
      </c>
      <c r="Q630" s="602">
        <f t="shared" si="975"/>
        <v>0.2</v>
      </c>
      <c r="R630" s="602">
        <f t="shared" si="975"/>
        <v>0.2</v>
      </c>
      <c r="S630" s="602">
        <f t="shared" si="975"/>
        <v>0.2</v>
      </c>
      <c r="T630" s="602">
        <f t="shared" si="975"/>
        <v>0.2</v>
      </c>
      <c r="U630" s="602">
        <f t="shared" si="975"/>
        <v>0.2</v>
      </c>
      <c r="V630" s="602">
        <f t="shared" si="975"/>
        <v>0.2</v>
      </c>
      <c r="W630" s="602">
        <f t="shared" si="975"/>
        <v>0.2</v>
      </c>
      <c r="X630" s="602">
        <f t="shared" si="975"/>
        <v>0.2</v>
      </c>
      <c r="Y630" s="602">
        <f t="shared" si="975"/>
        <v>0.2</v>
      </c>
      <c r="Z630" s="602">
        <f t="shared" si="975"/>
        <v>0.2</v>
      </c>
      <c r="AA630" s="602">
        <f t="shared" si="975"/>
        <v>0.2</v>
      </c>
      <c r="AB630" s="602">
        <f t="shared" si="975"/>
        <v>0.2</v>
      </c>
      <c r="AC630" s="602">
        <f t="shared" si="975"/>
        <v>0.2</v>
      </c>
      <c r="AD630" s="602">
        <f t="shared" si="975"/>
        <v>0.2</v>
      </c>
      <c r="AE630" s="602">
        <f t="shared" si="975"/>
        <v>0.2</v>
      </c>
      <c r="AF630" s="602">
        <f t="shared" si="975"/>
        <v>0.2</v>
      </c>
      <c r="AG630" s="602">
        <f t="shared" si="975"/>
        <v>0.2</v>
      </c>
      <c r="AH630" s="602">
        <f t="shared" si="975"/>
        <v>0.2</v>
      </c>
      <c r="AI630" s="602">
        <f t="shared" si="975"/>
        <v>0.2</v>
      </c>
      <c r="AJ630" s="602">
        <f t="shared" si="975"/>
        <v>0.2</v>
      </c>
    </row>
    <row r="631" spans="1:36" s="1" customFormat="1" hidden="1" x14ac:dyDescent="0.25">
      <c r="A631" s="1" t="s">
        <v>696</v>
      </c>
      <c r="H631" s="596" t="s">
        <v>491</v>
      </c>
      <c r="I631" s="597" t="str">
        <f t="shared" si="956"/>
        <v>VND/phôi</v>
      </c>
      <c r="K631" s="596"/>
      <c r="L631" s="601">
        <f>(L629-L626)*(1-L630)</f>
        <v>43.275680068398565</v>
      </c>
      <c r="M631" s="601">
        <f t="shared" ref="M631:AJ631" si="976">(M629-M626)*(1-M630)</f>
        <v>37.768627928252229</v>
      </c>
      <c r="N631" s="601">
        <f t="shared" si="976"/>
        <v>34.335588144374469</v>
      </c>
      <c r="O631" s="601">
        <f t="shared" si="976"/>
        <v>35.006608331041207</v>
      </c>
      <c r="P631" s="601">
        <f t="shared" si="976"/>
        <v>35.697347807599819</v>
      </c>
      <c r="Q631" s="601">
        <f t="shared" si="976"/>
        <v>36.408481329796906</v>
      </c>
      <c r="R631" s="601">
        <f t="shared" si="976"/>
        <v>37.140708746786366</v>
      </c>
      <c r="S631" s="601">
        <f t="shared" si="976"/>
        <v>37.894755913497555</v>
      </c>
      <c r="T631" s="601">
        <f t="shared" si="976"/>
        <v>38.671375629917385</v>
      </c>
      <c r="U631" s="601">
        <f t="shared" si="976"/>
        <v>39.471348607426719</v>
      </c>
      <c r="V631" s="601">
        <f t="shared" si="976"/>
        <v>40.295484462258088</v>
      </c>
      <c r="W631" s="601">
        <f t="shared" si="976"/>
        <v>41.144622736056228</v>
      </c>
      <c r="X631" s="601">
        <f t="shared" si="976"/>
        <v>38.653247586225831</v>
      </c>
      <c r="Y631" s="601">
        <f t="shared" si="976"/>
        <v>39.555034289062775</v>
      </c>
      <c r="Z631" s="601">
        <f t="shared" si="976"/>
        <v>40.484532197290086</v>
      </c>
      <c r="AA631" s="601">
        <f t="shared" si="976"/>
        <v>41.442711295584928</v>
      </c>
      <c r="AB631" s="601">
        <f t="shared" si="976"/>
        <v>42.43057699543624</v>
      </c>
      <c r="AC631" s="601">
        <f t="shared" si="976"/>
        <v>43.449171311773902</v>
      </c>
      <c r="AD631" s="601">
        <f t="shared" si="976"/>
        <v>44.499574063205365</v>
      </c>
      <c r="AE631" s="601">
        <f t="shared" si="976"/>
        <v>45.582904094705192</v>
      </c>
      <c r="AF631" s="601">
        <f t="shared" si="976"/>
        <v>46.700320521379219</v>
      </c>
      <c r="AG631" s="601">
        <f t="shared" si="976"/>
        <v>47.853023991688318</v>
      </c>
      <c r="AH631" s="601">
        <f t="shared" si="976"/>
        <v>49.04225796824867</v>
      </c>
      <c r="AI631" s="601">
        <f t="shared" si="976"/>
        <v>50.269310024035079</v>
      </c>
      <c r="AJ631" s="601">
        <f t="shared" si="976"/>
        <v>51.535513151494889</v>
      </c>
    </row>
    <row r="632" spans="1:36" s="146" customFormat="1" hidden="1" x14ac:dyDescent="0.25">
      <c r="A632" s="146" t="s">
        <v>696</v>
      </c>
      <c r="H632" s="598" t="s">
        <v>492</v>
      </c>
      <c r="I632" s="599"/>
      <c r="K632" s="598"/>
      <c r="L632" s="603">
        <f>IFERROR(L631/L629,0)</f>
        <v>5.0000000000000037E-2</v>
      </c>
      <c r="M632" s="603">
        <f>IFERROR(M631/M629,0)</f>
        <v>5.0000000000000024E-2</v>
      </c>
      <c r="N632" s="603">
        <f t="shared" ref="N632:AJ632" si="977">IFERROR(N631/N629,0)</f>
        <v>5.0000000000000017E-2</v>
      </c>
      <c r="O632" s="603">
        <f t="shared" si="977"/>
        <v>5.0000000000000017E-2</v>
      </c>
      <c r="P632" s="603">
        <f t="shared" si="977"/>
        <v>5.000000000000001E-2</v>
      </c>
      <c r="Q632" s="603">
        <f t="shared" si="977"/>
        <v>4.9999999999999961E-2</v>
      </c>
      <c r="R632" s="603">
        <f t="shared" si="977"/>
        <v>4.9999999999999982E-2</v>
      </c>
      <c r="S632" s="603">
        <f t="shared" si="977"/>
        <v>4.9999999999999954E-2</v>
      </c>
      <c r="T632" s="603">
        <f t="shared" si="977"/>
        <v>4.9999999999999961E-2</v>
      </c>
      <c r="U632" s="603">
        <f t="shared" si="977"/>
        <v>4.9999999999999982E-2</v>
      </c>
      <c r="V632" s="603">
        <f t="shared" si="977"/>
        <v>5.0000000000000017E-2</v>
      </c>
      <c r="W632" s="603">
        <f t="shared" si="977"/>
        <v>4.999999999999994E-2</v>
      </c>
      <c r="X632" s="603">
        <f t="shared" si="977"/>
        <v>4.9999999999999954E-2</v>
      </c>
      <c r="Y632" s="603">
        <f t="shared" si="977"/>
        <v>5.0000000000000031E-2</v>
      </c>
      <c r="Z632" s="603">
        <f t="shared" si="977"/>
        <v>4.9999999999999954E-2</v>
      </c>
      <c r="AA632" s="603">
        <f t="shared" si="977"/>
        <v>4.9999999999999989E-2</v>
      </c>
      <c r="AB632" s="603">
        <f t="shared" si="977"/>
        <v>4.9999999999999961E-2</v>
      </c>
      <c r="AC632" s="603">
        <f t="shared" si="977"/>
        <v>4.9999999999999989E-2</v>
      </c>
      <c r="AD632" s="603">
        <f t="shared" si="977"/>
        <v>4.9999999999999947E-2</v>
      </c>
      <c r="AE632" s="603">
        <f t="shared" si="977"/>
        <v>4.9999999999999975E-2</v>
      </c>
      <c r="AF632" s="603">
        <f t="shared" si="977"/>
        <v>5.0000000000000017E-2</v>
      </c>
      <c r="AG632" s="603">
        <f t="shared" si="977"/>
        <v>5.0000000000000017E-2</v>
      </c>
      <c r="AH632" s="603">
        <f t="shared" si="977"/>
        <v>5.000000000000001E-2</v>
      </c>
      <c r="AI632" s="603">
        <f t="shared" si="977"/>
        <v>5.000000000000001E-2</v>
      </c>
      <c r="AJ632" s="603">
        <f t="shared" si="977"/>
        <v>5.0000000000000037E-2</v>
      </c>
    </row>
    <row r="633" spans="1:36" hidden="1" x14ac:dyDescent="0.25">
      <c r="A633" t="s">
        <v>696</v>
      </c>
      <c r="L633" s="64"/>
    </row>
    <row r="634" spans="1:36" hidden="1" x14ac:dyDescent="0.25">
      <c r="A634" t="s">
        <v>696</v>
      </c>
      <c r="H634" s="1" t="s">
        <v>493</v>
      </c>
    </row>
    <row r="635" spans="1:36" hidden="1" x14ac:dyDescent="0.25">
      <c r="A635" t="s">
        <v>696</v>
      </c>
      <c r="H635" t="s">
        <v>493</v>
      </c>
      <c r="I635" s="65" t="s">
        <v>475</v>
      </c>
      <c r="K635" s="15"/>
      <c r="L635" s="15">
        <f t="shared" ref="L635:AJ635" si="978">L636*PHOI_KG*10^3/10^6</f>
        <v>45.333333333333336</v>
      </c>
      <c r="M635" s="15">
        <f t="shared" si="978"/>
        <v>46.240000000000009</v>
      </c>
      <c r="N635" s="15">
        <f t="shared" si="978"/>
        <v>47.1648</v>
      </c>
      <c r="O635" s="15">
        <f t="shared" si="978"/>
        <v>48.10809600000001</v>
      </c>
      <c r="P635" s="15">
        <f t="shared" si="978"/>
        <v>49.070257920000003</v>
      </c>
      <c r="Q635" s="15">
        <f t="shared" si="978"/>
        <v>50.051663078400004</v>
      </c>
      <c r="R635" s="15">
        <f t="shared" si="978"/>
        <v>51.052696339968008</v>
      </c>
      <c r="S635" s="15">
        <f t="shared" si="978"/>
        <v>52.073750266767355</v>
      </c>
      <c r="T635" s="15">
        <f t="shared" si="978"/>
        <v>53.115225272102705</v>
      </c>
      <c r="U635" s="15">
        <f t="shared" si="978"/>
        <v>54.177529777544763</v>
      </c>
      <c r="V635" s="15">
        <f t="shared" si="978"/>
        <v>55.261080373095652</v>
      </c>
      <c r="W635" s="15">
        <f t="shared" si="978"/>
        <v>56.366301980557566</v>
      </c>
      <c r="X635" s="15">
        <f t="shared" si="978"/>
        <v>57.493628020168721</v>
      </c>
      <c r="Y635" s="15">
        <f t="shared" si="978"/>
        <v>58.643500580572088</v>
      </c>
      <c r="Z635" s="15">
        <f t="shared" si="978"/>
        <v>59.816370592183539</v>
      </c>
      <c r="AA635" s="15">
        <f t="shared" si="978"/>
        <v>61.012698004027193</v>
      </c>
      <c r="AB635" s="15">
        <f t="shared" si="978"/>
        <v>62.232951964107755</v>
      </c>
      <c r="AC635" s="15">
        <f t="shared" si="978"/>
        <v>63.47761100338991</v>
      </c>
      <c r="AD635" s="15">
        <f t="shared" si="978"/>
        <v>64.74716322345769</v>
      </c>
      <c r="AE635" s="15">
        <f t="shared" si="978"/>
        <v>66.042106487926858</v>
      </c>
      <c r="AF635" s="15">
        <f t="shared" si="978"/>
        <v>67.36294861768539</v>
      </c>
      <c r="AG635" s="15">
        <f t="shared" si="978"/>
        <v>68.71020759003909</v>
      </c>
      <c r="AH635" s="15">
        <f t="shared" si="978"/>
        <v>70.084411741839887</v>
      </c>
      <c r="AI635" s="15">
        <f t="shared" si="978"/>
        <v>71.486099976676655</v>
      </c>
      <c r="AJ635" s="15">
        <f t="shared" si="978"/>
        <v>72.915821976210211</v>
      </c>
    </row>
    <row r="636" spans="1:36" hidden="1" x14ac:dyDescent="0.25">
      <c r="A636" t="s">
        <v>696</v>
      </c>
      <c r="F636" t="s">
        <v>570</v>
      </c>
      <c r="H636" t="s">
        <v>493</v>
      </c>
      <c r="I636" s="65" t="s">
        <v>368</v>
      </c>
      <c r="K636" s="27"/>
      <c r="L636" s="27">
        <f>INDEX('Cover Page'!$H$14:$W$14,MATCH($A636,'Cover Page'!$H$5:$W$5,0))</f>
        <v>680</v>
      </c>
      <c r="M636" s="27">
        <f>$L636*POWER(1+INDEX('Cover Page'!$H$17:$W$17,MATCH($A636,'Cover Page'!$H$5:$W$5,0)),M$12+1)</f>
        <v>693.6</v>
      </c>
      <c r="N636" s="27">
        <f>$L636*POWER(1+INDEX('Cover Page'!$H$17:$W$17,MATCH($A636,'Cover Page'!$H$5:$W$5,0)),N$12+1)</f>
        <v>707.47199999999998</v>
      </c>
      <c r="O636" s="27">
        <f>$L636*POWER(1+INDEX('Cover Page'!$H$17:$W$17,MATCH($A636,'Cover Page'!$H$5:$W$5,0)),O$12+1)</f>
        <v>721.62144000000001</v>
      </c>
      <c r="P636" s="27">
        <f>$L636*POWER(1+INDEX('Cover Page'!$H$17:$W$17,MATCH($A636,'Cover Page'!$H$5:$W$5,0)),P$12+1)</f>
        <v>736.05386880000003</v>
      </c>
      <c r="Q636" s="27">
        <f>$L636*POWER(1+INDEX('Cover Page'!$H$17:$W$17,MATCH($A636,'Cover Page'!$H$5:$W$5,0)),Q$12+1)</f>
        <v>750.77494617599996</v>
      </c>
      <c r="R636" s="27">
        <f>$L636*POWER(1+INDEX('Cover Page'!$H$17:$W$17,MATCH($A636,'Cover Page'!$H$5:$W$5,0)),R$12+1)</f>
        <v>765.79044509952007</v>
      </c>
      <c r="S636" s="27">
        <f>$L636*POWER(1+INDEX('Cover Page'!$H$17:$W$17,MATCH($A636,'Cover Page'!$H$5:$W$5,0)),S$12+1)</f>
        <v>781.10625400151025</v>
      </c>
      <c r="T636" s="27">
        <f>$L636*POWER(1+INDEX('Cover Page'!$H$17:$W$17,MATCH($A636,'Cover Page'!$H$5:$W$5,0)),T$12+1)</f>
        <v>796.72837908154054</v>
      </c>
      <c r="U636" s="27">
        <f>$L636*POWER(1+INDEX('Cover Page'!$H$17:$W$17,MATCH($A636,'Cover Page'!$H$5:$W$5,0)),U$12+1)</f>
        <v>812.6629466631714</v>
      </c>
      <c r="V636" s="27">
        <f>$L636*POWER(1+INDEX('Cover Page'!$H$17:$W$17,MATCH($A636,'Cover Page'!$H$5:$W$5,0)),V$12+1)</f>
        <v>828.91620559643479</v>
      </c>
      <c r="W636" s="27">
        <f>$L636*POWER(1+INDEX('Cover Page'!$H$17:$W$17,MATCH($A636,'Cover Page'!$H$5:$W$5,0)),W$12+1)</f>
        <v>845.49452970836342</v>
      </c>
      <c r="X636" s="27">
        <f>$L636*POWER(1+INDEX('Cover Page'!$H$17:$W$17,MATCH($A636,'Cover Page'!$H$5:$W$5,0)),X$12+1)</f>
        <v>862.40442030253075</v>
      </c>
      <c r="Y636" s="27">
        <f>$L636*POWER(1+INDEX('Cover Page'!$H$17:$W$17,MATCH($A636,'Cover Page'!$H$5:$W$5,0)),Y$12+1)</f>
        <v>879.65250870858131</v>
      </c>
      <c r="Z636" s="27">
        <f>$L636*POWER(1+INDEX('Cover Page'!$H$17:$W$17,MATCH($A636,'Cover Page'!$H$5:$W$5,0)),Z$12+1)</f>
        <v>897.24555888275302</v>
      </c>
      <c r="AA636" s="27">
        <f>$L636*POWER(1+INDEX('Cover Page'!$H$17:$W$17,MATCH($A636,'Cover Page'!$H$5:$W$5,0)),AA$12+1)</f>
        <v>915.19047006040785</v>
      </c>
      <c r="AB636" s="27">
        <f>$L636*POWER(1+INDEX('Cover Page'!$H$17:$W$17,MATCH($A636,'Cover Page'!$H$5:$W$5,0)),AB$12+1)</f>
        <v>933.4942794616162</v>
      </c>
      <c r="AC636" s="27">
        <f>$L636*POWER(1+INDEX('Cover Page'!$H$17:$W$17,MATCH($A636,'Cover Page'!$H$5:$W$5,0)),AC$12+1)</f>
        <v>952.16416505084862</v>
      </c>
      <c r="AD636" s="27">
        <f>$L636*POWER(1+INDEX('Cover Page'!$H$17:$W$17,MATCH($A636,'Cover Page'!$H$5:$W$5,0)),AD$12+1)</f>
        <v>971.20744835186542</v>
      </c>
      <c r="AE636" s="27">
        <f>$L636*POWER(1+INDEX('Cover Page'!$H$17:$W$17,MATCH($A636,'Cover Page'!$H$5:$W$5,0)),AE$12+1)</f>
        <v>990.63159731890278</v>
      </c>
      <c r="AF636" s="27">
        <f>$L636*POWER(1+INDEX('Cover Page'!$H$17:$W$17,MATCH($A636,'Cover Page'!$H$5:$W$5,0)),AF$12+1)</f>
        <v>1010.4442292652809</v>
      </c>
      <c r="AG636" s="27">
        <f>$L636*POWER(1+INDEX('Cover Page'!$H$17:$W$17,MATCH($A636,'Cover Page'!$H$5:$W$5,0)),AG$12+1)</f>
        <v>1030.6531138505864</v>
      </c>
      <c r="AH636" s="27">
        <f>$L636*POWER(1+INDEX('Cover Page'!$H$17:$W$17,MATCH($A636,'Cover Page'!$H$5:$W$5,0)),AH$12+1)</f>
        <v>1051.2661761275981</v>
      </c>
      <c r="AI636" s="27">
        <f>$L636*POWER(1+INDEX('Cover Page'!$H$17:$W$17,MATCH($A636,'Cover Page'!$H$5:$W$5,0)),AI$12+1)</f>
        <v>1072.2914996501499</v>
      </c>
      <c r="AJ636" s="27">
        <f>$L636*POWER(1+INDEX('Cover Page'!$H$17:$W$17,MATCH($A636,'Cover Page'!$H$5:$W$5,0)),AJ$12+1)</f>
        <v>1093.7373296431531</v>
      </c>
    </row>
    <row r="637" spans="1:36" hidden="1" x14ac:dyDescent="0.25">
      <c r="A637" t="s">
        <v>696</v>
      </c>
      <c r="H637" t="s">
        <v>493</v>
      </c>
      <c r="I637" s="65" t="s">
        <v>369</v>
      </c>
      <c r="K637" s="15"/>
      <c r="L637" s="15">
        <f t="shared" ref="L637:AJ637" si="979">L635/EXR*10^6</f>
        <v>1743.5897435897436</v>
      </c>
      <c r="M637" s="15">
        <f t="shared" si="979"/>
        <v>1778.4615384615388</v>
      </c>
      <c r="N637" s="15">
        <f t="shared" si="979"/>
        <v>1814.0307692307692</v>
      </c>
      <c r="O637" s="15">
        <f t="shared" si="979"/>
        <v>1850.3113846153849</v>
      </c>
      <c r="P637" s="15">
        <f t="shared" si="979"/>
        <v>1887.3176123076926</v>
      </c>
      <c r="Q637" s="15">
        <f t="shared" si="979"/>
        <v>1925.0639645538463</v>
      </c>
      <c r="R637" s="15">
        <f t="shared" si="979"/>
        <v>1963.5652438449235</v>
      </c>
      <c r="S637" s="15">
        <f t="shared" si="979"/>
        <v>2002.8365487218214</v>
      </c>
      <c r="T637" s="15">
        <f t="shared" si="979"/>
        <v>2042.8932796962579</v>
      </c>
      <c r="U637" s="15">
        <f t="shared" si="979"/>
        <v>2083.7511452901831</v>
      </c>
      <c r="V637" s="15">
        <f t="shared" si="979"/>
        <v>2125.426168195987</v>
      </c>
      <c r="W637" s="15">
        <f t="shared" si="979"/>
        <v>2167.9346915599062</v>
      </c>
      <c r="X637" s="15">
        <f t="shared" si="979"/>
        <v>2211.2933853911045</v>
      </c>
      <c r="Y637" s="15">
        <f t="shared" si="979"/>
        <v>2255.5192530989266</v>
      </c>
      <c r="Z637" s="15">
        <f t="shared" si="979"/>
        <v>2300.6296381609054</v>
      </c>
      <c r="AA637" s="15">
        <f t="shared" si="979"/>
        <v>2346.6422309241225</v>
      </c>
      <c r="AB637" s="15">
        <f t="shared" si="979"/>
        <v>2393.5750755426056</v>
      </c>
      <c r="AC637" s="15">
        <f t="shared" si="979"/>
        <v>2441.4465770534584</v>
      </c>
      <c r="AD637" s="15">
        <f t="shared" si="979"/>
        <v>2490.2755085945264</v>
      </c>
      <c r="AE637" s="15">
        <f t="shared" si="979"/>
        <v>2540.0810187664179</v>
      </c>
      <c r="AF637" s="15">
        <f t="shared" si="979"/>
        <v>2590.8826391417456</v>
      </c>
      <c r="AG637" s="15">
        <f t="shared" si="979"/>
        <v>2642.7002919245806</v>
      </c>
      <c r="AH637" s="15">
        <f t="shared" si="979"/>
        <v>2695.5542977630726</v>
      </c>
      <c r="AI637" s="15">
        <f t="shared" si="979"/>
        <v>2749.4653837183328</v>
      </c>
      <c r="AJ637" s="15">
        <f t="shared" si="979"/>
        <v>2804.4546913927006</v>
      </c>
    </row>
    <row r="638" spans="1:36" hidden="1" x14ac:dyDescent="0.25">
      <c r="A638" t="s">
        <v>696</v>
      </c>
      <c r="H638" t="s">
        <v>493</v>
      </c>
      <c r="I638" s="65" t="s">
        <v>494</v>
      </c>
      <c r="K638" s="15"/>
      <c r="L638" s="15">
        <f t="shared" ref="L638:AJ638" si="980">L636*1000/EXR</f>
        <v>26.153846153846153</v>
      </c>
      <c r="M638" s="15">
        <f t="shared" si="980"/>
        <v>26.676923076923078</v>
      </c>
      <c r="N638" s="15">
        <f t="shared" si="980"/>
        <v>27.210461538461537</v>
      </c>
      <c r="O638" s="15">
        <f t="shared" si="980"/>
        <v>27.754670769230771</v>
      </c>
      <c r="P638" s="15">
        <f t="shared" si="980"/>
        <v>28.309764184615386</v>
      </c>
      <c r="Q638" s="15">
        <f t="shared" si="980"/>
        <v>28.875959468307691</v>
      </c>
      <c r="R638" s="15">
        <f t="shared" si="980"/>
        <v>29.453478657673848</v>
      </c>
      <c r="S638" s="15">
        <f t="shared" si="980"/>
        <v>30.042548230827315</v>
      </c>
      <c r="T638" s="15">
        <f t="shared" si="980"/>
        <v>30.643399195443866</v>
      </c>
      <c r="U638" s="15">
        <f t="shared" si="980"/>
        <v>31.256267179352747</v>
      </c>
      <c r="V638" s="15">
        <f t="shared" si="980"/>
        <v>31.881392522939798</v>
      </c>
      <c r="W638" s="15">
        <f t="shared" si="980"/>
        <v>32.519020373398597</v>
      </c>
      <c r="X638" s="15">
        <f t="shared" si="980"/>
        <v>33.169400780866567</v>
      </c>
      <c r="Y638" s="15">
        <f t="shared" si="980"/>
        <v>33.832788796483896</v>
      </c>
      <c r="Z638" s="15">
        <f t="shared" si="980"/>
        <v>34.509444572413578</v>
      </c>
      <c r="AA638" s="15">
        <f t="shared" si="980"/>
        <v>35.199633463861844</v>
      </c>
      <c r="AB638" s="15">
        <f t="shared" si="980"/>
        <v>35.903626133139085</v>
      </c>
      <c r="AC638" s="15">
        <f t="shared" si="980"/>
        <v>36.621698655801872</v>
      </c>
      <c r="AD638" s="15">
        <f t="shared" si="980"/>
        <v>37.354132628917903</v>
      </c>
      <c r="AE638" s="15">
        <f t="shared" si="980"/>
        <v>38.101215281496259</v>
      </c>
      <c r="AF638" s="15">
        <f t="shared" si="980"/>
        <v>38.863239587126188</v>
      </c>
      <c r="AG638" s="15">
        <f t="shared" si="980"/>
        <v>39.640504378868705</v>
      </c>
      <c r="AH638" s="15">
        <f t="shared" si="980"/>
        <v>40.433314466446085</v>
      </c>
      <c r="AI638" s="15">
        <f t="shared" si="980"/>
        <v>41.241980755774996</v>
      </c>
      <c r="AJ638" s="15">
        <f t="shared" si="980"/>
        <v>42.066820370890504</v>
      </c>
    </row>
    <row r="639" spans="1:36" hidden="1" x14ac:dyDescent="0.25">
      <c r="A639" t="s">
        <v>696</v>
      </c>
    </row>
    <row r="640" spans="1:36" s="16" customFormat="1" hidden="1" x14ac:dyDescent="0.25">
      <c r="A640" s="16" t="s">
        <v>696</v>
      </c>
      <c r="D640" s="16" t="s">
        <v>723</v>
      </c>
      <c r="H640" s="270" t="s">
        <v>497</v>
      </c>
      <c r="I640" s="271" t="str">
        <f>IF($H$9="USD","USD","tr. VND")</f>
        <v>tr. VND</v>
      </c>
      <c r="K640" s="270"/>
      <c r="L640" s="272">
        <f t="shared" ref="L640:AJ640" si="981">IF($H$9="USD",L637*L516/10^3,L635*L516/10^3)</f>
        <v>140401.29945600001</v>
      </c>
      <c r="M640" s="272">
        <f t="shared" si="981"/>
        <v>200493.05562316801</v>
      </c>
      <c r="N640" s="272">
        <f t="shared" si="981"/>
        <v>292147.02390804479</v>
      </c>
      <c r="O640" s="272">
        <f t="shared" si="981"/>
        <v>297989.96438620571</v>
      </c>
      <c r="P640" s="272">
        <f t="shared" si="981"/>
        <v>303949.76367392979</v>
      </c>
      <c r="Q640" s="272">
        <f t="shared" si="981"/>
        <v>310028.75894740841</v>
      </c>
      <c r="R640" s="272">
        <f t="shared" si="981"/>
        <v>316229.33412635658</v>
      </c>
      <c r="S640" s="272">
        <f t="shared" si="981"/>
        <v>322553.92080888367</v>
      </c>
      <c r="T640" s="272">
        <f t="shared" si="981"/>
        <v>329004.99922506133</v>
      </c>
      <c r="U640" s="272">
        <f t="shared" si="981"/>
        <v>335585.09920956258</v>
      </c>
      <c r="V640" s="272">
        <f t="shared" si="981"/>
        <v>342296.80119375384</v>
      </c>
      <c r="W640" s="272">
        <f t="shared" si="981"/>
        <v>349142.73721762892</v>
      </c>
      <c r="X640" s="272">
        <f t="shared" si="981"/>
        <v>356125.5919619815</v>
      </c>
      <c r="Y640" s="272">
        <f t="shared" si="981"/>
        <v>363248.10380122106</v>
      </c>
      <c r="Z640" s="272">
        <f t="shared" si="981"/>
        <v>370513.06587724556</v>
      </c>
      <c r="AA640" s="272">
        <f t="shared" si="981"/>
        <v>377923.32719479036</v>
      </c>
      <c r="AB640" s="272">
        <f t="shared" si="981"/>
        <v>385481.79373868631</v>
      </c>
      <c r="AC640" s="272">
        <f t="shared" si="981"/>
        <v>393191.42961346003</v>
      </c>
      <c r="AD640" s="272">
        <f t="shared" si="981"/>
        <v>401055.25820572913</v>
      </c>
      <c r="AE640" s="272">
        <f t="shared" si="981"/>
        <v>409076.36336984381</v>
      </c>
      <c r="AF640" s="272">
        <f t="shared" si="981"/>
        <v>417257.89063724066</v>
      </c>
      <c r="AG640" s="272">
        <f t="shared" si="981"/>
        <v>425603.04844998539</v>
      </c>
      <c r="AH640" s="272">
        <f t="shared" si="981"/>
        <v>434115.1094189852</v>
      </c>
      <c r="AI640" s="272">
        <f t="shared" si="981"/>
        <v>442797.41160736472</v>
      </c>
      <c r="AJ640" s="272">
        <f t="shared" si="981"/>
        <v>451653.35983951209</v>
      </c>
    </row>
    <row r="641" spans="1:36" hidden="1" x14ac:dyDescent="0.25">
      <c r="A641" t="s">
        <v>696</v>
      </c>
    </row>
    <row r="642" spans="1:36" s="1" customFormat="1" hidden="1" x14ac:dyDescent="0.25">
      <c r="A642" s="1" t="s">
        <v>696</v>
      </c>
      <c r="H642" s="266" t="s">
        <v>495</v>
      </c>
      <c r="I642" s="267" t="str">
        <f>IF($H$9="USD","USD","tr. VND")</f>
        <v>tr. VND</v>
      </c>
      <c r="K642" s="266"/>
      <c r="L642" s="269">
        <f>L640+L556</f>
        <v>-27134.409637160104</v>
      </c>
      <c r="M642" s="269">
        <f t="shared" ref="M642:AJ642" si="982">M640+M556</f>
        <v>-4209.2481189872196</v>
      </c>
      <c r="N642" s="269">
        <f t="shared" si="982"/>
        <v>26296.222820386582</v>
      </c>
      <c r="O642" s="269">
        <f t="shared" si="982"/>
        <v>26943.642737745133</v>
      </c>
      <c r="P642" s="269">
        <f t="shared" si="982"/>
        <v>27555.240549675713</v>
      </c>
      <c r="Q642" s="269">
        <f t="shared" si="982"/>
        <v>28128.128988419136</v>
      </c>
      <c r="R642" s="269">
        <f t="shared" si="982"/>
        <v>28659.273238545924</v>
      </c>
      <c r="S642" s="269">
        <f t="shared" si="982"/>
        <v>29145.484807615168</v>
      </c>
      <c r="T642" s="269">
        <f t="shared" si="982"/>
        <v>29583.415207147889</v>
      </c>
      <c r="U642" s="269">
        <f t="shared" si="982"/>
        <v>29969.549443193595</v>
      </c>
      <c r="V642" s="269">
        <f t="shared" si="982"/>
        <v>30300.199316359125</v>
      </c>
      <c r="W642" s="269">
        <f t="shared" si="982"/>
        <v>30571.496531828365</v>
      </c>
      <c r="X642" s="269">
        <f t="shared" si="982"/>
        <v>56844.36828731565</v>
      </c>
      <c r="Y642" s="269">
        <f t="shared" si="982"/>
        <v>56984.59934105305</v>
      </c>
      <c r="Z642" s="269">
        <f t="shared" si="982"/>
        <v>57052.720562844537</v>
      </c>
      <c r="AA642" s="269">
        <f t="shared" si="982"/>
        <v>57044.070638909354</v>
      </c>
      <c r="AB642" s="269">
        <f t="shared" si="982"/>
        <v>56953.770935720415</v>
      </c>
      <c r="AC642" s="269">
        <f t="shared" si="982"/>
        <v>56776.717529301241</v>
      </c>
      <c r="AD642" s="269">
        <f t="shared" si="982"/>
        <v>56507.573074522079</v>
      </c>
      <c r="AE642" s="269">
        <f t="shared" si="982"/>
        <v>56140.758523805067</v>
      </c>
      <c r="AF642" s="269">
        <f t="shared" si="982"/>
        <v>55670.444706357724</v>
      </c>
      <c r="AG642" s="269">
        <f t="shared" si="982"/>
        <v>55090.543780931213</v>
      </c>
      <c r="AH642" s="269">
        <f t="shared" si="982"/>
        <v>54394.700577157142</v>
      </c>
      <c r="AI642" s="269">
        <f t="shared" si="982"/>
        <v>53576.28384278476</v>
      </c>
      <c r="AJ642" s="269">
        <f t="shared" si="982"/>
        <v>52628.377416626783</v>
      </c>
    </row>
    <row r="643" spans="1:36" s="146" customFormat="1" hidden="1" x14ac:dyDescent="0.25">
      <c r="A643" s="146" t="s">
        <v>696</v>
      </c>
      <c r="H643" s="146" t="s">
        <v>496</v>
      </c>
      <c r="I643" s="144"/>
      <c r="L643" s="147">
        <f>IFERROR(L642/L640,0)</f>
        <v>-0.19326323718010663</v>
      </c>
      <c r="M643" s="147">
        <f t="shared" ref="M643:AJ643" si="983">IFERROR(M642/M640,0)</f>
        <v>-2.0994483354568712E-2</v>
      </c>
      <c r="N643" s="147">
        <f t="shared" si="983"/>
        <v>9.0010236861640905E-2</v>
      </c>
      <c r="O643" s="147">
        <f t="shared" si="983"/>
        <v>9.041795348122933E-2</v>
      </c>
      <c r="P643" s="147">
        <f t="shared" si="983"/>
        <v>9.0657219853068655E-2</v>
      </c>
      <c r="Q643" s="147">
        <f t="shared" si="983"/>
        <v>9.0727483101626191E-2</v>
      </c>
      <c r="R643" s="147">
        <f t="shared" si="983"/>
        <v>9.0628130112352143E-2</v>
      </c>
      <c r="S643" s="147">
        <f t="shared" si="983"/>
        <v>9.0358488697101128E-2</v>
      </c>
      <c r="T643" s="147">
        <f t="shared" si="983"/>
        <v>8.9917828837946814E-2</v>
      </c>
      <c r="U643" s="147">
        <f t="shared" si="983"/>
        <v>8.9305364015815653E-2</v>
      </c>
      <c r="V643" s="147">
        <f t="shared" si="983"/>
        <v>8.8520252630722038E-2</v>
      </c>
      <c r="W643" s="147">
        <f t="shared" si="983"/>
        <v>8.7561599520749669E-2</v>
      </c>
      <c r="X643" s="147">
        <f t="shared" si="983"/>
        <v>0.15961888044649181</v>
      </c>
      <c r="Y643" s="147">
        <f t="shared" si="983"/>
        <v>0.15687514606335434</v>
      </c>
      <c r="Z643" s="147">
        <f t="shared" si="983"/>
        <v>0.15398301927022093</v>
      </c>
      <c r="AA643" s="147">
        <f t="shared" si="983"/>
        <v>0.15094085634334906</v>
      </c>
      <c r="AB643" s="147">
        <f t="shared" si="983"/>
        <v>0.14774698017081639</v>
      </c>
      <c r="AC643" s="147">
        <f t="shared" si="983"/>
        <v>0.14439968232552142</v>
      </c>
      <c r="AD643" s="147">
        <f t="shared" si="983"/>
        <v>0.14089722530339052</v>
      </c>
      <c r="AE643" s="147">
        <f t="shared" si="983"/>
        <v>0.13723784493764188</v>
      </c>
      <c r="AF643" s="147">
        <f t="shared" si="983"/>
        <v>0.13341975300056574</v>
      </c>
      <c r="AG643" s="147">
        <f t="shared" si="983"/>
        <v>0.12944114000491039</v>
      </c>
      <c r="AH643" s="147">
        <f t="shared" si="983"/>
        <v>0.12530017821761238</v>
      </c>
      <c r="AI643" s="147">
        <f t="shared" si="983"/>
        <v>0.12099502489931373</v>
      </c>
      <c r="AJ643" s="147">
        <f t="shared" si="983"/>
        <v>0.11652382578384328</v>
      </c>
    </row>
    <row r="644" spans="1:36" hidden="1" x14ac:dyDescent="0.25">
      <c r="A644" t="s">
        <v>696</v>
      </c>
    </row>
    <row r="645" spans="1:36" s="16" customFormat="1" hidden="1" x14ac:dyDescent="0.25">
      <c r="A645" s="16" t="s">
        <v>696</v>
      </c>
      <c r="D645" s="16" t="s">
        <v>488</v>
      </c>
      <c r="H645" s="270" t="s">
        <v>488</v>
      </c>
      <c r="I645" s="271" t="str">
        <f>IF($H$9="USD","USD","tr. VND")</f>
        <v>tr. VND</v>
      </c>
      <c r="K645" s="270"/>
      <c r="L645" s="272">
        <f t="shared" ref="L645:AJ645" si="984">L642*(1-Tax_rate)</f>
        <v>-21707.527709728085</v>
      </c>
      <c r="M645" s="272">
        <f t="shared" si="984"/>
        <v>-3367.398495189776</v>
      </c>
      <c r="N645" s="272">
        <f t="shared" si="984"/>
        <v>21036.978256309267</v>
      </c>
      <c r="O645" s="272">
        <f t="shared" si="984"/>
        <v>21554.914190196108</v>
      </c>
      <c r="P645" s="272">
        <f t="shared" si="984"/>
        <v>22044.192439740571</v>
      </c>
      <c r="Q645" s="272">
        <f t="shared" si="984"/>
        <v>22502.503190735311</v>
      </c>
      <c r="R645" s="272">
        <f t="shared" si="984"/>
        <v>22927.41859083674</v>
      </c>
      <c r="S645" s="272">
        <f t="shared" si="984"/>
        <v>23316.387846092137</v>
      </c>
      <c r="T645" s="272">
        <f t="shared" si="984"/>
        <v>23666.732165718313</v>
      </c>
      <c r="U645" s="272">
        <f t="shared" si="984"/>
        <v>23975.639554554877</v>
      </c>
      <c r="V645" s="272">
        <f t="shared" si="984"/>
        <v>24240.159453087301</v>
      </c>
      <c r="W645" s="272">
        <f t="shared" si="984"/>
        <v>24457.197225462693</v>
      </c>
      <c r="X645" s="272">
        <f t="shared" si="984"/>
        <v>45475.494629852525</v>
      </c>
      <c r="Y645" s="272">
        <f t="shared" si="984"/>
        <v>45587.679472842443</v>
      </c>
      <c r="Z645" s="272">
        <f t="shared" si="984"/>
        <v>45642.176450275634</v>
      </c>
      <c r="AA645" s="272">
        <f t="shared" si="984"/>
        <v>45635.256511127489</v>
      </c>
      <c r="AB645" s="272">
        <f t="shared" si="984"/>
        <v>45563.016748576338</v>
      </c>
      <c r="AC645" s="272">
        <f t="shared" si="984"/>
        <v>45421.374023440992</v>
      </c>
      <c r="AD645" s="272">
        <f t="shared" si="984"/>
        <v>45206.058459617663</v>
      </c>
      <c r="AE645" s="272">
        <f t="shared" si="984"/>
        <v>44912.606819044056</v>
      </c>
      <c r="AF645" s="272">
        <f t="shared" si="984"/>
        <v>44536.355765086184</v>
      </c>
      <c r="AG645" s="272">
        <f t="shared" si="984"/>
        <v>44072.435024744977</v>
      </c>
      <c r="AH645" s="272">
        <f t="shared" si="984"/>
        <v>43515.760461725717</v>
      </c>
      <c r="AI645" s="272">
        <f t="shared" si="984"/>
        <v>42861.027074227808</v>
      </c>
      <c r="AJ645" s="272">
        <f t="shared" si="984"/>
        <v>42102.701933301432</v>
      </c>
    </row>
    <row r="646" spans="1:36" s="146" customFormat="1" hidden="1" x14ac:dyDescent="0.25">
      <c r="A646" s="146" t="s">
        <v>696</v>
      </c>
      <c r="H646" s="146" t="s">
        <v>489</v>
      </c>
      <c r="I646" s="144"/>
      <c r="L646" s="147">
        <f>IFERROR(L645/L640,0)</f>
        <v>-0.15461058974408531</v>
      </c>
      <c r="M646" s="147">
        <f t="shared" ref="M646:AJ646" si="985">IFERROR(M645/M640,0)</f>
        <v>-1.6795586683654971E-2</v>
      </c>
      <c r="N646" s="147">
        <f t="shared" si="985"/>
        <v>7.2008189489312729E-2</v>
      </c>
      <c r="O646" s="147">
        <f t="shared" si="985"/>
        <v>7.2334362784983466E-2</v>
      </c>
      <c r="P646" s="147">
        <f t="shared" si="985"/>
        <v>7.2525775882454929E-2</v>
      </c>
      <c r="Q646" s="147">
        <f t="shared" si="985"/>
        <v>7.2581986481300959E-2</v>
      </c>
      <c r="R646" s="147">
        <f t="shared" si="985"/>
        <v>7.2502504089881722E-2</v>
      </c>
      <c r="S646" s="147">
        <f t="shared" si="985"/>
        <v>7.228679095768091E-2</v>
      </c>
      <c r="T646" s="147">
        <f t="shared" si="985"/>
        <v>7.1934263070357454E-2</v>
      </c>
      <c r="U646" s="147">
        <f t="shared" si="985"/>
        <v>7.1444291212652528E-2</v>
      </c>
      <c r="V646" s="147">
        <f t="shared" si="985"/>
        <v>7.0816202104577633E-2</v>
      </c>
      <c r="W646" s="147">
        <f t="shared" si="985"/>
        <v>7.0049279616599736E-2</v>
      </c>
      <c r="X646" s="147">
        <f t="shared" si="985"/>
        <v>0.12769510435719347</v>
      </c>
      <c r="Y646" s="147">
        <f t="shared" si="985"/>
        <v>0.12550011685068346</v>
      </c>
      <c r="Z646" s="147">
        <f t="shared" si="985"/>
        <v>0.12318641541617675</v>
      </c>
      <c r="AA646" s="147">
        <f t="shared" si="985"/>
        <v>0.12075268507467926</v>
      </c>
      <c r="AB646" s="147">
        <f t="shared" si="985"/>
        <v>0.11819758413665311</v>
      </c>
      <c r="AC646" s="147">
        <f t="shared" si="985"/>
        <v>0.11551974586041713</v>
      </c>
      <c r="AD646" s="147">
        <f t="shared" si="985"/>
        <v>0.11271778024271242</v>
      </c>
      <c r="AE646" s="147">
        <f t="shared" si="985"/>
        <v>0.10979027595011351</v>
      </c>
      <c r="AF646" s="147">
        <f t="shared" si="985"/>
        <v>0.10673580240045261</v>
      </c>
      <c r="AG646" s="147">
        <f t="shared" si="985"/>
        <v>0.10355291200392831</v>
      </c>
      <c r="AH646" s="147">
        <f t="shared" si="985"/>
        <v>0.1002401425740899</v>
      </c>
      <c r="AI646" s="147">
        <f t="shared" si="985"/>
        <v>9.6796019919450971E-2</v>
      </c>
      <c r="AJ646" s="147">
        <f t="shared" si="985"/>
        <v>9.3219060627074635E-2</v>
      </c>
    </row>
    <row r="647" spans="1:36" hidden="1" x14ac:dyDescent="0.25">
      <c r="A647" t="s">
        <v>696</v>
      </c>
    </row>
    <row r="648" spans="1:36" s="16" customFormat="1" hidden="1" x14ac:dyDescent="0.25">
      <c r="A648" s="16" t="s">
        <v>696</v>
      </c>
      <c r="H648" s="270" t="s">
        <v>477</v>
      </c>
      <c r="I648" s="271" t="str">
        <f>IF($H$9="USD","USD","tr. VND")</f>
        <v>tr. VND</v>
      </c>
      <c r="K648" s="272">
        <f>SUM(K650:K653)</f>
        <v>-450749.80000000005</v>
      </c>
      <c r="L648" s="272">
        <f t="shared" ref="L648:AJ648" si="986">SUM(L650:L653)</f>
        <v>0</v>
      </c>
      <c r="M648" s="272">
        <f t="shared" si="986"/>
        <v>0</v>
      </c>
      <c r="N648" s="272">
        <f t="shared" si="986"/>
        <v>0</v>
      </c>
      <c r="O648" s="272">
        <f t="shared" si="986"/>
        <v>0</v>
      </c>
      <c r="P648" s="272">
        <f t="shared" si="986"/>
        <v>0</v>
      </c>
      <c r="Q648" s="272">
        <f t="shared" si="986"/>
        <v>0</v>
      </c>
      <c r="R648" s="272">
        <f t="shared" si="986"/>
        <v>0</v>
      </c>
      <c r="S648" s="272">
        <f t="shared" si="986"/>
        <v>0</v>
      </c>
      <c r="T648" s="272">
        <f t="shared" si="986"/>
        <v>0</v>
      </c>
      <c r="U648" s="272">
        <f t="shared" si="986"/>
        <v>0</v>
      </c>
      <c r="V648" s="272">
        <f t="shared" si="986"/>
        <v>0</v>
      </c>
      <c r="W648" s="272">
        <f t="shared" si="986"/>
        <v>0</v>
      </c>
      <c r="X648" s="272">
        <f t="shared" si="986"/>
        <v>0</v>
      </c>
      <c r="Y648" s="272">
        <f t="shared" si="986"/>
        <v>0</v>
      </c>
      <c r="Z648" s="272">
        <f t="shared" si="986"/>
        <v>0</v>
      </c>
      <c r="AA648" s="272">
        <f t="shared" si="986"/>
        <v>0</v>
      </c>
      <c r="AB648" s="272">
        <f t="shared" si="986"/>
        <v>0</v>
      </c>
      <c r="AC648" s="272">
        <f t="shared" si="986"/>
        <v>0</v>
      </c>
      <c r="AD648" s="272">
        <f t="shared" si="986"/>
        <v>0</v>
      </c>
      <c r="AE648" s="272">
        <f t="shared" si="986"/>
        <v>0</v>
      </c>
      <c r="AF648" s="272">
        <f t="shared" si="986"/>
        <v>0</v>
      </c>
      <c r="AG648" s="272">
        <f t="shared" si="986"/>
        <v>0</v>
      </c>
      <c r="AH648" s="272">
        <f t="shared" si="986"/>
        <v>0</v>
      </c>
      <c r="AI648" s="272">
        <f t="shared" si="986"/>
        <v>0</v>
      </c>
      <c r="AJ648" s="272">
        <f t="shared" si="986"/>
        <v>0</v>
      </c>
    </row>
    <row r="649" spans="1:36" hidden="1" x14ac:dyDescent="0.25">
      <c r="A649" t="s">
        <v>696</v>
      </c>
    </row>
    <row r="650" spans="1:36" hidden="1" x14ac:dyDescent="0.25">
      <c r="A650" t="s">
        <v>696</v>
      </c>
      <c r="B650" t="s">
        <v>480</v>
      </c>
      <c r="H650" s="459" t="s">
        <v>30</v>
      </c>
      <c r="I650" s="494" t="str">
        <f t="shared" ref="I650:I653" si="987">IF($H$9="USD","USD","tr. VND")</f>
        <v>tr. VND</v>
      </c>
      <c r="K650" s="461" cm="1">
        <f t="array" ref="K650">-SUMPRODUCT('W1'!$H$10:$AI$60*('W1'!$A$10:$A$60=$B650)*('W1'!$H$7:$AI$7="Giá trị đầu tư")*('W1'!$H$6:$AI$6=$A650))*$H$10</f>
        <v>-246389.00000000003</v>
      </c>
      <c r="L650" s="461"/>
      <c r="M650" s="461"/>
      <c r="N650" s="461"/>
      <c r="O650" s="461"/>
      <c r="P650" s="461"/>
      <c r="Q650" s="461"/>
      <c r="R650" s="461"/>
      <c r="S650" s="461"/>
      <c r="T650" s="461"/>
      <c r="U650" s="461"/>
      <c r="V650" s="461"/>
      <c r="W650" s="461"/>
      <c r="X650" s="461"/>
      <c r="Y650" s="461"/>
      <c r="Z650" s="461"/>
      <c r="AA650" s="461"/>
      <c r="AB650" s="461"/>
      <c r="AC650" s="461"/>
      <c r="AD650" s="461"/>
      <c r="AE650" s="461"/>
      <c r="AF650" s="461"/>
      <c r="AG650" s="461"/>
      <c r="AH650" s="461"/>
      <c r="AI650" s="461"/>
      <c r="AJ650" s="461"/>
    </row>
    <row r="651" spans="1:36" hidden="1" x14ac:dyDescent="0.25">
      <c r="A651" t="s">
        <v>696</v>
      </c>
      <c r="B651" t="s">
        <v>481</v>
      </c>
      <c r="H651" s="454" t="s">
        <v>32</v>
      </c>
      <c r="I651" s="497" t="str">
        <f t="shared" si="987"/>
        <v>tr. VND</v>
      </c>
      <c r="K651" s="457" cm="1">
        <f t="array" ref="K651">-SUMPRODUCT('W1'!$H$10:$AI$60*('W1'!$A$10:$A$60=$B651)*('W1'!$H$7:$AI$7="Giá trị đầu tư")*('W1'!$H$6:$AI$6=$A651))*$H$10</f>
        <v>-38110.799999999996</v>
      </c>
      <c r="L651" s="457"/>
      <c r="M651" s="457"/>
      <c r="N651" s="457"/>
      <c r="O651" s="457"/>
      <c r="P651" s="457"/>
      <c r="Q651" s="457"/>
      <c r="R651" s="457"/>
      <c r="S651" s="457"/>
      <c r="T651" s="457"/>
      <c r="U651" s="457"/>
      <c r="V651" s="457"/>
      <c r="W651" s="457"/>
      <c r="X651" s="457"/>
      <c r="Y651" s="457"/>
      <c r="Z651" s="457"/>
      <c r="AA651" s="457"/>
      <c r="AB651" s="457"/>
      <c r="AC651" s="457"/>
      <c r="AD651" s="457"/>
      <c r="AE651" s="457"/>
      <c r="AF651" s="457"/>
      <c r="AG651" s="457"/>
      <c r="AH651" s="457"/>
      <c r="AI651" s="457"/>
      <c r="AJ651" s="457"/>
    </row>
    <row r="652" spans="1:36" hidden="1" x14ac:dyDescent="0.25">
      <c r="A652" t="s">
        <v>696</v>
      </c>
      <c r="B652" t="s">
        <v>482</v>
      </c>
      <c r="H652" s="454" t="s">
        <v>478</v>
      </c>
      <c r="I652" s="497" t="str">
        <f t="shared" si="987"/>
        <v>tr. VND</v>
      </c>
      <c r="K652" s="457" cm="1">
        <f t="array" ref="K652">-SUMPRODUCT('W1'!$H$10:$AI$60*('W1'!$A$10:$A$60=$B652)*('W1'!$H$7:$AI$7="Giá trị đầu tư")*('W1'!$H$6:$AI$6=$A652))*$H$10</f>
        <v>-150000</v>
      </c>
      <c r="L652" s="457"/>
      <c r="M652" s="457"/>
      <c r="N652" s="457"/>
      <c r="O652" s="457"/>
      <c r="P652" s="457"/>
      <c r="Q652" s="457"/>
      <c r="R652" s="457"/>
      <c r="S652" s="457"/>
      <c r="T652" s="457"/>
      <c r="U652" s="457"/>
      <c r="V652" s="457"/>
      <c r="W652" s="457"/>
      <c r="X652" s="457"/>
      <c r="Y652" s="457"/>
      <c r="Z652" s="457"/>
      <c r="AA652" s="457"/>
      <c r="AB652" s="457"/>
      <c r="AC652" s="457"/>
      <c r="AD652" s="457"/>
      <c r="AE652" s="457"/>
      <c r="AF652" s="457"/>
      <c r="AG652" s="457"/>
      <c r="AH652" s="457"/>
      <c r="AI652" s="457"/>
      <c r="AJ652" s="457"/>
    </row>
    <row r="653" spans="1:36" hidden="1" x14ac:dyDescent="0.25">
      <c r="A653" t="s">
        <v>696</v>
      </c>
      <c r="B653" t="s">
        <v>483</v>
      </c>
      <c r="H653" s="454" t="s">
        <v>479</v>
      </c>
      <c r="I653" s="497" t="str">
        <f t="shared" si="987"/>
        <v>tr. VND</v>
      </c>
      <c r="K653" s="457" cm="1">
        <f t="array" ref="K653">-SUMPRODUCT('W1'!$H$10:$AI$60*('W1'!$A$10:$A$60=$B653)*('W1'!$H$7:$AI$7="Giá trị đầu tư")*('W1'!$H$6:$AI$6=$A653))*$H$10</f>
        <v>-16250</v>
      </c>
      <c r="L653" s="457"/>
      <c r="M653" s="457"/>
      <c r="N653" s="457"/>
      <c r="O653" s="457"/>
      <c r="P653" s="457"/>
      <c r="Q653" s="457"/>
      <c r="R653" s="457"/>
      <c r="S653" s="457"/>
      <c r="T653" s="457"/>
      <c r="U653" s="457"/>
      <c r="V653" s="457"/>
      <c r="W653" s="457"/>
      <c r="X653" s="457"/>
      <c r="Y653" s="457"/>
      <c r="Z653" s="457"/>
      <c r="AA653" s="457"/>
      <c r="AB653" s="457"/>
      <c r="AC653" s="457"/>
      <c r="AD653" s="457"/>
      <c r="AE653" s="457"/>
      <c r="AF653" s="457"/>
      <c r="AG653" s="457"/>
      <c r="AH653" s="457"/>
      <c r="AI653" s="457"/>
      <c r="AJ653" s="457"/>
    </row>
    <row r="654" spans="1:36" hidden="1" x14ac:dyDescent="0.25">
      <c r="A654" t="s">
        <v>696</v>
      </c>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row>
    <row r="655" spans="1:36" s="16" customFormat="1" hidden="1" x14ac:dyDescent="0.25">
      <c r="A655" s="16" t="s">
        <v>696</v>
      </c>
      <c r="H655" s="270" t="s">
        <v>498</v>
      </c>
      <c r="I655" s="271" t="str">
        <f>IF($H$9="USD","USD","tr. VND")</f>
        <v>tr. VND</v>
      </c>
      <c r="K655" s="272">
        <f>K648</f>
        <v>-450749.80000000005</v>
      </c>
      <c r="L655" s="272">
        <f t="shared" ref="L655:AJ655" si="988">L640+L556-(L528+L554)</f>
        <v>26014.813896173233</v>
      </c>
      <c r="M655" s="272">
        <f t="shared" si="988"/>
        <v>48706.156270343832</v>
      </c>
      <c r="N655" s="272">
        <f t="shared" si="988"/>
        <v>78961.440725635199</v>
      </c>
      <c r="O655" s="272">
        <f t="shared" si="988"/>
        <v>79341.161105025531</v>
      </c>
      <c r="P655" s="272">
        <f t="shared" si="988"/>
        <v>79666.320411330118</v>
      </c>
      <c r="Q655" s="272">
        <f t="shared" si="988"/>
        <v>79932.719649053746</v>
      </c>
      <c r="R655" s="272">
        <f t="shared" si="988"/>
        <v>80135.920454089341</v>
      </c>
      <c r="S655" s="272">
        <f t="shared" si="988"/>
        <v>80271.232536911004</v>
      </c>
      <c r="T655" s="272">
        <f t="shared" si="988"/>
        <v>80333.700486158821</v>
      </c>
      <c r="U655" s="272">
        <f t="shared" si="988"/>
        <v>80318.089900399675</v>
      </c>
      <c r="V655" s="272">
        <f t="shared" si="988"/>
        <v>80218.872814234026</v>
      </c>
      <c r="W655" s="272">
        <f t="shared" si="988"/>
        <v>80030.212383218895</v>
      </c>
      <c r="X655" s="272">
        <f t="shared" si="988"/>
        <v>80748.446123634567</v>
      </c>
      <c r="Y655" s="272">
        <f t="shared" si="988"/>
        <v>80362.071667912009</v>
      </c>
      <c r="Z655" s="272">
        <f t="shared" si="988"/>
        <v>79866.724994581338</v>
      </c>
      <c r="AA655" s="272">
        <f t="shared" si="988"/>
        <v>79255.164422865462</v>
      </c>
      <c r="AB655" s="272">
        <f t="shared" si="988"/>
        <v>78519.750326551177</v>
      </c>
      <c r="AC655" s="272">
        <f t="shared" si="988"/>
        <v>77652.42451948786</v>
      </c>
      <c r="AD655" s="272">
        <f t="shared" si="988"/>
        <v>76644.688596019492</v>
      </c>
      <c r="AE655" s="272">
        <f t="shared" si="988"/>
        <v>75487.581173805025</v>
      </c>
      <c r="AF655" s="272">
        <f t="shared" si="988"/>
        <v>74171.653983855387</v>
      </c>
      <c r="AG655" s="272">
        <f t="shared" si="988"/>
        <v>72686.946749851428</v>
      </c>
      <c r="AH655" s="272">
        <f t="shared" si="988"/>
        <v>71022.960795899504</v>
      </c>
      <c r="AI655" s="272">
        <f t="shared" si="988"/>
        <v>69168.631318836808</v>
      </c>
      <c r="AJ655" s="272">
        <f t="shared" si="988"/>
        <v>67112.298258000184</v>
      </c>
    </row>
    <row r="656" spans="1:36" hidden="1" x14ac:dyDescent="0.25">
      <c r="A656" t="s">
        <v>696</v>
      </c>
      <c r="H656" t="s">
        <v>292</v>
      </c>
      <c r="I656" s="65" t="str">
        <f t="shared" ref="I656:I663" si="989">IF($H$9="USD","USD","tr. VND")</f>
        <v>tr. VND</v>
      </c>
      <c r="L656" s="15">
        <f t="shared" ref="L656:AJ656" si="990">-(L655+L528)*Tax_rate</f>
        <v>1009.5338874320202</v>
      </c>
      <c r="M656" s="15">
        <f t="shared" si="990"/>
        <v>-3528.7345874020998</v>
      </c>
      <c r="N656" s="15">
        <f t="shared" si="990"/>
        <v>-9579.7914784603727</v>
      </c>
      <c r="O656" s="15">
        <f t="shared" si="990"/>
        <v>-9655.7355543384383</v>
      </c>
      <c r="P656" s="15">
        <f t="shared" si="990"/>
        <v>-9720.7674155993573</v>
      </c>
      <c r="Q656" s="15">
        <f t="shared" si="990"/>
        <v>-9774.0472631440825</v>
      </c>
      <c r="R656" s="15">
        <f t="shared" si="990"/>
        <v>-9814.6874241512014</v>
      </c>
      <c r="S656" s="15">
        <f t="shared" si="990"/>
        <v>-9841.7498407155344</v>
      </c>
      <c r="T656" s="15">
        <f t="shared" si="990"/>
        <v>-9854.2434305650968</v>
      </c>
      <c r="U656" s="15">
        <f t="shared" si="990"/>
        <v>-9851.1213134132686</v>
      </c>
      <c r="V656" s="15">
        <f t="shared" si="990"/>
        <v>-9831.2778961801378</v>
      </c>
      <c r="W656" s="15">
        <f t="shared" si="990"/>
        <v>-9793.5458099771113</v>
      </c>
      <c r="X656" s="15">
        <f t="shared" si="990"/>
        <v>-14949.689224726913</v>
      </c>
      <c r="Y656" s="15">
        <f t="shared" si="990"/>
        <v>-14872.414333582403</v>
      </c>
      <c r="Z656" s="15">
        <f t="shared" si="990"/>
        <v>-14773.344998916269</v>
      </c>
      <c r="AA656" s="15">
        <f t="shared" si="990"/>
        <v>-14651.032884573093</v>
      </c>
      <c r="AB656" s="15">
        <f t="shared" si="990"/>
        <v>-14503.950065310237</v>
      </c>
      <c r="AC656" s="15">
        <f t="shared" si="990"/>
        <v>-14330.484903897574</v>
      </c>
      <c r="AD656" s="15">
        <f t="shared" si="990"/>
        <v>-14128.937719203899</v>
      </c>
      <c r="AE656" s="15">
        <f t="shared" si="990"/>
        <v>-13897.516234761006</v>
      </c>
      <c r="AF656" s="15">
        <f t="shared" si="990"/>
        <v>-13634.330796771079</v>
      </c>
      <c r="AG656" s="15">
        <f t="shared" si="990"/>
        <v>-13337.389349970286</v>
      </c>
      <c r="AH656" s="15">
        <f t="shared" si="990"/>
        <v>-13004.592159179902</v>
      </c>
      <c r="AI656" s="15">
        <f t="shared" si="990"/>
        <v>-12633.726263767363</v>
      </c>
      <c r="AJ656" s="15">
        <f t="shared" si="990"/>
        <v>-12222.459651600038</v>
      </c>
    </row>
    <row r="657" spans="1:36" s="16" customFormat="1" hidden="1" x14ac:dyDescent="0.25">
      <c r="A657" s="16" t="s">
        <v>696</v>
      </c>
      <c r="H657" s="270" t="s">
        <v>499</v>
      </c>
      <c r="I657" s="271" t="str">
        <f t="shared" si="989"/>
        <v>tr. VND</v>
      </c>
      <c r="K657" s="272">
        <f>K655+K656</f>
        <v>-450749.80000000005</v>
      </c>
      <c r="L657" s="272">
        <f t="shared" ref="L657:AJ657" si="991">L655+L656</f>
        <v>27024.347783605252</v>
      </c>
      <c r="M657" s="272">
        <f t="shared" si="991"/>
        <v>45177.421682941735</v>
      </c>
      <c r="N657" s="272">
        <f t="shared" si="991"/>
        <v>69381.649247174821</v>
      </c>
      <c r="O657" s="272">
        <f t="shared" si="991"/>
        <v>69685.425550687098</v>
      </c>
      <c r="P657" s="272">
        <f t="shared" si="991"/>
        <v>69945.552995730759</v>
      </c>
      <c r="Q657" s="272">
        <f t="shared" si="991"/>
        <v>70158.672385909667</v>
      </c>
      <c r="R657" s="272">
        <f t="shared" si="991"/>
        <v>70321.233029938143</v>
      </c>
      <c r="S657" s="272">
        <f t="shared" si="991"/>
        <v>70429.482696195468</v>
      </c>
      <c r="T657" s="272">
        <f t="shared" si="991"/>
        <v>70479.457055593724</v>
      </c>
      <c r="U657" s="272">
        <f t="shared" si="991"/>
        <v>70466.968586986404</v>
      </c>
      <c r="V657" s="272">
        <f t="shared" si="991"/>
        <v>70387.594918053888</v>
      </c>
      <c r="W657" s="272">
        <f t="shared" si="991"/>
        <v>70236.66657324179</v>
      </c>
      <c r="X657" s="272">
        <f t="shared" si="991"/>
        <v>65798.756898907654</v>
      </c>
      <c r="Y657" s="272">
        <f t="shared" si="991"/>
        <v>65489.657334329604</v>
      </c>
      <c r="Z657" s="272">
        <f t="shared" si="991"/>
        <v>65093.379995665069</v>
      </c>
      <c r="AA657" s="272">
        <f t="shared" si="991"/>
        <v>64604.131538292371</v>
      </c>
      <c r="AB657" s="272">
        <f t="shared" si="991"/>
        <v>64015.80026124094</v>
      </c>
      <c r="AC657" s="272">
        <f t="shared" si="991"/>
        <v>63321.939615590287</v>
      </c>
      <c r="AD657" s="272">
        <f t="shared" si="991"/>
        <v>62515.750876815597</v>
      </c>
      <c r="AE657" s="272">
        <f t="shared" si="991"/>
        <v>61590.064939044023</v>
      </c>
      <c r="AF657" s="272">
        <f t="shared" si="991"/>
        <v>60537.323187084308</v>
      </c>
      <c r="AG657" s="272">
        <f t="shared" si="991"/>
        <v>59349.557399881145</v>
      </c>
      <c r="AH657" s="272">
        <f t="shared" si="991"/>
        <v>58018.368636719606</v>
      </c>
      <c r="AI657" s="272">
        <f t="shared" si="991"/>
        <v>56534.905055069445</v>
      </c>
      <c r="AJ657" s="272">
        <f t="shared" si="991"/>
        <v>54889.838606400146</v>
      </c>
    </row>
    <row r="658" spans="1:36" hidden="1" x14ac:dyDescent="0.25">
      <c r="A658" t="s">
        <v>696</v>
      </c>
      <c r="H658" t="s">
        <v>500</v>
      </c>
      <c r="K658" s="95">
        <f>INDEX('Cover Page'!$H$23:$W$23,MATCH($A658,'Cover Page'!$H$5:$W$5,0))</f>
        <v>7.2660000000000016E-2</v>
      </c>
    </row>
    <row r="659" spans="1:36" s="16" customFormat="1" hidden="1" x14ac:dyDescent="0.25">
      <c r="A659" s="16" t="s">
        <v>696</v>
      </c>
      <c r="D659" s="16" t="s">
        <v>515</v>
      </c>
      <c r="H659" s="270" t="s">
        <v>501</v>
      </c>
      <c r="I659" s="271" t="str">
        <f t="shared" si="989"/>
        <v>tr. VND</v>
      </c>
      <c r="K659" s="272">
        <f>K657/POWER(1+$K658,K$14)</f>
        <v>-450749.80000000005</v>
      </c>
      <c r="L659" s="272">
        <f t="shared" ref="L659:AJ659" si="992">L657/POWER(1+$K658,L$14)</f>
        <v>25193.768560033237</v>
      </c>
      <c r="M659" s="272">
        <f t="shared" si="992"/>
        <v>39264.246717462811</v>
      </c>
      <c r="N659" s="272">
        <f t="shared" si="992"/>
        <v>56215.795602428872</v>
      </c>
      <c r="O659" s="272">
        <f t="shared" si="992"/>
        <v>52637.301055435077</v>
      </c>
      <c r="P659" s="272">
        <f t="shared" si="992"/>
        <v>49254.926882417029</v>
      </c>
      <c r="Q659" s="272">
        <f t="shared" si="992"/>
        <v>46058.399985117831</v>
      </c>
      <c r="R659" s="272">
        <f t="shared" si="992"/>
        <v>43037.979664966457</v>
      </c>
      <c r="S659" s="272">
        <f t="shared" si="992"/>
        <v>40184.429915170665</v>
      </c>
      <c r="T659" s="272">
        <f t="shared" si="992"/>
        <v>37488.993172505026</v>
      </c>
      <c r="U659" s="272">
        <f t="shared" si="992"/>
        <v>34943.365450545207</v>
      </c>
      <c r="V659" s="272">
        <f t="shared" si="992"/>
        <v>32539.672780384946</v>
      </c>
      <c r="W659" s="272">
        <f t="shared" si="992"/>
        <v>30270.448888914878</v>
      </c>
      <c r="X659" s="272">
        <f t="shared" si="992"/>
        <v>26436.902685318495</v>
      </c>
      <c r="Y659" s="272">
        <f t="shared" si="992"/>
        <v>24530.337064554446</v>
      </c>
      <c r="Z659" s="272">
        <f t="shared" si="992"/>
        <v>22730.319217111493</v>
      </c>
      <c r="AA659" s="272">
        <f t="shared" si="992"/>
        <v>21031.338754621094</v>
      </c>
      <c r="AB659" s="272">
        <f t="shared" si="992"/>
        <v>19428.162130603083</v>
      </c>
      <c r="AC659" s="272">
        <f t="shared" si="992"/>
        <v>17915.818887965586</v>
      </c>
      <c r="AD659" s="272">
        <f t="shared" si="992"/>
        <v>16489.588586964681</v>
      </c>
      <c r="AE659" s="272">
        <f t="shared" si="992"/>
        <v>15144.988379976085</v>
      </c>
      <c r="AF659" s="272">
        <f t="shared" si="992"/>
        <v>13877.761201098776</v>
      </c>
      <c r="AG659" s="272">
        <f t="shared" si="992"/>
        <v>12683.864540192948</v>
      </c>
      <c r="AH659" s="272">
        <f t="shared" si="992"/>
        <v>11559.459772458353</v>
      </c>
      <c r="AI659" s="272">
        <f t="shared" si="992"/>
        <v>10500.902016089618</v>
      </c>
      <c r="AJ659" s="272">
        <f t="shared" si="992"/>
        <v>9504.7304919042272</v>
      </c>
    </row>
    <row r="660" spans="1:36" hidden="1" x14ac:dyDescent="0.25">
      <c r="A660" t="s">
        <v>696</v>
      </c>
      <c r="H660" t="s">
        <v>503</v>
      </c>
      <c r="I660" s="65" t="str">
        <f t="shared" si="989"/>
        <v>tr. VND</v>
      </c>
      <c r="K660" s="15">
        <f>SUM($K659:K659)</f>
        <v>-450749.80000000005</v>
      </c>
      <c r="L660" s="15">
        <f>SUM($K659:L659)</f>
        <v>-425556.03143996681</v>
      </c>
      <c r="M660" s="15">
        <f>SUM($K659:M659)</f>
        <v>-386291.78472250397</v>
      </c>
      <c r="N660" s="15">
        <f>SUM($K659:N659)</f>
        <v>-330075.98912007513</v>
      </c>
      <c r="O660" s="15">
        <f>SUM($K659:O659)</f>
        <v>-277438.68806464004</v>
      </c>
      <c r="P660" s="15">
        <f>SUM($K659:P659)</f>
        <v>-228183.76118222301</v>
      </c>
      <c r="Q660" s="15">
        <f>SUM($K659:Q659)</f>
        <v>-182125.36119710517</v>
      </c>
      <c r="R660" s="15">
        <f>SUM($K659:R659)</f>
        <v>-139087.38153213871</v>
      </c>
      <c r="S660" s="15">
        <f>SUM($K659:S659)</f>
        <v>-98902.951616968043</v>
      </c>
      <c r="T660" s="15">
        <f>SUM($K659:T659)</f>
        <v>-61413.958444463016</v>
      </c>
      <c r="U660" s="15">
        <f>SUM($K659:U659)</f>
        <v>-26470.59299391781</v>
      </c>
      <c r="V660" s="15">
        <f>SUM($K659:V659)</f>
        <v>6069.0797864671367</v>
      </c>
      <c r="W660" s="15">
        <f>SUM($K659:W659)</f>
        <v>36339.528675382011</v>
      </c>
      <c r="X660" s="15">
        <f>SUM($K659:X659)</f>
        <v>62776.431360700502</v>
      </c>
      <c r="Y660" s="15">
        <f>SUM($K659:Y659)</f>
        <v>87306.768425254952</v>
      </c>
      <c r="Z660" s="15">
        <f>SUM($K659:Z659)</f>
        <v>110037.08764236644</v>
      </c>
      <c r="AA660" s="15">
        <f>SUM($K659:AA659)</f>
        <v>131068.42639698755</v>
      </c>
      <c r="AB660" s="15">
        <f>SUM($K659:AB659)</f>
        <v>150496.58852759062</v>
      </c>
      <c r="AC660" s="15">
        <f>SUM($K659:AC659)</f>
        <v>168412.4074155562</v>
      </c>
      <c r="AD660" s="15">
        <f>SUM($K659:AD659)</f>
        <v>184901.99600252087</v>
      </c>
      <c r="AE660" s="15">
        <f>SUM($K659:AE659)</f>
        <v>200046.98438249694</v>
      </c>
      <c r="AF660" s="15">
        <f>SUM($K659:AF659)</f>
        <v>213924.74558359571</v>
      </c>
      <c r="AG660" s="15">
        <f>SUM($K659:AG659)</f>
        <v>226608.61012378865</v>
      </c>
      <c r="AH660" s="15">
        <f>SUM($K659:AH659)</f>
        <v>238168.06989624701</v>
      </c>
      <c r="AI660" s="15">
        <f>SUM($K659:AI659)</f>
        <v>248668.97191233662</v>
      </c>
      <c r="AJ660" s="15">
        <f>SUM($K659:AJ659)</f>
        <v>258173.70240424084</v>
      </c>
    </row>
    <row r="661" spans="1:36" hidden="1" x14ac:dyDescent="0.25">
      <c r="A661" t="s">
        <v>696</v>
      </c>
    </row>
    <row r="662" spans="1:36" ht="15.75" hidden="1" thickBot="1" x14ac:dyDescent="0.3">
      <c r="A662" t="s">
        <v>696</v>
      </c>
    </row>
    <row r="663" spans="1:36" hidden="1" x14ac:dyDescent="0.25">
      <c r="A663" t="s">
        <v>696</v>
      </c>
      <c r="D663" t="s">
        <v>544</v>
      </c>
      <c r="H663" s="96" t="s">
        <v>401</v>
      </c>
      <c r="I663" s="310" t="str">
        <f t="shared" si="989"/>
        <v>tr. VND</v>
      </c>
      <c r="J663" s="311"/>
      <c r="K663" s="97">
        <f>SUM(K659:AJ659)</f>
        <v>258173.70240424084</v>
      </c>
      <c r="L663" s="263"/>
      <c r="M663" s="70"/>
      <c r="N663" s="70"/>
    </row>
    <row r="664" spans="1:36" hidden="1" x14ac:dyDescent="0.25">
      <c r="A664" t="s">
        <v>696</v>
      </c>
      <c r="D664" t="s">
        <v>516</v>
      </c>
      <c r="H664" s="212" t="s">
        <v>402</v>
      </c>
      <c r="I664" s="255"/>
      <c r="J664" s="48"/>
      <c r="K664" s="314">
        <f>IFERROR(IRR(K657:AJ657),0)</f>
        <v>0.12851890486329265</v>
      </c>
    </row>
    <row r="665" spans="1:36" ht="15.75" hidden="1" thickBot="1" x14ac:dyDescent="0.3">
      <c r="A665" t="s">
        <v>696</v>
      </c>
      <c r="D665" t="s">
        <v>517</v>
      </c>
      <c r="H665" s="98" t="s">
        <v>403</v>
      </c>
      <c r="I665" s="312" t="s">
        <v>290</v>
      </c>
      <c r="J665" s="313"/>
      <c r="K665" s="315" cm="1">
        <f t="array" ref="K665">ROUNDUP(IF(K663&lt;0,0,INDEX(K$14:AJ$14,,MATCH(_xlfn.MINIFS(K660:AJ660,K660:AJ660,"&gt;"&amp;0),K660:AJ660))-1-INDEX(K660:AJ660,,MATCH(_xlfn.MINIFS(K660:AJ660,K660:AJ660,"&gt;"&amp;0),K660:AJ660)-1)/INDEX(K659:AJ659,,MATCH(_xlfn.MINIFS(K660:AJ660,K660:AJ660,"&gt;"&amp;0),K660:AJ660))),1)</f>
        <v>10.9</v>
      </c>
    </row>
    <row r="666" spans="1:36" hidden="1" x14ac:dyDescent="0.25">
      <c r="A666" t="s">
        <v>696</v>
      </c>
      <c r="H666" s="316" t="str">
        <f>INT(K665)&amp;" năm "&amp;IF(MOD(K665,1)*12=0,,TEXT(MOD(K665,1)*12,"00")&amp;" tháng")</f>
        <v>10 năm 11 tháng</v>
      </c>
    </row>
    <row r="667" spans="1:36" hidden="1" x14ac:dyDescent="0.25">
      <c r="A667" t="s">
        <v>696</v>
      </c>
    </row>
    <row r="668" spans="1:36" hidden="1" x14ac:dyDescent="0.25">
      <c r="A668" t="s">
        <v>696</v>
      </c>
    </row>
    <row r="669" spans="1:36" s="304" customFormat="1" hidden="1" x14ac:dyDescent="0.25">
      <c r="I669" s="305"/>
    </row>
    <row r="670" spans="1:36" s="632" customFormat="1" ht="19.5" hidden="1" x14ac:dyDescent="0.3">
      <c r="A670" s="632" t="s">
        <v>697</v>
      </c>
      <c r="H670" s="633" t="s">
        <v>697</v>
      </c>
      <c r="K670" s="634"/>
      <c r="L670" s="634"/>
      <c r="M670" s="634"/>
      <c r="N670" s="634"/>
      <c r="O670" s="634"/>
      <c r="P670" s="634"/>
      <c r="Q670" s="634"/>
      <c r="R670" s="634"/>
      <c r="S670" s="634"/>
      <c r="T670" s="634"/>
      <c r="U670" s="634"/>
      <c r="V670" s="634"/>
      <c r="W670" s="634"/>
      <c r="X670" s="634"/>
      <c r="Y670" s="634"/>
      <c r="Z670" s="634"/>
      <c r="AA670" s="634"/>
      <c r="AB670" s="634"/>
      <c r="AC670" s="634"/>
      <c r="AD670" s="634"/>
      <c r="AE670" s="634"/>
      <c r="AF670" s="634"/>
      <c r="AG670" s="634"/>
      <c r="AH670" s="634"/>
      <c r="AI670" s="634"/>
      <c r="AJ670" s="634"/>
    </row>
    <row r="671" spans="1:36" hidden="1" x14ac:dyDescent="0.25">
      <c r="A671" t="s">
        <v>697</v>
      </c>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row>
    <row r="672" spans="1:36" s="24" customFormat="1" ht="17.25" hidden="1" x14ac:dyDescent="0.3">
      <c r="A672" s="24" t="s">
        <v>697</v>
      </c>
      <c r="H672" s="24" t="s">
        <v>669</v>
      </c>
      <c r="K672" s="635"/>
      <c r="L672" s="635"/>
      <c r="M672" s="635"/>
      <c r="N672" s="635"/>
      <c r="O672" s="635"/>
      <c r="P672" s="635"/>
      <c r="Q672" s="635"/>
      <c r="R672" s="635"/>
      <c r="S672" s="635"/>
      <c r="T672" s="635"/>
      <c r="U672" s="635"/>
      <c r="V672" s="635"/>
      <c r="W672" s="635"/>
      <c r="X672" s="635"/>
      <c r="Y672" s="635"/>
      <c r="Z672" s="635"/>
      <c r="AA672" s="635"/>
      <c r="AB672" s="635"/>
      <c r="AC672" s="635"/>
      <c r="AD672" s="635"/>
      <c r="AE672" s="635"/>
      <c r="AF672" s="635"/>
      <c r="AG672" s="635"/>
      <c r="AH672" s="635"/>
      <c r="AI672" s="635"/>
      <c r="AJ672" s="635"/>
    </row>
    <row r="673" spans="1:36" hidden="1" x14ac:dyDescent="0.25">
      <c r="A673" t="s">
        <v>697</v>
      </c>
      <c r="H673" s="459" t="s">
        <v>427</v>
      </c>
      <c r="I673" s="494" t="s">
        <v>436</v>
      </c>
      <c r="K673" s="549"/>
      <c r="L673" s="549">
        <f t="shared" ref="L673:AA674" si="993">Capacity*24*365</f>
        <v>7568640</v>
      </c>
      <c r="M673" s="549">
        <f t="shared" si="993"/>
        <v>7568640</v>
      </c>
      <c r="N673" s="549">
        <f t="shared" si="993"/>
        <v>7568640</v>
      </c>
      <c r="O673" s="549">
        <f t="shared" si="993"/>
        <v>7568640</v>
      </c>
      <c r="P673" s="549">
        <f t="shared" si="993"/>
        <v>7568640</v>
      </c>
      <c r="Q673" s="549">
        <f t="shared" si="993"/>
        <v>7568640</v>
      </c>
      <c r="R673" s="549">
        <f t="shared" si="993"/>
        <v>7568640</v>
      </c>
      <c r="S673" s="549">
        <f t="shared" si="993"/>
        <v>7568640</v>
      </c>
      <c r="T673" s="549">
        <f t="shared" si="993"/>
        <v>7568640</v>
      </c>
      <c r="U673" s="549">
        <f t="shared" si="993"/>
        <v>7568640</v>
      </c>
      <c r="V673" s="549">
        <f t="shared" si="993"/>
        <v>7568640</v>
      </c>
      <c r="W673" s="549">
        <f t="shared" si="993"/>
        <v>7568640</v>
      </c>
      <c r="X673" s="549">
        <f t="shared" si="993"/>
        <v>7568640</v>
      </c>
      <c r="Y673" s="549">
        <f t="shared" si="993"/>
        <v>7568640</v>
      </c>
      <c r="Z673" s="549">
        <f t="shared" si="993"/>
        <v>7568640</v>
      </c>
      <c r="AA673" s="549">
        <f t="shared" si="993"/>
        <v>7568640</v>
      </c>
      <c r="AB673" s="549">
        <f t="shared" ref="AA673:AJ674" si="994">Capacity*24*365</f>
        <v>7568640</v>
      </c>
      <c r="AC673" s="549">
        <f t="shared" si="994"/>
        <v>7568640</v>
      </c>
      <c r="AD673" s="549">
        <f t="shared" si="994"/>
        <v>7568640</v>
      </c>
      <c r="AE673" s="549">
        <f t="shared" si="994"/>
        <v>7568640</v>
      </c>
      <c r="AF673" s="549">
        <f t="shared" si="994"/>
        <v>7568640</v>
      </c>
      <c r="AG673" s="549">
        <f t="shared" si="994"/>
        <v>7568640</v>
      </c>
      <c r="AH673" s="549">
        <f t="shared" si="994"/>
        <v>7568640</v>
      </c>
      <c r="AI673" s="549">
        <f t="shared" si="994"/>
        <v>7568640</v>
      </c>
      <c r="AJ673" s="549">
        <f t="shared" si="994"/>
        <v>7568640</v>
      </c>
    </row>
    <row r="674" spans="1:36" hidden="1" x14ac:dyDescent="0.25">
      <c r="A674" t="s">
        <v>697</v>
      </c>
      <c r="H674" s="454" t="s">
        <v>427</v>
      </c>
      <c r="I674" s="497" t="s">
        <v>320</v>
      </c>
      <c r="K674" s="550"/>
      <c r="L674" s="550">
        <f t="shared" si="993"/>
        <v>7568640</v>
      </c>
      <c r="M674" s="550">
        <f t="shared" si="993"/>
        <v>7568640</v>
      </c>
      <c r="N674" s="550">
        <f t="shared" si="993"/>
        <v>7568640</v>
      </c>
      <c r="O674" s="550">
        <f t="shared" si="993"/>
        <v>7568640</v>
      </c>
      <c r="P674" s="550">
        <f t="shared" si="993"/>
        <v>7568640</v>
      </c>
      <c r="Q674" s="550">
        <f t="shared" si="993"/>
        <v>7568640</v>
      </c>
      <c r="R674" s="550">
        <f t="shared" si="993"/>
        <v>7568640</v>
      </c>
      <c r="S674" s="550">
        <f t="shared" si="993"/>
        <v>7568640</v>
      </c>
      <c r="T674" s="550">
        <f t="shared" si="993"/>
        <v>7568640</v>
      </c>
      <c r="U674" s="550">
        <f t="shared" si="993"/>
        <v>7568640</v>
      </c>
      <c r="V674" s="550">
        <f t="shared" si="993"/>
        <v>7568640</v>
      </c>
      <c r="W674" s="550">
        <f t="shared" si="993"/>
        <v>7568640</v>
      </c>
      <c r="X674" s="550">
        <f t="shared" si="993"/>
        <v>7568640</v>
      </c>
      <c r="Y674" s="550">
        <f t="shared" si="993"/>
        <v>7568640</v>
      </c>
      <c r="Z674" s="550">
        <f t="shared" si="993"/>
        <v>7568640</v>
      </c>
      <c r="AA674" s="550">
        <f t="shared" si="994"/>
        <v>7568640</v>
      </c>
      <c r="AB674" s="550">
        <f t="shared" si="994"/>
        <v>7568640</v>
      </c>
      <c r="AC674" s="550">
        <f t="shared" si="994"/>
        <v>7568640</v>
      </c>
      <c r="AD674" s="550">
        <f t="shared" si="994"/>
        <v>7568640</v>
      </c>
      <c r="AE674" s="550">
        <f t="shared" si="994"/>
        <v>7568640</v>
      </c>
      <c r="AF674" s="550">
        <f t="shared" si="994"/>
        <v>7568640</v>
      </c>
      <c r="AG674" s="550">
        <f t="shared" si="994"/>
        <v>7568640</v>
      </c>
      <c r="AH674" s="550">
        <f t="shared" si="994"/>
        <v>7568640</v>
      </c>
      <c r="AI674" s="550">
        <f t="shared" si="994"/>
        <v>7568640</v>
      </c>
      <c r="AJ674" s="550">
        <f t="shared" si="994"/>
        <v>7568640</v>
      </c>
    </row>
    <row r="675" spans="1:36" s="250" customFormat="1" hidden="1" x14ac:dyDescent="0.25">
      <c r="A675" s="250" t="s">
        <v>697</v>
      </c>
      <c r="H675" s="537" t="s">
        <v>460</v>
      </c>
      <c r="I675" s="548"/>
      <c r="K675" s="551"/>
      <c r="L675" s="552">
        <v>0.88</v>
      </c>
      <c r="M675" s="552">
        <v>0.88</v>
      </c>
      <c r="N675" s="552">
        <v>0.88</v>
      </c>
      <c r="O675" s="552">
        <v>0.88</v>
      </c>
      <c r="P675" s="552">
        <v>0.88</v>
      </c>
      <c r="Q675" s="552">
        <v>0.88</v>
      </c>
      <c r="R675" s="552">
        <v>0.88</v>
      </c>
      <c r="S675" s="552">
        <v>0.88</v>
      </c>
      <c r="T675" s="552">
        <v>0.88</v>
      </c>
      <c r="U675" s="552">
        <v>0.88</v>
      </c>
      <c r="V675" s="552">
        <v>0.88</v>
      </c>
      <c r="W675" s="552">
        <v>0.88</v>
      </c>
      <c r="X675" s="552">
        <v>0.88</v>
      </c>
      <c r="Y675" s="552">
        <v>0.88</v>
      </c>
      <c r="Z675" s="552">
        <v>0.88</v>
      </c>
      <c r="AA675" s="552">
        <v>0.88</v>
      </c>
      <c r="AB675" s="552">
        <v>0.88</v>
      </c>
      <c r="AC675" s="552">
        <v>0.88</v>
      </c>
      <c r="AD675" s="552">
        <v>0.88</v>
      </c>
      <c r="AE675" s="552">
        <v>0.88</v>
      </c>
      <c r="AF675" s="552">
        <v>0.88</v>
      </c>
      <c r="AG675" s="552">
        <v>0.88</v>
      </c>
      <c r="AH675" s="552">
        <v>0.88</v>
      </c>
      <c r="AI675" s="552">
        <v>0.88</v>
      </c>
      <c r="AJ675" s="552">
        <v>0.88</v>
      </c>
    </row>
    <row r="676" spans="1:36" s="250" customFormat="1" hidden="1" x14ac:dyDescent="0.25">
      <c r="A676" s="250" t="s">
        <v>697</v>
      </c>
      <c r="H676" s="537" t="s">
        <v>461</v>
      </c>
      <c r="I676" s="548"/>
      <c r="K676" s="551"/>
      <c r="L676" s="552">
        <v>0.5</v>
      </c>
      <c r="M676" s="552">
        <v>0.7</v>
      </c>
      <c r="N676" s="552">
        <v>1</v>
      </c>
      <c r="O676" s="552">
        <v>1</v>
      </c>
      <c r="P676" s="552">
        <v>1</v>
      </c>
      <c r="Q676" s="552">
        <v>1</v>
      </c>
      <c r="R676" s="552">
        <v>1</v>
      </c>
      <c r="S676" s="552">
        <v>1</v>
      </c>
      <c r="T676" s="552">
        <v>1</v>
      </c>
      <c r="U676" s="552">
        <v>1</v>
      </c>
      <c r="V676" s="552">
        <v>1</v>
      </c>
      <c r="W676" s="552">
        <v>1</v>
      </c>
      <c r="X676" s="552">
        <v>1</v>
      </c>
      <c r="Y676" s="552">
        <v>1</v>
      </c>
      <c r="Z676" s="552">
        <v>1</v>
      </c>
      <c r="AA676" s="552">
        <v>1</v>
      </c>
      <c r="AB676" s="552">
        <v>1</v>
      </c>
      <c r="AC676" s="552">
        <v>1</v>
      </c>
      <c r="AD676" s="552">
        <v>1</v>
      </c>
      <c r="AE676" s="552">
        <v>1</v>
      </c>
      <c r="AF676" s="552">
        <v>1</v>
      </c>
      <c r="AG676" s="552">
        <v>1</v>
      </c>
      <c r="AH676" s="552">
        <v>1</v>
      </c>
      <c r="AI676" s="552">
        <v>1</v>
      </c>
      <c r="AJ676" s="552">
        <v>1</v>
      </c>
    </row>
    <row r="677" spans="1:36" hidden="1" x14ac:dyDescent="0.25">
      <c r="A677" t="s">
        <v>697</v>
      </c>
      <c r="B677" t="s">
        <v>437</v>
      </c>
      <c r="H677" s="454" t="s">
        <v>70</v>
      </c>
      <c r="I677" s="497"/>
      <c r="K677" s="550"/>
      <c r="L677" s="553" cm="1">
        <f t="array" ref="L677">SUMPRODUCT('W2'!$M$12:$R$112*('W2'!$M$7:$R$7=$A677)*('W2'!$A$12:$A$112=$B677))</f>
        <v>7.0000000000000007E-2</v>
      </c>
      <c r="M677" s="553">
        <f>L677</f>
        <v>7.0000000000000007E-2</v>
      </c>
      <c r="N677" s="553">
        <f t="shared" ref="N677" si="995">M677</f>
        <v>7.0000000000000007E-2</v>
      </c>
      <c r="O677" s="553">
        <f t="shared" ref="O677" si="996">N677</f>
        <v>7.0000000000000007E-2</v>
      </c>
      <c r="P677" s="553">
        <f t="shared" ref="P677" si="997">O677</f>
        <v>7.0000000000000007E-2</v>
      </c>
      <c r="Q677" s="553">
        <f t="shared" ref="Q677" si="998">P677</f>
        <v>7.0000000000000007E-2</v>
      </c>
      <c r="R677" s="553">
        <f t="shared" ref="R677" si="999">Q677</f>
        <v>7.0000000000000007E-2</v>
      </c>
      <c r="S677" s="553">
        <f t="shared" ref="S677" si="1000">R677</f>
        <v>7.0000000000000007E-2</v>
      </c>
      <c r="T677" s="553">
        <f t="shared" ref="T677" si="1001">S677</f>
        <v>7.0000000000000007E-2</v>
      </c>
      <c r="U677" s="553">
        <f t="shared" ref="U677" si="1002">T677</f>
        <v>7.0000000000000007E-2</v>
      </c>
      <c r="V677" s="553">
        <f t="shared" ref="V677" si="1003">U677</f>
        <v>7.0000000000000007E-2</v>
      </c>
      <c r="W677" s="553">
        <f t="shared" ref="W677" si="1004">V677</f>
        <v>7.0000000000000007E-2</v>
      </c>
      <c r="X677" s="553">
        <f t="shared" ref="X677" si="1005">W677</f>
        <v>7.0000000000000007E-2</v>
      </c>
      <c r="Y677" s="553">
        <f t="shared" ref="Y677" si="1006">X677</f>
        <v>7.0000000000000007E-2</v>
      </c>
      <c r="Z677" s="553">
        <f t="shared" ref="Z677" si="1007">Y677</f>
        <v>7.0000000000000007E-2</v>
      </c>
      <c r="AA677" s="553">
        <f t="shared" ref="AA677" si="1008">Z677</f>
        <v>7.0000000000000007E-2</v>
      </c>
      <c r="AB677" s="553">
        <f t="shared" ref="AB677" si="1009">AA677</f>
        <v>7.0000000000000007E-2</v>
      </c>
      <c r="AC677" s="553">
        <f t="shared" ref="AC677" si="1010">AB677</f>
        <v>7.0000000000000007E-2</v>
      </c>
      <c r="AD677" s="553">
        <f t="shared" ref="AD677" si="1011">AC677</f>
        <v>7.0000000000000007E-2</v>
      </c>
      <c r="AE677" s="553">
        <f t="shared" ref="AE677" si="1012">AD677</f>
        <v>7.0000000000000007E-2</v>
      </c>
      <c r="AF677" s="553">
        <f t="shared" ref="AF677" si="1013">AE677</f>
        <v>7.0000000000000007E-2</v>
      </c>
      <c r="AG677" s="553">
        <f t="shared" ref="AG677" si="1014">AF677</f>
        <v>7.0000000000000007E-2</v>
      </c>
      <c r="AH677" s="553">
        <f t="shared" ref="AH677" si="1015">AG677</f>
        <v>7.0000000000000007E-2</v>
      </c>
      <c r="AI677" s="553">
        <f t="shared" ref="AI677" si="1016">AH677</f>
        <v>7.0000000000000007E-2</v>
      </c>
      <c r="AJ677" s="553">
        <f t="shared" ref="AJ677" si="1017">AI677</f>
        <v>7.0000000000000007E-2</v>
      </c>
    </row>
    <row r="678" spans="1:36" hidden="1" x14ac:dyDescent="0.25">
      <c r="A678" t="s">
        <v>697</v>
      </c>
      <c r="H678" s="454" t="s">
        <v>59</v>
      </c>
      <c r="I678" s="497"/>
      <c r="K678" s="550"/>
      <c r="L678" s="550">
        <f>365*L675*L676</f>
        <v>160.6</v>
      </c>
      <c r="M678" s="550">
        <f t="shared" ref="M678:AJ678" si="1018">365*M675*M676</f>
        <v>224.83999999999997</v>
      </c>
      <c r="N678" s="550">
        <f t="shared" si="1018"/>
        <v>321.2</v>
      </c>
      <c r="O678" s="550">
        <f t="shared" si="1018"/>
        <v>321.2</v>
      </c>
      <c r="P678" s="550">
        <f t="shared" si="1018"/>
        <v>321.2</v>
      </c>
      <c r="Q678" s="550">
        <f t="shared" si="1018"/>
        <v>321.2</v>
      </c>
      <c r="R678" s="550">
        <f t="shared" si="1018"/>
        <v>321.2</v>
      </c>
      <c r="S678" s="550">
        <f t="shared" si="1018"/>
        <v>321.2</v>
      </c>
      <c r="T678" s="550">
        <f t="shared" si="1018"/>
        <v>321.2</v>
      </c>
      <c r="U678" s="550">
        <f t="shared" si="1018"/>
        <v>321.2</v>
      </c>
      <c r="V678" s="550">
        <f t="shared" si="1018"/>
        <v>321.2</v>
      </c>
      <c r="W678" s="550">
        <f t="shared" si="1018"/>
        <v>321.2</v>
      </c>
      <c r="X678" s="550">
        <f t="shared" si="1018"/>
        <v>321.2</v>
      </c>
      <c r="Y678" s="550">
        <f t="shared" si="1018"/>
        <v>321.2</v>
      </c>
      <c r="Z678" s="550">
        <f t="shared" si="1018"/>
        <v>321.2</v>
      </c>
      <c r="AA678" s="550">
        <f t="shared" si="1018"/>
        <v>321.2</v>
      </c>
      <c r="AB678" s="550">
        <f t="shared" si="1018"/>
        <v>321.2</v>
      </c>
      <c r="AC678" s="550">
        <f t="shared" si="1018"/>
        <v>321.2</v>
      </c>
      <c r="AD678" s="550">
        <f t="shared" si="1018"/>
        <v>321.2</v>
      </c>
      <c r="AE678" s="550">
        <f t="shared" si="1018"/>
        <v>321.2</v>
      </c>
      <c r="AF678" s="550">
        <f t="shared" si="1018"/>
        <v>321.2</v>
      </c>
      <c r="AG678" s="550">
        <f t="shared" si="1018"/>
        <v>321.2</v>
      </c>
      <c r="AH678" s="550">
        <f t="shared" si="1018"/>
        <v>321.2</v>
      </c>
      <c r="AI678" s="550">
        <f t="shared" si="1018"/>
        <v>321.2</v>
      </c>
      <c r="AJ678" s="550">
        <f t="shared" si="1018"/>
        <v>321.2</v>
      </c>
    </row>
    <row r="679" spans="1:36" hidden="1" x14ac:dyDescent="0.25">
      <c r="A679" t="s">
        <v>697</v>
      </c>
      <c r="C679" t="s">
        <v>574</v>
      </c>
      <c r="H679" s="454" t="s">
        <v>202</v>
      </c>
      <c r="I679" s="497" t="s">
        <v>436</v>
      </c>
      <c r="K679" s="550"/>
      <c r="L679" s="550">
        <f>L673*L675*(1-L677)*L676</f>
        <v>3097087.4879999999</v>
      </c>
      <c r="M679" s="550">
        <f t="shared" ref="M679:AJ679" si="1019">M673*M675*(1-M677)*M676</f>
        <v>4335922.4831999997</v>
      </c>
      <c r="N679" s="550">
        <f t="shared" si="1019"/>
        <v>6194174.9759999998</v>
      </c>
      <c r="O679" s="550">
        <f t="shared" si="1019"/>
        <v>6194174.9759999998</v>
      </c>
      <c r="P679" s="550">
        <f t="shared" si="1019"/>
        <v>6194174.9759999998</v>
      </c>
      <c r="Q679" s="550">
        <f t="shared" si="1019"/>
        <v>6194174.9759999998</v>
      </c>
      <c r="R679" s="550">
        <f t="shared" si="1019"/>
        <v>6194174.9759999998</v>
      </c>
      <c r="S679" s="550">
        <f t="shared" si="1019"/>
        <v>6194174.9759999998</v>
      </c>
      <c r="T679" s="550">
        <f t="shared" si="1019"/>
        <v>6194174.9759999998</v>
      </c>
      <c r="U679" s="550">
        <f t="shared" si="1019"/>
        <v>6194174.9759999998</v>
      </c>
      <c r="V679" s="550">
        <f t="shared" si="1019"/>
        <v>6194174.9759999998</v>
      </c>
      <c r="W679" s="550">
        <f t="shared" si="1019"/>
        <v>6194174.9759999998</v>
      </c>
      <c r="X679" s="550">
        <f t="shared" si="1019"/>
        <v>6194174.9759999998</v>
      </c>
      <c r="Y679" s="550">
        <f t="shared" si="1019"/>
        <v>6194174.9759999998</v>
      </c>
      <c r="Z679" s="550">
        <f t="shared" si="1019"/>
        <v>6194174.9759999998</v>
      </c>
      <c r="AA679" s="550">
        <f t="shared" si="1019"/>
        <v>6194174.9759999998</v>
      </c>
      <c r="AB679" s="550">
        <f t="shared" si="1019"/>
        <v>6194174.9759999998</v>
      </c>
      <c r="AC679" s="550">
        <f t="shared" si="1019"/>
        <v>6194174.9759999998</v>
      </c>
      <c r="AD679" s="550">
        <f t="shared" si="1019"/>
        <v>6194174.9759999998</v>
      </c>
      <c r="AE679" s="550">
        <f t="shared" si="1019"/>
        <v>6194174.9759999998</v>
      </c>
      <c r="AF679" s="550">
        <f t="shared" si="1019"/>
        <v>6194174.9759999998</v>
      </c>
      <c r="AG679" s="550">
        <f t="shared" si="1019"/>
        <v>6194174.9759999998</v>
      </c>
      <c r="AH679" s="550">
        <f t="shared" si="1019"/>
        <v>6194174.9759999998</v>
      </c>
      <c r="AI679" s="550">
        <f t="shared" si="1019"/>
        <v>6194174.9759999998</v>
      </c>
      <c r="AJ679" s="550">
        <f t="shared" si="1019"/>
        <v>6194174.9759999998</v>
      </c>
    </row>
    <row r="680" spans="1:36" hidden="1" x14ac:dyDescent="0.25">
      <c r="A680" t="s">
        <v>697</v>
      </c>
      <c r="C680" t="s">
        <v>575</v>
      </c>
      <c r="H680" s="454" t="s">
        <v>202</v>
      </c>
      <c r="I680" s="497" t="s">
        <v>320</v>
      </c>
      <c r="K680" s="550"/>
      <c r="L680" s="550">
        <f t="shared" ref="L680:AJ680" si="1020">L679*PHOI_KG</f>
        <v>206472499.20000002</v>
      </c>
      <c r="M680" s="550">
        <f t="shared" si="1020"/>
        <v>289061498.88</v>
      </c>
      <c r="N680" s="550">
        <f t="shared" si="1020"/>
        <v>412944998.40000004</v>
      </c>
      <c r="O680" s="550">
        <f t="shared" si="1020"/>
        <v>412944998.40000004</v>
      </c>
      <c r="P680" s="550">
        <f t="shared" si="1020"/>
        <v>412944998.40000004</v>
      </c>
      <c r="Q680" s="550">
        <f t="shared" si="1020"/>
        <v>412944998.40000004</v>
      </c>
      <c r="R680" s="550">
        <f t="shared" si="1020"/>
        <v>412944998.40000004</v>
      </c>
      <c r="S680" s="550">
        <f t="shared" si="1020"/>
        <v>412944998.40000004</v>
      </c>
      <c r="T680" s="550">
        <f t="shared" si="1020"/>
        <v>412944998.40000004</v>
      </c>
      <c r="U680" s="550">
        <f t="shared" si="1020"/>
        <v>412944998.40000004</v>
      </c>
      <c r="V680" s="550">
        <f t="shared" si="1020"/>
        <v>412944998.40000004</v>
      </c>
      <c r="W680" s="550">
        <f t="shared" si="1020"/>
        <v>412944998.40000004</v>
      </c>
      <c r="X680" s="550">
        <f t="shared" si="1020"/>
        <v>412944998.40000004</v>
      </c>
      <c r="Y680" s="550">
        <f t="shared" si="1020"/>
        <v>412944998.40000004</v>
      </c>
      <c r="Z680" s="550">
        <f t="shared" si="1020"/>
        <v>412944998.40000004</v>
      </c>
      <c r="AA680" s="550">
        <f t="shared" si="1020"/>
        <v>412944998.40000004</v>
      </c>
      <c r="AB680" s="550">
        <f t="shared" si="1020"/>
        <v>412944998.40000004</v>
      </c>
      <c r="AC680" s="550">
        <f t="shared" si="1020"/>
        <v>412944998.40000004</v>
      </c>
      <c r="AD680" s="550">
        <f t="shared" si="1020"/>
        <v>412944998.40000004</v>
      </c>
      <c r="AE680" s="550">
        <f t="shared" si="1020"/>
        <v>412944998.40000004</v>
      </c>
      <c r="AF680" s="550">
        <f t="shared" si="1020"/>
        <v>412944998.40000004</v>
      </c>
      <c r="AG680" s="550">
        <f t="shared" si="1020"/>
        <v>412944998.40000004</v>
      </c>
      <c r="AH680" s="550">
        <f t="shared" si="1020"/>
        <v>412944998.40000004</v>
      </c>
      <c r="AI680" s="550">
        <f t="shared" si="1020"/>
        <v>412944998.40000004</v>
      </c>
      <c r="AJ680" s="550">
        <f t="shared" si="1020"/>
        <v>412944998.40000004</v>
      </c>
    </row>
    <row r="681" spans="1:36" hidden="1" x14ac:dyDescent="0.25">
      <c r="A681" t="s">
        <v>697</v>
      </c>
      <c r="K681" s="243"/>
      <c r="L681" s="243"/>
      <c r="M681" s="243"/>
      <c r="N681" s="243"/>
      <c r="O681" s="243"/>
      <c r="P681" s="243"/>
      <c r="Q681" s="243"/>
      <c r="R681" s="243"/>
      <c r="S681" s="243"/>
      <c r="T681" s="243"/>
      <c r="U681" s="243"/>
      <c r="V681" s="243"/>
      <c r="W681" s="243"/>
      <c r="X681" s="243"/>
      <c r="Y681" s="243"/>
      <c r="Z681" s="243"/>
      <c r="AA681" s="243"/>
      <c r="AB681" s="243"/>
      <c r="AC681" s="243"/>
      <c r="AD681" s="243"/>
      <c r="AE681" s="243"/>
      <c r="AF681" s="243"/>
      <c r="AG681" s="243"/>
      <c r="AH681" s="243"/>
      <c r="AI681" s="243"/>
      <c r="AJ681" s="243"/>
    </row>
    <row r="682" spans="1:36" s="24" customFormat="1" ht="17.25" hidden="1" x14ac:dyDescent="0.3">
      <c r="A682" s="24" t="s">
        <v>697</v>
      </c>
      <c r="H682" s="24" t="s">
        <v>670</v>
      </c>
      <c r="K682" s="636"/>
      <c r="L682" s="636"/>
      <c r="M682" s="636"/>
      <c r="N682" s="636"/>
      <c r="O682" s="636"/>
      <c r="P682" s="636"/>
      <c r="Q682" s="636"/>
      <c r="R682" s="636"/>
      <c r="S682" s="636"/>
      <c r="T682" s="636"/>
      <c r="U682" s="636"/>
      <c r="V682" s="636"/>
      <c r="W682" s="636"/>
      <c r="X682" s="636"/>
      <c r="Y682" s="636"/>
      <c r="Z682" s="636"/>
      <c r="AA682" s="636"/>
      <c r="AB682" s="636"/>
      <c r="AC682" s="636"/>
      <c r="AD682" s="636"/>
      <c r="AE682" s="636"/>
      <c r="AF682" s="636"/>
      <c r="AG682" s="636"/>
      <c r="AH682" s="636"/>
      <c r="AI682" s="636"/>
      <c r="AJ682" s="636"/>
    </row>
    <row r="683" spans="1:36" s="250" customFormat="1" hidden="1" x14ac:dyDescent="0.25">
      <c r="A683" s="250" t="s">
        <v>697</v>
      </c>
      <c r="B683" s="250" t="s">
        <v>665</v>
      </c>
      <c r="H683" s="626" t="s">
        <v>663</v>
      </c>
      <c r="I683" s="627" t="s">
        <v>71</v>
      </c>
      <c r="K683" s="628"/>
      <c r="L683" s="631" cm="1">
        <f t="array" ref="L683">SUMPRODUCT('W2'!$M$12:$R$112*('W2'!$M$7:$R$7=$A683)*('W2'!$A$12:$A$112=$B683))</f>
        <v>2.0000000000000001E-4</v>
      </c>
      <c r="M683" s="630">
        <f>L683</f>
        <v>2.0000000000000001E-4</v>
      </c>
      <c r="N683" s="630">
        <f t="shared" ref="N683:N684" si="1021">M683</f>
        <v>2.0000000000000001E-4</v>
      </c>
      <c r="O683" s="630">
        <f t="shared" ref="O683:O684" si="1022">N683</f>
        <v>2.0000000000000001E-4</v>
      </c>
      <c r="P683" s="630">
        <f t="shared" ref="P683:P684" si="1023">O683</f>
        <v>2.0000000000000001E-4</v>
      </c>
      <c r="Q683" s="630">
        <f t="shared" ref="Q683:Q684" si="1024">P683</f>
        <v>2.0000000000000001E-4</v>
      </c>
      <c r="R683" s="630">
        <f t="shared" ref="R683:R684" si="1025">Q683</f>
        <v>2.0000000000000001E-4</v>
      </c>
      <c r="S683" s="630">
        <f t="shared" ref="S683:S684" si="1026">R683</f>
        <v>2.0000000000000001E-4</v>
      </c>
      <c r="T683" s="630">
        <f t="shared" ref="T683:T684" si="1027">S683</f>
        <v>2.0000000000000001E-4</v>
      </c>
      <c r="U683" s="630">
        <f t="shared" ref="U683:U684" si="1028">T683</f>
        <v>2.0000000000000001E-4</v>
      </c>
      <c r="V683" s="630">
        <f t="shared" ref="V683:V684" si="1029">U683</f>
        <v>2.0000000000000001E-4</v>
      </c>
      <c r="W683" s="630">
        <f t="shared" ref="W683:W684" si="1030">V683</f>
        <v>2.0000000000000001E-4</v>
      </c>
      <c r="X683" s="630">
        <f t="shared" ref="X683:X684" si="1031">W683</f>
        <v>2.0000000000000001E-4</v>
      </c>
      <c r="Y683" s="630">
        <f t="shared" ref="Y683:Y684" si="1032">X683</f>
        <v>2.0000000000000001E-4</v>
      </c>
      <c r="Z683" s="630">
        <f t="shared" ref="Z683:Z684" si="1033">Y683</f>
        <v>2.0000000000000001E-4</v>
      </c>
      <c r="AA683" s="630">
        <f t="shared" ref="AA683:AA684" si="1034">Z683</f>
        <v>2.0000000000000001E-4</v>
      </c>
      <c r="AB683" s="630">
        <f t="shared" ref="AB683:AB684" si="1035">AA683</f>
        <v>2.0000000000000001E-4</v>
      </c>
      <c r="AC683" s="630">
        <f t="shared" ref="AC683:AC684" si="1036">AB683</f>
        <v>2.0000000000000001E-4</v>
      </c>
      <c r="AD683" s="630">
        <f t="shared" ref="AD683:AD684" si="1037">AC683</f>
        <v>2.0000000000000001E-4</v>
      </c>
      <c r="AE683" s="630">
        <f t="shared" ref="AE683:AE684" si="1038">AD683</f>
        <v>2.0000000000000001E-4</v>
      </c>
      <c r="AF683" s="630">
        <f t="shared" ref="AF683:AF684" si="1039">AE683</f>
        <v>2.0000000000000001E-4</v>
      </c>
      <c r="AG683" s="630">
        <f t="shared" ref="AG683:AG684" si="1040">AF683</f>
        <v>2.0000000000000001E-4</v>
      </c>
      <c r="AH683" s="630">
        <f t="shared" ref="AH683:AH684" si="1041">AG683</f>
        <v>2.0000000000000001E-4</v>
      </c>
      <c r="AI683" s="630">
        <f t="shared" ref="AI683:AI684" si="1042">AH683</f>
        <v>2.0000000000000001E-4</v>
      </c>
      <c r="AJ683" s="630">
        <f t="shared" ref="AJ683:AJ684" si="1043">AI683</f>
        <v>2.0000000000000001E-4</v>
      </c>
    </row>
    <row r="684" spans="1:36" s="250" customFormat="1" hidden="1" x14ac:dyDescent="0.25">
      <c r="A684" s="250" t="s">
        <v>697</v>
      </c>
      <c r="B684" s="250" t="s">
        <v>666</v>
      </c>
      <c r="H684" s="537" t="s">
        <v>664</v>
      </c>
      <c r="I684" s="548" t="s">
        <v>71</v>
      </c>
      <c r="K684" s="629"/>
      <c r="L684" s="631" cm="1">
        <f t="array" ref="L684">SUMPRODUCT('W2'!$M$12:$R$112*('W2'!$M$7:$R$7=$A684)*('W2'!$A$12:$A$112=$B684))</f>
        <v>5.0000000000000001E-3</v>
      </c>
      <c r="M684" s="630">
        <f>L684</f>
        <v>5.0000000000000001E-3</v>
      </c>
      <c r="N684" s="630">
        <f t="shared" si="1021"/>
        <v>5.0000000000000001E-3</v>
      </c>
      <c r="O684" s="630">
        <f t="shared" si="1022"/>
        <v>5.0000000000000001E-3</v>
      </c>
      <c r="P684" s="630">
        <f t="shared" si="1023"/>
        <v>5.0000000000000001E-3</v>
      </c>
      <c r="Q684" s="630">
        <f t="shared" si="1024"/>
        <v>5.0000000000000001E-3</v>
      </c>
      <c r="R684" s="630">
        <f t="shared" si="1025"/>
        <v>5.0000000000000001E-3</v>
      </c>
      <c r="S684" s="630">
        <f t="shared" si="1026"/>
        <v>5.0000000000000001E-3</v>
      </c>
      <c r="T684" s="630">
        <f t="shared" si="1027"/>
        <v>5.0000000000000001E-3</v>
      </c>
      <c r="U684" s="630">
        <f t="shared" si="1028"/>
        <v>5.0000000000000001E-3</v>
      </c>
      <c r="V684" s="630">
        <f t="shared" si="1029"/>
        <v>5.0000000000000001E-3</v>
      </c>
      <c r="W684" s="630">
        <f t="shared" si="1030"/>
        <v>5.0000000000000001E-3</v>
      </c>
      <c r="X684" s="630">
        <f t="shared" si="1031"/>
        <v>5.0000000000000001E-3</v>
      </c>
      <c r="Y684" s="630">
        <f t="shared" si="1032"/>
        <v>5.0000000000000001E-3</v>
      </c>
      <c r="Z684" s="630">
        <f t="shared" si="1033"/>
        <v>5.0000000000000001E-3</v>
      </c>
      <c r="AA684" s="630">
        <f t="shared" si="1034"/>
        <v>5.0000000000000001E-3</v>
      </c>
      <c r="AB684" s="630">
        <f t="shared" si="1035"/>
        <v>5.0000000000000001E-3</v>
      </c>
      <c r="AC684" s="630">
        <f t="shared" si="1036"/>
        <v>5.0000000000000001E-3</v>
      </c>
      <c r="AD684" s="630">
        <f t="shared" si="1037"/>
        <v>5.0000000000000001E-3</v>
      </c>
      <c r="AE684" s="630">
        <f t="shared" si="1038"/>
        <v>5.0000000000000001E-3</v>
      </c>
      <c r="AF684" s="630">
        <f t="shared" si="1039"/>
        <v>5.0000000000000001E-3</v>
      </c>
      <c r="AG684" s="630">
        <f t="shared" si="1040"/>
        <v>5.0000000000000001E-3</v>
      </c>
      <c r="AH684" s="630">
        <f t="shared" si="1041"/>
        <v>5.0000000000000001E-3</v>
      </c>
      <c r="AI684" s="630">
        <f t="shared" si="1042"/>
        <v>5.0000000000000001E-3</v>
      </c>
      <c r="AJ684" s="630">
        <f t="shared" si="1043"/>
        <v>5.0000000000000001E-3</v>
      </c>
    </row>
    <row r="685" spans="1:36" hidden="1" x14ac:dyDescent="0.25">
      <c r="A685" t="s">
        <v>697</v>
      </c>
      <c r="H685" s="454" t="s">
        <v>671</v>
      </c>
      <c r="I685" s="497" t="s">
        <v>436</v>
      </c>
      <c r="K685" s="550"/>
      <c r="L685" s="550">
        <f>L683*L679/(1-L677)</f>
        <v>666.04032000000007</v>
      </c>
      <c r="M685" s="550">
        <f>M683*M679/(1-M677)</f>
        <v>932.45644800000014</v>
      </c>
      <c r="N685" s="550">
        <f t="shared" ref="N685:AJ685" si="1044">N683*N679/(1-N677)</f>
        <v>1332.0806400000001</v>
      </c>
      <c r="O685" s="550">
        <f t="shared" si="1044"/>
        <v>1332.0806400000001</v>
      </c>
      <c r="P685" s="550">
        <f t="shared" si="1044"/>
        <v>1332.0806400000001</v>
      </c>
      <c r="Q685" s="550">
        <f t="shared" si="1044"/>
        <v>1332.0806400000001</v>
      </c>
      <c r="R685" s="550">
        <f t="shared" si="1044"/>
        <v>1332.0806400000001</v>
      </c>
      <c r="S685" s="550">
        <f t="shared" si="1044"/>
        <v>1332.0806400000001</v>
      </c>
      <c r="T685" s="550">
        <f t="shared" si="1044"/>
        <v>1332.0806400000001</v>
      </c>
      <c r="U685" s="550">
        <f t="shared" si="1044"/>
        <v>1332.0806400000001</v>
      </c>
      <c r="V685" s="550">
        <f t="shared" si="1044"/>
        <v>1332.0806400000001</v>
      </c>
      <c r="W685" s="550">
        <f t="shared" si="1044"/>
        <v>1332.0806400000001</v>
      </c>
      <c r="X685" s="550">
        <f t="shared" si="1044"/>
        <v>1332.0806400000001</v>
      </c>
      <c r="Y685" s="550">
        <f t="shared" si="1044"/>
        <v>1332.0806400000001</v>
      </c>
      <c r="Z685" s="550">
        <f t="shared" si="1044"/>
        <v>1332.0806400000001</v>
      </c>
      <c r="AA685" s="550">
        <f t="shared" si="1044"/>
        <v>1332.0806400000001</v>
      </c>
      <c r="AB685" s="550">
        <f t="shared" si="1044"/>
        <v>1332.0806400000001</v>
      </c>
      <c r="AC685" s="550">
        <f t="shared" si="1044"/>
        <v>1332.0806400000001</v>
      </c>
      <c r="AD685" s="550">
        <f t="shared" si="1044"/>
        <v>1332.0806400000001</v>
      </c>
      <c r="AE685" s="550">
        <f t="shared" si="1044"/>
        <v>1332.0806400000001</v>
      </c>
      <c r="AF685" s="550">
        <f t="shared" si="1044"/>
        <v>1332.0806400000001</v>
      </c>
      <c r="AG685" s="550">
        <f t="shared" si="1044"/>
        <v>1332.0806400000001</v>
      </c>
      <c r="AH685" s="550">
        <f t="shared" si="1044"/>
        <v>1332.0806400000001</v>
      </c>
      <c r="AI685" s="550">
        <f t="shared" si="1044"/>
        <v>1332.0806400000001</v>
      </c>
      <c r="AJ685" s="550">
        <f t="shared" si="1044"/>
        <v>1332.0806400000001</v>
      </c>
    </row>
    <row r="686" spans="1:36" hidden="1" x14ac:dyDescent="0.25">
      <c r="A686" t="s">
        <v>697</v>
      </c>
      <c r="H686" s="454" t="s">
        <v>675</v>
      </c>
      <c r="I686" s="497" t="s">
        <v>436</v>
      </c>
      <c r="K686" s="550"/>
      <c r="L686" s="550">
        <f>L684*L679/(1-L677)</f>
        <v>16651.008000000002</v>
      </c>
      <c r="M686" s="550">
        <f t="shared" ref="M686:AJ686" si="1045">M684*M679/(1-M677)</f>
        <v>23311.411200000002</v>
      </c>
      <c r="N686" s="550">
        <f t="shared" si="1045"/>
        <v>33302.016000000003</v>
      </c>
      <c r="O686" s="550">
        <f t="shared" si="1045"/>
        <v>33302.016000000003</v>
      </c>
      <c r="P686" s="550">
        <f t="shared" si="1045"/>
        <v>33302.016000000003</v>
      </c>
      <c r="Q686" s="550">
        <f t="shared" si="1045"/>
        <v>33302.016000000003</v>
      </c>
      <c r="R686" s="550">
        <f t="shared" si="1045"/>
        <v>33302.016000000003</v>
      </c>
      <c r="S686" s="550">
        <f t="shared" si="1045"/>
        <v>33302.016000000003</v>
      </c>
      <c r="T686" s="550">
        <f t="shared" si="1045"/>
        <v>33302.016000000003</v>
      </c>
      <c r="U686" s="550">
        <f t="shared" si="1045"/>
        <v>33302.016000000003</v>
      </c>
      <c r="V686" s="550">
        <f t="shared" si="1045"/>
        <v>33302.016000000003</v>
      </c>
      <c r="W686" s="550">
        <f t="shared" si="1045"/>
        <v>33302.016000000003</v>
      </c>
      <c r="X686" s="550">
        <f t="shared" si="1045"/>
        <v>33302.016000000003</v>
      </c>
      <c r="Y686" s="550">
        <f t="shared" si="1045"/>
        <v>33302.016000000003</v>
      </c>
      <c r="Z686" s="550">
        <f t="shared" si="1045"/>
        <v>33302.016000000003</v>
      </c>
      <c r="AA686" s="550">
        <f t="shared" si="1045"/>
        <v>33302.016000000003</v>
      </c>
      <c r="AB686" s="550">
        <f t="shared" si="1045"/>
        <v>33302.016000000003</v>
      </c>
      <c r="AC686" s="550">
        <f t="shared" si="1045"/>
        <v>33302.016000000003</v>
      </c>
      <c r="AD686" s="550">
        <f t="shared" si="1045"/>
        <v>33302.016000000003</v>
      </c>
      <c r="AE686" s="550">
        <f t="shared" si="1045"/>
        <v>33302.016000000003</v>
      </c>
      <c r="AF686" s="550">
        <f t="shared" si="1045"/>
        <v>33302.016000000003</v>
      </c>
      <c r="AG686" s="550">
        <f t="shared" si="1045"/>
        <v>33302.016000000003</v>
      </c>
      <c r="AH686" s="550">
        <f t="shared" si="1045"/>
        <v>33302.016000000003</v>
      </c>
      <c r="AI686" s="550">
        <f t="shared" si="1045"/>
        <v>33302.016000000003</v>
      </c>
      <c r="AJ686" s="550">
        <f t="shared" si="1045"/>
        <v>33302.016000000003</v>
      </c>
    </row>
    <row r="687" spans="1:36" hidden="1" x14ac:dyDescent="0.25">
      <c r="A687" t="s">
        <v>697</v>
      </c>
      <c r="K687" s="243"/>
      <c r="L687" s="243"/>
      <c r="M687" s="243"/>
      <c r="N687" s="243"/>
      <c r="O687" s="243"/>
      <c r="P687" s="243"/>
      <c r="Q687" s="243"/>
      <c r="R687" s="243"/>
      <c r="S687" s="243"/>
      <c r="T687" s="243"/>
      <c r="U687" s="243"/>
      <c r="V687" s="243"/>
      <c r="W687" s="243"/>
      <c r="X687" s="243"/>
      <c r="Y687" s="243"/>
      <c r="Z687" s="243"/>
      <c r="AA687" s="243"/>
      <c r="AB687" s="243"/>
      <c r="AC687" s="243"/>
      <c r="AD687" s="243"/>
      <c r="AE687" s="243"/>
      <c r="AF687" s="243"/>
      <c r="AG687" s="243"/>
      <c r="AH687" s="243"/>
      <c r="AI687" s="243"/>
      <c r="AJ687" s="243"/>
    </row>
    <row r="688" spans="1:36" hidden="1" x14ac:dyDescent="0.25">
      <c r="A688" t="s">
        <v>697</v>
      </c>
      <c r="K688" s="243"/>
      <c r="L688" s="243"/>
      <c r="M688" s="243"/>
      <c r="N688" s="243"/>
      <c r="O688" s="243"/>
      <c r="P688" s="243"/>
      <c r="Q688" s="243"/>
      <c r="R688" s="243"/>
      <c r="S688" s="243"/>
      <c r="T688" s="243"/>
      <c r="U688" s="243"/>
      <c r="V688" s="243"/>
      <c r="W688" s="243"/>
      <c r="X688" s="243"/>
      <c r="Y688" s="243"/>
      <c r="Z688" s="243"/>
      <c r="AA688" s="243"/>
      <c r="AB688" s="243"/>
      <c r="AC688" s="243"/>
      <c r="AD688" s="243"/>
      <c r="AE688" s="243"/>
      <c r="AF688" s="243"/>
      <c r="AG688" s="243"/>
      <c r="AH688" s="243"/>
      <c r="AI688" s="243"/>
      <c r="AJ688" s="243"/>
    </row>
    <row r="689" spans="1:43" hidden="1" x14ac:dyDescent="0.25">
      <c r="A689" t="s">
        <v>697</v>
      </c>
      <c r="K689" s="243"/>
      <c r="L689" s="243"/>
      <c r="M689" s="243"/>
      <c r="N689" s="243"/>
      <c r="O689" s="243"/>
      <c r="P689" s="243"/>
      <c r="Q689" s="243"/>
      <c r="R689" s="243"/>
      <c r="S689" s="243"/>
      <c r="T689" s="243"/>
      <c r="U689" s="243"/>
      <c r="V689" s="243"/>
      <c r="W689" s="243"/>
      <c r="X689" s="243"/>
      <c r="Y689" s="243"/>
      <c r="Z689" s="243"/>
      <c r="AA689" s="243"/>
      <c r="AB689" s="243"/>
      <c r="AC689" s="243"/>
      <c r="AD689" s="243"/>
      <c r="AE689" s="243"/>
      <c r="AF689" s="243"/>
      <c r="AG689" s="243"/>
      <c r="AH689" s="243"/>
      <c r="AI689" s="243"/>
      <c r="AJ689" s="243"/>
    </row>
    <row r="690" spans="1:43" s="1" customFormat="1" hidden="1" x14ac:dyDescent="0.25">
      <c r="A690" s="1" t="s">
        <v>697</v>
      </c>
      <c r="H690" s="266" t="s">
        <v>434</v>
      </c>
      <c r="I690" s="267" t="str">
        <f t="shared" ref="I690:I698" si="1046">IF($H$9="USD","USD","tr. VND")</f>
        <v>tr. VND</v>
      </c>
      <c r="K690" s="268">
        <f t="shared" ref="K690" si="1047">SUM(K691:K692,K695:K698,)</f>
        <v>0</v>
      </c>
      <c r="L690" s="268">
        <f>SUM(L691:L692,L695:L698,)</f>
        <v>-53615.429666666671</v>
      </c>
      <c r="M690" s="268">
        <f t="shared" ref="M690:AJ690" si="1048">SUM(M691:M692,M695:M698,)</f>
        <v>-53615.429666666671</v>
      </c>
      <c r="N690" s="268">
        <f t="shared" si="1048"/>
        <v>-54637.243816666669</v>
      </c>
      <c r="O690" s="268">
        <f t="shared" si="1048"/>
        <v>-55710.148674166667</v>
      </c>
      <c r="P690" s="268">
        <f t="shared" si="1048"/>
        <v>-56836.69877454167</v>
      </c>
      <c r="Q690" s="268">
        <f t="shared" si="1048"/>
        <v>-58019.576379935424</v>
      </c>
      <c r="R690" s="268">
        <f t="shared" si="1048"/>
        <v>-59261.597865598858</v>
      </c>
      <c r="S690" s="268">
        <f t="shared" si="1048"/>
        <v>-60565.720425545464</v>
      </c>
      <c r="T690" s="268">
        <f t="shared" si="1048"/>
        <v>-61935.049113489404</v>
      </c>
      <c r="U690" s="268">
        <f t="shared" si="1048"/>
        <v>-63372.84423583054</v>
      </c>
      <c r="V690" s="268">
        <f t="shared" si="1048"/>
        <v>-64882.529114288736</v>
      </c>
      <c r="W690" s="268">
        <f t="shared" si="1048"/>
        <v>-66467.698236669836</v>
      </c>
      <c r="X690" s="268">
        <f t="shared" si="1048"/>
        <v>-41882.959148503338</v>
      </c>
      <c r="Y690" s="268">
        <f t="shared" si="1048"/>
        <v>-43630.608105928499</v>
      </c>
      <c r="Z690" s="268">
        <f t="shared" si="1048"/>
        <v>-45465.63951122493</v>
      </c>
      <c r="AA690" s="268">
        <f t="shared" si="1048"/>
        <v>-47392.422486786163</v>
      </c>
      <c r="AB690" s="268">
        <f t="shared" si="1048"/>
        <v>-49415.544611125493</v>
      </c>
      <c r="AC690" s="268">
        <f t="shared" si="1048"/>
        <v>-51539.822841681766</v>
      </c>
      <c r="AD690" s="268">
        <f t="shared" si="1048"/>
        <v>-53770.314983765857</v>
      </c>
      <c r="AE690" s="268">
        <f t="shared" si="1048"/>
        <v>-56112.331732954146</v>
      </c>
      <c r="AF690" s="268">
        <f t="shared" si="1048"/>
        <v>-58571.449319601845</v>
      </c>
      <c r="AG690" s="268">
        <f t="shared" si="1048"/>
        <v>-61153.522785581939</v>
      </c>
      <c r="AH690" s="268">
        <f t="shared" si="1048"/>
        <v>-63864.699924861037</v>
      </c>
      <c r="AI690" s="268">
        <f t="shared" si="1048"/>
        <v>-66711.435921104086</v>
      </c>
      <c r="AJ690" s="268">
        <f t="shared" si="1048"/>
        <v>-69700.50871715929</v>
      </c>
    </row>
    <row r="691" spans="1:43" hidden="1" x14ac:dyDescent="0.25">
      <c r="A691" t="s">
        <v>697</v>
      </c>
      <c r="B691" t="s">
        <v>173</v>
      </c>
      <c r="H691" s="459" t="s">
        <v>190</v>
      </c>
      <c r="I691" s="494" t="str">
        <f t="shared" si="1046"/>
        <v>tr. VND</v>
      </c>
      <c r="K691" s="493"/>
      <c r="L691" s="549" cm="1">
        <f t="array" ref="L691">-SUMPRODUCT('W1'!$AO$10:$HQ$60*('W1'!$AO$7:$HQ$7=$A691)*('W1'!$AO$8:$HQ$8=L$14)*('W1'!$A$10:$A$60=$B691))*$H$10</f>
        <v>-32249.166666666664</v>
      </c>
      <c r="M691" s="549" cm="1">
        <f t="array" ref="M691">-SUMPRODUCT('W1'!$AO$10:$HQ$60*('W1'!$AO$7:$HQ$7=$A691)*('W1'!$AO$8:$HQ$8=M$14)*('W1'!$A$10:$A$60=$B691))*$H$10</f>
        <v>-32249.166666666664</v>
      </c>
      <c r="N691" s="549" cm="1">
        <f t="array" ref="N691">-SUMPRODUCT('W1'!$AO$10:$HQ$60*('W1'!$AO$7:$HQ$7=$A691)*('W1'!$AO$8:$HQ$8=N$14)*('W1'!$A$10:$A$60=$B691))*$H$10</f>
        <v>-32249.166666666664</v>
      </c>
      <c r="O691" s="549" cm="1">
        <f t="array" ref="O691">-SUMPRODUCT('W1'!$AO$10:$HQ$60*('W1'!$AO$7:$HQ$7=$A691)*('W1'!$AO$8:$HQ$8=O$14)*('W1'!$A$10:$A$60=$B691))*$H$10</f>
        <v>-32249.166666666664</v>
      </c>
      <c r="P691" s="549" cm="1">
        <f t="array" ref="P691">-SUMPRODUCT('W1'!$AO$10:$HQ$60*('W1'!$AO$7:$HQ$7=$A691)*('W1'!$AO$8:$HQ$8=P$14)*('W1'!$A$10:$A$60=$B691))*$H$10</f>
        <v>-32249.166666666664</v>
      </c>
      <c r="Q691" s="549" cm="1">
        <f t="array" ref="Q691">-SUMPRODUCT('W1'!$AO$10:$HQ$60*('W1'!$AO$7:$HQ$7=$A691)*('W1'!$AO$8:$HQ$8=Q$14)*('W1'!$A$10:$A$60=$B691))*$H$10</f>
        <v>-32249.166666666664</v>
      </c>
      <c r="R691" s="549" cm="1">
        <f t="array" ref="R691">-SUMPRODUCT('W1'!$AO$10:$HQ$60*('W1'!$AO$7:$HQ$7=$A691)*('W1'!$AO$8:$HQ$8=R$14)*('W1'!$A$10:$A$60=$B691))*$H$10</f>
        <v>-32249.166666666664</v>
      </c>
      <c r="S691" s="549" cm="1">
        <f t="array" ref="S691">-SUMPRODUCT('W1'!$AO$10:$HQ$60*('W1'!$AO$7:$HQ$7=$A691)*('W1'!$AO$8:$HQ$8=S$14)*('W1'!$A$10:$A$60=$B691))*$H$10</f>
        <v>-32249.166666666664</v>
      </c>
      <c r="T691" s="549" cm="1">
        <f t="array" ref="T691">-SUMPRODUCT('W1'!$AO$10:$HQ$60*('W1'!$AO$7:$HQ$7=$A691)*('W1'!$AO$8:$HQ$8=T$14)*('W1'!$A$10:$A$60=$B691))*$H$10</f>
        <v>-32249.166666666664</v>
      </c>
      <c r="U691" s="549" cm="1">
        <f t="array" ref="U691">-SUMPRODUCT('W1'!$AO$10:$HQ$60*('W1'!$AO$7:$HQ$7=$A691)*('W1'!$AO$8:$HQ$8=U$14)*('W1'!$A$10:$A$60=$B691))*$H$10</f>
        <v>-32249.166666666664</v>
      </c>
      <c r="V691" s="549" cm="1">
        <f t="array" ref="V691">-SUMPRODUCT('W1'!$AO$10:$HQ$60*('W1'!$AO$7:$HQ$7=$A691)*('W1'!$AO$8:$HQ$8=V$14)*('W1'!$A$10:$A$60=$B691))*$H$10</f>
        <v>-32249.166666666664</v>
      </c>
      <c r="W691" s="549" cm="1">
        <f t="array" ref="W691">-SUMPRODUCT('W1'!$AO$10:$HQ$60*('W1'!$AO$7:$HQ$7=$A691)*('W1'!$AO$8:$HQ$8=W$14)*('W1'!$A$10:$A$60=$B691))*$H$10</f>
        <v>-32249.166666666664</v>
      </c>
      <c r="X691" s="549" cm="1">
        <f t="array" ref="X691">-SUMPRODUCT('W1'!$AO$10:$HQ$60*('W1'!$AO$7:$HQ$7=$A691)*('W1'!$AO$8:$HQ$8=X$14)*('W1'!$A$10:$A$60=$B691))*$H$10</f>
        <v>-6000</v>
      </c>
      <c r="Y691" s="549" cm="1">
        <f t="array" ref="Y691">-SUMPRODUCT('W1'!$AO$10:$HQ$60*('W1'!$AO$7:$HQ$7=$A691)*('W1'!$AO$8:$HQ$8=Y$14)*('W1'!$A$10:$A$60=$B691))*$H$10</f>
        <v>-6000</v>
      </c>
      <c r="Z691" s="549" cm="1">
        <f t="array" ref="Z691">-SUMPRODUCT('W1'!$AO$10:$HQ$60*('W1'!$AO$7:$HQ$7=$A691)*('W1'!$AO$8:$HQ$8=Z$14)*('W1'!$A$10:$A$60=$B691))*$H$10</f>
        <v>-6000</v>
      </c>
      <c r="AA691" s="549" cm="1">
        <f t="array" ref="AA691">-SUMPRODUCT('W1'!$AO$10:$HQ$60*('W1'!$AO$7:$HQ$7=$A691)*('W1'!$AO$8:$HQ$8=AA$14)*('W1'!$A$10:$A$60=$B691))*$H$10</f>
        <v>-6000</v>
      </c>
      <c r="AB691" s="549" cm="1">
        <f t="array" ref="AB691">-SUMPRODUCT('W1'!$AO$10:$HQ$60*('W1'!$AO$7:$HQ$7=$A691)*('W1'!$AO$8:$HQ$8=AB$14)*('W1'!$A$10:$A$60=$B691))*$H$10</f>
        <v>-6000</v>
      </c>
      <c r="AC691" s="549" cm="1">
        <f t="array" ref="AC691">-SUMPRODUCT('W1'!$AO$10:$HQ$60*('W1'!$AO$7:$HQ$7=$A691)*('W1'!$AO$8:$HQ$8=AC$14)*('W1'!$A$10:$A$60=$B691))*$H$10</f>
        <v>-6000</v>
      </c>
      <c r="AD691" s="549" cm="1">
        <f t="array" ref="AD691">-SUMPRODUCT('W1'!$AO$10:$HQ$60*('W1'!$AO$7:$HQ$7=$A691)*('W1'!$AO$8:$HQ$8=AD$14)*('W1'!$A$10:$A$60=$B691))*$H$10</f>
        <v>-6000</v>
      </c>
      <c r="AE691" s="549" cm="1">
        <f t="array" ref="AE691">-SUMPRODUCT('W1'!$AO$10:$HQ$60*('W1'!$AO$7:$HQ$7=$A691)*('W1'!$AO$8:$HQ$8=AE$14)*('W1'!$A$10:$A$60=$B691))*$H$10</f>
        <v>-6000</v>
      </c>
      <c r="AF691" s="549" cm="1">
        <f t="array" ref="AF691">-SUMPRODUCT('W1'!$AO$10:$HQ$60*('W1'!$AO$7:$HQ$7=$A691)*('W1'!$AO$8:$HQ$8=AF$14)*('W1'!$A$10:$A$60=$B691))*$H$10</f>
        <v>-6000</v>
      </c>
      <c r="AG691" s="549" cm="1">
        <f t="array" ref="AG691">-SUMPRODUCT('W1'!$AO$10:$HQ$60*('W1'!$AO$7:$HQ$7=$A691)*('W1'!$AO$8:$HQ$8=AG$14)*('W1'!$A$10:$A$60=$B691))*$H$10</f>
        <v>-6000</v>
      </c>
      <c r="AH691" s="549" cm="1">
        <f t="array" ref="AH691">-SUMPRODUCT('W1'!$AO$10:$HQ$60*('W1'!$AO$7:$HQ$7=$A691)*('W1'!$AO$8:$HQ$8=AH$14)*('W1'!$A$10:$A$60=$B691))*$H$10</f>
        <v>-6000</v>
      </c>
      <c r="AI691" s="549" cm="1">
        <f t="array" ref="AI691">-SUMPRODUCT('W1'!$AO$10:$HQ$60*('W1'!$AO$7:$HQ$7=$A691)*('W1'!$AO$8:$HQ$8=AI$14)*('W1'!$A$10:$A$60=$B691))*$H$10</f>
        <v>-6000</v>
      </c>
      <c r="AJ691" s="549" cm="1">
        <f t="array" ref="AJ691">-SUMPRODUCT('W1'!$AO$10:$HQ$60*('W1'!$AO$7:$HQ$7=$A691)*('W1'!$AO$8:$HQ$8=AJ$14)*('W1'!$A$10:$A$60=$B691))*$H$10</f>
        <v>-6000</v>
      </c>
    </row>
    <row r="692" spans="1:43" hidden="1" x14ac:dyDescent="0.25">
      <c r="A692" t="s">
        <v>697</v>
      </c>
      <c r="H692" s="454" t="s">
        <v>429</v>
      </c>
      <c r="I692" s="497" t="str">
        <f t="shared" si="1046"/>
        <v>tr. VND</v>
      </c>
      <c r="K692" s="550">
        <f>SUM(K693:K694)</f>
        <v>0</v>
      </c>
      <c r="L692" s="550">
        <f t="shared" ref="L692:AJ692" si="1049">SUM(L693:L694)</f>
        <v>-6312.0329999999994</v>
      </c>
      <c r="M692" s="550">
        <f t="shared" si="1049"/>
        <v>-6312.0329999999994</v>
      </c>
      <c r="N692" s="550">
        <f t="shared" si="1049"/>
        <v>-6627.63465</v>
      </c>
      <c r="O692" s="550">
        <f t="shared" si="1049"/>
        <v>-6959.0163825</v>
      </c>
      <c r="P692" s="550">
        <f t="shared" si="1049"/>
        <v>-7306.9672016250006</v>
      </c>
      <c r="Q692" s="550">
        <f t="shared" si="1049"/>
        <v>-7672.3155617062503</v>
      </c>
      <c r="R692" s="550">
        <f t="shared" si="1049"/>
        <v>-8055.9313397915639</v>
      </c>
      <c r="S692" s="550">
        <f t="shared" si="1049"/>
        <v>-8458.7279067811396</v>
      </c>
      <c r="T692" s="550">
        <f t="shared" si="1049"/>
        <v>-8881.6643021201999</v>
      </c>
      <c r="U692" s="550">
        <f t="shared" si="1049"/>
        <v>-9325.7475172262075</v>
      </c>
      <c r="V692" s="550">
        <f t="shared" si="1049"/>
        <v>-9792.0348930875189</v>
      </c>
      <c r="W692" s="550">
        <f t="shared" si="1049"/>
        <v>-10281.636637741894</v>
      </c>
      <c r="X692" s="550">
        <f t="shared" si="1049"/>
        <v>-10795.71846962899</v>
      </c>
      <c r="Y692" s="550">
        <f t="shared" si="1049"/>
        <v>-11335.504393110437</v>
      </c>
      <c r="Z692" s="550">
        <f t="shared" si="1049"/>
        <v>-11902.279612765962</v>
      </c>
      <c r="AA692" s="550">
        <f t="shared" si="1049"/>
        <v>-12497.393593404257</v>
      </c>
      <c r="AB692" s="550">
        <f t="shared" si="1049"/>
        <v>-13122.263273074474</v>
      </c>
      <c r="AC692" s="550">
        <f t="shared" si="1049"/>
        <v>-13778.376436728196</v>
      </c>
      <c r="AD692" s="550">
        <f t="shared" si="1049"/>
        <v>-14467.295258564609</v>
      </c>
      <c r="AE692" s="550">
        <f t="shared" si="1049"/>
        <v>-15190.66002149284</v>
      </c>
      <c r="AF692" s="550">
        <f t="shared" si="1049"/>
        <v>-15950.193022567481</v>
      </c>
      <c r="AG692" s="550">
        <f t="shared" si="1049"/>
        <v>-16747.702673695854</v>
      </c>
      <c r="AH692" s="550">
        <f t="shared" si="1049"/>
        <v>-17585.087807380645</v>
      </c>
      <c r="AI692" s="550">
        <f t="shared" si="1049"/>
        <v>-18464.342197749676</v>
      </c>
      <c r="AJ692" s="550">
        <f t="shared" si="1049"/>
        <v>-19387.559307637166</v>
      </c>
    </row>
    <row r="693" spans="1:43" s="299" customFormat="1" hidden="1" x14ac:dyDescent="0.25">
      <c r="A693" s="299" t="s">
        <v>697</v>
      </c>
      <c r="B693" s="299" t="s">
        <v>449</v>
      </c>
      <c r="H693" s="554" t="s">
        <v>430</v>
      </c>
      <c r="I693" s="555" t="str">
        <f t="shared" si="1046"/>
        <v>tr. VND</v>
      </c>
      <c r="K693" s="556"/>
      <c r="L693" s="556" cm="1">
        <f t="array" ref="L693">-SUMPRODUCT('W2'!$M$12:$R$112*('W2'!$M$7:$R$7=$A693)*('W2'!$A$12:$A$112=$B693))*$H$10*POWER(1+Inflation,L$11+1)</f>
        <v>-1031.94</v>
      </c>
      <c r="M693" s="556" cm="1">
        <f t="array" ref="M693">-SUMPRODUCT('W2'!$M$12:$R$112*('W2'!$M$7:$R$7=$A693)*('W2'!$A$12:$A$112=$B693))*$H$10*POWER(1+Inflation,M$11+1)</f>
        <v>-1031.94</v>
      </c>
      <c r="N693" s="556" cm="1">
        <f t="array" ref="N693">-SUMPRODUCT('W2'!$M$12:$R$112*('W2'!$M$7:$R$7=$A693)*('W2'!$A$12:$A$112=$B693))*$H$10*POWER(1+Inflation,N$11+1)</f>
        <v>-1083.537</v>
      </c>
      <c r="O693" s="556" cm="1">
        <f t="array" ref="O693">-SUMPRODUCT('W2'!$M$12:$R$112*('W2'!$M$7:$R$7=$A693)*('W2'!$A$12:$A$112=$B693))*$H$10*POWER(1+Inflation,O$11+1)</f>
        <v>-1137.7138500000001</v>
      </c>
      <c r="P693" s="556" cm="1">
        <f t="array" ref="P693">-SUMPRODUCT('W2'!$M$12:$R$112*('W2'!$M$7:$R$7=$A693)*('W2'!$A$12:$A$112=$B693))*$H$10*POWER(1+Inflation,P$11+1)</f>
        <v>-1194.5995425000001</v>
      </c>
      <c r="Q693" s="556" cm="1">
        <f t="array" ref="Q693">-SUMPRODUCT('W2'!$M$12:$R$112*('W2'!$M$7:$R$7=$A693)*('W2'!$A$12:$A$112=$B693))*$H$10*POWER(1+Inflation,Q$11+1)</f>
        <v>-1254.3295196250001</v>
      </c>
      <c r="R693" s="556" cm="1">
        <f t="array" ref="R693">-SUMPRODUCT('W2'!$M$12:$R$112*('W2'!$M$7:$R$7=$A693)*('W2'!$A$12:$A$112=$B693))*$H$10*POWER(1+Inflation,R$11+1)</f>
        <v>-1317.0459956062502</v>
      </c>
      <c r="S693" s="556" cm="1">
        <f t="array" ref="S693">-SUMPRODUCT('W2'!$M$12:$R$112*('W2'!$M$7:$R$7=$A693)*('W2'!$A$12:$A$112=$B693))*$H$10*POWER(1+Inflation,S$11+1)</f>
        <v>-1382.8982953865625</v>
      </c>
      <c r="T693" s="556" cm="1">
        <f t="array" ref="T693">-SUMPRODUCT('W2'!$M$12:$R$112*('W2'!$M$7:$R$7=$A693)*('W2'!$A$12:$A$112=$B693))*$H$10*POWER(1+Inflation,T$11+1)</f>
        <v>-1452.0432101558908</v>
      </c>
      <c r="U693" s="556" cm="1">
        <f t="array" ref="U693">-SUMPRODUCT('W2'!$M$12:$R$112*('W2'!$M$7:$R$7=$A693)*('W2'!$A$12:$A$112=$B693))*$H$10*POWER(1+Inflation,U$11+1)</f>
        <v>-1524.6453706636853</v>
      </c>
      <c r="V693" s="556" cm="1">
        <f t="array" ref="V693">-SUMPRODUCT('W2'!$M$12:$R$112*('W2'!$M$7:$R$7=$A693)*('W2'!$A$12:$A$112=$B693))*$H$10*POWER(1+Inflation,V$11+1)</f>
        <v>-1600.8776391968697</v>
      </c>
      <c r="W693" s="556" cm="1">
        <f t="array" ref="W693">-SUMPRODUCT('W2'!$M$12:$R$112*('W2'!$M$7:$R$7=$A693)*('W2'!$A$12:$A$112=$B693))*$H$10*POWER(1+Inflation,W$11+1)</f>
        <v>-1680.9215211567132</v>
      </c>
      <c r="X693" s="556" cm="1">
        <f t="array" ref="X693">-SUMPRODUCT('W2'!$M$12:$R$112*('W2'!$M$7:$R$7=$A693)*('W2'!$A$12:$A$112=$B693))*$H$10*POWER(1+Inflation,X$11+1)</f>
        <v>-1764.967597214549</v>
      </c>
      <c r="Y693" s="556" cm="1">
        <f t="array" ref="Y693">-SUMPRODUCT('W2'!$M$12:$R$112*('W2'!$M$7:$R$7=$A693)*('W2'!$A$12:$A$112=$B693))*$H$10*POWER(1+Inflation,Y$11+1)</f>
        <v>-1853.215977075276</v>
      </c>
      <c r="Z693" s="556" cm="1">
        <f t="array" ref="Z693">-SUMPRODUCT('W2'!$M$12:$R$112*('W2'!$M$7:$R$7=$A693)*('W2'!$A$12:$A$112=$B693))*$H$10*POWER(1+Inflation,Z$11+1)</f>
        <v>-1945.8767759290402</v>
      </c>
      <c r="AA693" s="556" cm="1">
        <f t="array" ref="AA693">-SUMPRODUCT('W2'!$M$12:$R$112*('W2'!$M$7:$R$7=$A693)*('W2'!$A$12:$A$112=$B693))*$H$10*POWER(1+Inflation,AA$11+1)</f>
        <v>-2043.1706147254918</v>
      </c>
      <c r="AB693" s="556" cm="1">
        <f t="array" ref="AB693">-SUMPRODUCT('W2'!$M$12:$R$112*('W2'!$M$7:$R$7=$A693)*('W2'!$A$12:$A$112=$B693))*$H$10*POWER(1+Inflation,AB$11+1)</f>
        <v>-2145.329145461767</v>
      </c>
      <c r="AC693" s="556" cm="1">
        <f t="array" ref="AC693">-SUMPRODUCT('W2'!$M$12:$R$112*('W2'!$M$7:$R$7=$A693)*('W2'!$A$12:$A$112=$B693))*$H$10*POWER(1+Inflation,AC$11+1)</f>
        <v>-2252.5956027348552</v>
      </c>
      <c r="AD693" s="556" cm="1">
        <f t="array" ref="AD693">-SUMPRODUCT('W2'!$M$12:$R$112*('W2'!$M$7:$R$7=$A693)*('W2'!$A$12:$A$112=$B693))*$H$10*POWER(1+Inflation,AD$11+1)</f>
        <v>-2365.2253828715984</v>
      </c>
      <c r="AE693" s="556" cm="1">
        <f t="array" ref="AE693">-SUMPRODUCT('W2'!$M$12:$R$112*('W2'!$M$7:$R$7=$A693)*('W2'!$A$12:$A$112=$B693))*$H$10*POWER(1+Inflation,AE$11+1)</f>
        <v>-2483.4866520151782</v>
      </c>
      <c r="AF693" s="556" cm="1">
        <f t="array" ref="AF693">-SUMPRODUCT('W2'!$M$12:$R$112*('W2'!$M$7:$R$7=$A693)*('W2'!$A$12:$A$112=$B693))*$H$10*POWER(1+Inflation,AF$11+1)</f>
        <v>-2607.6609846159372</v>
      </c>
      <c r="AG693" s="556" cm="1">
        <f t="array" ref="AG693">-SUMPRODUCT('W2'!$M$12:$R$112*('W2'!$M$7:$R$7=$A693)*('W2'!$A$12:$A$112=$B693))*$H$10*POWER(1+Inflation,AG$11+1)</f>
        <v>-2738.0440338467338</v>
      </c>
      <c r="AH693" s="556" cm="1">
        <f t="array" ref="AH693">-SUMPRODUCT('W2'!$M$12:$R$112*('W2'!$M$7:$R$7=$A693)*('W2'!$A$12:$A$112=$B693))*$H$10*POWER(1+Inflation,AH$11+1)</f>
        <v>-2874.9462355390706</v>
      </c>
      <c r="AI693" s="556" cm="1">
        <f t="array" ref="AI693">-SUMPRODUCT('W2'!$M$12:$R$112*('W2'!$M$7:$R$7=$A693)*('W2'!$A$12:$A$112=$B693))*$H$10*POWER(1+Inflation,AI$11+1)</f>
        <v>-3018.6935473160238</v>
      </c>
      <c r="AJ693" s="556" cm="1">
        <f t="array" ref="AJ693">-SUMPRODUCT('W2'!$M$12:$R$112*('W2'!$M$7:$R$7=$A693)*('W2'!$A$12:$A$112=$B693))*$H$10*POWER(1+Inflation,AJ$11+1)</f>
        <v>-3169.6282246818255</v>
      </c>
      <c r="AN693" s="880"/>
      <c r="AP693" s="880"/>
      <c r="AQ693" s="880"/>
    </row>
    <row r="694" spans="1:43" s="299" customFormat="1" hidden="1" x14ac:dyDescent="0.25">
      <c r="A694" s="299" t="s">
        <v>697</v>
      </c>
      <c r="B694" s="299" t="s">
        <v>450</v>
      </c>
      <c r="H694" s="554" t="s">
        <v>431</v>
      </c>
      <c r="I694" s="555" t="str">
        <f t="shared" si="1046"/>
        <v>tr. VND</v>
      </c>
      <c r="K694" s="556"/>
      <c r="L694" s="556" cm="1">
        <f t="array" ref="L694">-SUMPRODUCT('W2'!$M$12:$R$112*('W2'!$M$7:$R$7=$A694)*('W2'!$A$12:$A$112=$B694))*$H$10*POWER(1+Inflation,L$11+1)</f>
        <v>-5280.0929999999998</v>
      </c>
      <c r="M694" s="556" cm="1">
        <f t="array" ref="M694">-SUMPRODUCT('W2'!$M$12:$R$112*('W2'!$M$7:$R$7=$A694)*('W2'!$A$12:$A$112=$B694))*$H$10*POWER(1+Inflation,M$11+1)</f>
        <v>-5280.0929999999998</v>
      </c>
      <c r="N694" s="556" cm="1">
        <f t="array" ref="N694">-SUMPRODUCT('W2'!$M$12:$R$112*('W2'!$M$7:$R$7=$A694)*('W2'!$A$12:$A$112=$B694))*$H$10*POWER(1+Inflation,N$11+1)</f>
        <v>-5544.0976499999997</v>
      </c>
      <c r="O694" s="556" cm="1">
        <f t="array" ref="O694">-SUMPRODUCT('W2'!$M$12:$R$112*('W2'!$M$7:$R$7=$A694)*('W2'!$A$12:$A$112=$B694))*$H$10*POWER(1+Inflation,O$11+1)</f>
        <v>-5821.3025324999999</v>
      </c>
      <c r="P694" s="556" cm="1">
        <f t="array" ref="P694">-SUMPRODUCT('W2'!$M$12:$R$112*('W2'!$M$7:$R$7=$A694)*('W2'!$A$12:$A$112=$B694))*$H$10*POWER(1+Inflation,P$11+1)</f>
        <v>-6112.3676591250005</v>
      </c>
      <c r="Q694" s="556" cm="1">
        <f t="array" ref="Q694">-SUMPRODUCT('W2'!$M$12:$R$112*('W2'!$M$7:$R$7=$A694)*('W2'!$A$12:$A$112=$B694))*$H$10*POWER(1+Inflation,Q$11+1)</f>
        <v>-6417.9860420812502</v>
      </c>
      <c r="R694" s="556" cm="1">
        <f t="array" ref="R694">-SUMPRODUCT('W2'!$M$12:$R$112*('W2'!$M$7:$R$7=$A694)*('W2'!$A$12:$A$112=$B694))*$H$10*POWER(1+Inflation,R$11+1)</f>
        <v>-6738.8853441853134</v>
      </c>
      <c r="S694" s="556" cm="1">
        <f t="array" ref="S694">-SUMPRODUCT('W2'!$M$12:$R$112*('W2'!$M$7:$R$7=$A694)*('W2'!$A$12:$A$112=$B694))*$H$10*POWER(1+Inflation,S$11+1)</f>
        <v>-7075.829611394578</v>
      </c>
      <c r="T694" s="556" cm="1">
        <f t="array" ref="T694">-SUMPRODUCT('W2'!$M$12:$R$112*('W2'!$M$7:$R$7=$A694)*('W2'!$A$12:$A$112=$B694))*$H$10*POWER(1+Inflation,T$11+1)</f>
        <v>-7429.6210919643081</v>
      </c>
      <c r="U694" s="556" cm="1">
        <f t="array" ref="U694">-SUMPRODUCT('W2'!$M$12:$R$112*('W2'!$M$7:$R$7=$A694)*('W2'!$A$12:$A$112=$B694))*$H$10*POWER(1+Inflation,U$11+1)</f>
        <v>-7801.1021465625226</v>
      </c>
      <c r="V694" s="556" cm="1">
        <f t="array" ref="V694">-SUMPRODUCT('W2'!$M$12:$R$112*('W2'!$M$7:$R$7=$A694)*('W2'!$A$12:$A$112=$B694))*$H$10*POWER(1+Inflation,V$11+1)</f>
        <v>-8191.1572538906494</v>
      </c>
      <c r="W694" s="556" cm="1">
        <f t="array" ref="W694">-SUMPRODUCT('W2'!$M$12:$R$112*('W2'!$M$7:$R$7=$A694)*('W2'!$A$12:$A$112=$B694))*$H$10*POWER(1+Inflation,W$11+1)</f>
        <v>-8600.715116585181</v>
      </c>
      <c r="X694" s="556" cm="1">
        <f t="array" ref="X694">-SUMPRODUCT('W2'!$M$12:$R$112*('W2'!$M$7:$R$7=$A694)*('W2'!$A$12:$A$112=$B694))*$H$10*POWER(1+Inflation,X$11+1)</f>
        <v>-9030.7508724144409</v>
      </c>
      <c r="Y694" s="556" cm="1">
        <f t="array" ref="Y694">-SUMPRODUCT('W2'!$M$12:$R$112*('W2'!$M$7:$R$7=$A694)*('W2'!$A$12:$A$112=$B694))*$H$10*POWER(1+Inflation,Y$11+1)</f>
        <v>-9482.2884160351623</v>
      </c>
      <c r="Z694" s="556" cm="1">
        <f t="array" ref="Z694">-SUMPRODUCT('W2'!$M$12:$R$112*('W2'!$M$7:$R$7=$A694)*('W2'!$A$12:$A$112=$B694))*$H$10*POWER(1+Inflation,Z$11+1)</f>
        <v>-9956.4028368369218</v>
      </c>
      <c r="AA694" s="556" cm="1">
        <f t="array" ref="AA694">-SUMPRODUCT('W2'!$M$12:$R$112*('W2'!$M$7:$R$7=$A694)*('W2'!$A$12:$A$112=$B694))*$H$10*POWER(1+Inflation,AA$11+1)</f>
        <v>-10454.222978678765</v>
      </c>
      <c r="AB694" s="556" cm="1">
        <f t="array" ref="AB694">-SUMPRODUCT('W2'!$M$12:$R$112*('W2'!$M$7:$R$7=$A694)*('W2'!$A$12:$A$112=$B694))*$H$10*POWER(1+Inflation,AB$11+1)</f>
        <v>-10976.934127612707</v>
      </c>
      <c r="AC694" s="556" cm="1">
        <f t="array" ref="AC694">-SUMPRODUCT('W2'!$M$12:$R$112*('W2'!$M$7:$R$7=$A694)*('W2'!$A$12:$A$112=$B694))*$H$10*POWER(1+Inflation,AC$11+1)</f>
        <v>-11525.780833993342</v>
      </c>
      <c r="AD694" s="556" cm="1">
        <f t="array" ref="AD694">-SUMPRODUCT('W2'!$M$12:$R$112*('W2'!$M$7:$R$7=$A694)*('W2'!$A$12:$A$112=$B694))*$H$10*POWER(1+Inflation,AD$11+1)</f>
        <v>-12102.069875693011</v>
      </c>
      <c r="AE694" s="556" cm="1">
        <f t="array" ref="AE694">-SUMPRODUCT('W2'!$M$12:$R$112*('W2'!$M$7:$R$7=$A694)*('W2'!$A$12:$A$112=$B694))*$H$10*POWER(1+Inflation,AE$11+1)</f>
        <v>-12707.173369477661</v>
      </c>
      <c r="AF694" s="556" cm="1">
        <f t="array" ref="AF694">-SUMPRODUCT('W2'!$M$12:$R$112*('W2'!$M$7:$R$7=$A694)*('W2'!$A$12:$A$112=$B694))*$H$10*POWER(1+Inflation,AF$11+1)</f>
        <v>-13342.532037951543</v>
      </c>
      <c r="AG694" s="556" cm="1">
        <f t="array" ref="AG694">-SUMPRODUCT('W2'!$M$12:$R$112*('W2'!$M$7:$R$7=$A694)*('W2'!$A$12:$A$112=$B694))*$H$10*POWER(1+Inflation,AG$11+1)</f>
        <v>-14009.65863984912</v>
      </c>
      <c r="AH694" s="556" cm="1">
        <f t="array" ref="AH694">-SUMPRODUCT('W2'!$M$12:$R$112*('W2'!$M$7:$R$7=$A694)*('W2'!$A$12:$A$112=$B694))*$H$10*POWER(1+Inflation,AH$11+1)</f>
        <v>-14710.141571841576</v>
      </c>
      <c r="AI694" s="556" cm="1">
        <f t="array" ref="AI694">-SUMPRODUCT('W2'!$M$12:$R$112*('W2'!$M$7:$R$7=$A694)*('W2'!$A$12:$A$112=$B694))*$H$10*POWER(1+Inflation,AI$11+1)</f>
        <v>-15445.648650433654</v>
      </c>
      <c r="AJ694" s="556" cm="1">
        <f t="array" ref="AJ694">-SUMPRODUCT('W2'!$M$12:$R$112*('W2'!$M$7:$R$7=$A694)*('W2'!$A$12:$A$112=$B694))*$H$10*POWER(1+Inflation,AJ$11+1)</f>
        <v>-16217.93108295534</v>
      </c>
    </row>
    <row r="695" spans="1:43" hidden="1" x14ac:dyDescent="0.25">
      <c r="A695" t="s">
        <v>697</v>
      </c>
      <c r="B695" t="s">
        <v>451</v>
      </c>
      <c r="H695" s="454" t="s">
        <v>656</v>
      </c>
      <c r="I695" s="497" t="str">
        <f t="shared" si="1046"/>
        <v>tr. VND</v>
      </c>
      <c r="K695" s="550"/>
      <c r="L695" s="550" cm="1">
        <f t="array" ref="L695">-SUMPRODUCT('W2'!$M$12:$R$112*('W2'!$M$7:$R$7=$A695)*('W2'!$A$12:$A$112=$B695))*$H$10*POWER(1+Inflation,L$11+1)</f>
        <v>-2520</v>
      </c>
      <c r="M695" s="550" cm="1">
        <f t="array" ref="M695">-SUMPRODUCT('W2'!$M$12:$R$112*('W2'!$M$7:$R$7=$A695)*('W2'!$A$12:$A$112=$B695))*$H$10*POWER(1+Inflation,M$11+1)</f>
        <v>-2520</v>
      </c>
      <c r="N695" s="550" cm="1">
        <f t="array" ref="N695">-SUMPRODUCT('W2'!$M$12:$R$112*('W2'!$M$7:$R$7=$A695)*('W2'!$A$12:$A$112=$B695))*$H$10*POWER(1+Inflation,N$11+1)</f>
        <v>-2646</v>
      </c>
      <c r="O695" s="550" cm="1">
        <f t="array" ref="O695">-SUMPRODUCT('W2'!$M$12:$R$112*('W2'!$M$7:$R$7=$A695)*('W2'!$A$12:$A$112=$B695))*$H$10*POWER(1+Inflation,O$11+1)</f>
        <v>-2778.3</v>
      </c>
      <c r="P695" s="550" cm="1">
        <f t="array" ref="P695">-SUMPRODUCT('W2'!$M$12:$R$112*('W2'!$M$7:$R$7=$A695)*('W2'!$A$12:$A$112=$B695))*$H$10*POWER(1+Inflation,P$11+1)</f>
        <v>-2917.2150000000001</v>
      </c>
      <c r="Q695" s="550" cm="1">
        <f t="array" ref="Q695">-SUMPRODUCT('W2'!$M$12:$R$112*('W2'!$M$7:$R$7=$A695)*('W2'!$A$12:$A$112=$B695))*$H$10*POWER(1+Inflation,Q$11+1)</f>
        <v>-3063.07575</v>
      </c>
      <c r="R695" s="550" cm="1">
        <f t="array" ref="R695">-SUMPRODUCT('W2'!$M$12:$R$112*('W2'!$M$7:$R$7=$A695)*('W2'!$A$12:$A$112=$B695))*$H$10*POWER(1+Inflation,R$11+1)</f>
        <v>-3216.2295375000003</v>
      </c>
      <c r="S695" s="550" cm="1">
        <f t="array" ref="S695">-SUMPRODUCT('W2'!$M$12:$R$112*('W2'!$M$7:$R$7=$A695)*('W2'!$A$12:$A$112=$B695))*$H$10*POWER(1+Inflation,S$11+1)</f>
        <v>-3377.041014375</v>
      </c>
      <c r="T695" s="550" cm="1">
        <f t="array" ref="T695">-SUMPRODUCT('W2'!$M$12:$R$112*('W2'!$M$7:$R$7=$A695)*('W2'!$A$12:$A$112=$B695))*$H$10*POWER(1+Inflation,T$11+1)</f>
        <v>-3545.8930650937505</v>
      </c>
      <c r="U695" s="550" cm="1">
        <f t="array" ref="U695">-SUMPRODUCT('W2'!$M$12:$R$112*('W2'!$M$7:$R$7=$A695)*('W2'!$A$12:$A$112=$B695))*$H$10*POWER(1+Inflation,U$11+1)</f>
        <v>-3723.1877183484376</v>
      </c>
      <c r="V695" s="550" cm="1">
        <f t="array" ref="V695">-SUMPRODUCT('W2'!$M$12:$R$112*('W2'!$M$7:$R$7=$A695)*('W2'!$A$12:$A$112=$B695))*$H$10*POWER(1+Inflation,V$11+1)</f>
        <v>-3909.3471042658598</v>
      </c>
      <c r="W695" s="550" cm="1">
        <f t="array" ref="W695">-SUMPRODUCT('W2'!$M$12:$R$112*('W2'!$M$7:$R$7=$A695)*('W2'!$A$12:$A$112=$B695))*$H$10*POWER(1+Inflation,W$11+1)</f>
        <v>-4104.8144594791529</v>
      </c>
      <c r="X695" s="550" cm="1">
        <f t="array" ref="X695">-SUMPRODUCT('W2'!$M$12:$R$112*('W2'!$M$7:$R$7=$A695)*('W2'!$A$12:$A$112=$B695))*$H$10*POWER(1+Inflation,X$11+1)</f>
        <v>-4310.0551824531103</v>
      </c>
      <c r="Y695" s="550" cm="1">
        <f t="array" ref="Y695">-SUMPRODUCT('W2'!$M$12:$R$112*('W2'!$M$7:$R$7=$A695)*('W2'!$A$12:$A$112=$B695))*$H$10*POWER(1+Inflation,Y$11+1)</f>
        <v>-4525.5579415757657</v>
      </c>
      <c r="Z695" s="550" cm="1">
        <f t="array" ref="Z695">-SUMPRODUCT('W2'!$M$12:$R$112*('W2'!$M$7:$R$7=$A695)*('W2'!$A$12:$A$112=$B695))*$H$10*POWER(1+Inflation,Z$11+1)</f>
        <v>-4751.8358386545551</v>
      </c>
      <c r="AA695" s="550" cm="1">
        <f t="array" ref="AA695">-SUMPRODUCT('W2'!$M$12:$R$112*('W2'!$M$7:$R$7=$A695)*('W2'!$A$12:$A$112=$B695))*$H$10*POWER(1+Inflation,AA$11+1)</f>
        <v>-4989.4276305872809</v>
      </c>
      <c r="AB695" s="550" cm="1">
        <f t="array" ref="AB695">-SUMPRODUCT('W2'!$M$12:$R$112*('W2'!$M$7:$R$7=$A695)*('W2'!$A$12:$A$112=$B695))*$H$10*POWER(1+Inflation,AB$11+1)</f>
        <v>-5238.8990121166471</v>
      </c>
      <c r="AC695" s="550" cm="1">
        <f t="array" ref="AC695">-SUMPRODUCT('W2'!$M$12:$R$112*('W2'!$M$7:$R$7=$A695)*('W2'!$A$12:$A$112=$B695))*$H$10*POWER(1+Inflation,AC$11+1)</f>
        <v>-5500.8439627224789</v>
      </c>
      <c r="AD695" s="550" cm="1">
        <f t="array" ref="AD695">-SUMPRODUCT('W2'!$M$12:$R$112*('W2'!$M$7:$R$7=$A695)*('W2'!$A$12:$A$112=$B695))*$H$10*POWER(1+Inflation,AD$11+1)</f>
        <v>-5775.8861608586039</v>
      </c>
      <c r="AE695" s="550" cm="1">
        <f t="array" ref="AE695">-SUMPRODUCT('W2'!$M$12:$R$112*('W2'!$M$7:$R$7=$A695)*('W2'!$A$12:$A$112=$B695))*$H$10*POWER(1+Inflation,AE$11+1)</f>
        <v>-6064.6804689015335</v>
      </c>
      <c r="AF695" s="550" cm="1">
        <f t="array" ref="AF695">-SUMPRODUCT('W2'!$M$12:$R$112*('W2'!$M$7:$R$7=$A695)*('W2'!$A$12:$A$112=$B695))*$H$10*POWER(1+Inflation,AF$11+1)</f>
        <v>-6367.9144923466101</v>
      </c>
      <c r="AG695" s="550" cm="1">
        <f t="array" ref="AG695">-SUMPRODUCT('W2'!$M$12:$R$112*('W2'!$M$7:$R$7=$A695)*('W2'!$A$12:$A$112=$B695))*$H$10*POWER(1+Inflation,AG$11+1)</f>
        <v>-6686.3102169639405</v>
      </c>
      <c r="AH695" s="550" cm="1">
        <f t="array" ref="AH695">-SUMPRODUCT('W2'!$M$12:$R$112*('W2'!$M$7:$R$7=$A695)*('W2'!$A$12:$A$112=$B695))*$H$10*POWER(1+Inflation,AH$11+1)</f>
        <v>-7020.6257278121375</v>
      </c>
      <c r="AI695" s="550" cm="1">
        <f t="array" ref="AI695">-SUMPRODUCT('W2'!$M$12:$R$112*('W2'!$M$7:$R$7=$A695)*('W2'!$A$12:$A$112=$B695))*$H$10*POWER(1+Inflation,AI$11+1)</f>
        <v>-7371.657014202744</v>
      </c>
      <c r="AJ695" s="550" cm="1">
        <f t="array" ref="AJ695">-SUMPRODUCT('W2'!$M$12:$R$112*('W2'!$M$7:$R$7=$A695)*('W2'!$A$12:$A$112=$B695))*$H$10*POWER(1+Inflation,AJ$11+1)</f>
        <v>-7740.2398649128827</v>
      </c>
    </row>
    <row r="696" spans="1:43" hidden="1" x14ac:dyDescent="0.25">
      <c r="A696" t="s">
        <v>697</v>
      </c>
      <c r="B696" t="s">
        <v>452</v>
      </c>
      <c r="H696" s="454" t="s">
        <v>432</v>
      </c>
      <c r="I696" s="497" t="str">
        <f t="shared" si="1046"/>
        <v>tr. VND</v>
      </c>
      <c r="K696" s="550"/>
      <c r="L696" s="550" cm="1">
        <f t="array" ref="L696">-SUMPRODUCT('W2'!$M$12:$R$112*('W2'!$M$7:$R$7=$A696)*('W2'!$A$12:$A$112=$B696))*$H$10*POWER(1+Inflation,L$11+1)</f>
        <v>-11024.65</v>
      </c>
      <c r="M696" s="550" cm="1">
        <f t="array" ref="M696">-SUMPRODUCT('W2'!$M$12:$R$112*('W2'!$M$7:$R$7=$A696)*('W2'!$A$12:$A$112=$B696))*$H$10*POWER(1+Inflation,M$11+1)</f>
        <v>-11024.65</v>
      </c>
      <c r="N696" s="550" cm="1">
        <f t="array" ref="N696">-SUMPRODUCT('W2'!$M$12:$R$112*('W2'!$M$7:$R$7=$A696)*('W2'!$A$12:$A$112=$B696))*$H$10*POWER(1+Inflation,N$11+1)</f>
        <v>-11575.8825</v>
      </c>
      <c r="O696" s="550" cm="1">
        <f t="array" ref="O696">-SUMPRODUCT('W2'!$M$12:$R$112*('W2'!$M$7:$R$7=$A696)*('W2'!$A$12:$A$112=$B696))*$H$10*POWER(1+Inflation,O$11+1)</f>
        <v>-12154.676625</v>
      </c>
      <c r="P696" s="550" cm="1">
        <f t="array" ref="P696">-SUMPRODUCT('W2'!$M$12:$R$112*('W2'!$M$7:$R$7=$A696)*('W2'!$A$12:$A$112=$B696))*$H$10*POWER(1+Inflation,P$11+1)</f>
        <v>-12762.410456250002</v>
      </c>
      <c r="Q696" s="550" cm="1">
        <f t="array" ref="Q696">-SUMPRODUCT('W2'!$M$12:$R$112*('W2'!$M$7:$R$7=$A696)*('W2'!$A$12:$A$112=$B696))*$H$10*POWER(1+Inflation,Q$11+1)</f>
        <v>-13400.5309790625</v>
      </c>
      <c r="R696" s="550" cm="1">
        <f t="array" ref="R696">-SUMPRODUCT('W2'!$M$12:$R$112*('W2'!$M$7:$R$7=$A696)*('W2'!$A$12:$A$112=$B696))*$H$10*POWER(1+Inflation,R$11+1)</f>
        <v>-14070.557528015626</v>
      </c>
      <c r="S696" s="550" cm="1">
        <f t="array" ref="S696">-SUMPRODUCT('W2'!$M$12:$R$112*('W2'!$M$7:$R$7=$A696)*('W2'!$A$12:$A$112=$B696))*$H$10*POWER(1+Inflation,S$11+1)</f>
        <v>-14774.085404416406</v>
      </c>
      <c r="T696" s="550" cm="1">
        <f t="array" ref="T696">-SUMPRODUCT('W2'!$M$12:$R$112*('W2'!$M$7:$R$7=$A696)*('W2'!$A$12:$A$112=$B696))*$H$10*POWER(1+Inflation,T$11+1)</f>
        <v>-15512.789674637228</v>
      </c>
      <c r="U696" s="550" cm="1">
        <f t="array" ref="U696">-SUMPRODUCT('W2'!$M$12:$R$112*('W2'!$M$7:$R$7=$A696)*('W2'!$A$12:$A$112=$B696))*$H$10*POWER(1+Inflation,U$11+1)</f>
        <v>-16288.429158369088</v>
      </c>
      <c r="V696" s="550" cm="1">
        <f t="array" ref="V696">-SUMPRODUCT('W2'!$M$12:$R$112*('W2'!$M$7:$R$7=$A696)*('W2'!$A$12:$A$112=$B696))*$H$10*POWER(1+Inflation,V$11+1)</f>
        <v>-17102.850616287542</v>
      </c>
      <c r="W696" s="550" cm="1">
        <f t="array" ref="W696">-SUMPRODUCT('W2'!$M$12:$R$112*('W2'!$M$7:$R$7=$A696)*('W2'!$A$12:$A$112=$B696))*$H$10*POWER(1+Inflation,W$11+1)</f>
        <v>-17957.993147101919</v>
      </c>
      <c r="X696" s="550" cm="1">
        <f t="array" ref="X696">-SUMPRODUCT('W2'!$M$12:$R$112*('W2'!$M$7:$R$7=$A696)*('W2'!$A$12:$A$112=$B696))*$H$10*POWER(1+Inflation,X$11+1)</f>
        <v>-18855.892804457017</v>
      </c>
      <c r="Y696" s="550" cm="1">
        <f t="array" ref="Y696">-SUMPRODUCT('W2'!$M$12:$R$112*('W2'!$M$7:$R$7=$A696)*('W2'!$A$12:$A$112=$B696))*$H$10*POWER(1+Inflation,Y$11+1)</f>
        <v>-19798.687444679865</v>
      </c>
      <c r="Z696" s="550" cm="1">
        <f t="array" ref="Z696">-SUMPRODUCT('W2'!$M$12:$R$112*('W2'!$M$7:$R$7=$A696)*('W2'!$A$12:$A$112=$B696))*$H$10*POWER(1+Inflation,Z$11+1)</f>
        <v>-20788.621816913863</v>
      </c>
      <c r="AA696" s="550" cm="1">
        <f t="array" ref="AA696">-SUMPRODUCT('W2'!$M$12:$R$112*('W2'!$M$7:$R$7=$A696)*('W2'!$A$12:$A$112=$B696))*$H$10*POWER(1+Inflation,AA$11+1)</f>
        <v>-21828.052907759553</v>
      </c>
      <c r="AB696" s="550" cm="1">
        <f t="array" ref="AB696">-SUMPRODUCT('W2'!$M$12:$R$112*('W2'!$M$7:$R$7=$A696)*('W2'!$A$12:$A$112=$B696))*$H$10*POWER(1+Inflation,AB$11+1)</f>
        <v>-22919.455553147534</v>
      </c>
      <c r="AC696" s="550" cm="1">
        <f t="array" ref="AC696">-SUMPRODUCT('W2'!$M$12:$R$112*('W2'!$M$7:$R$7=$A696)*('W2'!$A$12:$A$112=$B696))*$H$10*POWER(1+Inflation,AC$11+1)</f>
        <v>-24065.428330804909</v>
      </c>
      <c r="AD696" s="550" cm="1">
        <f t="array" ref="AD696">-SUMPRODUCT('W2'!$M$12:$R$112*('W2'!$M$7:$R$7=$A696)*('W2'!$A$12:$A$112=$B696))*$H$10*POWER(1+Inflation,AD$11+1)</f>
        <v>-25268.699747345159</v>
      </c>
      <c r="AE696" s="550" cm="1">
        <f t="array" ref="AE696">-SUMPRODUCT('W2'!$M$12:$R$112*('W2'!$M$7:$R$7=$A696)*('W2'!$A$12:$A$112=$B696))*$H$10*POWER(1+Inflation,AE$11+1)</f>
        <v>-26532.134734712417</v>
      </c>
      <c r="AF696" s="550" cm="1">
        <f t="array" ref="AF696">-SUMPRODUCT('W2'!$M$12:$R$112*('W2'!$M$7:$R$7=$A696)*('W2'!$A$12:$A$112=$B696))*$H$10*POWER(1+Inflation,AF$11+1)</f>
        <v>-27858.741471448036</v>
      </c>
      <c r="AG696" s="550" cm="1">
        <f t="array" ref="AG696">-SUMPRODUCT('W2'!$M$12:$R$112*('W2'!$M$7:$R$7=$A696)*('W2'!$A$12:$A$112=$B696))*$H$10*POWER(1+Inflation,AG$11+1)</f>
        <v>-29251.678545020437</v>
      </c>
      <c r="AH696" s="550" cm="1">
        <f t="array" ref="AH696">-SUMPRODUCT('W2'!$M$12:$R$112*('W2'!$M$7:$R$7=$A696)*('W2'!$A$12:$A$112=$B696))*$H$10*POWER(1+Inflation,AH$11+1)</f>
        <v>-30714.262472271461</v>
      </c>
      <c r="AI696" s="550" cm="1">
        <f t="array" ref="AI696">-SUMPRODUCT('W2'!$M$12:$R$112*('W2'!$M$7:$R$7=$A696)*('W2'!$A$12:$A$112=$B696))*$H$10*POWER(1+Inflation,AI$11+1)</f>
        <v>-32249.975595885029</v>
      </c>
      <c r="AJ696" s="550" cm="1">
        <f t="array" ref="AJ696">-SUMPRODUCT('W2'!$M$12:$R$112*('W2'!$M$7:$R$7=$A696)*('W2'!$A$12:$A$112=$B696))*$H$10*POWER(1+Inflation,AJ$11+1)</f>
        <v>-33862.474375679289</v>
      </c>
    </row>
    <row r="697" spans="1:43" hidden="1" x14ac:dyDescent="0.25">
      <c r="A697" t="s">
        <v>697</v>
      </c>
      <c r="B697" t="s">
        <v>453</v>
      </c>
      <c r="H697" s="454" t="s">
        <v>433</v>
      </c>
      <c r="I697" s="497" t="str">
        <f t="shared" si="1046"/>
        <v>tr. VND</v>
      </c>
      <c r="K697" s="550"/>
      <c r="L697" s="550" cm="1">
        <f t="array" ref="L697">-SUMPRODUCT('W2'!$M$12:$R$112*('W2'!$M$7:$R$7=$A697)*('W2'!$A$12:$A$112=$B697))*$H$10*POWER(1+Inflation,L$11+1)</f>
        <v>-579.6</v>
      </c>
      <c r="M697" s="550" cm="1">
        <f t="array" ref="M697">-SUMPRODUCT('W2'!$M$12:$R$112*('W2'!$M$7:$R$7=$A697)*('W2'!$A$12:$A$112=$B697))*$H$10*POWER(1+Inflation,M$11+1)</f>
        <v>-579.6</v>
      </c>
      <c r="N697" s="550" cm="1">
        <f t="array" ref="N697">-SUMPRODUCT('W2'!$M$12:$R$112*('W2'!$M$7:$R$7=$A697)*('W2'!$A$12:$A$112=$B697))*$H$10*POWER(1+Inflation,N$11+1)</f>
        <v>-608.58000000000004</v>
      </c>
      <c r="O697" s="550" cm="1">
        <f t="array" ref="O697">-SUMPRODUCT('W2'!$M$12:$R$112*('W2'!$M$7:$R$7=$A697)*('W2'!$A$12:$A$112=$B697))*$H$10*POWER(1+Inflation,O$11+1)</f>
        <v>-639.00900000000001</v>
      </c>
      <c r="P697" s="550" cm="1">
        <f t="array" ref="P697">-SUMPRODUCT('W2'!$M$12:$R$112*('W2'!$M$7:$R$7=$A697)*('W2'!$A$12:$A$112=$B697))*$H$10*POWER(1+Inflation,P$11+1)</f>
        <v>-670.95945000000006</v>
      </c>
      <c r="Q697" s="550" cm="1">
        <f t="array" ref="Q697">-SUMPRODUCT('W2'!$M$12:$R$112*('W2'!$M$7:$R$7=$A697)*('W2'!$A$12:$A$112=$B697))*$H$10*POWER(1+Inflation,Q$11+1)</f>
        <v>-704.50742250000008</v>
      </c>
      <c r="R697" s="550" cm="1">
        <f t="array" ref="R697">-SUMPRODUCT('W2'!$M$12:$R$112*('W2'!$M$7:$R$7=$A697)*('W2'!$A$12:$A$112=$B697))*$H$10*POWER(1+Inflation,R$11+1)</f>
        <v>-739.73279362500011</v>
      </c>
      <c r="S697" s="550" cm="1">
        <f t="array" ref="S697">-SUMPRODUCT('W2'!$M$12:$R$112*('W2'!$M$7:$R$7=$A697)*('W2'!$A$12:$A$112=$B697))*$H$10*POWER(1+Inflation,S$11+1)</f>
        <v>-776.71943330625004</v>
      </c>
      <c r="T697" s="550" cm="1">
        <f t="array" ref="T697">-SUMPRODUCT('W2'!$M$12:$R$112*('W2'!$M$7:$R$7=$A697)*('W2'!$A$12:$A$112=$B697))*$H$10*POWER(1+Inflation,T$11+1)</f>
        <v>-815.55540497156267</v>
      </c>
      <c r="U697" s="550" cm="1">
        <f t="array" ref="U697">-SUMPRODUCT('W2'!$M$12:$R$112*('W2'!$M$7:$R$7=$A697)*('W2'!$A$12:$A$112=$B697))*$H$10*POWER(1+Inflation,U$11+1)</f>
        <v>-856.33317522014067</v>
      </c>
      <c r="V697" s="550" cm="1">
        <f t="array" ref="V697">-SUMPRODUCT('W2'!$M$12:$R$112*('W2'!$M$7:$R$7=$A697)*('W2'!$A$12:$A$112=$B697))*$H$10*POWER(1+Inflation,V$11+1)</f>
        <v>-899.14983398114782</v>
      </c>
      <c r="W697" s="550" cm="1">
        <f t="array" ref="W697">-SUMPRODUCT('W2'!$M$12:$R$112*('W2'!$M$7:$R$7=$A697)*('W2'!$A$12:$A$112=$B697))*$H$10*POWER(1+Inflation,W$11+1)</f>
        <v>-944.10732568020512</v>
      </c>
      <c r="X697" s="550" cm="1">
        <f t="array" ref="X697">-SUMPRODUCT('W2'!$M$12:$R$112*('W2'!$M$7:$R$7=$A697)*('W2'!$A$12:$A$112=$B697))*$H$10*POWER(1+Inflation,X$11+1)</f>
        <v>-991.31269196421545</v>
      </c>
      <c r="Y697" s="550" cm="1">
        <f t="array" ref="Y697">-SUMPRODUCT('W2'!$M$12:$R$112*('W2'!$M$7:$R$7=$A697)*('W2'!$A$12:$A$112=$B697))*$H$10*POWER(1+Inflation,Y$11+1)</f>
        <v>-1040.8783265624261</v>
      </c>
      <c r="Z697" s="550" cm="1">
        <f t="array" ref="Z697">-SUMPRODUCT('W2'!$M$12:$R$112*('W2'!$M$7:$R$7=$A697)*('W2'!$A$12:$A$112=$B697))*$H$10*POWER(1+Inflation,Z$11+1)</f>
        <v>-1092.9222428905475</v>
      </c>
      <c r="AA697" s="550" cm="1">
        <f t="array" ref="AA697">-SUMPRODUCT('W2'!$M$12:$R$112*('W2'!$M$7:$R$7=$A697)*('W2'!$A$12:$A$112=$B697))*$H$10*POWER(1+Inflation,AA$11+1)</f>
        <v>-1147.5683550350748</v>
      </c>
      <c r="AB697" s="550" cm="1">
        <f t="array" ref="AB697">-SUMPRODUCT('W2'!$M$12:$R$112*('W2'!$M$7:$R$7=$A697)*('W2'!$A$12:$A$112=$B697))*$H$10*POWER(1+Inflation,AB$11+1)</f>
        <v>-1204.9467727868289</v>
      </c>
      <c r="AC697" s="550" cm="1">
        <f t="array" ref="AC697">-SUMPRODUCT('W2'!$M$12:$R$112*('W2'!$M$7:$R$7=$A697)*('W2'!$A$12:$A$112=$B697))*$H$10*POWER(1+Inflation,AC$11+1)</f>
        <v>-1265.1941114261701</v>
      </c>
      <c r="AD697" s="550" cm="1">
        <f t="array" ref="AD697">-SUMPRODUCT('W2'!$M$12:$R$112*('W2'!$M$7:$R$7=$A697)*('W2'!$A$12:$A$112=$B697))*$H$10*POWER(1+Inflation,AD$11+1)</f>
        <v>-1328.453816997479</v>
      </c>
      <c r="AE697" s="550" cm="1">
        <f t="array" ref="AE697">-SUMPRODUCT('W2'!$M$12:$R$112*('W2'!$M$7:$R$7=$A697)*('W2'!$A$12:$A$112=$B697))*$H$10*POWER(1+Inflation,AE$11+1)</f>
        <v>-1394.8765078473527</v>
      </c>
      <c r="AF697" s="550" cm="1">
        <f t="array" ref="AF697">-SUMPRODUCT('W2'!$M$12:$R$112*('W2'!$M$7:$R$7=$A697)*('W2'!$A$12:$A$112=$B697))*$H$10*POWER(1+Inflation,AF$11+1)</f>
        <v>-1464.6203332397204</v>
      </c>
      <c r="AG697" s="550" cm="1">
        <f t="array" ref="AG697">-SUMPRODUCT('W2'!$M$12:$R$112*('W2'!$M$7:$R$7=$A697)*('W2'!$A$12:$A$112=$B697))*$H$10*POWER(1+Inflation,AG$11+1)</f>
        <v>-1537.8513499017065</v>
      </c>
      <c r="AH697" s="550" cm="1">
        <f t="array" ref="AH697">-SUMPRODUCT('W2'!$M$12:$R$112*('W2'!$M$7:$R$7=$A697)*('W2'!$A$12:$A$112=$B697))*$H$10*POWER(1+Inflation,AH$11+1)</f>
        <v>-1614.7439173967916</v>
      </c>
      <c r="AI697" s="550" cm="1">
        <f t="array" ref="AI697">-SUMPRODUCT('W2'!$M$12:$R$112*('W2'!$M$7:$R$7=$A697)*('W2'!$A$12:$A$112=$B697))*$H$10*POWER(1+Inflation,AI$11+1)</f>
        <v>-1695.4811132666312</v>
      </c>
      <c r="AJ697" s="550" cm="1">
        <f t="array" ref="AJ697">-SUMPRODUCT('W2'!$M$12:$R$112*('W2'!$M$7:$R$7=$A697)*('W2'!$A$12:$A$112=$B697))*$H$10*POWER(1+Inflation,AJ$11+1)</f>
        <v>-1780.255168929963</v>
      </c>
    </row>
    <row r="698" spans="1:43" hidden="1" x14ac:dyDescent="0.25">
      <c r="A698" t="s">
        <v>697</v>
      </c>
      <c r="B698" t="s">
        <v>521</v>
      </c>
      <c r="H698" s="454" t="s">
        <v>520</v>
      </c>
      <c r="I698" s="497" t="str">
        <f t="shared" si="1046"/>
        <v>tr. VND</v>
      </c>
      <c r="K698" s="550"/>
      <c r="L698" s="550" cm="1">
        <f t="array" ref="L698">-SUMPRODUCT('W2'!$M$12:$R$112*('W2'!$M$7:$R$7=$A698)*('W2'!$A$12:$A$112=$B698))*$H$10</f>
        <v>-929.9799999999999</v>
      </c>
      <c r="M698" s="550" cm="1">
        <f t="array" ref="M698">-SUMPRODUCT('W2'!$M$12:$R$112*('W2'!$M$7:$R$7=$A698)*('W2'!$A$12:$A$112=$B698))*$H$10</f>
        <v>-929.9799999999999</v>
      </c>
      <c r="N698" s="550" cm="1">
        <f t="array" ref="N698">-SUMPRODUCT('W2'!$M$12:$R$112*('W2'!$M$7:$R$7=$A698)*('W2'!$A$12:$A$112=$B698))*$H$10</f>
        <v>-929.9799999999999</v>
      </c>
      <c r="O698" s="550" cm="1">
        <f t="array" ref="O698">-SUMPRODUCT('W2'!$M$12:$R$112*('W2'!$M$7:$R$7=$A698)*('W2'!$A$12:$A$112=$B698))*$H$10</f>
        <v>-929.9799999999999</v>
      </c>
      <c r="P698" s="550" cm="1">
        <f t="array" ref="P698">-SUMPRODUCT('W2'!$M$12:$R$112*('W2'!$M$7:$R$7=$A698)*('W2'!$A$12:$A$112=$B698))*$H$10</f>
        <v>-929.9799999999999</v>
      </c>
      <c r="Q698" s="550" cm="1">
        <f t="array" ref="Q698">-SUMPRODUCT('W2'!$M$12:$R$112*('W2'!$M$7:$R$7=$A698)*('W2'!$A$12:$A$112=$B698))*$H$10</f>
        <v>-929.9799999999999</v>
      </c>
      <c r="R698" s="550" cm="1">
        <f t="array" ref="R698">-SUMPRODUCT('W2'!$M$12:$R$112*('W2'!$M$7:$R$7=$A698)*('W2'!$A$12:$A$112=$B698))*$H$10</f>
        <v>-929.9799999999999</v>
      </c>
      <c r="S698" s="550" cm="1">
        <f t="array" ref="S698">-SUMPRODUCT('W2'!$M$12:$R$112*('W2'!$M$7:$R$7=$A698)*('W2'!$A$12:$A$112=$B698))*$H$10</f>
        <v>-929.9799999999999</v>
      </c>
      <c r="T698" s="550" cm="1">
        <f t="array" ref="T698">-SUMPRODUCT('W2'!$M$12:$R$112*('W2'!$M$7:$R$7=$A698)*('W2'!$A$12:$A$112=$B698))*$H$10</f>
        <v>-929.9799999999999</v>
      </c>
      <c r="U698" s="550" cm="1">
        <f t="array" ref="U698">-SUMPRODUCT('W2'!$M$12:$R$112*('W2'!$M$7:$R$7=$A698)*('W2'!$A$12:$A$112=$B698))*$H$10</f>
        <v>-929.9799999999999</v>
      </c>
      <c r="V698" s="550" cm="1">
        <f t="array" ref="V698">-SUMPRODUCT('W2'!$M$12:$R$112*('W2'!$M$7:$R$7=$A698)*('W2'!$A$12:$A$112=$B698))*$H$10</f>
        <v>-929.9799999999999</v>
      </c>
      <c r="W698" s="550" cm="1">
        <f t="array" ref="W698">-SUMPRODUCT('W2'!$M$12:$R$112*('W2'!$M$7:$R$7=$A698)*('W2'!$A$12:$A$112=$B698))*$H$10</f>
        <v>-929.9799999999999</v>
      </c>
      <c r="X698" s="550" cm="1">
        <f t="array" ref="X698">-SUMPRODUCT('W2'!$M$12:$R$112*('W2'!$M$7:$R$7=$A698)*('W2'!$A$12:$A$112=$B698))*$H$10</f>
        <v>-929.9799999999999</v>
      </c>
      <c r="Y698" s="550" cm="1">
        <f t="array" ref="Y698">-SUMPRODUCT('W2'!$M$12:$R$112*('W2'!$M$7:$R$7=$A698)*('W2'!$A$12:$A$112=$B698))*$H$10</f>
        <v>-929.9799999999999</v>
      </c>
      <c r="Z698" s="550" cm="1">
        <f t="array" ref="Z698">-SUMPRODUCT('W2'!$M$12:$R$112*('W2'!$M$7:$R$7=$A698)*('W2'!$A$12:$A$112=$B698))*$H$10</f>
        <v>-929.9799999999999</v>
      </c>
      <c r="AA698" s="550" cm="1">
        <f t="array" ref="AA698">-SUMPRODUCT('W2'!$M$12:$R$112*('W2'!$M$7:$R$7=$A698)*('W2'!$A$12:$A$112=$B698))*$H$10</f>
        <v>-929.9799999999999</v>
      </c>
      <c r="AB698" s="550" cm="1">
        <f t="array" ref="AB698">-SUMPRODUCT('W2'!$M$12:$R$112*('W2'!$M$7:$R$7=$A698)*('W2'!$A$12:$A$112=$B698))*$H$10</f>
        <v>-929.9799999999999</v>
      </c>
      <c r="AC698" s="550" cm="1">
        <f t="array" ref="AC698">-SUMPRODUCT('W2'!$M$12:$R$112*('W2'!$M$7:$R$7=$A698)*('W2'!$A$12:$A$112=$B698))*$H$10</f>
        <v>-929.9799999999999</v>
      </c>
      <c r="AD698" s="550" cm="1">
        <f t="array" ref="AD698">-SUMPRODUCT('W2'!$M$12:$R$112*('W2'!$M$7:$R$7=$A698)*('W2'!$A$12:$A$112=$B698))*$H$10</f>
        <v>-929.9799999999999</v>
      </c>
      <c r="AE698" s="550" cm="1">
        <f t="array" ref="AE698">-SUMPRODUCT('W2'!$M$12:$R$112*('W2'!$M$7:$R$7=$A698)*('W2'!$A$12:$A$112=$B698))*$H$10</f>
        <v>-929.9799999999999</v>
      </c>
      <c r="AF698" s="550" cm="1">
        <f t="array" ref="AF698">-SUMPRODUCT('W2'!$M$12:$R$112*('W2'!$M$7:$R$7=$A698)*('W2'!$A$12:$A$112=$B698))*$H$10</f>
        <v>-929.9799999999999</v>
      </c>
      <c r="AG698" s="550" cm="1">
        <f t="array" ref="AG698">-SUMPRODUCT('W2'!$M$12:$R$112*('W2'!$M$7:$R$7=$A698)*('W2'!$A$12:$A$112=$B698))*$H$10</f>
        <v>-929.9799999999999</v>
      </c>
      <c r="AH698" s="550" cm="1">
        <f t="array" ref="AH698">-SUMPRODUCT('W2'!$M$12:$R$112*('W2'!$M$7:$R$7=$A698)*('W2'!$A$12:$A$112=$B698))*$H$10</f>
        <v>-929.9799999999999</v>
      </c>
      <c r="AI698" s="550" cm="1">
        <f t="array" ref="AI698">-SUMPRODUCT('W2'!$M$12:$R$112*('W2'!$M$7:$R$7=$A698)*('W2'!$A$12:$A$112=$B698))*$H$10</f>
        <v>-929.9799999999999</v>
      </c>
      <c r="AJ698" s="550" cm="1">
        <f t="array" ref="AJ698">-SUMPRODUCT('W2'!$M$12:$R$112*('W2'!$M$7:$R$7=$A698)*('W2'!$A$12:$A$112=$B698))*$H$10</f>
        <v>-929.9799999999999</v>
      </c>
    </row>
    <row r="699" spans="1:43" hidden="1" x14ac:dyDescent="0.25">
      <c r="A699" t="s">
        <v>697</v>
      </c>
      <c r="K699" s="243"/>
      <c r="L699" s="243"/>
      <c r="M699" s="243"/>
      <c r="N699" s="243"/>
      <c r="O699" s="243"/>
      <c r="P699" s="243"/>
      <c r="Q699" s="243"/>
      <c r="R699" s="243"/>
      <c r="S699" s="243"/>
      <c r="T699" s="243"/>
      <c r="U699" s="243"/>
      <c r="V699" s="243"/>
      <c r="W699" s="243"/>
      <c r="X699" s="243"/>
      <c r="Y699" s="243"/>
      <c r="Z699" s="243"/>
      <c r="AA699" s="243"/>
      <c r="AB699" s="243"/>
      <c r="AC699" s="243"/>
      <c r="AD699" s="243"/>
      <c r="AE699" s="243"/>
      <c r="AF699" s="243"/>
      <c r="AG699" s="243"/>
      <c r="AH699" s="243"/>
      <c r="AI699" s="243"/>
      <c r="AJ699" s="243"/>
    </row>
    <row r="700" spans="1:43" s="1" customFormat="1" hidden="1" x14ac:dyDescent="0.25">
      <c r="A700" s="1" t="s">
        <v>697</v>
      </c>
      <c r="H700" s="266" t="s">
        <v>435</v>
      </c>
      <c r="I700" s="267" t="str">
        <f t="shared" ref="I700:I703" si="1050">IF($H$9="USD","USD","tr. VND")</f>
        <v>tr. VND</v>
      </c>
      <c r="K700" s="269">
        <f>K701+K704+K707</f>
        <v>0</v>
      </c>
      <c r="L700" s="269">
        <f t="shared" ref="L700:AJ700" si="1051">L701+L704+L707</f>
        <v>-92949.518603688106</v>
      </c>
      <c r="M700" s="269">
        <f t="shared" si="1051"/>
        <v>-129271.47917049669</v>
      </c>
      <c r="N700" s="269">
        <f t="shared" si="1051"/>
        <v>-187888.47281225171</v>
      </c>
      <c r="O700" s="269">
        <f t="shared" si="1051"/>
        <v>-192129.48204504777</v>
      </c>
      <c r="P700" s="269">
        <f t="shared" si="1051"/>
        <v>-196480.80061719395</v>
      </c>
      <c r="Q700" s="269">
        <f t="shared" si="1051"/>
        <v>-200945.90917321196</v>
      </c>
      <c r="R700" s="269">
        <f t="shared" si="1051"/>
        <v>-205528.42169340077</v>
      </c>
      <c r="S700" s="269">
        <f t="shared" si="1051"/>
        <v>-210232.09134669622</v>
      </c>
      <c r="T700" s="269">
        <f t="shared" si="1051"/>
        <v>-215060.81661989557</v>
      </c>
      <c r="U700" s="269">
        <f t="shared" si="1051"/>
        <v>-220018.6477367389</v>
      </c>
      <c r="V700" s="269">
        <f t="shared" si="1051"/>
        <v>-225109.79338100806</v>
      </c>
      <c r="W700" s="269">
        <f t="shared" si="1051"/>
        <v>-230338.62773850595</v>
      </c>
      <c r="X700" s="269">
        <f t="shared" si="1051"/>
        <v>-234659.73120684765</v>
      </c>
      <c r="Y700" s="269">
        <f t="shared" si="1051"/>
        <v>-240177.76478943482</v>
      </c>
      <c r="Z700" s="269">
        <f t="shared" si="1051"/>
        <v>-245847.67819079623</v>
      </c>
      <c r="AA700" s="269">
        <f t="shared" si="1051"/>
        <v>-251674.58496466352</v>
      </c>
      <c r="AB700" s="269">
        <f t="shared" si="1051"/>
        <v>-257663.80473371065</v>
      </c>
      <c r="AC700" s="269">
        <f t="shared" si="1051"/>
        <v>-263820.87250082649</v>
      </c>
      <c r="AD700" s="269">
        <f t="shared" si="1051"/>
        <v>-270151.54840610671</v>
      </c>
      <c r="AE700" s="269">
        <f t="shared" si="1051"/>
        <v>-276661.82795145572</v>
      </c>
      <c r="AF700" s="269">
        <f t="shared" si="1051"/>
        <v>-283357.95271577308</v>
      </c>
      <c r="AG700" s="269">
        <f t="shared" si="1051"/>
        <v>-290246.4215848411</v>
      </c>
      <c r="AH700" s="269">
        <f t="shared" si="1051"/>
        <v>-297334.00252122822</v>
      </c>
      <c r="AI700" s="269">
        <f t="shared" si="1051"/>
        <v>-304627.74490077759</v>
      </c>
      <c r="AJ700" s="269">
        <f t="shared" si="1051"/>
        <v>-312134.99244357407</v>
      </c>
    </row>
    <row r="701" spans="1:43" hidden="1" x14ac:dyDescent="0.25">
      <c r="A701" t="s">
        <v>697</v>
      </c>
      <c r="H701" s="637" t="s">
        <v>454</v>
      </c>
      <c r="I701" s="638" t="str">
        <f t="shared" si="1050"/>
        <v>tr. VND</v>
      </c>
      <c r="K701" s="639">
        <f>SUM(K702:K703)</f>
        <v>0</v>
      </c>
      <c r="L701" s="639">
        <f t="shared" ref="L701:AJ701" si="1052">SUM(L702:L703)</f>
        <v>-83121.831936000002</v>
      </c>
      <c r="M701" s="639">
        <f t="shared" si="1052"/>
        <v>-116370.56471040001</v>
      </c>
      <c r="N701" s="639">
        <f t="shared" si="1052"/>
        <v>-169568.53714944003</v>
      </c>
      <c r="O701" s="639">
        <f t="shared" si="1052"/>
        <v>-172959.90789242883</v>
      </c>
      <c r="P701" s="639">
        <f t="shared" si="1052"/>
        <v>-176419.10605027739</v>
      </c>
      <c r="Q701" s="639">
        <f t="shared" si="1052"/>
        <v>-179947.48817128292</v>
      </c>
      <c r="R701" s="639">
        <f t="shared" si="1052"/>
        <v>-183546.43793470861</v>
      </c>
      <c r="S701" s="639">
        <f t="shared" si="1052"/>
        <v>-187217.36669340279</v>
      </c>
      <c r="T701" s="639">
        <f t="shared" si="1052"/>
        <v>-190961.71402727079</v>
      </c>
      <c r="U701" s="639">
        <f t="shared" si="1052"/>
        <v>-194780.9483078162</v>
      </c>
      <c r="V701" s="639">
        <f t="shared" si="1052"/>
        <v>-198676.56727397256</v>
      </c>
      <c r="W701" s="639">
        <f t="shared" si="1052"/>
        <v>-202650.09861945201</v>
      </c>
      <c r="X701" s="639">
        <f t="shared" si="1052"/>
        <v>-206703.10059184101</v>
      </c>
      <c r="Y701" s="639">
        <f t="shared" si="1052"/>
        <v>-210837.16260367786</v>
      </c>
      <c r="Z701" s="639">
        <f t="shared" si="1052"/>
        <v>-215053.90585575142</v>
      </c>
      <c r="AA701" s="639">
        <f t="shared" si="1052"/>
        <v>-219354.98397286647</v>
      </c>
      <c r="AB701" s="639">
        <f t="shared" si="1052"/>
        <v>-223742.08365232372</v>
      </c>
      <c r="AC701" s="639">
        <f t="shared" si="1052"/>
        <v>-228216.92532537025</v>
      </c>
      <c r="AD701" s="639">
        <f t="shared" si="1052"/>
        <v>-232781.26383187764</v>
      </c>
      <c r="AE701" s="639">
        <f t="shared" si="1052"/>
        <v>-237436.88910851517</v>
      </c>
      <c r="AF701" s="639">
        <f t="shared" si="1052"/>
        <v>-242185.6268906855</v>
      </c>
      <c r="AG701" s="639">
        <f t="shared" si="1052"/>
        <v>-247029.3394284992</v>
      </c>
      <c r="AH701" s="639">
        <f t="shared" si="1052"/>
        <v>-251969.92621706918</v>
      </c>
      <c r="AI701" s="639">
        <f t="shared" si="1052"/>
        <v>-257009.32474141059</v>
      </c>
      <c r="AJ701" s="639">
        <f t="shared" si="1052"/>
        <v>-262149.51123623876</v>
      </c>
    </row>
    <row r="702" spans="1:43" s="299" customFormat="1" hidden="1" x14ac:dyDescent="0.25">
      <c r="A702" s="299" t="s">
        <v>697</v>
      </c>
      <c r="B702" s="299" t="s">
        <v>459</v>
      </c>
      <c r="H702" s="554" t="s">
        <v>167</v>
      </c>
      <c r="I702" s="555" t="str">
        <f t="shared" si="1050"/>
        <v>tr. VND</v>
      </c>
      <c r="K702" s="556"/>
      <c r="L702" s="556" cm="1">
        <f t="array" ref="L702">-SUMPRODUCT('W2'!$M$12:$R$112*('W2'!$M$7:$R$7=$A702)*('W2'!$A$12:$A$112=$B702))*L679*$H$10*POWER(1+INDEX('Cover Page'!$H$8:$W$8,MATCH($A702,'Cover Page'!$H$5:$W$5,0)),1+L$13)</f>
        <v>-77303.303700479999</v>
      </c>
      <c r="M702" s="556" cm="1">
        <f t="array" ref="M702">-SUMPRODUCT('W2'!$M$12:$R$112*('W2'!$M$7:$R$7=$A702)*('W2'!$A$12:$A$112=$B702))*M679*$H$10*POWER(1+INDEX('Cover Page'!$H$8:$W$8,MATCH($A679,'Cover Page'!$H$5:$W$5,0)),1+M$13)</f>
        <v>-108224.625180672</v>
      </c>
      <c r="N702" s="556" cm="1">
        <f t="array" ref="N702">-SUMPRODUCT('W2'!$M$12:$R$112*('W2'!$M$7:$R$7=$A702)*('W2'!$A$12:$A$112=$B702))*N679*$H$10*POWER(1+INDEX('Cover Page'!$H$8:$W$8,MATCH($A679,'Cover Page'!$H$5:$W$5,0)),1+N$13)</f>
        <v>-157698.73954897921</v>
      </c>
      <c r="O702" s="556" cm="1">
        <f t="array" ref="O702">-SUMPRODUCT('W2'!$M$12:$R$112*('W2'!$M$7:$R$7=$A702)*('W2'!$A$12:$A$112=$B702))*O679*$H$10*POWER(1+INDEX('Cover Page'!$H$8:$W$8,MATCH($A679,'Cover Page'!$H$5:$W$5,0)),1+O$13)</f>
        <v>-160852.71433995879</v>
      </c>
      <c r="P702" s="556" cm="1">
        <f t="array" ref="P702">-SUMPRODUCT('W2'!$M$12:$R$112*('W2'!$M$7:$R$7=$A702)*('W2'!$A$12:$A$112=$B702))*P679*$H$10*POWER(1+INDEX('Cover Page'!$H$8:$W$8,MATCH($A679,'Cover Page'!$H$5:$W$5,0)),1+P$13)</f>
        <v>-164069.76862675796</v>
      </c>
      <c r="Q702" s="556" cm="1">
        <f t="array" ref="Q702">-SUMPRODUCT('W2'!$M$12:$R$112*('W2'!$M$7:$R$7=$A702)*('W2'!$A$12:$A$112=$B702))*Q679*$H$10*POWER(1+INDEX('Cover Page'!$H$8:$W$8,MATCH($A679,'Cover Page'!$H$5:$W$5,0)),1+Q$13)</f>
        <v>-167351.16399929312</v>
      </c>
      <c r="R702" s="556" cm="1">
        <f t="array" ref="R702">-SUMPRODUCT('W2'!$M$12:$R$112*('W2'!$M$7:$R$7=$A702)*('W2'!$A$12:$A$112=$B702))*R679*$H$10*POWER(1+INDEX('Cover Page'!$H$8:$W$8,MATCH($A679,'Cover Page'!$H$5:$W$5,0)),1+R$13)</f>
        <v>-170698.18727927899</v>
      </c>
      <c r="S702" s="556" cm="1">
        <f t="array" ref="S702">-SUMPRODUCT('W2'!$M$12:$R$112*('W2'!$M$7:$R$7=$A702)*('W2'!$A$12:$A$112=$B702))*S679*$H$10*POWER(1+INDEX('Cover Page'!$H$8:$W$8,MATCH($A679,'Cover Page'!$H$5:$W$5,0)),1+S$13)</f>
        <v>-174112.15102486458</v>
      </c>
      <c r="T702" s="556" cm="1">
        <f t="array" ref="T702">-SUMPRODUCT('W2'!$M$12:$R$112*('W2'!$M$7:$R$7=$A702)*('W2'!$A$12:$A$112=$B702))*T679*$H$10*POWER(1+INDEX('Cover Page'!$H$8:$W$8,MATCH($A679,'Cover Page'!$H$5:$W$5,0)),1+T$13)</f>
        <v>-177594.39404536181</v>
      </c>
      <c r="U702" s="556" cm="1">
        <f t="array" ref="U702">-SUMPRODUCT('W2'!$M$12:$R$112*('W2'!$M$7:$R$7=$A702)*('W2'!$A$12:$A$112=$B702))*U679*$H$10*POWER(1+INDEX('Cover Page'!$H$8:$W$8,MATCH($A679,'Cover Page'!$H$5:$W$5,0)),1+U$13)</f>
        <v>-181146.28192626906</v>
      </c>
      <c r="V702" s="556" cm="1">
        <f t="array" ref="V702">-SUMPRODUCT('W2'!$M$12:$R$112*('W2'!$M$7:$R$7=$A702)*('W2'!$A$12:$A$112=$B702))*V679*$H$10*POWER(1+INDEX('Cover Page'!$H$8:$W$8,MATCH($A679,'Cover Page'!$H$5:$W$5,0)),1+V$13)</f>
        <v>-184769.20756479446</v>
      </c>
      <c r="W702" s="556" cm="1">
        <f t="array" ref="W702">-SUMPRODUCT('W2'!$M$12:$R$112*('W2'!$M$7:$R$7=$A702)*('W2'!$A$12:$A$112=$B702))*W679*$H$10*POWER(1+INDEX('Cover Page'!$H$8:$W$8,MATCH($A679,'Cover Page'!$H$5:$W$5,0)),1+W$13)</f>
        <v>-188464.59171609036</v>
      </c>
      <c r="X702" s="556" cm="1">
        <f t="array" ref="X702">-SUMPRODUCT('W2'!$M$12:$R$112*('W2'!$M$7:$R$7=$A702)*('W2'!$A$12:$A$112=$B702))*X679*$H$10*POWER(1+INDEX('Cover Page'!$H$8:$W$8,MATCH($A679,'Cover Page'!$H$5:$W$5,0)),1+X$13)</f>
        <v>-192233.88355041214</v>
      </c>
      <c r="Y702" s="556" cm="1">
        <f t="array" ref="Y702">-SUMPRODUCT('W2'!$M$12:$R$112*('W2'!$M$7:$R$7=$A702)*('W2'!$A$12:$A$112=$B702))*Y679*$H$10*POWER(1+INDEX('Cover Page'!$H$8:$W$8,MATCH($A679,'Cover Page'!$H$5:$W$5,0)),1+Y$13)</f>
        <v>-196078.56122142039</v>
      </c>
      <c r="Z702" s="556" cm="1">
        <f t="array" ref="Z702">-SUMPRODUCT('W2'!$M$12:$R$112*('W2'!$M$7:$R$7=$A702)*('W2'!$A$12:$A$112=$B702))*Z679*$H$10*POWER(1+INDEX('Cover Page'!$H$8:$W$8,MATCH($A679,'Cover Page'!$H$5:$W$5,0)),1+Z$13)</f>
        <v>-200000.13244584881</v>
      </c>
      <c r="AA702" s="556" cm="1">
        <f t="array" ref="AA702">-SUMPRODUCT('W2'!$M$12:$R$112*('W2'!$M$7:$R$7=$A702)*('W2'!$A$12:$A$112=$B702))*AA679*$H$10*POWER(1+INDEX('Cover Page'!$H$8:$W$8,MATCH($A679,'Cover Page'!$H$5:$W$5,0)),1+AA$13)</f>
        <v>-204000.13509476581</v>
      </c>
      <c r="AB702" s="556" cm="1">
        <f t="array" ref="AB702">-SUMPRODUCT('W2'!$M$12:$R$112*('W2'!$M$7:$R$7=$A702)*('W2'!$A$12:$A$112=$B702))*AB679*$H$10*POWER(1+INDEX('Cover Page'!$H$8:$W$8,MATCH($A679,'Cover Page'!$H$5:$W$5,0)),1+AB$13)</f>
        <v>-208080.13779666106</v>
      </c>
      <c r="AC702" s="556" cm="1">
        <f t="array" ref="AC702">-SUMPRODUCT('W2'!$M$12:$R$112*('W2'!$M$7:$R$7=$A702)*('W2'!$A$12:$A$112=$B702))*AC679*$H$10*POWER(1+INDEX('Cover Page'!$H$8:$W$8,MATCH($A679,'Cover Page'!$H$5:$W$5,0)),1+AC$13)</f>
        <v>-212241.7405525943</v>
      </c>
      <c r="AD702" s="556" cm="1">
        <f t="array" ref="AD702">-SUMPRODUCT('W2'!$M$12:$R$112*('W2'!$M$7:$R$7=$A702)*('W2'!$A$12:$A$112=$B702))*AD679*$H$10*POWER(1+INDEX('Cover Page'!$H$8:$W$8,MATCH($A679,'Cover Page'!$H$5:$W$5,0)),1+AD$13)</f>
        <v>-216486.5753636462</v>
      </c>
      <c r="AE702" s="556" cm="1">
        <f t="array" ref="AE702">-SUMPRODUCT('W2'!$M$12:$R$112*('W2'!$M$7:$R$7=$A702)*('W2'!$A$12:$A$112=$B702))*AE679*$H$10*POWER(1+INDEX('Cover Page'!$H$8:$W$8,MATCH($A679,'Cover Page'!$H$5:$W$5,0)),1+AE$13)</f>
        <v>-220816.3068709191</v>
      </c>
      <c r="AF702" s="556" cm="1">
        <f t="array" ref="AF702">-SUMPRODUCT('W2'!$M$12:$R$112*('W2'!$M$7:$R$7=$A702)*('W2'!$A$12:$A$112=$B702))*AF679*$H$10*POWER(1+INDEX('Cover Page'!$H$8:$W$8,MATCH($A679,'Cover Page'!$H$5:$W$5,0)),1+AF$13)</f>
        <v>-225232.63300833749</v>
      </c>
      <c r="AG702" s="556" cm="1">
        <f t="array" ref="AG702">-SUMPRODUCT('W2'!$M$12:$R$112*('W2'!$M$7:$R$7=$A702)*('W2'!$A$12:$A$112=$B702))*AG679*$H$10*POWER(1+INDEX('Cover Page'!$H$8:$W$8,MATCH($A679,'Cover Page'!$H$5:$W$5,0)),1+AG$13)</f>
        <v>-229737.28566850425</v>
      </c>
      <c r="AH702" s="556" cm="1">
        <f t="array" ref="AH702">-SUMPRODUCT('W2'!$M$12:$R$112*('W2'!$M$7:$R$7=$A702)*('W2'!$A$12:$A$112=$B702))*AH679*$H$10*POWER(1+INDEX('Cover Page'!$H$8:$W$8,MATCH($A679,'Cover Page'!$H$5:$W$5,0)),1+AH$13)</f>
        <v>-234332.03138187432</v>
      </c>
      <c r="AI702" s="556" cm="1">
        <f t="array" ref="AI702">-SUMPRODUCT('W2'!$M$12:$R$112*('W2'!$M$7:$R$7=$A702)*('W2'!$A$12:$A$112=$B702))*AI679*$H$10*POWER(1+INDEX('Cover Page'!$H$8:$W$8,MATCH($A679,'Cover Page'!$H$5:$W$5,0)),1+AI$13)</f>
        <v>-239018.67200951182</v>
      </c>
      <c r="AJ702" s="556" cm="1">
        <f t="array" ref="AJ702">-SUMPRODUCT('W2'!$M$12:$R$112*('W2'!$M$7:$R$7=$A702)*('W2'!$A$12:$A$112=$B702))*AJ679*$H$10*POWER(1+INDEX('Cover Page'!$H$8:$W$8,MATCH($A679,'Cover Page'!$H$5:$W$5,0)),1+AJ$13)</f>
        <v>-243799.04544970201</v>
      </c>
    </row>
    <row r="703" spans="1:43" s="299" customFormat="1" hidden="1" x14ac:dyDescent="0.25">
      <c r="A703" s="299" t="s">
        <v>697</v>
      </c>
      <c r="H703" s="554" t="s">
        <v>203</v>
      </c>
      <c r="I703" s="555" t="str">
        <f t="shared" si="1050"/>
        <v>tr. VND</v>
      </c>
      <c r="K703" s="640"/>
      <c r="L703" s="640">
        <f>L702/(1-L677)-L702</f>
        <v>-5818.5282355200034</v>
      </c>
      <c r="M703" s="640">
        <f t="shared" ref="M703:AJ703" si="1053">M702/(1-M677)-M702</f>
        <v>-8145.9395297280134</v>
      </c>
      <c r="N703" s="640">
        <f t="shared" si="1053"/>
        <v>-11869.797600460821</v>
      </c>
      <c r="O703" s="640">
        <f t="shared" si="1053"/>
        <v>-12107.193552470038</v>
      </c>
      <c r="P703" s="640">
        <f t="shared" si="1053"/>
        <v>-12349.337423519435</v>
      </c>
      <c r="Q703" s="640">
        <f t="shared" si="1053"/>
        <v>-12596.324171989807</v>
      </c>
      <c r="R703" s="640">
        <f t="shared" si="1053"/>
        <v>-12848.250655429612</v>
      </c>
      <c r="S703" s="640">
        <f t="shared" si="1053"/>
        <v>-13105.215668538207</v>
      </c>
      <c r="T703" s="640">
        <f t="shared" si="1053"/>
        <v>-13367.319981908979</v>
      </c>
      <c r="U703" s="640">
        <f t="shared" si="1053"/>
        <v>-13634.66638154714</v>
      </c>
      <c r="V703" s="640">
        <f t="shared" si="1053"/>
        <v>-13907.359709178098</v>
      </c>
      <c r="W703" s="640">
        <f t="shared" si="1053"/>
        <v>-14185.506903361646</v>
      </c>
      <c r="X703" s="640">
        <f t="shared" si="1053"/>
        <v>-14469.21704142887</v>
      </c>
      <c r="Y703" s="640">
        <f t="shared" si="1053"/>
        <v>-14758.601382257475</v>
      </c>
      <c r="Z703" s="640">
        <f t="shared" si="1053"/>
        <v>-15053.773409902613</v>
      </c>
      <c r="AA703" s="640">
        <f t="shared" si="1053"/>
        <v>-15354.84887810066</v>
      </c>
      <c r="AB703" s="640">
        <f t="shared" si="1053"/>
        <v>-15661.945855662663</v>
      </c>
      <c r="AC703" s="640">
        <f t="shared" si="1053"/>
        <v>-15975.184772775945</v>
      </c>
      <c r="AD703" s="640">
        <f t="shared" si="1053"/>
        <v>-16294.688468231441</v>
      </c>
      <c r="AE703" s="640">
        <f t="shared" si="1053"/>
        <v>-16620.582237596071</v>
      </c>
      <c r="AF703" s="640">
        <f t="shared" si="1053"/>
        <v>-16952.993882348004</v>
      </c>
      <c r="AG703" s="640">
        <f t="shared" si="1053"/>
        <v>-17292.053759994946</v>
      </c>
      <c r="AH703" s="640">
        <f t="shared" si="1053"/>
        <v>-17637.894835194864</v>
      </c>
      <c r="AI703" s="640">
        <f t="shared" si="1053"/>
        <v>-17990.652731898765</v>
      </c>
      <c r="AJ703" s="640">
        <f t="shared" si="1053"/>
        <v>-18350.465786536748</v>
      </c>
    </row>
    <row r="704" spans="1:43" hidden="1" x14ac:dyDescent="0.25">
      <c r="A704" t="s">
        <v>697</v>
      </c>
      <c r="H704" s="454" t="s">
        <v>676</v>
      </c>
      <c r="I704" s="497" t="s">
        <v>672</v>
      </c>
      <c r="K704" s="617">
        <f t="shared" ref="K704" si="1054">SUM(K705:K706)</f>
        <v>0</v>
      </c>
      <c r="L704" s="617">
        <f t="shared" ref="L704:AJ704" si="1055">SUM(L705:L706)</f>
        <v>-632.43325753344004</v>
      </c>
      <c r="M704" s="617">
        <f t="shared" si="1055"/>
        <v>-885.40656054681608</v>
      </c>
      <c r="N704" s="617">
        <f t="shared" si="1055"/>
        <v>-1328.1098408202242</v>
      </c>
      <c r="O704" s="617">
        <f t="shared" si="1055"/>
        <v>-1394.5153328612353</v>
      </c>
      <c r="P704" s="617">
        <f t="shared" si="1055"/>
        <v>-1464.2410995042972</v>
      </c>
      <c r="Q704" s="617">
        <f t="shared" si="1055"/>
        <v>-1537.453154479512</v>
      </c>
      <c r="R704" s="617">
        <f t="shared" si="1055"/>
        <v>-1614.3258122034877</v>
      </c>
      <c r="S704" s="617">
        <f t="shared" si="1055"/>
        <v>-1695.0421028136618</v>
      </c>
      <c r="T704" s="617">
        <f t="shared" si="1055"/>
        <v>-1779.7942079543452</v>
      </c>
      <c r="U704" s="617">
        <f t="shared" si="1055"/>
        <v>-1868.7839183520623</v>
      </c>
      <c r="V704" s="617">
        <f t="shared" si="1055"/>
        <v>-1962.2231142696655</v>
      </c>
      <c r="W704" s="617">
        <f t="shared" si="1055"/>
        <v>-2060.3342699831487</v>
      </c>
      <c r="X704" s="617">
        <f t="shared" si="1055"/>
        <v>-2163.3509834823062</v>
      </c>
      <c r="Y704" s="617">
        <f t="shared" si="1055"/>
        <v>-2271.5185326564215</v>
      </c>
      <c r="Z704" s="617">
        <f t="shared" si="1055"/>
        <v>-2385.0944592892429</v>
      </c>
      <c r="AA704" s="617">
        <f t="shared" si="1055"/>
        <v>-2504.3491822537044</v>
      </c>
      <c r="AB704" s="617">
        <f t="shared" si="1055"/>
        <v>-2629.5666413663907</v>
      </c>
      <c r="AC704" s="617">
        <f t="shared" si="1055"/>
        <v>-2761.0449734347098</v>
      </c>
      <c r="AD704" s="617">
        <f t="shared" si="1055"/>
        <v>-2899.0972221064458</v>
      </c>
      <c r="AE704" s="617">
        <f t="shared" si="1055"/>
        <v>-3044.0520832117677</v>
      </c>
      <c r="AF704" s="617">
        <f t="shared" si="1055"/>
        <v>-3196.2546873723563</v>
      </c>
      <c r="AG704" s="617">
        <f t="shared" si="1055"/>
        <v>-3356.0674217409742</v>
      </c>
      <c r="AH704" s="617">
        <f t="shared" si="1055"/>
        <v>-3523.8707928280228</v>
      </c>
      <c r="AI704" s="617">
        <f t="shared" si="1055"/>
        <v>-3700.0643324694233</v>
      </c>
      <c r="AJ704" s="617">
        <f t="shared" si="1055"/>
        <v>-3885.0675490928957</v>
      </c>
    </row>
    <row r="705" spans="1:36" s="299" customFormat="1" hidden="1" x14ac:dyDescent="0.25">
      <c r="A705" s="299" t="s">
        <v>697</v>
      </c>
      <c r="B705" s="299" t="s">
        <v>667</v>
      </c>
      <c r="H705" s="554" t="s">
        <v>673</v>
      </c>
      <c r="I705" s="555" t="s">
        <v>672</v>
      </c>
      <c r="K705" s="556"/>
      <c r="L705" s="556" cm="1">
        <f t="array" ref="L705">-SUMPRODUCT('W2'!$M$12:$R$112*('W2'!$M$7:$R$7=$A705)*('W2'!$A$12:$A$112=$B705))*L685*$H$10*POWER(1+Inflation,L$11+1)</f>
        <v>-632.43325753344004</v>
      </c>
      <c r="M705" s="556" cm="1">
        <f t="array" ref="M705">-SUMPRODUCT('W2'!$M$12:$R$112*('W2'!$M$7:$R$7=$A705)*('W2'!$A$12:$A$112=$B705))*M685*$H$10*POWER(1+Inflation,M$11+1)</f>
        <v>-885.40656054681608</v>
      </c>
      <c r="N705" s="556" cm="1">
        <f t="array" ref="N705">-SUMPRODUCT('W2'!$M$12:$R$112*('W2'!$M$7:$R$7=$A705)*('W2'!$A$12:$A$112=$B705))*N685*$H$10*POWER(1+Inflation,N$11+1)</f>
        <v>-1328.1098408202242</v>
      </c>
      <c r="O705" s="556" cm="1">
        <f t="array" ref="O705">-SUMPRODUCT('W2'!$M$12:$R$112*('W2'!$M$7:$R$7=$A705)*('W2'!$A$12:$A$112=$B705))*O685*$H$10*POWER(1+Inflation,O$11+1)</f>
        <v>-1394.5153328612353</v>
      </c>
      <c r="P705" s="556" cm="1">
        <f t="array" ref="P705">-SUMPRODUCT('W2'!$M$12:$R$112*('W2'!$M$7:$R$7=$A705)*('W2'!$A$12:$A$112=$B705))*P685*$H$10*POWER(1+Inflation,P$11+1)</f>
        <v>-1464.2410995042972</v>
      </c>
      <c r="Q705" s="556" cm="1">
        <f t="array" ref="Q705">-SUMPRODUCT('W2'!$M$12:$R$112*('W2'!$M$7:$R$7=$A705)*('W2'!$A$12:$A$112=$B705))*Q685*$H$10*POWER(1+Inflation,Q$11+1)</f>
        <v>-1537.453154479512</v>
      </c>
      <c r="R705" s="556" cm="1">
        <f t="array" ref="R705">-SUMPRODUCT('W2'!$M$12:$R$112*('W2'!$M$7:$R$7=$A705)*('W2'!$A$12:$A$112=$B705))*R685*$H$10*POWER(1+Inflation,R$11+1)</f>
        <v>-1614.3258122034877</v>
      </c>
      <c r="S705" s="556" cm="1">
        <f t="array" ref="S705">-SUMPRODUCT('W2'!$M$12:$R$112*('W2'!$M$7:$R$7=$A705)*('W2'!$A$12:$A$112=$B705))*S685*$H$10*POWER(1+Inflation,S$11+1)</f>
        <v>-1695.0421028136618</v>
      </c>
      <c r="T705" s="556" cm="1">
        <f t="array" ref="T705">-SUMPRODUCT('W2'!$M$12:$R$112*('W2'!$M$7:$R$7=$A705)*('W2'!$A$12:$A$112=$B705))*T685*$H$10*POWER(1+Inflation,T$11+1)</f>
        <v>-1779.7942079543452</v>
      </c>
      <c r="U705" s="556" cm="1">
        <f t="array" ref="U705">-SUMPRODUCT('W2'!$M$12:$R$112*('W2'!$M$7:$R$7=$A705)*('W2'!$A$12:$A$112=$B705))*U685*$H$10*POWER(1+Inflation,U$11+1)</f>
        <v>-1868.7839183520623</v>
      </c>
      <c r="V705" s="556" cm="1">
        <f t="array" ref="V705">-SUMPRODUCT('W2'!$M$12:$R$112*('W2'!$M$7:$R$7=$A705)*('W2'!$A$12:$A$112=$B705))*V685*$H$10*POWER(1+Inflation,V$11+1)</f>
        <v>-1962.2231142696655</v>
      </c>
      <c r="W705" s="556" cm="1">
        <f t="array" ref="W705">-SUMPRODUCT('W2'!$M$12:$R$112*('W2'!$M$7:$R$7=$A705)*('W2'!$A$12:$A$112=$B705))*W685*$H$10*POWER(1+Inflation,W$11+1)</f>
        <v>-2060.3342699831487</v>
      </c>
      <c r="X705" s="556" cm="1">
        <f t="array" ref="X705">-SUMPRODUCT('W2'!$M$12:$R$112*('W2'!$M$7:$R$7=$A705)*('W2'!$A$12:$A$112=$B705))*X685*$H$10*POWER(1+Inflation,X$11+1)</f>
        <v>-2163.3509834823062</v>
      </c>
      <c r="Y705" s="556" cm="1">
        <f t="array" ref="Y705">-SUMPRODUCT('W2'!$M$12:$R$112*('W2'!$M$7:$R$7=$A705)*('W2'!$A$12:$A$112=$B705))*Y685*$H$10*POWER(1+Inflation,Y$11+1)</f>
        <v>-2271.5185326564215</v>
      </c>
      <c r="Z705" s="556" cm="1">
        <f t="array" ref="Z705">-SUMPRODUCT('W2'!$M$12:$R$112*('W2'!$M$7:$R$7=$A705)*('W2'!$A$12:$A$112=$B705))*Z685*$H$10*POWER(1+Inflation,Z$11+1)</f>
        <v>-2385.0944592892429</v>
      </c>
      <c r="AA705" s="556" cm="1">
        <f t="array" ref="AA705">-SUMPRODUCT('W2'!$M$12:$R$112*('W2'!$M$7:$R$7=$A705)*('W2'!$A$12:$A$112=$B705))*AA685*$H$10*POWER(1+Inflation,AA$11+1)</f>
        <v>-2504.3491822537044</v>
      </c>
      <c r="AB705" s="556" cm="1">
        <f t="array" ref="AB705">-SUMPRODUCT('W2'!$M$12:$R$112*('W2'!$M$7:$R$7=$A705)*('W2'!$A$12:$A$112=$B705))*AB685*$H$10*POWER(1+Inflation,AB$11+1)</f>
        <v>-2629.5666413663907</v>
      </c>
      <c r="AC705" s="556" cm="1">
        <f t="array" ref="AC705">-SUMPRODUCT('W2'!$M$12:$R$112*('W2'!$M$7:$R$7=$A705)*('W2'!$A$12:$A$112=$B705))*AC685*$H$10*POWER(1+Inflation,AC$11+1)</f>
        <v>-2761.0449734347098</v>
      </c>
      <c r="AD705" s="556" cm="1">
        <f t="array" ref="AD705">-SUMPRODUCT('W2'!$M$12:$R$112*('W2'!$M$7:$R$7=$A705)*('W2'!$A$12:$A$112=$B705))*AD685*$H$10*POWER(1+Inflation,AD$11+1)</f>
        <v>-2899.0972221064458</v>
      </c>
      <c r="AE705" s="556" cm="1">
        <f t="array" ref="AE705">-SUMPRODUCT('W2'!$M$12:$R$112*('W2'!$M$7:$R$7=$A705)*('W2'!$A$12:$A$112=$B705))*AE685*$H$10*POWER(1+Inflation,AE$11+1)</f>
        <v>-3044.0520832117677</v>
      </c>
      <c r="AF705" s="556" cm="1">
        <f t="array" ref="AF705">-SUMPRODUCT('W2'!$M$12:$R$112*('W2'!$M$7:$R$7=$A705)*('W2'!$A$12:$A$112=$B705))*AF685*$H$10*POWER(1+Inflation,AF$11+1)</f>
        <v>-3196.2546873723563</v>
      </c>
      <c r="AG705" s="556" cm="1">
        <f t="array" ref="AG705">-SUMPRODUCT('W2'!$M$12:$R$112*('W2'!$M$7:$R$7=$A705)*('W2'!$A$12:$A$112=$B705))*AG685*$H$10*POWER(1+Inflation,AG$11+1)</f>
        <v>-3356.0674217409742</v>
      </c>
      <c r="AH705" s="556" cm="1">
        <f t="array" ref="AH705">-SUMPRODUCT('W2'!$M$12:$R$112*('W2'!$M$7:$R$7=$A705)*('W2'!$A$12:$A$112=$B705))*AH685*$H$10*POWER(1+Inflation,AH$11+1)</f>
        <v>-3523.8707928280228</v>
      </c>
      <c r="AI705" s="556" cm="1">
        <f t="array" ref="AI705">-SUMPRODUCT('W2'!$M$12:$R$112*('W2'!$M$7:$R$7=$A705)*('W2'!$A$12:$A$112=$B705))*AI685*$H$10*POWER(1+Inflation,AI$11+1)</f>
        <v>-3700.0643324694233</v>
      </c>
      <c r="AJ705" s="556" cm="1">
        <f t="array" ref="AJ705">-SUMPRODUCT('W2'!$M$12:$R$112*('W2'!$M$7:$R$7=$A705)*('W2'!$A$12:$A$112=$B705))*AJ685*$H$10*POWER(1+Inflation,AJ$11+1)</f>
        <v>-3885.0675490928957</v>
      </c>
    </row>
    <row r="706" spans="1:36" s="299" customFormat="1" hidden="1" x14ac:dyDescent="0.25">
      <c r="A706" s="299" t="s">
        <v>697</v>
      </c>
      <c r="B706" s="299" t="s">
        <v>668</v>
      </c>
      <c r="H706" s="554" t="s">
        <v>674</v>
      </c>
      <c r="I706" s="555" t="s">
        <v>672</v>
      </c>
      <c r="K706" s="556"/>
      <c r="L706" s="556" cm="1">
        <f t="array" ref="L706">-SUMPRODUCT('W2'!$M$12:$R$112*('W2'!$M$7:$R$7=$A706)*('W2'!$A$12:$A$112=$B706))*L686*$H$10*POWER(1+Inflation,L$11+1)</f>
        <v>0</v>
      </c>
      <c r="M706" s="556" cm="1">
        <f t="array" ref="M706">-SUMPRODUCT('W2'!$M$12:$R$112*('W2'!$M$7:$R$7=$A706)*('W2'!$A$12:$A$112=$B706))*M686*$H$10*POWER(1+Inflation,M$11+1)</f>
        <v>0</v>
      </c>
      <c r="N706" s="556" cm="1">
        <f t="array" ref="N706">-SUMPRODUCT('W2'!$M$12:$R$112*('W2'!$M$7:$R$7=$A706)*('W2'!$A$12:$A$112=$B706))*N686*$H$10*POWER(1+Inflation,N$11+1)</f>
        <v>0</v>
      </c>
      <c r="O706" s="556" cm="1">
        <f t="array" ref="O706">-SUMPRODUCT('W2'!$M$12:$R$112*('W2'!$M$7:$R$7=$A706)*('W2'!$A$12:$A$112=$B706))*O686*$H$10*POWER(1+Inflation,O$11+1)</f>
        <v>0</v>
      </c>
      <c r="P706" s="556" cm="1">
        <f t="array" ref="P706">-SUMPRODUCT('W2'!$M$12:$R$112*('W2'!$M$7:$R$7=$A706)*('W2'!$A$12:$A$112=$B706))*P686*$H$10*POWER(1+Inflation,P$11+1)</f>
        <v>0</v>
      </c>
      <c r="Q706" s="556" cm="1">
        <f t="array" ref="Q706">-SUMPRODUCT('W2'!$M$12:$R$112*('W2'!$M$7:$R$7=$A706)*('W2'!$A$12:$A$112=$B706))*Q686*$H$10*POWER(1+Inflation,Q$11+1)</f>
        <v>0</v>
      </c>
      <c r="R706" s="556" cm="1">
        <f t="array" ref="R706">-SUMPRODUCT('W2'!$M$12:$R$112*('W2'!$M$7:$R$7=$A706)*('W2'!$A$12:$A$112=$B706))*R686*$H$10*POWER(1+Inflation,R$11+1)</f>
        <v>0</v>
      </c>
      <c r="S706" s="556" cm="1">
        <f t="array" ref="S706">-SUMPRODUCT('W2'!$M$12:$R$112*('W2'!$M$7:$R$7=$A706)*('W2'!$A$12:$A$112=$B706))*S686*$H$10*POWER(1+Inflation,S$11+1)</f>
        <v>0</v>
      </c>
      <c r="T706" s="556" cm="1">
        <f t="array" ref="T706">-SUMPRODUCT('W2'!$M$12:$R$112*('W2'!$M$7:$R$7=$A706)*('W2'!$A$12:$A$112=$B706))*T686*$H$10*POWER(1+Inflation,T$11+1)</f>
        <v>0</v>
      </c>
      <c r="U706" s="556" cm="1">
        <f t="array" ref="U706">-SUMPRODUCT('W2'!$M$12:$R$112*('W2'!$M$7:$R$7=$A706)*('W2'!$A$12:$A$112=$B706))*U686*$H$10*POWER(1+Inflation,U$11+1)</f>
        <v>0</v>
      </c>
      <c r="V706" s="556" cm="1">
        <f t="array" ref="V706">-SUMPRODUCT('W2'!$M$12:$R$112*('W2'!$M$7:$R$7=$A706)*('W2'!$A$12:$A$112=$B706))*V686*$H$10*POWER(1+Inflation,V$11+1)</f>
        <v>0</v>
      </c>
      <c r="W706" s="556" cm="1">
        <f t="array" ref="W706">-SUMPRODUCT('W2'!$M$12:$R$112*('W2'!$M$7:$R$7=$A706)*('W2'!$A$12:$A$112=$B706))*W686*$H$10*POWER(1+Inflation,W$11+1)</f>
        <v>0</v>
      </c>
      <c r="X706" s="556" cm="1">
        <f t="array" ref="X706">-SUMPRODUCT('W2'!$M$12:$R$112*('W2'!$M$7:$R$7=$A706)*('W2'!$A$12:$A$112=$B706))*X686*$H$10*POWER(1+Inflation,X$11+1)</f>
        <v>0</v>
      </c>
      <c r="Y706" s="556" cm="1">
        <f t="array" ref="Y706">-SUMPRODUCT('W2'!$M$12:$R$112*('W2'!$M$7:$R$7=$A706)*('W2'!$A$12:$A$112=$B706))*Y686*$H$10*POWER(1+Inflation,Y$11+1)</f>
        <v>0</v>
      </c>
      <c r="Z706" s="556" cm="1">
        <f t="array" ref="Z706">-SUMPRODUCT('W2'!$M$12:$R$112*('W2'!$M$7:$R$7=$A706)*('W2'!$A$12:$A$112=$B706))*Z686*$H$10*POWER(1+Inflation,Z$11+1)</f>
        <v>0</v>
      </c>
      <c r="AA706" s="556" cm="1">
        <f t="array" ref="AA706">-SUMPRODUCT('W2'!$M$12:$R$112*('W2'!$M$7:$R$7=$A706)*('W2'!$A$12:$A$112=$B706))*AA686*$H$10*POWER(1+Inflation,AA$11+1)</f>
        <v>0</v>
      </c>
      <c r="AB706" s="556" cm="1">
        <f t="array" ref="AB706">-SUMPRODUCT('W2'!$M$12:$R$112*('W2'!$M$7:$R$7=$A706)*('W2'!$A$12:$A$112=$B706))*AB686*$H$10*POWER(1+Inflation,AB$11+1)</f>
        <v>0</v>
      </c>
      <c r="AC706" s="556" cm="1">
        <f t="array" ref="AC706">-SUMPRODUCT('W2'!$M$12:$R$112*('W2'!$M$7:$R$7=$A706)*('W2'!$A$12:$A$112=$B706))*AC686*$H$10*POWER(1+Inflation,AC$11+1)</f>
        <v>0</v>
      </c>
      <c r="AD706" s="556" cm="1">
        <f t="array" ref="AD706">-SUMPRODUCT('W2'!$M$12:$R$112*('W2'!$M$7:$R$7=$A706)*('W2'!$A$12:$A$112=$B706))*AD686*$H$10*POWER(1+Inflation,AD$11+1)</f>
        <v>0</v>
      </c>
      <c r="AE706" s="556" cm="1">
        <f t="array" ref="AE706">-SUMPRODUCT('W2'!$M$12:$R$112*('W2'!$M$7:$R$7=$A706)*('W2'!$A$12:$A$112=$B706))*AE686*$H$10*POWER(1+Inflation,AE$11+1)</f>
        <v>0</v>
      </c>
      <c r="AF706" s="556" cm="1">
        <f t="array" ref="AF706">-SUMPRODUCT('W2'!$M$12:$R$112*('W2'!$M$7:$R$7=$A706)*('W2'!$A$12:$A$112=$B706))*AF686*$H$10*POWER(1+Inflation,AF$11+1)</f>
        <v>0</v>
      </c>
      <c r="AG706" s="556" cm="1">
        <f t="array" ref="AG706">-SUMPRODUCT('W2'!$M$12:$R$112*('W2'!$M$7:$R$7=$A706)*('W2'!$A$12:$A$112=$B706))*AG686*$H$10*POWER(1+Inflation,AG$11+1)</f>
        <v>0</v>
      </c>
      <c r="AH706" s="556" cm="1">
        <f t="array" ref="AH706">-SUMPRODUCT('W2'!$M$12:$R$112*('W2'!$M$7:$R$7=$A706)*('W2'!$A$12:$A$112=$B706))*AH686*$H$10*POWER(1+Inflation,AH$11+1)</f>
        <v>0</v>
      </c>
      <c r="AI706" s="556" cm="1">
        <f t="array" ref="AI706">-SUMPRODUCT('W2'!$M$12:$R$112*('W2'!$M$7:$R$7=$A706)*('W2'!$A$12:$A$112=$B706))*AI686*$H$10*POWER(1+Inflation,AI$11+1)</f>
        <v>0</v>
      </c>
      <c r="AJ706" s="556" cm="1">
        <f t="array" ref="AJ706">-SUMPRODUCT('W2'!$M$12:$R$112*('W2'!$M$7:$R$7=$A706)*('W2'!$A$12:$A$112=$B706))*AJ686*$H$10*POWER(1+Inflation,AJ$11+1)</f>
        <v>0</v>
      </c>
    </row>
    <row r="707" spans="1:36" hidden="1" x14ac:dyDescent="0.25">
      <c r="A707" t="s">
        <v>697</v>
      </c>
      <c r="H707" s="454" t="s">
        <v>180</v>
      </c>
      <c r="I707" s="497" t="str">
        <f t="shared" ref="I707:I710" si="1056">IF($H$9="USD","USD","tr. VND")</f>
        <v>tr. VND</v>
      </c>
      <c r="K707" s="617">
        <f>SUM(K708:K710)</f>
        <v>0</v>
      </c>
      <c r="L707" s="617">
        <f>SUM(L708:L710)</f>
        <v>-9195.2534101546662</v>
      </c>
      <c r="M707" s="617">
        <f t="shared" ref="M707:AJ707" si="1057">SUM(M708:M710)</f>
        <v>-12015.507899549866</v>
      </c>
      <c r="N707" s="617">
        <f t="shared" si="1057"/>
        <v>-16991.825821991468</v>
      </c>
      <c r="O707" s="617">
        <f t="shared" si="1057"/>
        <v>-17775.058819757709</v>
      </c>
      <c r="P707" s="617">
        <f t="shared" si="1057"/>
        <v>-18597.453467412262</v>
      </c>
      <c r="Q707" s="617">
        <f t="shared" si="1057"/>
        <v>-19460.967847449538</v>
      </c>
      <c r="R707" s="617">
        <f t="shared" si="1057"/>
        <v>-20367.657946488682</v>
      </c>
      <c r="S707" s="617">
        <f t="shared" si="1057"/>
        <v>-21319.682550479785</v>
      </c>
      <c r="T707" s="617">
        <f t="shared" si="1057"/>
        <v>-22319.308384670443</v>
      </c>
      <c r="U707" s="617">
        <f t="shared" si="1057"/>
        <v>-23368.915510570627</v>
      </c>
      <c r="V707" s="617">
        <f t="shared" si="1057"/>
        <v>-24471.002992765825</v>
      </c>
      <c r="W707" s="617">
        <f t="shared" si="1057"/>
        <v>-25628.194849070787</v>
      </c>
      <c r="X707" s="617">
        <f t="shared" si="1057"/>
        <v>-25793.279631524329</v>
      </c>
      <c r="Y707" s="617">
        <f t="shared" si="1057"/>
        <v>-27069.083653100541</v>
      </c>
      <c r="Z707" s="617">
        <f t="shared" si="1057"/>
        <v>-28408.677875755569</v>
      </c>
      <c r="AA707" s="617">
        <f t="shared" si="1057"/>
        <v>-29815.251809543344</v>
      </c>
      <c r="AB707" s="617">
        <f t="shared" si="1057"/>
        <v>-31292.15444002052</v>
      </c>
      <c r="AC707" s="617">
        <f t="shared" si="1057"/>
        <v>-32842.902202021549</v>
      </c>
      <c r="AD707" s="617">
        <f t="shared" si="1057"/>
        <v>-34471.187352122623</v>
      </c>
      <c r="AE707" s="617">
        <f t="shared" si="1057"/>
        <v>-36180.886759728761</v>
      </c>
      <c r="AF707" s="617">
        <f t="shared" si="1057"/>
        <v>-37976.071137715197</v>
      </c>
      <c r="AG707" s="617">
        <f t="shared" si="1057"/>
        <v>-39861.014734600954</v>
      </c>
      <c r="AH707" s="617">
        <f t="shared" si="1057"/>
        <v>-41840.205511330998</v>
      </c>
      <c r="AI707" s="617">
        <f t="shared" si="1057"/>
        <v>-43918.355826897547</v>
      </c>
      <c r="AJ707" s="617">
        <f t="shared" si="1057"/>
        <v>-46100.41365824244</v>
      </c>
    </row>
    <row r="708" spans="1:36" s="299" customFormat="1" hidden="1" x14ac:dyDescent="0.25">
      <c r="A708" s="299" t="s">
        <v>697</v>
      </c>
      <c r="B708" s="299" t="s">
        <v>174</v>
      </c>
      <c r="H708" s="554" t="s">
        <v>73</v>
      </c>
      <c r="I708" s="555" t="str">
        <f t="shared" si="1056"/>
        <v>tr. VND</v>
      </c>
      <c r="K708" s="556"/>
      <c r="L708" s="556" cm="1">
        <f t="array" ref="L708">-SUMPRODUCT('W2'!$M$12:$R$112*('W2'!$M$7:$R$7=$A708)*('W2'!$A$12:$A$112=$B708))*L678*24*$H$10*POWER(1+Inflation,L$11+1)</f>
        <v>-5755.6984320000001</v>
      </c>
      <c r="M708" s="556" cm="1">
        <f t="array" ref="M708">-SUMPRODUCT('W2'!$M$12:$R$112*('W2'!$M$7:$R$7=$A708)*('W2'!$A$12:$A$112=$B708))*M678*24*$H$10*POWER(1+Inflation,M$11+1)</f>
        <v>-8057.9778047999989</v>
      </c>
      <c r="N708" s="556" cm="1">
        <f t="array" ref="N708">-SUMPRODUCT('W2'!$M$12:$R$112*('W2'!$M$7:$R$7=$A708)*('W2'!$A$12:$A$112=$B708))*N678*24*$H$10*POWER(1+Inflation,N$11+1)</f>
        <v>-12086.966707200001</v>
      </c>
      <c r="O708" s="556" cm="1">
        <f t="array" ref="O708">-SUMPRODUCT('W2'!$M$12:$R$112*('W2'!$M$7:$R$7=$A708)*('W2'!$A$12:$A$112=$B708))*O678*24*$H$10*POWER(1+Inflation,O$11+1)</f>
        <v>-12691.315042560002</v>
      </c>
      <c r="P708" s="556" cm="1">
        <f t="array" ref="P708">-SUMPRODUCT('W2'!$M$12:$R$112*('W2'!$M$7:$R$7=$A708)*('W2'!$A$12:$A$112=$B708))*P678*24*$H$10*POWER(1+Inflation,P$11+1)</f>
        <v>-13325.880794688002</v>
      </c>
      <c r="Q708" s="556" cm="1">
        <f t="array" ref="Q708">-SUMPRODUCT('W2'!$M$12:$R$112*('W2'!$M$7:$R$7=$A708)*('W2'!$A$12:$A$112=$B708))*Q678*24*$H$10*POWER(1+Inflation,Q$11+1)</f>
        <v>-13992.1748344224</v>
      </c>
      <c r="R708" s="556" cm="1">
        <f t="array" ref="R708">-SUMPRODUCT('W2'!$M$12:$R$112*('W2'!$M$7:$R$7=$A708)*('W2'!$A$12:$A$112=$B708))*R678*24*$H$10*POWER(1+Inflation,R$11+1)</f>
        <v>-14691.783576143522</v>
      </c>
      <c r="S708" s="556" cm="1">
        <f t="array" ref="S708">-SUMPRODUCT('W2'!$M$12:$R$112*('W2'!$M$7:$R$7=$A708)*('W2'!$A$12:$A$112=$B708))*S678*24*$H$10*POWER(1+Inflation,S$11+1)</f>
        <v>-15426.372754950697</v>
      </c>
      <c r="T708" s="556" cm="1">
        <f t="array" ref="T708">-SUMPRODUCT('W2'!$M$12:$R$112*('W2'!$M$7:$R$7=$A708)*('W2'!$A$12:$A$112=$B708))*T678*24*$H$10*POWER(1+Inflation,T$11+1)</f>
        <v>-16197.691392698234</v>
      </c>
      <c r="U708" s="556" cm="1">
        <f t="array" ref="U708">-SUMPRODUCT('W2'!$M$12:$R$112*('W2'!$M$7:$R$7=$A708)*('W2'!$A$12:$A$112=$B708))*U678*24*$H$10*POWER(1+Inflation,U$11+1)</f>
        <v>-17007.575962333143</v>
      </c>
      <c r="V708" s="556" cm="1">
        <f t="array" ref="V708">-SUMPRODUCT('W2'!$M$12:$R$112*('W2'!$M$7:$R$7=$A708)*('W2'!$A$12:$A$112=$B708))*V678*24*$H$10*POWER(1+Inflation,V$11+1)</f>
        <v>-17857.9547604498</v>
      </c>
      <c r="W708" s="556" cm="1">
        <f t="array" ref="W708">-SUMPRODUCT('W2'!$M$12:$R$112*('W2'!$M$7:$R$7=$A708)*('W2'!$A$12:$A$112=$B708))*W678*24*$H$10*POWER(1+Inflation,W$11+1)</f>
        <v>-18750.852498472294</v>
      </c>
      <c r="X708" s="556" cm="1">
        <f t="array" ref="X708">-SUMPRODUCT('W2'!$M$12:$R$112*('W2'!$M$7:$R$7=$A708)*('W2'!$A$12:$A$112=$B708))*X678*24*$H$10*POWER(1+Inflation,X$11+1)</f>
        <v>-19688.395123395909</v>
      </c>
      <c r="Y708" s="556" cm="1">
        <f t="array" ref="Y708">-SUMPRODUCT('W2'!$M$12:$R$112*('W2'!$M$7:$R$7=$A708)*('W2'!$A$12:$A$112=$B708))*Y678*24*$H$10*POWER(1+Inflation,Y$11+1)</f>
        <v>-20672.8148795657</v>
      </c>
      <c r="Z708" s="556" cm="1">
        <f t="array" ref="Z708">-SUMPRODUCT('W2'!$M$12:$R$112*('W2'!$M$7:$R$7=$A708)*('W2'!$A$12:$A$112=$B708))*Z678*24*$H$10*POWER(1+Inflation,Z$11+1)</f>
        <v>-21706.455623543989</v>
      </c>
      <c r="AA708" s="556" cm="1">
        <f t="array" ref="AA708">-SUMPRODUCT('W2'!$M$12:$R$112*('W2'!$M$7:$R$7=$A708)*('W2'!$A$12:$A$112=$B708))*AA678*24*$H$10*POWER(1+Inflation,AA$11+1)</f>
        <v>-22791.778404721183</v>
      </c>
      <c r="AB708" s="556" cm="1">
        <f t="array" ref="AB708">-SUMPRODUCT('W2'!$M$12:$R$112*('W2'!$M$7:$R$7=$A708)*('W2'!$A$12:$A$112=$B708))*AB678*24*$H$10*POWER(1+Inflation,AB$11+1)</f>
        <v>-23931.367324957249</v>
      </c>
      <c r="AC708" s="556" cm="1">
        <f t="array" ref="AC708">-SUMPRODUCT('W2'!$M$12:$R$112*('W2'!$M$7:$R$7=$A708)*('W2'!$A$12:$A$112=$B708))*AC678*24*$H$10*POWER(1+Inflation,AC$11+1)</f>
        <v>-25127.935691205112</v>
      </c>
      <c r="AD708" s="556" cm="1">
        <f t="array" ref="AD708">-SUMPRODUCT('W2'!$M$12:$R$112*('W2'!$M$7:$R$7=$A708)*('W2'!$A$12:$A$112=$B708))*AD678*24*$H$10*POWER(1+Inflation,AD$11+1)</f>
        <v>-26384.332475765368</v>
      </c>
      <c r="AE708" s="556" cm="1">
        <f t="array" ref="AE708">-SUMPRODUCT('W2'!$M$12:$R$112*('W2'!$M$7:$R$7=$A708)*('W2'!$A$12:$A$112=$B708))*AE678*24*$H$10*POWER(1+Inflation,AE$11+1)</f>
        <v>-27703.549099553638</v>
      </c>
      <c r="AF708" s="556" cm="1">
        <f t="array" ref="AF708">-SUMPRODUCT('W2'!$M$12:$R$112*('W2'!$M$7:$R$7=$A708)*('W2'!$A$12:$A$112=$B708))*AF678*24*$H$10*POWER(1+Inflation,AF$11+1)</f>
        <v>-29088.72655453132</v>
      </c>
      <c r="AG708" s="556" cm="1">
        <f t="array" ref="AG708">-SUMPRODUCT('W2'!$M$12:$R$112*('W2'!$M$7:$R$7=$A708)*('W2'!$A$12:$A$112=$B708))*AG678*24*$H$10*POWER(1+Inflation,AG$11+1)</f>
        <v>-30543.162882257882</v>
      </c>
      <c r="AH708" s="556" cm="1">
        <f t="array" ref="AH708">-SUMPRODUCT('W2'!$M$12:$R$112*('W2'!$M$7:$R$7=$A708)*('W2'!$A$12:$A$112=$B708))*AH678*24*$H$10*POWER(1+Inflation,AH$11+1)</f>
        <v>-32070.321026370777</v>
      </c>
      <c r="AI708" s="556" cm="1">
        <f t="array" ref="AI708">-SUMPRODUCT('W2'!$M$12:$R$112*('W2'!$M$7:$R$7=$A708)*('W2'!$A$12:$A$112=$B708))*AI678*24*$H$10*POWER(1+Inflation,AI$11+1)</f>
        <v>-33673.837077689313</v>
      </c>
      <c r="AJ708" s="556" cm="1">
        <f t="array" ref="AJ708">-SUMPRODUCT('W2'!$M$12:$R$112*('W2'!$M$7:$R$7=$A708)*('W2'!$A$12:$A$112=$B708))*AJ678*24*$H$10*POWER(1+Inflation,AJ$11+1)</f>
        <v>-35357.52893157379</v>
      </c>
    </row>
    <row r="709" spans="1:36" s="299" customFormat="1" hidden="1" x14ac:dyDescent="0.25">
      <c r="A709" s="299" t="s">
        <v>697</v>
      </c>
      <c r="B709" s="299" t="s">
        <v>462</v>
      </c>
      <c r="H709" s="554" t="s">
        <v>192</v>
      </c>
      <c r="I709" s="555" t="str">
        <f t="shared" si="1056"/>
        <v>tr. VND</v>
      </c>
      <c r="K709" s="556"/>
      <c r="L709" s="556" cm="1">
        <f t="array" ref="L709">-SUMPRODUCT('W2'!$M$12:$R$112*('W2'!$M$7:$R$7=$A709)*('W2'!$A$12:$A$112=$B709))*L679*$H$10*POWER(1+Inflation,L$11+1)</f>
        <v>-1023.7594752</v>
      </c>
      <c r="M709" s="556" cm="1">
        <f t="array" ref="M709">-SUMPRODUCT('W2'!$M$12:$R$112*('W2'!$M$7:$R$7=$A709)*('W2'!$A$12:$A$112=$B709))*M679*$H$10*POWER(1+Inflation,M$11+1)</f>
        <v>-1433.2632652799998</v>
      </c>
      <c r="N709" s="556" cm="1">
        <f t="array" ref="N709">-SUMPRODUCT('W2'!$M$12:$R$112*('W2'!$M$7:$R$7=$A709)*('W2'!$A$12:$A$112=$B709))*N679*$H$10*POWER(1+Inflation,N$11+1)</f>
        <v>-2149.8948979199999</v>
      </c>
      <c r="O709" s="556" cm="1">
        <f t="array" ref="O709">-SUMPRODUCT('W2'!$M$12:$R$112*('W2'!$M$7:$R$7=$A709)*('W2'!$A$12:$A$112=$B709))*O679*$H$10*POWER(1+Inflation,O$11+1)</f>
        <v>-2257.3896428160001</v>
      </c>
      <c r="P709" s="556" cm="1">
        <f t="array" ref="P709">-SUMPRODUCT('W2'!$M$12:$R$112*('W2'!$M$7:$R$7=$A709)*('W2'!$A$12:$A$112=$B709))*P679*$H$10*POWER(1+Inflation,P$11+1)</f>
        <v>-2370.2591249568004</v>
      </c>
      <c r="Q709" s="556" cm="1">
        <f t="array" ref="Q709">-SUMPRODUCT('W2'!$M$12:$R$112*('W2'!$M$7:$R$7=$A709)*('W2'!$A$12:$A$112=$B709))*Q679*$H$10*POWER(1+Inflation,Q$11+1)</f>
        <v>-2488.77208120464</v>
      </c>
      <c r="R709" s="556" cm="1">
        <f t="array" ref="R709">-SUMPRODUCT('W2'!$M$12:$R$112*('W2'!$M$7:$R$7=$A709)*('W2'!$A$12:$A$112=$B709))*R679*$H$10*POWER(1+Inflation,R$11+1)</f>
        <v>-2613.2106852648722</v>
      </c>
      <c r="S709" s="556" cm="1">
        <f t="array" ref="S709">-SUMPRODUCT('W2'!$M$12:$R$112*('W2'!$M$7:$R$7=$A709)*('W2'!$A$12:$A$112=$B709))*S679*$H$10*POWER(1+Inflation,S$11+1)</f>
        <v>-2743.8712195281155</v>
      </c>
      <c r="T709" s="556" cm="1">
        <f t="array" ref="T709">-SUMPRODUCT('W2'!$M$12:$R$112*('W2'!$M$7:$R$7=$A709)*('W2'!$A$12:$A$112=$B709))*T679*$H$10*POWER(1+Inflation,T$11+1)</f>
        <v>-2881.0647805045219</v>
      </c>
      <c r="U709" s="556" cm="1">
        <f t="array" ref="U709">-SUMPRODUCT('W2'!$M$12:$R$112*('W2'!$M$7:$R$7=$A709)*('W2'!$A$12:$A$112=$B709))*U679*$H$10*POWER(1+Inflation,U$11+1)</f>
        <v>-3025.1180195297475</v>
      </c>
      <c r="V709" s="556" cm="1">
        <f t="array" ref="V709">-SUMPRODUCT('W2'!$M$12:$R$112*('W2'!$M$7:$R$7=$A709)*('W2'!$A$12:$A$112=$B709))*V679*$H$10*POWER(1+Inflation,V$11+1)</f>
        <v>-3176.3739205062352</v>
      </c>
      <c r="W709" s="556" cm="1">
        <f t="array" ref="W709">-SUMPRODUCT('W2'!$M$12:$R$112*('W2'!$M$7:$R$7=$A709)*('W2'!$A$12:$A$112=$B709))*W679*$H$10*POWER(1+Inflation,W$11+1)</f>
        <v>-3335.1926165315467</v>
      </c>
      <c r="X709" s="556" cm="1">
        <f t="array" ref="X709">-SUMPRODUCT('W2'!$M$12:$R$112*('W2'!$M$7:$R$7=$A709)*('W2'!$A$12:$A$112=$B709))*X679*$H$10*POWER(1+Inflation,X$11+1)</f>
        <v>-3501.9522473581246</v>
      </c>
      <c r="Y709" s="556" cm="1">
        <f t="array" ref="Y709">-SUMPRODUCT('W2'!$M$12:$R$112*('W2'!$M$7:$R$7=$A709)*('W2'!$A$12:$A$112=$B709))*Y679*$H$10*POWER(1+Inflation,Y$11+1)</f>
        <v>-3677.0498597260303</v>
      </c>
      <c r="Z709" s="556" cm="1">
        <f t="array" ref="Z709">-SUMPRODUCT('W2'!$M$12:$R$112*('W2'!$M$7:$R$7=$A709)*('W2'!$A$12:$A$112=$B709))*Z679*$H$10*POWER(1+Inflation,Z$11+1)</f>
        <v>-3860.9023527123322</v>
      </c>
      <c r="AA709" s="556" cm="1">
        <f t="array" ref="AA709">-SUMPRODUCT('W2'!$M$12:$R$112*('W2'!$M$7:$R$7=$A709)*('W2'!$A$12:$A$112=$B709))*AA679*$H$10*POWER(1+Inflation,AA$11+1)</f>
        <v>-4053.9474703479482</v>
      </c>
      <c r="AB709" s="556" cm="1">
        <f t="array" ref="AB709">-SUMPRODUCT('W2'!$M$12:$R$112*('W2'!$M$7:$R$7=$A709)*('W2'!$A$12:$A$112=$B709))*AB679*$H$10*POWER(1+Inflation,AB$11+1)</f>
        <v>-4256.644843865347</v>
      </c>
      <c r="AC709" s="556" cm="1">
        <f t="array" ref="AC709">-SUMPRODUCT('W2'!$M$12:$R$112*('W2'!$M$7:$R$7=$A709)*('W2'!$A$12:$A$112=$B709))*AC679*$H$10*POWER(1+Inflation,AC$11+1)</f>
        <v>-4469.4770860586141</v>
      </c>
      <c r="AD709" s="556" cm="1">
        <f t="array" ref="AD709">-SUMPRODUCT('W2'!$M$12:$R$112*('W2'!$M$7:$R$7=$A709)*('W2'!$A$12:$A$112=$B709))*AD679*$H$10*POWER(1+Inflation,AD$11+1)</f>
        <v>-4692.9509403615448</v>
      </c>
      <c r="AE709" s="556" cm="1">
        <f t="array" ref="AE709">-SUMPRODUCT('W2'!$M$12:$R$112*('W2'!$M$7:$R$7=$A709)*('W2'!$A$12:$A$112=$B709))*AE679*$H$10*POWER(1+Inflation,AE$11+1)</f>
        <v>-4927.5984873796224</v>
      </c>
      <c r="AF709" s="556" cm="1">
        <f t="array" ref="AF709">-SUMPRODUCT('W2'!$M$12:$R$112*('W2'!$M$7:$R$7=$A709)*('W2'!$A$12:$A$112=$B709))*AF679*$H$10*POWER(1+Inflation,AF$11+1)</f>
        <v>-5173.9784117486033</v>
      </c>
      <c r="AG709" s="556" cm="1">
        <f t="array" ref="AG709">-SUMPRODUCT('W2'!$M$12:$R$112*('W2'!$M$7:$R$7=$A709)*('W2'!$A$12:$A$112=$B709))*AG679*$H$10*POWER(1+Inflation,AG$11+1)</f>
        <v>-5432.677332336033</v>
      </c>
      <c r="AH709" s="556" cm="1">
        <f t="array" ref="AH709">-SUMPRODUCT('W2'!$M$12:$R$112*('W2'!$M$7:$R$7=$A709)*('W2'!$A$12:$A$112=$B709))*AH679*$H$10*POWER(1+Inflation,AH$11+1)</f>
        <v>-5704.3111989528352</v>
      </c>
      <c r="AI709" s="556" cm="1">
        <f t="array" ref="AI709">-SUMPRODUCT('W2'!$M$12:$R$112*('W2'!$M$7:$R$7=$A709)*('W2'!$A$12:$A$112=$B709))*AI679*$H$10*POWER(1+Inflation,AI$11+1)</f>
        <v>-5989.5267589004761</v>
      </c>
      <c r="AJ709" s="556" cm="1">
        <f t="array" ref="AJ709">-SUMPRODUCT('W2'!$M$12:$R$112*('W2'!$M$7:$R$7=$A709)*('W2'!$A$12:$A$112=$B709))*AJ679*$H$10*POWER(1+Inflation,AJ$11+1)</f>
        <v>-6289.0030968455012</v>
      </c>
    </row>
    <row r="710" spans="1:36" s="299" customFormat="1" hidden="1" x14ac:dyDescent="0.25">
      <c r="A710" s="299" t="s">
        <v>697</v>
      </c>
      <c r="B710" s="299" t="s">
        <v>140</v>
      </c>
      <c r="H710" s="554" t="s">
        <v>175</v>
      </c>
      <c r="I710" s="555" t="str">
        <f t="shared" si="1056"/>
        <v>tr. VND</v>
      </c>
      <c r="K710" s="556"/>
      <c r="L710" s="556" cm="1">
        <f t="array" ref="L710">SUMPRODUCT('W2'!$M$12:$R$112*('W2'!$M$7:$R$7=$A710)*('W2'!$A$12:$A$112=$B710))*(SUM(L690,L708:L709))</f>
        <v>-2415.795502954667</v>
      </c>
      <c r="M710" s="556" cm="1">
        <f t="array" ref="M710">SUMPRODUCT('W2'!$M$12:$R$112*('W2'!$M$7:$R$7=$A710)*('W2'!$A$12:$A$112=$B710))*(SUM(M690,M708:M709))</f>
        <v>-2524.2668294698669</v>
      </c>
      <c r="N710" s="556" cm="1">
        <f t="array" ref="N710">SUMPRODUCT('W2'!$M$12:$R$112*('W2'!$M$7:$R$7=$A710)*('W2'!$A$12:$A$112=$B710))*(SUM(N690,N708:N709))</f>
        <v>-2754.9642168714672</v>
      </c>
      <c r="O710" s="556" cm="1">
        <f t="array" ref="O710">SUMPRODUCT('W2'!$M$12:$R$112*('W2'!$M$7:$R$7=$A710)*('W2'!$A$12:$A$112=$B710))*(SUM(O690,O708:O709))</f>
        <v>-2826.3541343817064</v>
      </c>
      <c r="P710" s="556" cm="1">
        <f t="array" ref="P710">SUMPRODUCT('W2'!$M$12:$R$112*('W2'!$M$7:$R$7=$A710)*('W2'!$A$12:$A$112=$B710))*(SUM(P690,P708:P709))</f>
        <v>-2901.3135477674591</v>
      </c>
      <c r="Q710" s="556" cm="1">
        <f t="array" ref="Q710">SUMPRODUCT('W2'!$M$12:$R$112*('W2'!$M$7:$R$7=$A710)*('W2'!$A$12:$A$112=$B710))*(SUM(Q690,Q708:Q709))</f>
        <v>-2980.0209318224988</v>
      </c>
      <c r="R710" s="556" cm="1">
        <f t="array" ref="R710">SUMPRODUCT('W2'!$M$12:$R$112*('W2'!$M$7:$R$7=$A710)*('W2'!$A$12:$A$112=$B710))*(SUM(R690,R708:R709))</f>
        <v>-3062.6636850802902</v>
      </c>
      <c r="S710" s="556" cm="1">
        <f t="array" ref="S710">SUMPRODUCT('W2'!$M$12:$R$112*('W2'!$M$7:$R$7=$A710)*('W2'!$A$12:$A$112=$B710))*(SUM(S690,S708:S709))</f>
        <v>-3149.4385760009709</v>
      </c>
      <c r="T710" s="556" cm="1">
        <f t="array" ref="T710">SUMPRODUCT('W2'!$M$12:$R$112*('W2'!$M$7:$R$7=$A710)*('W2'!$A$12:$A$112=$B710))*(SUM(T690,T708:T709))</f>
        <v>-3240.552211467686</v>
      </c>
      <c r="U710" s="556" cm="1">
        <f t="array" ref="U710">SUMPRODUCT('W2'!$M$12:$R$112*('W2'!$M$7:$R$7=$A710)*('W2'!$A$12:$A$112=$B710))*(SUM(U690,U708:U709))</f>
        <v>-3336.2215287077374</v>
      </c>
      <c r="V710" s="556" cm="1">
        <f t="array" ref="V710">SUMPRODUCT('W2'!$M$12:$R$112*('W2'!$M$7:$R$7=$A710)*('W2'!$A$12:$A$112=$B710))*(SUM(V690,V708:V709))</f>
        <v>-3436.6743118097907</v>
      </c>
      <c r="W710" s="556" cm="1">
        <f t="array" ref="W710">SUMPRODUCT('W2'!$M$12:$R$112*('W2'!$M$7:$R$7=$A710)*('W2'!$A$12:$A$112=$B710))*(SUM(W690,W708:W709))</f>
        <v>-3542.1497340669471</v>
      </c>
      <c r="X710" s="556" cm="1">
        <f t="array" ref="X710">SUMPRODUCT('W2'!$M$12:$R$112*('W2'!$M$7:$R$7=$A710)*('W2'!$A$12:$A$112=$B710))*(SUM(X690,X708:X709))</f>
        <v>-2602.9322607702948</v>
      </c>
      <c r="Y710" s="556" cm="1">
        <f t="array" ref="Y710">SUMPRODUCT('W2'!$M$12:$R$112*('W2'!$M$7:$R$7=$A710)*('W2'!$A$12:$A$112=$B710))*(SUM(Y690,Y708:Y709))</f>
        <v>-2719.2189138088092</v>
      </c>
      <c r="Z710" s="556" cm="1">
        <f t="array" ref="Z710">SUMPRODUCT('W2'!$M$12:$R$112*('W2'!$M$7:$R$7=$A710)*('W2'!$A$12:$A$112=$B710))*(SUM(Z690,Z708:Z709))</f>
        <v>-2841.3198994992504</v>
      </c>
      <c r="AA710" s="556" cm="1">
        <f t="array" ref="AA710">SUMPRODUCT('W2'!$M$12:$R$112*('W2'!$M$7:$R$7=$A710)*('W2'!$A$12:$A$112=$B710))*(SUM(AA690,AA708:AA709))</f>
        <v>-2969.5259344742121</v>
      </c>
      <c r="AB710" s="556" cm="1">
        <f t="array" ref="AB710">SUMPRODUCT('W2'!$M$12:$R$112*('W2'!$M$7:$R$7=$A710)*('W2'!$A$12:$A$112=$B710))*(SUM(AB690,AB708:AB709))</f>
        <v>-3104.1422711979239</v>
      </c>
      <c r="AC710" s="556" cm="1">
        <f t="array" ref="AC710">SUMPRODUCT('W2'!$M$12:$R$112*('W2'!$M$7:$R$7=$A710)*('W2'!$A$12:$A$112=$B710))*(SUM(AC690,AC708:AC709))</f>
        <v>-3245.4894247578195</v>
      </c>
      <c r="AD710" s="556" cm="1">
        <f t="array" ref="AD710">SUMPRODUCT('W2'!$M$12:$R$112*('W2'!$M$7:$R$7=$A710)*('W2'!$A$12:$A$112=$B710))*(SUM(AD690,AD708:AD709))</f>
        <v>-3393.903935995711</v>
      </c>
      <c r="AE710" s="556" cm="1">
        <f t="array" ref="AE710">SUMPRODUCT('W2'!$M$12:$R$112*('W2'!$M$7:$R$7=$A710)*('W2'!$A$12:$A$112=$B710))*(SUM(AE690,AE708:AE709))</f>
        <v>-3549.7391727954964</v>
      </c>
      <c r="AF710" s="556" cm="1">
        <f t="array" ref="AF710">SUMPRODUCT('W2'!$M$12:$R$112*('W2'!$M$7:$R$7=$A710)*('W2'!$A$12:$A$112=$B710))*(SUM(AF690,AF708:AF709))</f>
        <v>-3713.3661714352702</v>
      </c>
      <c r="AG710" s="556" cm="1">
        <f t="array" ref="AG710">SUMPRODUCT('W2'!$M$12:$R$112*('W2'!$M$7:$R$7=$A710)*('W2'!$A$12:$A$112=$B710))*(SUM(AG690,AG708:AG709))</f>
        <v>-3885.1745200070345</v>
      </c>
      <c r="AH710" s="556" cm="1">
        <f t="array" ref="AH710">SUMPRODUCT('W2'!$M$12:$R$112*('W2'!$M$7:$R$7=$A710)*('W2'!$A$12:$A$112=$B710))*(SUM(AH690,AH708:AH709))</f>
        <v>-4065.5732860073863</v>
      </c>
      <c r="AI710" s="556" cm="1">
        <f t="array" ref="AI710">SUMPRODUCT('W2'!$M$12:$R$112*('W2'!$M$7:$R$7=$A710)*('W2'!$A$12:$A$112=$B710))*(SUM(AI690,AI708:AI709))</f>
        <v>-4254.9919903077553</v>
      </c>
      <c r="AJ710" s="556" cm="1">
        <f t="array" ref="AJ710">SUMPRODUCT('W2'!$M$12:$R$112*('W2'!$M$7:$R$7=$A710)*('W2'!$A$12:$A$112=$B710))*(SUM(AJ690,AJ708:AJ709))</f>
        <v>-4453.8816298231432</v>
      </c>
    </row>
    <row r="711" spans="1:36" hidden="1" x14ac:dyDescent="0.25">
      <c r="A711" t="s">
        <v>697</v>
      </c>
      <c r="K711" s="15"/>
      <c r="L711" s="263"/>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row>
    <row r="712" spans="1:36" s="300" customFormat="1" hidden="1" x14ac:dyDescent="0.25">
      <c r="A712" s="300" t="s">
        <v>697</v>
      </c>
      <c r="H712" s="301" t="s">
        <v>464</v>
      </c>
      <c r="I712" s="302" t="str">
        <f>IF($H$9="USD","USD","tr. VND")</f>
        <v>tr. VND</v>
      </c>
      <c r="K712" s="303">
        <f>K690+K700</f>
        <v>0</v>
      </c>
      <c r="L712" s="303">
        <f t="shared" ref="L712:AJ712" si="1058">L690+L700</f>
        <v>-146564.94827035477</v>
      </c>
      <c r="M712" s="303">
        <f t="shared" si="1058"/>
        <v>-182886.90883716336</v>
      </c>
      <c r="N712" s="303">
        <f t="shared" si="1058"/>
        <v>-242525.71662891837</v>
      </c>
      <c r="O712" s="303">
        <f t="shared" si="1058"/>
        <v>-247839.63071921444</v>
      </c>
      <c r="P712" s="303">
        <f t="shared" si="1058"/>
        <v>-253317.49939173562</v>
      </c>
      <c r="Q712" s="303">
        <f t="shared" si="1058"/>
        <v>-258965.48555314739</v>
      </c>
      <c r="R712" s="303">
        <f t="shared" si="1058"/>
        <v>-264790.01955899963</v>
      </c>
      <c r="S712" s="303">
        <f t="shared" si="1058"/>
        <v>-270797.81177224166</v>
      </c>
      <c r="T712" s="303">
        <f t="shared" si="1058"/>
        <v>-276995.86573338497</v>
      </c>
      <c r="U712" s="303">
        <f t="shared" si="1058"/>
        <v>-283391.49197256943</v>
      </c>
      <c r="V712" s="303">
        <f t="shared" si="1058"/>
        <v>-289992.32249529677</v>
      </c>
      <c r="W712" s="303">
        <f t="shared" si="1058"/>
        <v>-296806.32597517577</v>
      </c>
      <c r="X712" s="303">
        <f t="shared" si="1058"/>
        <v>-276542.69035535096</v>
      </c>
      <c r="Y712" s="303">
        <f t="shared" si="1058"/>
        <v>-283808.37289536331</v>
      </c>
      <c r="Z712" s="303">
        <f t="shared" si="1058"/>
        <v>-291313.31770202116</v>
      </c>
      <c r="AA712" s="303">
        <f t="shared" si="1058"/>
        <v>-299067.0074514497</v>
      </c>
      <c r="AB712" s="303">
        <f t="shared" si="1058"/>
        <v>-307079.34934483614</v>
      </c>
      <c r="AC712" s="303">
        <f t="shared" si="1058"/>
        <v>-315360.69534250826</v>
      </c>
      <c r="AD712" s="303">
        <f t="shared" si="1058"/>
        <v>-323921.8633898726</v>
      </c>
      <c r="AE712" s="303">
        <f t="shared" si="1058"/>
        <v>-332774.15968440985</v>
      </c>
      <c r="AF712" s="303">
        <f t="shared" si="1058"/>
        <v>-341929.40203537489</v>
      </c>
      <c r="AG712" s="303">
        <f t="shared" si="1058"/>
        <v>-351399.94437042304</v>
      </c>
      <c r="AH712" s="303">
        <f t="shared" si="1058"/>
        <v>-361198.70244608924</v>
      </c>
      <c r="AI712" s="303">
        <f t="shared" si="1058"/>
        <v>-371339.18082188169</v>
      </c>
      <c r="AJ712" s="303">
        <f t="shared" si="1058"/>
        <v>-381835.50116073334</v>
      </c>
    </row>
    <row r="713" spans="1:36" hidden="1" x14ac:dyDescent="0.25">
      <c r="A713" t="s">
        <v>697</v>
      </c>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row>
    <row r="714" spans="1:36" hidden="1" x14ac:dyDescent="0.25">
      <c r="A714" t="s">
        <v>697</v>
      </c>
      <c r="B714" t="s">
        <v>622</v>
      </c>
      <c r="H714" s="459" t="s">
        <v>166</v>
      </c>
      <c r="I714" s="494" t="str">
        <f>IF($H$9="USD","USD","tr. VND")</f>
        <v>tr. VND</v>
      </c>
      <c r="K714" s="461"/>
      <c r="L714" s="461" cm="1">
        <f t="array" ref="L714">-SUMPRODUCT('W2'!$M$12:$R$112*('W2'!$M$7:$R$7=$A714)*('W2'!$A$12:$A$112=$B714))*L679*$H$10*POWER(1+Inflation,L$11+1)</f>
        <v>-2890.6149888</v>
      </c>
      <c r="M714" s="461" cm="1">
        <f t="array" ref="M714">-SUMPRODUCT('W2'!$M$12:$R$112*('W2'!$M$7:$R$7=$A714)*('W2'!$A$12:$A$112=$B714))*M679*$H$10*POWER(1+Inflation,M$11+1)</f>
        <v>-4046.8609843199997</v>
      </c>
      <c r="N714" s="461" cm="1">
        <f t="array" ref="N714">-SUMPRODUCT('W2'!$M$12:$R$112*('W2'!$M$7:$R$7=$A714)*('W2'!$A$12:$A$112=$B714))*N679*$H$10*POWER(1+Inflation,N$11+1)</f>
        <v>-6070.2914764799998</v>
      </c>
      <c r="O714" s="461" cm="1">
        <f t="array" ref="O714">-SUMPRODUCT('W2'!$M$12:$R$112*('W2'!$M$7:$R$7=$A714)*('W2'!$A$12:$A$112=$B714))*O679*$H$10*POWER(1+Inflation,O$11+1)</f>
        <v>-6373.8060503040006</v>
      </c>
      <c r="P714" s="461" cm="1">
        <f t="array" ref="P714">-SUMPRODUCT('W2'!$M$12:$R$112*('W2'!$M$7:$R$7=$A714)*('W2'!$A$12:$A$112=$B714))*P679*$H$10*POWER(1+Inflation,P$11+1)</f>
        <v>-6692.4963528192011</v>
      </c>
      <c r="Q714" s="461" cm="1">
        <f t="array" ref="Q714">-SUMPRODUCT('W2'!$M$12:$R$112*('W2'!$M$7:$R$7=$A714)*('W2'!$A$12:$A$112=$B714))*Q679*$H$10*POWER(1+Inflation,Q$11+1)</f>
        <v>-7027.1211704601601</v>
      </c>
      <c r="R714" s="461" cm="1">
        <f t="array" ref="R714">-SUMPRODUCT('W2'!$M$12:$R$112*('W2'!$M$7:$R$7=$A714)*('W2'!$A$12:$A$112=$B714))*R679*$H$10*POWER(1+Inflation,R$11+1)</f>
        <v>-7378.477228983169</v>
      </c>
      <c r="S714" s="461" cm="1">
        <f t="array" ref="S714">-SUMPRODUCT('W2'!$M$12:$R$112*('W2'!$M$7:$R$7=$A714)*('W2'!$A$12:$A$112=$B714))*S679*$H$10*POWER(1+Inflation,S$11+1)</f>
        <v>-7747.4010904323259</v>
      </c>
      <c r="T714" s="461" cm="1">
        <f t="array" ref="T714">-SUMPRODUCT('W2'!$M$12:$R$112*('W2'!$M$7:$R$7=$A714)*('W2'!$A$12:$A$112=$B714))*T679*$H$10*POWER(1+Inflation,T$11+1)</f>
        <v>-8134.7711449539438</v>
      </c>
      <c r="U714" s="461" cm="1">
        <f t="array" ref="U714">-SUMPRODUCT('W2'!$M$12:$R$112*('W2'!$M$7:$R$7=$A714)*('W2'!$A$12:$A$112=$B714))*U679*$H$10*POWER(1+Inflation,U$11+1)</f>
        <v>-8541.5097022016398</v>
      </c>
      <c r="V714" s="461" cm="1">
        <f t="array" ref="V714">-SUMPRODUCT('W2'!$M$12:$R$112*('W2'!$M$7:$R$7=$A714)*('W2'!$A$12:$A$112=$B714))*V679*$H$10*POWER(1+Inflation,V$11+1)</f>
        <v>-8968.5851873117226</v>
      </c>
      <c r="W714" s="461" cm="1">
        <f t="array" ref="W714">-SUMPRODUCT('W2'!$M$12:$R$112*('W2'!$M$7:$R$7=$A714)*('W2'!$A$12:$A$112=$B714))*W679*$H$10*POWER(1+Inflation,W$11+1)</f>
        <v>-9417.014446677309</v>
      </c>
      <c r="X714" s="461" cm="1">
        <f t="array" ref="X714">-SUMPRODUCT('W2'!$M$12:$R$112*('W2'!$M$7:$R$7=$A714)*('W2'!$A$12:$A$112=$B714))*X679*$H$10*POWER(1+Inflation,X$11+1)</f>
        <v>-9887.8651690111747</v>
      </c>
      <c r="Y714" s="461" cm="1">
        <f t="array" ref="Y714">-SUMPRODUCT('W2'!$M$12:$R$112*('W2'!$M$7:$R$7=$A714)*('W2'!$A$12:$A$112=$B714))*Y679*$H$10*POWER(1+Inflation,Y$11+1)</f>
        <v>-10382.258427461733</v>
      </c>
      <c r="Z714" s="461" cm="1">
        <f t="array" ref="Z714">-SUMPRODUCT('W2'!$M$12:$R$112*('W2'!$M$7:$R$7=$A714)*('W2'!$A$12:$A$112=$B714))*Z679*$H$10*POWER(1+Inflation,Z$11+1)</f>
        <v>-10901.37134883482</v>
      </c>
      <c r="AA714" s="461" cm="1">
        <f t="array" ref="AA714">-SUMPRODUCT('W2'!$M$12:$R$112*('W2'!$M$7:$R$7=$A714)*('W2'!$A$12:$A$112=$B714))*AA679*$H$10*POWER(1+Inflation,AA$11+1)</f>
        <v>-11446.439916276559</v>
      </c>
      <c r="AB714" s="461" cm="1">
        <f t="array" ref="AB714">-SUMPRODUCT('W2'!$M$12:$R$112*('W2'!$M$7:$R$7=$A714)*('W2'!$A$12:$A$112=$B714))*AB679*$H$10*POWER(1+Inflation,AB$11+1)</f>
        <v>-12018.761912090391</v>
      </c>
      <c r="AC714" s="461" cm="1">
        <f t="array" ref="AC714">-SUMPRODUCT('W2'!$M$12:$R$112*('W2'!$M$7:$R$7=$A714)*('W2'!$A$12:$A$112=$B714))*AC679*$H$10*POWER(1+Inflation,AC$11+1)</f>
        <v>-12619.70000769491</v>
      </c>
      <c r="AD714" s="461" cm="1">
        <f t="array" ref="AD714">-SUMPRODUCT('W2'!$M$12:$R$112*('W2'!$M$7:$R$7=$A714)*('W2'!$A$12:$A$112=$B714))*AD679*$H$10*POWER(1+Inflation,AD$11+1)</f>
        <v>-13250.685008079656</v>
      </c>
      <c r="AE714" s="461" cm="1">
        <f t="array" ref="AE714">-SUMPRODUCT('W2'!$M$12:$R$112*('W2'!$M$7:$R$7=$A714)*('W2'!$A$12:$A$112=$B714))*AE679*$H$10*POWER(1+Inflation,AE$11+1)</f>
        <v>-13913.219258483639</v>
      </c>
      <c r="AF714" s="461" cm="1">
        <f t="array" ref="AF714">-SUMPRODUCT('W2'!$M$12:$R$112*('W2'!$M$7:$R$7=$A714)*('W2'!$A$12:$A$112=$B714))*AF679*$H$10*POWER(1+Inflation,AF$11+1)</f>
        <v>-14608.88022140782</v>
      </c>
      <c r="AG714" s="461" cm="1">
        <f t="array" ref="AG714">-SUMPRODUCT('W2'!$M$12:$R$112*('W2'!$M$7:$R$7=$A714)*('W2'!$A$12:$A$112=$B714))*AG679*$H$10*POWER(1+Inflation,AG$11+1)</f>
        <v>-15339.324232478211</v>
      </c>
      <c r="AH714" s="461" cm="1">
        <f t="array" ref="AH714">-SUMPRODUCT('W2'!$M$12:$R$112*('W2'!$M$7:$R$7=$A714)*('W2'!$A$12:$A$112=$B714))*AH679*$H$10*POWER(1+Inflation,AH$11+1)</f>
        <v>-16106.290444102122</v>
      </c>
      <c r="AI714" s="461" cm="1">
        <f t="array" ref="AI714">-SUMPRODUCT('W2'!$M$12:$R$112*('W2'!$M$7:$R$7=$A714)*('W2'!$A$12:$A$112=$B714))*AI679*$H$10*POWER(1+Inflation,AI$11+1)</f>
        <v>-16911.604966307226</v>
      </c>
      <c r="AJ714" s="461" cm="1">
        <f t="array" ref="AJ714">-SUMPRODUCT('W2'!$M$12:$R$112*('W2'!$M$7:$R$7=$A714)*('W2'!$A$12:$A$112=$B714))*AJ679*$H$10*POWER(1+Inflation,AJ$11+1)</f>
        <v>-17757.18521462259</v>
      </c>
    </row>
    <row r="715" spans="1:36" hidden="1" x14ac:dyDescent="0.25">
      <c r="A715" t="s">
        <v>697</v>
      </c>
      <c r="B715" t="s">
        <v>527</v>
      </c>
      <c r="H715" s="454" t="s">
        <v>469</v>
      </c>
      <c r="I715" s="497" t="str">
        <f>IF($H$9="USD","USD","tr. VND")</f>
        <v>tr. VND</v>
      </c>
      <c r="K715" s="457"/>
      <c r="L715" s="457" cm="1">
        <f t="array" ref="L715">-SUMPRODUCT('W2'!$M$12:$R$112*('W2'!$M$7:$R$7=$A715)*('W2'!$A$12:$A$112=$B715))*L679*$H$10*POWER(1+Inflation,L$11+1)</f>
        <v>-1148.6237265875268</v>
      </c>
      <c r="M715" s="457" cm="1">
        <f t="array" ref="M715">-SUMPRODUCT('W2'!$M$12:$R$112*('W2'!$M$7:$R$7=$A715)*('W2'!$A$12:$A$112=$B715))*M679*$H$10*POWER(1+Inflation,M$11+1)</f>
        <v>-1608.0732172225376</v>
      </c>
      <c r="N715" s="457" cm="1">
        <f t="array" ref="N715">-SUMPRODUCT('W2'!$M$12:$R$112*('W2'!$M$7:$R$7=$A715)*('W2'!$A$12:$A$112=$B715))*N679*$H$10*POWER(1+Inflation,N$11+1)</f>
        <v>-2412.1098258338066</v>
      </c>
      <c r="O715" s="457" cm="1">
        <f t="array" ref="O715">-SUMPRODUCT('W2'!$M$12:$R$112*('W2'!$M$7:$R$7=$A715)*('W2'!$A$12:$A$112=$B715))*O679*$H$10*POWER(1+Inflation,O$11+1)</f>
        <v>-2532.7153171254968</v>
      </c>
      <c r="P715" s="457" cm="1">
        <f t="array" ref="P715">-SUMPRODUCT('W2'!$M$12:$R$112*('W2'!$M$7:$R$7=$A715)*('W2'!$A$12:$A$112=$B715))*P679*$H$10*POWER(1+Inflation,P$11+1)</f>
        <v>-2659.3510829817715</v>
      </c>
      <c r="Q715" s="457" cm="1">
        <f t="array" ref="Q715">-SUMPRODUCT('W2'!$M$12:$R$112*('W2'!$M$7:$R$7=$A715)*('W2'!$A$12:$A$112=$B715))*Q679*$H$10*POWER(1+Inflation,Q$11+1)</f>
        <v>-2792.3186371308598</v>
      </c>
      <c r="R715" s="457" cm="1">
        <f t="array" ref="R715">-SUMPRODUCT('W2'!$M$12:$R$112*('W2'!$M$7:$R$7=$A715)*('W2'!$A$12:$A$112=$B715))*R679*$H$10*POWER(1+Inflation,R$11+1)</f>
        <v>-2931.9345689874031</v>
      </c>
      <c r="S715" s="457" cm="1">
        <f t="array" ref="S715">-SUMPRODUCT('W2'!$M$12:$R$112*('W2'!$M$7:$R$7=$A715)*('W2'!$A$12:$A$112=$B715))*S679*$H$10*POWER(1+Inflation,S$11+1)</f>
        <v>-3078.531297436773</v>
      </c>
      <c r="T715" s="457" cm="1">
        <f t="array" ref="T715">-SUMPRODUCT('W2'!$M$12:$R$112*('W2'!$M$7:$R$7=$A715)*('W2'!$A$12:$A$112=$B715))*T679*$H$10*POWER(1+Inflation,T$11+1)</f>
        <v>-3232.4578623086122</v>
      </c>
      <c r="U715" s="457" cm="1">
        <f t="array" ref="U715">-SUMPRODUCT('W2'!$M$12:$R$112*('W2'!$M$7:$R$7=$A715)*('W2'!$A$12:$A$112=$B715))*U679*$H$10*POWER(1+Inflation,U$11+1)</f>
        <v>-3394.0807554240423</v>
      </c>
      <c r="V715" s="457" cm="1">
        <f t="array" ref="V715">-SUMPRODUCT('W2'!$M$12:$R$112*('W2'!$M$7:$R$7=$A715)*('W2'!$A$12:$A$112=$B715))*V679*$H$10*POWER(1+Inflation,V$11+1)</f>
        <v>-3563.7847931952447</v>
      </c>
      <c r="W715" s="457" cm="1">
        <f t="array" ref="W715">-SUMPRODUCT('W2'!$M$12:$R$112*('W2'!$M$7:$R$7=$A715)*('W2'!$A$12:$A$112=$B715))*W679*$H$10*POWER(1+Inflation,W$11+1)</f>
        <v>-3741.974032855007</v>
      </c>
      <c r="X715" s="457" cm="1">
        <f t="array" ref="X715">-SUMPRODUCT('W2'!$M$12:$R$112*('W2'!$M$7:$R$7=$A715)*('W2'!$A$12:$A$112=$B715))*X679*$H$10*POWER(1+Inflation,X$11+1)</f>
        <v>-3929.0727344977577</v>
      </c>
      <c r="Y715" s="457" cm="1">
        <f t="array" ref="Y715">-SUMPRODUCT('W2'!$M$12:$R$112*('W2'!$M$7:$R$7=$A715)*('W2'!$A$12:$A$112=$B715))*Y679*$H$10*POWER(1+Inflation,Y$11+1)</f>
        <v>-4125.5263712226451</v>
      </c>
      <c r="Z715" s="457" cm="1">
        <f t="array" ref="Z715">-SUMPRODUCT('W2'!$M$12:$R$112*('W2'!$M$7:$R$7=$A715)*('W2'!$A$12:$A$112=$B715))*Z679*$H$10*POWER(1+Inflation,Z$11+1)</f>
        <v>-4331.8026897837781</v>
      </c>
      <c r="AA715" s="457" cm="1">
        <f t="array" ref="AA715">-SUMPRODUCT('W2'!$M$12:$R$112*('W2'!$M$7:$R$7=$A715)*('W2'!$A$12:$A$112=$B715))*AA679*$H$10*POWER(1+Inflation,AA$11+1)</f>
        <v>-4548.3928242729662</v>
      </c>
      <c r="AB715" s="457" cm="1">
        <f t="array" ref="AB715">-SUMPRODUCT('W2'!$M$12:$R$112*('W2'!$M$7:$R$7=$A715)*('W2'!$A$12:$A$112=$B715))*AB679*$H$10*POWER(1+Inflation,AB$11+1)</f>
        <v>-4775.812465486616</v>
      </c>
      <c r="AC715" s="457" cm="1">
        <f t="array" ref="AC715">-SUMPRODUCT('W2'!$M$12:$R$112*('W2'!$M$7:$R$7=$A715)*('W2'!$A$12:$A$112=$B715))*AC679*$H$10*POWER(1+Inflation,AC$11+1)</f>
        <v>-5014.6030887609459</v>
      </c>
      <c r="AD715" s="457" cm="1">
        <f t="array" ref="AD715">-SUMPRODUCT('W2'!$M$12:$R$112*('W2'!$M$7:$R$7=$A715)*('W2'!$A$12:$A$112=$B715))*AD679*$H$10*POWER(1+Inflation,AD$11+1)</f>
        <v>-5265.3332431989938</v>
      </c>
      <c r="AE715" s="457" cm="1">
        <f t="array" ref="AE715">-SUMPRODUCT('W2'!$M$12:$R$112*('W2'!$M$7:$R$7=$A715)*('W2'!$A$12:$A$112=$B715))*AE679*$H$10*POWER(1+Inflation,AE$11+1)</f>
        <v>-5528.5999053589439</v>
      </c>
      <c r="AF715" s="457" cm="1">
        <f t="array" ref="AF715">-SUMPRODUCT('W2'!$M$12:$R$112*('W2'!$M$7:$R$7=$A715)*('W2'!$A$12:$A$112=$B715))*AF679*$H$10*POWER(1+Inflation,AF$11+1)</f>
        <v>-5805.0299006268906</v>
      </c>
      <c r="AG715" s="457" cm="1">
        <f t="array" ref="AG715">-SUMPRODUCT('W2'!$M$12:$R$112*('W2'!$M$7:$R$7=$A715)*('W2'!$A$12:$A$112=$B715))*AG679*$H$10*POWER(1+Inflation,AG$11+1)</f>
        <v>-6095.2813956582349</v>
      </c>
      <c r="AH715" s="457" cm="1">
        <f t="array" ref="AH715">-SUMPRODUCT('W2'!$M$12:$R$112*('W2'!$M$7:$R$7=$A715)*('W2'!$A$12:$A$112=$B715))*AH679*$H$10*POWER(1+Inflation,AH$11+1)</f>
        <v>-6400.0454654411469</v>
      </c>
      <c r="AI715" s="457" cm="1">
        <f t="array" ref="AI715">-SUMPRODUCT('W2'!$M$12:$R$112*('W2'!$M$7:$R$7=$A715)*('W2'!$A$12:$A$112=$B715))*AI679*$H$10*POWER(1+Inflation,AI$11+1)</f>
        <v>-6720.0477387132032</v>
      </c>
      <c r="AJ715" s="457" cm="1">
        <f t="array" ref="AJ715">-SUMPRODUCT('W2'!$M$12:$R$112*('W2'!$M$7:$R$7=$A715)*('W2'!$A$12:$A$112=$B715))*AJ679*$H$10*POWER(1+Inflation,AJ$11+1)</f>
        <v>-7056.0501256488651</v>
      </c>
    </row>
    <row r="716" spans="1:36" hidden="1" x14ac:dyDescent="0.25">
      <c r="A716" t="s">
        <v>697</v>
      </c>
      <c r="B716" t="s">
        <v>522</v>
      </c>
      <c r="H716" s="454" t="s">
        <v>468</v>
      </c>
      <c r="I716" s="497" t="str">
        <f>IF($H$9="USD","USD","tr. VND")</f>
        <v>tr. VND</v>
      </c>
      <c r="K716" s="454"/>
      <c r="L716" s="457" cm="1">
        <f t="array" ref="L716">-SUMPRODUCT('W2'!$M$12:$R$112*('W2'!$M$7:$R$7=$A716)*('W2'!$A$12:$A$112=$B716))*L679*$H$10*POWER(1+Inflation,L$11+1)</f>
        <v>-384.72221097128374</v>
      </c>
      <c r="M716" s="457" cm="1">
        <f t="array" ref="M716">-SUMPRODUCT('W2'!$M$12:$R$112*('W2'!$M$7:$R$7=$A716)*('W2'!$A$12:$A$112=$B716))*M679*$H$10*POWER(1+Inflation,M$11+1)</f>
        <v>-538.6110953597971</v>
      </c>
      <c r="N716" s="457" cm="1">
        <f t="array" ref="N716">-SUMPRODUCT('W2'!$M$12:$R$112*('W2'!$M$7:$R$7=$A716)*('W2'!$A$12:$A$112=$B716))*N679*$H$10*POWER(1+Inflation,N$11+1)</f>
        <v>-807.91664303969594</v>
      </c>
      <c r="O716" s="457" cm="1">
        <f t="array" ref="O716">-SUMPRODUCT('W2'!$M$12:$R$112*('W2'!$M$7:$R$7=$A716)*('W2'!$A$12:$A$112=$B716))*O679*$H$10*POWER(1+Inflation,O$11+1)</f>
        <v>-848.31247519168073</v>
      </c>
      <c r="P716" s="457" cm="1">
        <f t="array" ref="P716">-SUMPRODUCT('W2'!$M$12:$R$112*('W2'!$M$7:$R$7=$A716)*('W2'!$A$12:$A$112=$B716))*P679*$H$10*POWER(1+Inflation,P$11+1)</f>
        <v>-890.72809895126477</v>
      </c>
      <c r="Q716" s="457" cm="1">
        <f t="array" ref="Q716">-SUMPRODUCT('W2'!$M$12:$R$112*('W2'!$M$7:$R$7=$A716)*('W2'!$A$12:$A$112=$B716))*Q679*$H$10*POWER(1+Inflation,Q$11+1)</f>
        <v>-935.26450389882791</v>
      </c>
      <c r="R716" s="457" cm="1">
        <f t="array" ref="R716">-SUMPRODUCT('W2'!$M$12:$R$112*('W2'!$M$7:$R$7=$A716)*('W2'!$A$12:$A$112=$B716))*R679*$H$10*POWER(1+Inflation,R$11+1)</f>
        <v>-982.02772909376938</v>
      </c>
      <c r="S716" s="457" cm="1">
        <f t="array" ref="S716">-SUMPRODUCT('W2'!$M$12:$R$112*('W2'!$M$7:$R$7=$A716)*('W2'!$A$12:$A$112=$B716))*S679*$H$10*POWER(1+Inflation,S$11+1)</f>
        <v>-1031.1291155484578</v>
      </c>
      <c r="T716" s="457" cm="1">
        <f t="array" ref="T716">-SUMPRODUCT('W2'!$M$12:$R$112*('W2'!$M$7:$R$7=$A716)*('W2'!$A$12:$A$112=$B716))*T679*$H$10*POWER(1+Inflation,T$11+1)</f>
        <v>-1082.6855713258808</v>
      </c>
      <c r="U716" s="457" cm="1">
        <f t="array" ref="U716">-SUMPRODUCT('W2'!$M$12:$R$112*('W2'!$M$7:$R$7=$A716)*('W2'!$A$12:$A$112=$B716))*U679*$H$10*POWER(1+Inflation,U$11+1)</f>
        <v>-1136.8198498921747</v>
      </c>
      <c r="V716" s="457" cm="1">
        <f t="array" ref="V716">-SUMPRODUCT('W2'!$M$12:$R$112*('W2'!$M$7:$R$7=$A716)*('W2'!$A$12:$A$112=$B716))*V679*$H$10*POWER(1+Inflation,V$11+1)</f>
        <v>-1193.6608423867835</v>
      </c>
      <c r="W716" s="457" cm="1">
        <f t="array" ref="W716">-SUMPRODUCT('W2'!$M$12:$R$112*('W2'!$M$7:$R$7=$A716)*('W2'!$A$12:$A$112=$B716))*W679*$H$10*POWER(1+Inflation,W$11+1)</f>
        <v>-1253.3438845061228</v>
      </c>
      <c r="X716" s="457" cm="1">
        <f t="array" ref="X716">-SUMPRODUCT('W2'!$M$12:$R$112*('W2'!$M$7:$R$7=$A716)*('W2'!$A$12:$A$112=$B716))*X679*$H$10*POWER(1+Inflation,X$11+1)</f>
        <v>-1316.0110787314291</v>
      </c>
      <c r="Y716" s="457" cm="1">
        <f t="array" ref="Y716">-SUMPRODUCT('W2'!$M$12:$R$112*('W2'!$M$7:$R$7=$A716)*('W2'!$A$12:$A$112=$B716))*Y679*$H$10*POWER(1+Inflation,Y$11+1)</f>
        <v>-1381.8116326680001</v>
      </c>
      <c r="Z716" s="457" cm="1">
        <f t="array" ref="Z716">-SUMPRODUCT('W2'!$M$12:$R$112*('W2'!$M$7:$R$7=$A716)*('W2'!$A$12:$A$112=$B716))*Z679*$H$10*POWER(1+Inflation,Z$11+1)</f>
        <v>-1450.9022143014006</v>
      </c>
      <c r="AA716" s="457" cm="1">
        <f t="array" ref="AA716">-SUMPRODUCT('W2'!$M$12:$R$112*('W2'!$M$7:$R$7=$A716)*('W2'!$A$12:$A$112=$B716))*AA679*$H$10*POWER(1+Inflation,AA$11+1)</f>
        <v>-1523.4473250164701</v>
      </c>
      <c r="AB716" s="457" cm="1">
        <f t="array" ref="AB716">-SUMPRODUCT('W2'!$M$12:$R$112*('W2'!$M$7:$R$7=$A716)*('W2'!$A$12:$A$112=$B716))*AB679*$H$10*POWER(1+Inflation,AB$11+1)</f>
        <v>-1599.6196912672942</v>
      </c>
      <c r="AC716" s="457" cm="1">
        <f t="array" ref="AC716">-SUMPRODUCT('W2'!$M$12:$R$112*('W2'!$M$7:$R$7=$A716)*('W2'!$A$12:$A$112=$B716))*AC679*$H$10*POWER(1+Inflation,AC$11+1)</f>
        <v>-1679.6006758306587</v>
      </c>
      <c r="AD716" s="457" cm="1">
        <f t="array" ref="AD716">-SUMPRODUCT('W2'!$M$12:$R$112*('W2'!$M$7:$R$7=$A716)*('W2'!$A$12:$A$112=$B716))*AD679*$H$10*POWER(1+Inflation,AD$11+1)</f>
        <v>-1763.580709622192</v>
      </c>
      <c r="AE716" s="457" cm="1">
        <f t="array" ref="AE716">-SUMPRODUCT('W2'!$M$12:$R$112*('W2'!$M$7:$R$7=$A716)*('W2'!$A$12:$A$112=$B716))*AE679*$H$10*POWER(1+Inflation,AE$11+1)</f>
        <v>-1851.7597451033014</v>
      </c>
      <c r="AF716" s="457" cm="1">
        <f t="array" ref="AF716">-SUMPRODUCT('W2'!$M$12:$R$112*('W2'!$M$7:$R$7=$A716)*('W2'!$A$12:$A$112=$B716))*AF679*$H$10*POWER(1+Inflation,AF$11+1)</f>
        <v>-1944.3477323584666</v>
      </c>
      <c r="AG716" s="457" cm="1">
        <f t="array" ref="AG716">-SUMPRODUCT('W2'!$M$12:$R$112*('W2'!$M$7:$R$7=$A716)*('W2'!$A$12:$A$112=$B716))*AG679*$H$10*POWER(1+Inflation,AG$11+1)</f>
        <v>-2041.5651189763898</v>
      </c>
      <c r="AH716" s="457" cm="1">
        <f t="array" ref="AH716">-SUMPRODUCT('W2'!$M$12:$R$112*('W2'!$M$7:$R$7=$A716)*('W2'!$A$12:$A$112=$B716))*AH679*$H$10*POWER(1+Inflation,AH$11+1)</f>
        <v>-2143.6433749252092</v>
      </c>
      <c r="AI716" s="457" cm="1">
        <f t="array" ref="AI716">-SUMPRODUCT('W2'!$M$12:$R$112*('W2'!$M$7:$R$7=$A716)*('W2'!$A$12:$A$112=$B716))*AI679*$H$10*POWER(1+Inflation,AI$11+1)</f>
        <v>-2250.8255436714694</v>
      </c>
      <c r="AJ716" s="457" cm="1">
        <f t="array" ref="AJ716">-SUMPRODUCT('W2'!$M$12:$R$112*('W2'!$M$7:$R$7=$A716)*('W2'!$A$12:$A$112=$B716))*AJ679*$H$10*POWER(1+Inflation,AJ$11+1)</f>
        <v>-2363.3668208550434</v>
      </c>
    </row>
    <row r="717" spans="1:36" hidden="1" x14ac:dyDescent="0.25">
      <c r="A717" t="s">
        <v>697</v>
      </c>
      <c r="H717" s="454" t="s">
        <v>470</v>
      </c>
      <c r="I717" s="497" t="str">
        <f>IF($H$9="USD","USD","tr. VND")</f>
        <v>tr. VND</v>
      </c>
      <c r="K717" s="454"/>
      <c r="L717" s="457" cm="1">
        <f t="array" ref="L717">-SUMPRODUCT('Lãi vay'!$E$5:$AI$34*('Lãi vay'!$A$5:$A$34=$A717)*('Lãi vay'!$B$5:$B$34="Lãi vay")*('Lãi vay'!$E$3:$AI$3=L$14))*$H$10</f>
        <v>-26039.439999999999</v>
      </c>
      <c r="M717" s="457" cm="1">
        <f t="array" ref="M717">-SUMPRODUCT('Lãi vay'!$E$5:$AI$34*('Lãi vay'!$A$5:$A$34=$A717)*('Lãi vay'!$B$5:$B$34="Lãi vay")*('Lãi vay'!$E$3:$AI$3=M$14))*$H$10</f>
        <v>-25809.578577958124</v>
      </c>
      <c r="N717" s="457" cm="1">
        <f t="array" ref="N717">-SUMPRODUCT('Lãi vay'!$E$5:$AI$34*('Lãi vay'!$A$5:$A$34=$A717)*('Lãi vay'!$B$5:$B$34="Lãi vay")*('Lãi vay'!$E$3:$AI$3=N$14))*$H$10</f>
        <v>-25561.3282421529</v>
      </c>
      <c r="O717" s="457" cm="1">
        <f t="array" ref="O717">-SUMPRODUCT('Lãi vay'!$E$5:$AI$34*('Lãi vay'!$A$5:$A$34=$A717)*('Lãi vay'!$B$5:$B$34="Lãi vay")*('Lãi vay'!$E$3:$AI$3=O$14))*$H$10</f>
        <v>-25293.217879483254</v>
      </c>
      <c r="P717" s="457" cm="1">
        <f t="array" ref="P717">-SUMPRODUCT('Lãi vay'!$E$5:$AI$34*('Lãi vay'!$A$5:$A$34=$A717)*('Lãi vay'!$B$5:$B$34="Lãi vay")*('Lãi vay'!$E$3:$AI$3=P$14))*$H$10</f>
        <v>-25003.658687800045</v>
      </c>
      <c r="Q717" s="457" cm="1">
        <f t="array" ref="Q717">-SUMPRODUCT('Lãi vay'!$E$5:$AI$34*('Lãi vay'!$A$5:$A$34=$A717)*('Lãi vay'!$B$5:$B$34="Lãi vay")*('Lãi vay'!$E$3:$AI$3=Q$14))*$H$10</f>
        <v>-24690.934760782173</v>
      </c>
      <c r="R717" s="457" cm="1">
        <f t="array" ref="R717">-SUMPRODUCT('Lãi vay'!$E$5:$AI$34*('Lãi vay'!$A$5:$A$34=$A717)*('Lãi vay'!$B$5:$B$34="Lãi vay")*('Lãi vay'!$E$3:$AI$3=R$14))*$H$10</f>
        <v>-24353.192919602869</v>
      </c>
      <c r="S717" s="457" cm="1">
        <f t="array" ref="S717">-SUMPRODUCT('Lãi vay'!$E$5:$AI$34*('Lãi vay'!$A$5:$A$34=$A717)*('Lãi vay'!$B$5:$B$34="Lãi vay")*('Lãi vay'!$E$3:$AI$3=S$14))*$H$10</f>
        <v>-23988.431731129222</v>
      </c>
      <c r="T717" s="457" cm="1">
        <f t="array" ref="T717">-SUMPRODUCT('Lãi vay'!$E$5:$AI$34*('Lãi vay'!$A$5:$A$34=$A717)*('Lãi vay'!$B$5:$B$34="Lãi vay")*('Lãi vay'!$E$3:$AI$3=T$14))*$H$10</f>
        <v>-23594.489647577684</v>
      </c>
      <c r="U717" s="457" cm="1">
        <f t="array" ref="U717">-SUMPRODUCT('Lãi vay'!$E$5:$AI$34*('Lãi vay'!$A$5:$A$34=$A717)*('Lãi vay'!$B$5:$B$34="Lãi vay")*('Lãi vay'!$E$3:$AI$3=U$14))*$H$10</f>
        <v>-23169.032197342025</v>
      </c>
      <c r="V717" s="457" cm="1">
        <f t="array" ref="V717">-SUMPRODUCT('Lãi vay'!$E$5:$AI$34*('Lãi vay'!$A$5:$A$34=$A717)*('Lãi vay'!$B$5:$B$34="Lãi vay")*('Lãi vay'!$E$3:$AI$3=V$14))*$H$10</f>
        <v>-22709.538151087516</v>
      </c>
      <c r="W717" s="457" cm="1">
        <f t="array" ref="W717">-SUMPRODUCT('Lãi vay'!$E$5:$AI$34*('Lãi vay'!$A$5:$A$34=$A717)*('Lãi vay'!$B$5:$B$34="Lãi vay")*('Lãi vay'!$E$3:$AI$3=W$14))*$H$10</f>
        <v>-22213.284581132641</v>
      </c>
      <c r="X717" s="457" cm="1">
        <f t="array" ref="X717">-SUMPRODUCT('Lãi vay'!$E$5:$AI$34*('Lãi vay'!$A$5:$A$34=$A717)*('Lãi vay'!$B$5:$B$34="Lãi vay")*('Lãi vay'!$E$3:$AI$3=X$14))*$H$10</f>
        <v>-21677.330725581378</v>
      </c>
      <c r="Y717" s="457" cm="1">
        <f t="array" ref="Y717">-SUMPRODUCT('Lãi vay'!$E$5:$AI$34*('Lãi vay'!$A$5:$A$34=$A717)*('Lãi vay'!$B$5:$B$34="Lãi vay")*('Lãi vay'!$E$3:$AI$3=Y$14))*$H$10</f>
        <v>-21098.500561586017</v>
      </c>
      <c r="Z717" s="457" cm="1">
        <f t="array" ref="Z717">-SUMPRODUCT('Lãi vay'!$E$5:$AI$34*('Lãi vay'!$A$5:$A$34=$A717)*('Lãi vay'!$B$5:$B$34="Lãi vay")*('Lãi vay'!$E$3:$AI$3=Z$14))*$H$10</f>
        <v>-20473.363984471027</v>
      </c>
      <c r="AA717" s="457" cm="1">
        <f t="array" ref="AA717">-SUMPRODUCT('Lãi vay'!$E$5:$AI$34*('Lãi vay'!$A$5:$A$34=$A717)*('Lãi vay'!$B$5:$B$34="Lãi vay")*('Lãi vay'!$E$3:$AI$3=AA$14))*$H$10</f>
        <v>-19798.216481186839</v>
      </c>
      <c r="AB717" s="457" cm="1">
        <f t="array" ref="AB717">-SUMPRODUCT('Lãi vay'!$E$5:$AI$34*('Lãi vay'!$A$5:$A$34=$A717)*('Lãi vay'!$B$5:$B$34="Lãi vay")*('Lãi vay'!$E$3:$AI$3=AB$14))*$H$10</f>
        <v>-19069.057177639912</v>
      </c>
      <c r="AC717" s="457" cm="1">
        <f t="array" ref="AC717">-SUMPRODUCT('Lãi vay'!$E$5:$AI$34*('Lãi vay'!$A$5:$A$34=$A717)*('Lãi vay'!$B$5:$B$34="Lãi vay")*('Lãi vay'!$E$3:$AI$3=AC$14))*$H$10</f>
        <v>-18281.565129809234</v>
      </c>
      <c r="AD717" s="457" cm="1">
        <f t="array" ref="AD717">-SUMPRODUCT('Lãi vay'!$E$5:$AI$34*('Lãi vay'!$A$5:$A$34=$A717)*('Lãi vay'!$B$5:$B$34="Lãi vay")*('Lãi vay'!$E$3:$AI$3=AD$14))*$H$10</f>
        <v>-17431.0737181521</v>
      </c>
      <c r="AE717" s="457" cm="1">
        <f t="array" ref="AE717">-SUMPRODUCT('Lãi vay'!$E$5:$AI$34*('Lãi vay'!$A$5:$A$34=$A717)*('Lãi vay'!$B$5:$B$34="Lãi vay")*('Lãi vay'!$E$3:$AI$3=AE$14))*$H$10</f>
        <v>-16512.542993562394</v>
      </c>
      <c r="AF717" s="457" cm="1">
        <f t="array" ref="AF717">-SUMPRODUCT('Lãi vay'!$E$5:$AI$34*('Lãi vay'!$A$5:$A$34=$A717)*('Lãi vay'!$B$5:$B$34="Lãi vay")*('Lãi vay'!$E$3:$AI$3=AF$14))*$H$10</f>
        <v>-15520.529811005516</v>
      </c>
      <c r="AG717" s="457" cm="1">
        <f t="array" ref="AG717">-SUMPRODUCT('Lãi vay'!$E$5:$AI$34*('Lãi vay'!$A$5:$A$34=$A717)*('Lãi vay'!$B$5:$B$34="Lãi vay")*('Lãi vay'!$E$3:$AI$3=AG$14))*$H$10</f>
        <v>-14449.155573844086</v>
      </c>
      <c r="AH717" s="457" cm="1">
        <f t="array" ref="AH717">-SUMPRODUCT('Lãi vay'!$E$5:$AI$34*('Lãi vay'!$A$5:$A$34=$A717)*('Lãi vay'!$B$5:$B$34="Lãi vay")*('Lãi vay'!$E$3:$AI$3=AH$14))*$H$10</f>
        <v>-13292.071397709738</v>
      </c>
      <c r="AI717" s="457" cm="1">
        <f t="array" ref="AI717">-SUMPRODUCT('Lãi vay'!$E$5:$AI$34*('Lãi vay'!$A$5:$A$34=$A717)*('Lãi vay'!$B$5:$B$34="Lãi vay")*('Lãi vay'!$E$3:$AI$3=AI$14))*$H$10</f>
        <v>-12042.420487484645</v>
      </c>
      <c r="AJ717" s="457" cm="1">
        <f t="array" ref="AJ717">-SUMPRODUCT('Lãi vay'!$E$5:$AI$34*('Lãi vay'!$A$5:$A$34=$A717)*('Lãi vay'!$B$5:$B$34="Lãi vay")*('Lãi vay'!$E$3:$AI$3=AJ$14))*$H$10</f>
        <v>-10692.797504441543</v>
      </c>
    </row>
    <row r="718" spans="1:36" hidden="1" x14ac:dyDescent="0.25">
      <c r="A718" t="s">
        <v>697</v>
      </c>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row>
    <row r="719" spans="1:36" s="16" customFormat="1" hidden="1" x14ac:dyDescent="0.25">
      <c r="A719" s="16" t="s">
        <v>697</v>
      </c>
      <c r="H719" s="270" t="s">
        <v>472</v>
      </c>
      <c r="I719" s="271" t="str">
        <f>IF($H$9="USD","USD","tr. VND")</f>
        <v>tr. VND</v>
      </c>
      <c r="K719" s="272">
        <f t="shared" ref="K719" si="1059">K712+SUM(K714:K717)</f>
        <v>0</v>
      </c>
      <c r="L719" s="272">
        <f>L712+SUM(L714:L717)</f>
        <v>-177028.34919671359</v>
      </c>
      <c r="M719" s="272">
        <f t="shared" ref="M719:AJ719" si="1060">M712+SUM(M714:M717)</f>
        <v>-214890.03271202382</v>
      </c>
      <c r="N719" s="272">
        <f t="shared" si="1060"/>
        <v>-277377.36281642475</v>
      </c>
      <c r="O719" s="272">
        <f t="shared" si="1060"/>
        <v>-282887.68244131887</v>
      </c>
      <c r="P719" s="272">
        <f t="shared" si="1060"/>
        <v>-288563.73361428792</v>
      </c>
      <c r="Q719" s="272">
        <f t="shared" si="1060"/>
        <v>-294411.12462541938</v>
      </c>
      <c r="R719" s="272">
        <f t="shared" si="1060"/>
        <v>-300435.65200566687</v>
      </c>
      <c r="S719" s="272">
        <f t="shared" si="1060"/>
        <v>-306643.30500678846</v>
      </c>
      <c r="T719" s="272">
        <f t="shared" si="1060"/>
        <v>-313040.26995955111</v>
      </c>
      <c r="U719" s="272">
        <f t="shared" si="1060"/>
        <v>-319632.93447742931</v>
      </c>
      <c r="V719" s="272">
        <f t="shared" si="1060"/>
        <v>-326427.89146927802</v>
      </c>
      <c r="W719" s="272">
        <f t="shared" si="1060"/>
        <v>-333431.94292034686</v>
      </c>
      <c r="X719" s="272">
        <f t="shared" si="1060"/>
        <v>-313352.97006317269</v>
      </c>
      <c r="Y719" s="272">
        <f t="shared" si="1060"/>
        <v>-320796.46988830168</v>
      </c>
      <c r="Z719" s="272">
        <f t="shared" si="1060"/>
        <v>-328470.7579394122</v>
      </c>
      <c r="AA719" s="272">
        <f t="shared" si="1060"/>
        <v>-336383.5039982025</v>
      </c>
      <c r="AB719" s="272">
        <f t="shared" si="1060"/>
        <v>-344542.60059132037</v>
      </c>
      <c r="AC719" s="272">
        <f t="shared" si="1060"/>
        <v>-352956.16424460401</v>
      </c>
      <c r="AD719" s="272">
        <f t="shared" si="1060"/>
        <v>-361632.53606892552</v>
      </c>
      <c r="AE719" s="272">
        <f t="shared" si="1060"/>
        <v>-370580.28158691816</v>
      </c>
      <c r="AF719" s="272">
        <f t="shared" si="1060"/>
        <v>-379808.18970077357</v>
      </c>
      <c r="AG719" s="272">
        <f t="shared" si="1060"/>
        <v>-389325.27069137996</v>
      </c>
      <c r="AH719" s="272">
        <f t="shared" si="1060"/>
        <v>-399140.75312826748</v>
      </c>
      <c r="AI719" s="272">
        <f t="shared" si="1060"/>
        <v>-409264.07955805823</v>
      </c>
      <c r="AJ719" s="272">
        <f t="shared" si="1060"/>
        <v>-419704.90082630137</v>
      </c>
    </row>
    <row r="720" spans="1:36" hidden="1" x14ac:dyDescent="0.25">
      <c r="A720" t="s">
        <v>697</v>
      </c>
    </row>
    <row r="721" spans="1:40" s="24" customFormat="1" ht="17.25" hidden="1" x14ac:dyDescent="0.3">
      <c r="A721" s="24" t="s">
        <v>697</v>
      </c>
      <c r="H721" s="644" t="s">
        <v>473</v>
      </c>
      <c r="I721" s="644"/>
      <c r="K721" s="644"/>
      <c r="L721" s="644"/>
      <c r="M721" s="644"/>
      <c r="N721" s="644"/>
      <c r="O721" s="644"/>
      <c r="P721" s="644"/>
      <c r="Q721" s="644"/>
      <c r="R721" s="644"/>
      <c r="S721" s="644"/>
      <c r="T721" s="644"/>
      <c r="U721" s="644"/>
      <c r="V721" s="644"/>
      <c r="W721" s="644"/>
      <c r="X721" s="644"/>
      <c r="Y721" s="644"/>
      <c r="Z721" s="644"/>
      <c r="AA721" s="644"/>
      <c r="AB721" s="644"/>
      <c r="AC721" s="644"/>
      <c r="AD721" s="644"/>
      <c r="AE721" s="644"/>
      <c r="AF721" s="644"/>
      <c r="AG721" s="644"/>
      <c r="AH721" s="644"/>
      <c r="AI721" s="644"/>
      <c r="AJ721" s="644"/>
    </row>
    <row r="722" spans="1:40" s="1" customFormat="1" hidden="1" x14ac:dyDescent="0.25">
      <c r="A722" s="1" t="s">
        <v>697</v>
      </c>
      <c r="H722" s="273" t="s">
        <v>434</v>
      </c>
      <c r="I722" s="274" t="str">
        <f>IF($H$9="USD","USD/tấn","tr. VND/tấn")</f>
        <v>tr. VND/tấn</v>
      </c>
      <c r="K722" s="278">
        <f t="shared" ref="K722" si="1061">SUM(K723:K724,K727:K730,)</f>
        <v>0</v>
      </c>
      <c r="L722" s="278">
        <f>SUM(L723:L724,L727:L730,)</f>
        <v>17.311564453508478</v>
      </c>
      <c r="M722" s="278">
        <f t="shared" ref="M722:AJ722" si="1062">SUM(M723:M724,M727:M730,)</f>
        <v>12.365403181077484</v>
      </c>
      <c r="N722" s="278">
        <f t="shared" si="1062"/>
        <v>8.8207459473399723</v>
      </c>
      <c r="O722" s="278">
        <f t="shared" si="1062"/>
        <v>8.993957853954992</v>
      </c>
      <c r="P722" s="278">
        <f t="shared" si="1062"/>
        <v>9.1758303559007626</v>
      </c>
      <c r="Q722" s="278">
        <f t="shared" si="1062"/>
        <v>9.3667964829438191</v>
      </c>
      <c r="R722" s="278">
        <f t="shared" si="1062"/>
        <v>9.5673109163390322</v>
      </c>
      <c r="S722" s="278">
        <f t="shared" si="1062"/>
        <v>9.7778510714040046</v>
      </c>
      <c r="T722" s="278">
        <f t="shared" si="1062"/>
        <v>9.9989182342222236</v>
      </c>
      <c r="U722" s="278">
        <f t="shared" si="1062"/>
        <v>10.231038755181356</v>
      </c>
      <c r="V722" s="278">
        <f t="shared" si="1062"/>
        <v>10.474765302188445</v>
      </c>
      <c r="W722" s="278">
        <f t="shared" si="1062"/>
        <v>10.730678176545887</v>
      </c>
      <c r="X722" s="278">
        <f t="shared" si="1062"/>
        <v>6.761668714684907</v>
      </c>
      <c r="Y722" s="278">
        <f t="shared" si="1062"/>
        <v>7.0438126586639873</v>
      </c>
      <c r="Z722" s="278">
        <f t="shared" si="1062"/>
        <v>7.3400637998420235</v>
      </c>
      <c r="AA722" s="278">
        <f t="shared" si="1062"/>
        <v>7.6511274980789574</v>
      </c>
      <c r="AB722" s="278">
        <f t="shared" si="1062"/>
        <v>7.9777443812277431</v>
      </c>
      <c r="AC722" s="278">
        <f t="shared" si="1062"/>
        <v>8.3206921085339651</v>
      </c>
      <c r="AD722" s="278">
        <f t="shared" si="1062"/>
        <v>8.6807872222054989</v>
      </c>
      <c r="AE722" s="278">
        <f t="shared" si="1062"/>
        <v>9.0588870915606101</v>
      </c>
      <c r="AF722" s="278">
        <f t="shared" si="1062"/>
        <v>9.455891954383473</v>
      </c>
      <c r="AG722" s="278">
        <f t="shared" si="1062"/>
        <v>9.8727470603474838</v>
      </c>
      <c r="AH722" s="278">
        <f t="shared" si="1062"/>
        <v>10.310444921609692</v>
      </c>
      <c r="AI722" s="278">
        <f t="shared" si="1062"/>
        <v>10.77002767593501</v>
      </c>
      <c r="AJ722" s="278">
        <f t="shared" si="1062"/>
        <v>11.252589567976601</v>
      </c>
      <c r="AM722" s="39"/>
      <c r="AN722" s="39"/>
    </row>
    <row r="723" spans="1:40" hidden="1" x14ac:dyDescent="0.25">
      <c r="A723" t="s">
        <v>697</v>
      </c>
      <c r="C723" t="s">
        <v>367</v>
      </c>
      <c r="H723" s="557" t="s">
        <v>190</v>
      </c>
      <c r="I723" s="558" t="str">
        <f t="shared" ref="I723:I756" si="1063">IF($H$9="USD","USD/tấn","tr. VND/tấn")</f>
        <v>tr. VND/tấn</v>
      </c>
      <c r="K723" s="563"/>
      <c r="L723" s="564">
        <f t="shared" ref="L723:AJ723" si="1064">-IF($H$9="VND",L691/L679/$H$10/10^3,L691/L679/$H$10*10^3)</f>
        <v>10.412739966700826</v>
      </c>
      <c r="M723" s="564">
        <f t="shared" si="1064"/>
        <v>7.4376714047863048</v>
      </c>
      <c r="N723" s="564">
        <f t="shared" si="1064"/>
        <v>5.2063699833504131</v>
      </c>
      <c r="O723" s="564">
        <f t="shared" si="1064"/>
        <v>5.2063699833504131</v>
      </c>
      <c r="P723" s="564">
        <f t="shared" si="1064"/>
        <v>5.2063699833504131</v>
      </c>
      <c r="Q723" s="564">
        <f t="shared" si="1064"/>
        <v>5.2063699833504131</v>
      </c>
      <c r="R723" s="564">
        <f t="shared" si="1064"/>
        <v>5.2063699833504131</v>
      </c>
      <c r="S723" s="564">
        <f t="shared" si="1064"/>
        <v>5.2063699833504131</v>
      </c>
      <c r="T723" s="564">
        <f t="shared" si="1064"/>
        <v>5.2063699833504131</v>
      </c>
      <c r="U723" s="564">
        <f t="shared" si="1064"/>
        <v>5.2063699833504131</v>
      </c>
      <c r="V723" s="564">
        <f t="shared" si="1064"/>
        <v>5.2063699833504131</v>
      </c>
      <c r="W723" s="564">
        <f t="shared" si="1064"/>
        <v>5.2063699833504131</v>
      </c>
      <c r="X723" s="564">
        <f t="shared" si="1064"/>
        <v>0.96865200341411861</v>
      </c>
      <c r="Y723" s="564">
        <f t="shared" si="1064"/>
        <v>0.96865200341411861</v>
      </c>
      <c r="Z723" s="564">
        <f t="shared" si="1064"/>
        <v>0.96865200341411861</v>
      </c>
      <c r="AA723" s="564">
        <f t="shared" si="1064"/>
        <v>0.96865200341411861</v>
      </c>
      <c r="AB723" s="564">
        <f t="shared" si="1064"/>
        <v>0.96865200341411861</v>
      </c>
      <c r="AC723" s="564">
        <f t="shared" si="1064"/>
        <v>0.96865200341411861</v>
      </c>
      <c r="AD723" s="564">
        <f t="shared" si="1064"/>
        <v>0.96865200341411861</v>
      </c>
      <c r="AE723" s="564">
        <f t="shared" si="1064"/>
        <v>0.96865200341411861</v>
      </c>
      <c r="AF723" s="564">
        <f t="shared" si="1064"/>
        <v>0.96865200341411861</v>
      </c>
      <c r="AG723" s="564">
        <f t="shared" si="1064"/>
        <v>0.96865200341411861</v>
      </c>
      <c r="AH723" s="564">
        <f t="shared" si="1064"/>
        <v>0.96865200341411861</v>
      </c>
      <c r="AI723" s="564">
        <f t="shared" si="1064"/>
        <v>0.96865200341411861</v>
      </c>
      <c r="AJ723" s="564">
        <f t="shared" si="1064"/>
        <v>0.96865200341411861</v>
      </c>
      <c r="AM723" s="15"/>
      <c r="AN723" s="15"/>
    </row>
    <row r="724" spans="1:40" hidden="1" x14ac:dyDescent="0.25">
      <c r="A724" t="s">
        <v>697</v>
      </c>
      <c r="H724" s="559" t="s">
        <v>429</v>
      </c>
      <c r="I724" s="560" t="str">
        <f t="shared" si="1063"/>
        <v>tr. VND/tấn</v>
      </c>
      <c r="K724" s="565">
        <f>SUM(K725:K726)</f>
        <v>0</v>
      </c>
      <c r="L724" s="565">
        <f t="shared" ref="L724:AJ724" si="1065">SUM(L725:L726)</f>
        <v>2.0380544703553434</v>
      </c>
      <c r="M724" s="565">
        <f t="shared" si="1065"/>
        <v>1.4557531931109595</v>
      </c>
      <c r="N724" s="565">
        <f t="shared" si="1065"/>
        <v>1.0699785969365552</v>
      </c>
      <c r="O724" s="565">
        <f t="shared" si="1065"/>
        <v>1.123477526783383</v>
      </c>
      <c r="P724" s="565">
        <f t="shared" si="1065"/>
        <v>1.1796514031225522</v>
      </c>
      <c r="Q724" s="565">
        <f t="shared" si="1065"/>
        <v>1.2386339732786797</v>
      </c>
      <c r="R724" s="565">
        <f t="shared" si="1065"/>
        <v>1.300565671942614</v>
      </c>
      <c r="S724" s="565">
        <f t="shared" si="1065"/>
        <v>1.3655939555397445</v>
      </c>
      <c r="T724" s="565">
        <f t="shared" si="1065"/>
        <v>1.4338736533167316</v>
      </c>
      <c r="U724" s="565">
        <f t="shared" si="1065"/>
        <v>1.5055673359825681</v>
      </c>
      <c r="V724" s="565">
        <f t="shared" si="1065"/>
        <v>1.5808457027816969</v>
      </c>
      <c r="W724" s="565">
        <f t="shared" si="1065"/>
        <v>1.6598879879207815</v>
      </c>
      <c r="X724" s="565">
        <f t="shared" si="1065"/>
        <v>1.7428823873168207</v>
      </c>
      <c r="Y724" s="565">
        <f t="shared" si="1065"/>
        <v>1.8300265066826615</v>
      </c>
      <c r="Z724" s="565">
        <f t="shared" si="1065"/>
        <v>1.9215278320167948</v>
      </c>
      <c r="AA724" s="565">
        <f t="shared" si="1065"/>
        <v>2.0176042236176341</v>
      </c>
      <c r="AB724" s="565">
        <f t="shared" si="1065"/>
        <v>2.1184844347985163</v>
      </c>
      <c r="AC724" s="565">
        <f t="shared" si="1065"/>
        <v>2.2244086565384422</v>
      </c>
      <c r="AD724" s="565">
        <f t="shared" si="1065"/>
        <v>2.3356290893653648</v>
      </c>
      <c r="AE724" s="565">
        <f t="shared" si="1065"/>
        <v>2.4524105438336328</v>
      </c>
      <c r="AF724" s="565">
        <f t="shared" si="1065"/>
        <v>2.5750310710253146</v>
      </c>
      <c r="AG724" s="565">
        <f t="shared" si="1065"/>
        <v>2.7037826245765806</v>
      </c>
      <c r="AH724" s="565">
        <f t="shared" si="1065"/>
        <v>2.8389717558054088</v>
      </c>
      <c r="AI724" s="565">
        <f t="shared" si="1065"/>
        <v>2.9809203435956793</v>
      </c>
      <c r="AJ724" s="565">
        <f t="shared" si="1065"/>
        <v>3.1299663607754642</v>
      </c>
      <c r="AM724" s="15"/>
      <c r="AN724" s="15"/>
    </row>
    <row r="725" spans="1:40" s="299" customFormat="1" hidden="1" x14ac:dyDescent="0.25">
      <c r="A725" s="299" t="s">
        <v>697</v>
      </c>
      <c r="C725" s="299" t="s">
        <v>367</v>
      </c>
      <c r="H725" s="561" t="s">
        <v>430</v>
      </c>
      <c r="I725" s="562" t="str">
        <f t="shared" si="1063"/>
        <v>tr. VND/tấn</v>
      </c>
      <c r="K725" s="566"/>
      <c r="L725" s="566">
        <f t="shared" ref="L725:AJ725" si="1066">-IF($H$9="VND",L693/L679/$H$10/10^3,L693/L679/$H$10*10^3)</f>
        <v>0.33319691613438851</v>
      </c>
      <c r="M725" s="566">
        <f t="shared" si="1066"/>
        <v>0.23799779723884895</v>
      </c>
      <c r="N725" s="566">
        <f t="shared" si="1066"/>
        <v>0.17492838097055399</v>
      </c>
      <c r="O725" s="566">
        <f t="shared" si="1066"/>
        <v>0.18367480001908168</v>
      </c>
      <c r="P725" s="566">
        <f t="shared" si="1066"/>
        <v>0.1928585400200358</v>
      </c>
      <c r="Q725" s="566">
        <f t="shared" si="1066"/>
        <v>0.20250146702103758</v>
      </c>
      <c r="R725" s="566">
        <f t="shared" si="1066"/>
        <v>0.21262654037208947</v>
      </c>
      <c r="S725" s="566">
        <f t="shared" si="1066"/>
        <v>0.22325786739069389</v>
      </c>
      <c r="T725" s="566">
        <f t="shared" si="1066"/>
        <v>0.23442076076022864</v>
      </c>
      <c r="U725" s="566">
        <f t="shared" si="1066"/>
        <v>0.24614179879824005</v>
      </c>
      <c r="V725" s="566">
        <f t="shared" si="1066"/>
        <v>0.25844888873815208</v>
      </c>
      <c r="W725" s="566">
        <f t="shared" si="1066"/>
        <v>0.27137133317505963</v>
      </c>
      <c r="X725" s="566">
        <f t="shared" si="1066"/>
        <v>0.28493989983381268</v>
      </c>
      <c r="Y725" s="566">
        <f t="shared" si="1066"/>
        <v>0.29918689482550326</v>
      </c>
      <c r="Z725" s="566">
        <f t="shared" si="1066"/>
        <v>0.31414623956677851</v>
      </c>
      <c r="AA725" s="566">
        <f t="shared" si="1066"/>
        <v>0.32985355154511736</v>
      </c>
      <c r="AB725" s="566">
        <f t="shared" si="1066"/>
        <v>0.34634622912237328</v>
      </c>
      <c r="AC725" s="566">
        <f t="shared" si="1066"/>
        <v>0.36366354057849198</v>
      </c>
      <c r="AD725" s="566">
        <f t="shared" si="1066"/>
        <v>0.38184671760741662</v>
      </c>
      <c r="AE725" s="566">
        <f t="shared" si="1066"/>
        <v>0.40093905348778741</v>
      </c>
      <c r="AF725" s="566">
        <f t="shared" si="1066"/>
        <v>0.42098600616217685</v>
      </c>
      <c r="AG725" s="566">
        <f t="shared" si="1066"/>
        <v>0.4420353064702856</v>
      </c>
      <c r="AH725" s="566">
        <f t="shared" si="1066"/>
        <v>0.46413707179379993</v>
      </c>
      <c r="AI725" s="566">
        <f t="shared" si="1066"/>
        <v>0.48734392538348986</v>
      </c>
      <c r="AJ725" s="566">
        <f t="shared" si="1066"/>
        <v>0.51171112165266441</v>
      </c>
      <c r="AM725" s="880"/>
      <c r="AN725" s="880"/>
    </row>
    <row r="726" spans="1:40" s="299" customFormat="1" hidden="1" x14ac:dyDescent="0.25">
      <c r="A726" s="299" t="s">
        <v>697</v>
      </c>
      <c r="C726" s="299" t="s">
        <v>367</v>
      </c>
      <c r="H726" s="561" t="s">
        <v>431</v>
      </c>
      <c r="I726" s="562" t="str">
        <f t="shared" si="1063"/>
        <v>tr. VND/tấn</v>
      </c>
      <c r="K726" s="566"/>
      <c r="L726" s="566">
        <f t="shared" ref="L726:AJ726" si="1067">-IF($H$9="VND",L694/L679/$H$10/10^3,L694/L679/$H$10*10^3)</f>
        <v>1.7048575542209548</v>
      </c>
      <c r="M726" s="566">
        <f t="shared" si="1067"/>
        <v>1.2177553958721106</v>
      </c>
      <c r="N726" s="566">
        <f t="shared" si="1067"/>
        <v>0.89505021596600121</v>
      </c>
      <c r="O726" s="566">
        <f t="shared" si="1067"/>
        <v>0.93980272676430132</v>
      </c>
      <c r="P726" s="566">
        <f t="shared" si="1067"/>
        <v>0.98679286310251635</v>
      </c>
      <c r="Q726" s="566">
        <f t="shared" si="1067"/>
        <v>1.0361325062576421</v>
      </c>
      <c r="R726" s="566">
        <f t="shared" si="1067"/>
        <v>1.0879391315705245</v>
      </c>
      <c r="S726" s="566">
        <f t="shared" si="1067"/>
        <v>1.1423360881490505</v>
      </c>
      <c r="T726" s="566">
        <f t="shared" si="1067"/>
        <v>1.1994528925565029</v>
      </c>
      <c r="U726" s="566">
        <f t="shared" si="1067"/>
        <v>1.2594255371843281</v>
      </c>
      <c r="V726" s="566">
        <f t="shared" si="1067"/>
        <v>1.3223968140435447</v>
      </c>
      <c r="W726" s="566">
        <f t="shared" si="1067"/>
        <v>1.3885166547457219</v>
      </c>
      <c r="X726" s="566">
        <f t="shared" si="1067"/>
        <v>1.457942487483008</v>
      </c>
      <c r="Y726" s="566">
        <f t="shared" si="1067"/>
        <v>1.5308396118571583</v>
      </c>
      <c r="Z726" s="566">
        <f t="shared" si="1067"/>
        <v>1.6073815924500163</v>
      </c>
      <c r="AA726" s="566">
        <f t="shared" si="1067"/>
        <v>1.6877506720725168</v>
      </c>
      <c r="AB726" s="566">
        <f t="shared" si="1067"/>
        <v>1.7721382056761432</v>
      </c>
      <c r="AC726" s="566">
        <f t="shared" si="1067"/>
        <v>1.8607451159599502</v>
      </c>
      <c r="AD726" s="566">
        <f t="shared" si="1067"/>
        <v>1.9537823717579481</v>
      </c>
      <c r="AE726" s="566">
        <f t="shared" si="1067"/>
        <v>2.0514714903458455</v>
      </c>
      <c r="AF726" s="566">
        <f t="shared" si="1067"/>
        <v>2.1540450648631375</v>
      </c>
      <c r="AG726" s="566">
        <f t="shared" si="1067"/>
        <v>2.2617473181062948</v>
      </c>
      <c r="AH726" s="566">
        <f t="shared" si="1067"/>
        <v>2.374834684011609</v>
      </c>
      <c r="AI726" s="566">
        <f t="shared" si="1067"/>
        <v>2.4935764182121893</v>
      </c>
      <c r="AJ726" s="566">
        <f t="shared" si="1067"/>
        <v>2.6182552391227998</v>
      </c>
      <c r="AM726" s="880"/>
      <c r="AN726" s="880"/>
    </row>
    <row r="727" spans="1:40" hidden="1" x14ac:dyDescent="0.25">
      <c r="A727" t="s">
        <v>697</v>
      </c>
      <c r="C727" t="s">
        <v>367</v>
      </c>
      <c r="H727" s="559" t="s">
        <v>656</v>
      </c>
      <c r="I727" s="560" t="str">
        <f t="shared" si="1063"/>
        <v>tr. VND/tấn</v>
      </c>
      <c r="K727" s="565"/>
      <c r="L727" s="565">
        <f t="shared" ref="L727:AJ727" si="1068">-IF($H$9="VND",L695/L679/$H$10/10^3,L695/L679/$H$10*10^3)</f>
        <v>0.81366768286785962</v>
      </c>
      <c r="M727" s="565">
        <f t="shared" si="1068"/>
        <v>0.58119120204847119</v>
      </c>
      <c r="N727" s="565">
        <f t="shared" si="1068"/>
        <v>0.42717553350562631</v>
      </c>
      <c r="O727" s="565">
        <f t="shared" si="1068"/>
        <v>0.44853431018090767</v>
      </c>
      <c r="P727" s="565">
        <f t="shared" si="1068"/>
        <v>0.47096102568995302</v>
      </c>
      <c r="Q727" s="565">
        <f t="shared" si="1068"/>
        <v>0.49450907697445068</v>
      </c>
      <c r="R727" s="565">
        <f t="shared" si="1068"/>
        <v>0.51923453082317328</v>
      </c>
      <c r="S727" s="565">
        <f t="shared" si="1068"/>
        <v>0.54519625736433197</v>
      </c>
      <c r="T727" s="565">
        <f t="shared" si="1068"/>
        <v>0.57245607023254852</v>
      </c>
      <c r="U727" s="565">
        <f t="shared" si="1068"/>
        <v>0.6010788737441759</v>
      </c>
      <c r="V727" s="565">
        <f t="shared" si="1068"/>
        <v>0.63113281743138472</v>
      </c>
      <c r="W727" s="565">
        <f t="shared" si="1068"/>
        <v>0.662689458302954</v>
      </c>
      <c r="X727" s="565">
        <f t="shared" si="1068"/>
        <v>0.69582393121810171</v>
      </c>
      <c r="Y727" s="565">
        <f t="shared" si="1068"/>
        <v>0.73061512777900672</v>
      </c>
      <c r="Z727" s="565">
        <f t="shared" si="1068"/>
        <v>0.76714588416795737</v>
      </c>
      <c r="AA727" s="565">
        <f t="shared" si="1068"/>
        <v>0.80550317837635477</v>
      </c>
      <c r="AB727" s="565">
        <f t="shared" si="1068"/>
        <v>0.84577833729517282</v>
      </c>
      <c r="AC727" s="565">
        <f t="shared" si="1068"/>
        <v>0.88806725415993137</v>
      </c>
      <c r="AD727" s="565">
        <f t="shared" si="1068"/>
        <v>0.9324706168679282</v>
      </c>
      <c r="AE727" s="565">
        <f t="shared" si="1068"/>
        <v>0.97909414771132464</v>
      </c>
      <c r="AF727" s="565">
        <f t="shared" si="1068"/>
        <v>1.0280488550968905</v>
      </c>
      <c r="AG727" s="565">
        <f t="shared" si="1068"/>
        <v>1.0794512978517352</v>
      </c>
      <c r="AH727" s="565">
        <f t="shared" si="1068"/>
        <v>1.1334238627443218</v>
      </c>
      <c r="AI727" s="565">
        <f t="shared" si="1068"/>
        <v>1.1900950558815382</v>
      </c>
      <c r="AJ727" s="565">
        <f t="shared" si="1068"/>
        <v>1.249599808675615</v>
      </c>
      <c r="AM727" s="15"/>
      <c r="AN727" s="15"/>
    </row>
    <row r="728" spans="1:40" hidden="1" x14ac:dyDescent="0.25">
      <c r="A728" t="s">
        <v>697</v>
      </c>
      <c r="C728" t="s">
        <v>367</v>
      </c>
      <c r="H728" s="559" t="s">
        <v>432</v>
      </c>
      <c r="I728" s="560" t="str">
        <f t="shared" si="1063"/>
        <v>tr. VND/tấn</v>
      </c>
      <c r="K728" s="565"/>
      <c r="L728" s="565">
        <f t="shared" ref="L728:AJ728" si="1069">-IF($H$9="VND",L696/L679/$H$10/10^3,L696/L679/$H$10*10^3)</f>
        <v>3.5596831031464875</v>
      </c>
      <c r="M728" s="565">
        <f t="shared" si="1069"/>
        <v>2.5426307879617771</v>
      </c>
      <c r="N728" s="565">
        <f t="shared" si="1069"/>
        <v>1.8688336291519061</v>
      </c>
      <c r="O728" s="565">
        <f t="shared" si="1069"/>
        <v>1.9622753106095017</v>
      </c>
      <c r="P728" s="565">
        <f t="shared" si="1069"/>
        <v>2.0603890761399772</v>
      </c>
      <c r="Q728" s="565">
        <f t="shared" si="1069"/>
        <v>2.1634085299469752</v>
      </c>
      <c r="R728" s="565">
        <f t="shared" si="1069"/>
        <v>2.2715789564443245</v>
      </c>
      <c r="S728" s="565">
        <f t="shared" si="1069"/>
        <v>2.3851579042665403</v>
      </c>
      <c r="T728" s="565">
        <f t="shared" si="1069"/>
        <v>2.5044157994798675</v>
      </c>
      <c r="U728" s="565">
        <f t="shared" si="1069"/>
        <v>2.6296365894538609</v>
      </c>
      <c r="V728" s="565">
        <f t="shared" si="1069"/>
        <v>2.7611184189265536</v>
      </c>
      <c r="W728" s="565">
        <f t="shared" si="1069"/>
        <v>2.8991743398728813</v>
      </c>
      <c r="X728" s="565">
        <f t="shared" si="1069"/>
        <v>3.0441330568665257</v>
      </c>
      <c r="Y728" s="565">
        <f t="shared" si="1069"/>
        <v>3.1963397097098518</v>
      </c>
      <c r="Z728" s="565">
        <f t="shared" si="1069"/>
        <v>3.3561566951953452</v>
      </c>
      <c r="AA728" s="565">
        <f t="shared" si="1069"/>
        <v>3.5239645299551117</v>
      </c>
      <c r="AB728" s="565">
        <f t="shared" si="1069"/>
        <v>3.7001627564528681</v>
      </c>
      <c r="AC728" s="565">
        <f t="shared" si="1069"/>
        <v>3.885170894275511</v>
      </c>
      <c r="AD728" s="565">
        <f t="shared" si="1069"/>
        <v>4.0794294389892869</v>
      </c>
      <c r="AE728" s="565">
        <f t="shared" si="1069"/>
        <v>4.2834009109387514</v>
      </c>
      <c r="AF728" s="565">
        <f t="shared" si="1069"/>
        <v>4.4975709564856885</v>
      </c>
      <c r="AG728" s="565">
        <f t="shared" si="1069"/>
        <v>4.7224495043099735</v>
      </c>
      <c r="AH728" s="565">
        <f t="shared" si="1069"/>
        <v>4.9585719795254724</v>
      </c>
      <c r="AI728" s="565">
        <f t="shared" si="1069"/>
        <v>5.2065005785017453</v>
      </c>
      <c r="AJ728" s="565">
        <f t="shared" si="1069"/>
        <v>5.4668256074268342</v>
      </c>
      <c r="AM728" s="15"/>
      <c r="AN728" s="15"/>
    </row>
    <row r="729" spans="1:40" hidden="1" x14ac:dyDescent="0.25">
      <c r="A729" t="s">
        <v>697</v>
      </c>
      <c r="C729" t="s">
        <v>367</v>
      </c>
      <c r="H729" s="559" t="s">
        <v>433</v>
      </c>
      <c r="I729" s="560" t="str">
        <f t="shared" si="1063"/>
        <v>tr. VND/tấn</v>
      </c>
      <c r="K729" s="565"/>
      <c r="L729" s="565">
        <f t="shared" ref="L729:AJ729" si="1070">-IF($H$9="VND",L697/L679/$H$10/10^3,L697/L679/$H$10*10^3)</f>
        <v>0.18714356705960775</v>
      </c>
      <c r="M729" s="565">
        <f t="shared" si="1070"/>
        <v>0.1336739764711484</v>
      </c>
      <c r="N729" s="565">
        <f t="shared" si="1070"/>
        <v>9.8250372706294054E-2</v>
      </c>
      <c r="O729" s="565">
        <f t="shared" si="1070"/>
        <v>0.10316289134160876</v>
      </c>
      <c r="P729" s="565">
        <f t="shared" si="1070"/>
        <v>0.1083210359086892</v>
      </c>
      <c r="Q729" s="565">
        <f t="shared" si="1070"/>
        <v>0.11373708770412366</v>
      </c>
      <c r="R729" s="565">
        <f t="shared" si="1070"/>
        <v>0.11942394208932987</v>
      </c>
      <c r="S729" s="565">
        <f t="shared" si="1070"/>
        <v>0.12539513919379636</v>
      </c>
      <c r="T729" s="565">
        <f t="shared" si="1070"/>
        <v>0.13166489615348617</v>
      </c>
      <c r="U729" s="565">
        <f t="shared" si="1070"/>
        <v>0.13824814096116045</v>
      </c>
      <c r="V729" s="565">
        <f t="shared" si="1070"/>
        <v>0.14516054800921852</v>
      </c>
      <c r="W729" s="565">
        <f t="shared" si="1070"/>
        <v>0.15241857540967943</v>
      </c>
      <c r="X729" s="565">
        <f t="shared" si="1070"/>
        <v>0.16003950418016338</v>
      </c>
      <c r="Y729" s="565">
        <f t="shared" si="1070"/>
        <v>0.16804147938917155</v>
      </c>
      <c r="Z729" s="565">
        <f t="shared" si="1070"/>
        <v>0.17644355335863013</v>
      </c>
      <c r="AA729" s="565">
        <f t="shared" si="1070"/>
        <v>0.18526573102656163</v>
      </c>
      <c r="AB729" s="565">
        <f t="shared" si="1070"/>
        <v>0.19452901757788979</v>
      </c>
      <c r="AC729" s="565">
        <f t="shared" si="1070"/>
        <v>0.20425546845678422</v>
      </c>
      <c r="AD729" s="565">
        <f t="shared" si="1070"/>
        <v>0.21446824187962349</v>
      </c>
      <c r="AE729" s="565">
        <f t="shared" si="1070"/>
        <v>0.22519165397360463</v>
      </c>
      <c r="AF729" s="565">
        <f t="shared" si="1070"/>
        <v>0.2364512366722849</v>
      </c>
      <c r="AG729" s="565">
        <f t="shared" si="1070"/>
        <v>0.24827379850589912</v>
      </c>
      <c r="AH729" s="565">
        <f t="shared" si="1070"/>
        <v>0.26068748843119405</v>
      </c>
      <c r="AI729" s="565">
        <f t="shared" si="1070"/>
        <v>0.27372186285275374</v>
      </c>
      <c r="AJ729" s="565">
        <f t="shared" si="1070"/>
        <v>0.28740795599539148</v>
      </c>
      <c r="AM729" s="15"/>
      <c r="AN729" s="15"/>
    </row>
    <row r="730" spans="1:40" hidden="1" x14ac:dyDescent="0.25">
      <c r="A730" t="s">
        <v>697</v>
      </c>
      <c r="C730" t="s">
        <v>367</v>
      </c>
      <c r="H730" s="559" t="s">
        <v>520</v>
      </c>
      <c r="I730" s="560" t="str">
        <f t="shared" si="1063"/>
        <v>tr. VND/tấn</v>
      </c>
      <c r="K730" s="565"/>
      <c r="L730" s="565">
        <f t="shared" ref="L730:AJ730" si="1071">-IF($H$9="VND",L698/L679/$H$10/10^3,L698/L679/$H$10*10^3)</f>
        <v>0.30027566337835399</v>
      </c>
      <c r="M730" s="565">
        <f t="shared" si="1071"/>
        <v>0.21448261669882426</v>
      </c>
      <c r="N730" s="565">
        <f t="shared" si="1071"/>
        <v>0.15013783168917699</v>
      </c>
      <c r="O730" s="565">
        <f t="shared" si="1071"/>
        <v>0.15013783168917699</v>
      </c>
      <c r="P730" s="565">
        <f t="shared" si="1071"/>
        <v>0.15013783168917699</v>
      </c>
      <c r="Q730" s="565">
        <f t="shared" si="1071"/>
        <v>0.15013783168917699</v>
      </c>
      <c r="R730" s="565">
        <f t="shared" si="1071"/>
        <v>0.15013783168917699</v>
      </c>
      <c r="S730" s="565">
        <f t="shared" si="1071"/>
        <v>0.15013783168917699</v>
      </c>
      <c r="T730" s="565">
        <f t="shared" si="1071"/>
        <v>0.15013783168917699</v>
      </c>
      <c r="U730" s="565">
        <f t="shared" si="1071"/>
        <v>0.15013783168917699</v>
      </c>
      <c r="V730" s="565">
        <f t="shared" si="1071"/>
        <v>0.15013783168917699</v>
      </c>
      <c r="W730" s="565">
        <f t="shared" si="1071"/>
        <v>0.15013783168917699</v>
      </c>
      <c r="X730" s="565">
        <f t="shared" si="1071"/>
        <v>0.15013783168917699</v>
      </c>
      <c r="Y730" s="565">
        <f t="shared" si="1071"/>
        <v>0.15013783168917699</v>
      </c>
      <c r="Z730" s="565">
        <f t="shared" si="1071"/>
        <v>0.15013783168917699</v>
      </c>
      <c r="AA730" s="565">
        <f t="shared" si="1071"/>
        <v>0.15013783168917699</v>
      </c>
      <c r="AB730" s="565">
        <f t="shared" si="1071"/>
        <v>0.15013783168917699</v>
      </c>
      <c r="AC730" s="565">
        <f t="shared" si="1071"/>
        <v>0.15013783168917699</v>
      </c>
      <c r="AD730" s="565">
        <f t="shared" si="1071"/>
        <v>0.15013783168917699</v>
      </c>
      <c r="AE730" s="565">
        <f t="shared" si="1071"/>
        <v>0.15013783168917699</v>
      </c>
      <c r="AF730" s="565">
        <f t="shared" si="1071"/>
        <v>0.15013783168917699</v>
      </c>
      <c r="AG730" s="565">
        <f t="shared" si="1071"/>
        <v>0.15013783168917699</v>
      </c>
      <c r="AH730" s="565">
        <f t="shared" si="1071"/>
        <v>0.15013783168917699</v>
      </c>
      <c r="AI730" s="565">
        <f t="shared" si="1071"/>
        <v>0.15013783168917699</v>
      </c>
      <c r="AJ730" s="565">
        <f t="shared" si="1071"/>
        <v>0.15013783168917699</v>
      </c>
      <c r="AM730" s="15"/>
      <c r="AN730" s="15"/>
    </row>
    <row r="731" spans="1:40" hidden="1" x14ac:dyDescent="0.25">
      <c r="A731" t="s">
        <v>697</v>
      </c>
      <c r="H731" s="247"/>
      <c r="I731" s="275"/>
      <c r="K731" s="279"/>
      <c r="L731" s="279"/>
      <c r="M731" s="279"/>
      <c r="N731" s="279"/>
      <c r="O731" s="279"/>
      <c r="P731" s="279"/>
      <c r="Q731" s="279"/>
      <c r="R731" s="279"/>
      <c r="S731" s="279"/>
      <c r="T731" s="279"/>
      <c r="U731" s="279"/>
      <c r="V731" s="279"/>
      <c r="W731" s="279"/>
      <c r="X731" s="279"/>
      <c r="Y731" s="279"/>
      <c r="Z731" s="279"/>
      <c r="AA731" s="279"/>
      <c r="AB731" s="279"/>
      <c r="AC731" s="279"/>
      <c r="AD731" s="279"/>
      <c r="AE731" s="279"/>
      <c r="AF731" s="279"/>
      <c r="AG731" s="279"/>
      <c r="AH731" s="279"/>
      <c r="AI731" s="279"/>
      <c r="AJ731" s="279"/>
      <c r="AM731" s="15"/>
      <c r="AN731" s="15"/>
    </row>
    <row r="732" spans="1:40" s="1" customFormat="1" hidden="1" x14ac:dyDescent="0.25">
      <c r="A732" s="1" t="s">
        <v>697</v>
      </c>
      <c r="H732" s="273" t="s">
        <v>435</v>
      </c>
      <c r="I732" s="274" t="str">
        <f t="shared" si="1063"/>
        <v>tr. VND/tấn</v>
      </c>
      <c r="K732" s="280">
        <f>K733+K736+K739</f>
        <v>0</v>
      </c>
      <c r="L732" s="280">
        <f t="shared" ref="L732:AJ732" si="1072">L733+L736+L739</f>
        <v>30.01191247061346</v>
      </c>
      <c r="M732" s="280">
        <f t="shared" si="1072"/>
        <v>29.814066019716222</v>
      </c>
      <c r="N732" s="280">
        <f t="shared" si="1072"/>
        <v>30.333090934667794</v>
      </c>
      <c r="O732" s="280">
        <f t="shared" si="1072"/>
        <v>31.017767949642078</v>
      </c>
      <c r="P732" s="280">
        <f t="shared" si="1072"/>
        <v>31.720253525042487</v>
      </c>
      <c r="Q732" s="280">
        <f t="shared" si="1072"/>
        <v>32.441109583083886</v>
      </c>
      <c r="R732" s="280">
        <f t="shared" si="1072"/>
        <v>33.180919571975743</v>
      </c>
      <c r="S732" s="280">
        <f t="shared" si="1072"/>
        <v>33.940289410819545</v>
      </c>
      <c r="T732" s="280">
        <f t="shared" si="1072"/>
        <v>34.719848479123037</v>
      </c>
      <c r="U732" s="280">
        <f t="shared" si="1072"/>
        <v>35.520250653109564</v>
      </c>
      <c r="V732" s="280">
        <f t="shared" si="1072"/>
        <v>36.342175391108626</v>
      </c>
      <c r="W732" s="280">
        <f t="shared" si="1072"/>
        <v>37.186328870427118</v>
      </c>
      <c r="X732" s="280">
        <f t="shared" si="1072"/>
        <v>37.883936459021918</v>
      </c>
      <c r="Y732" s="280">
        <f t="shared" si="1072"/>
        <v>38.77477883980184</v>
      </c>
      <c r="Z732" s="280">
        <f t="shared" si="1072"/>
        <v>39.690141002370723</v>
      </c>
      <c r="AA732" s="280">
        <f t="shared" si="1072"/>
        <v>40.63084848907301</v>
      </c>
      <c r="AB732" s="280">
        <f t="shared" si="1072"/>
        <v>41.597760110435509</v>
      </c>
      <c r="AC732" s="280">
        <f t="shared" si="1072"/>
        <v>42.591769448397727</v>
      </c>
      <c r="AD732" s="280">
        <f t="shared" si="1072"/>
        <v>43.613806431500251</v>
      </c>
      <c r="AE732" s="280">
        <f t="shared" si="1072"/>
        <v>44.66483898556497</v>
      </c>
      <c r="AF732" s="280">
        <f t="shared" si="1072"/>
        <v>45.745874763576111</v>
      </c>
      <c r="AG732" s="280">
        <f t="shared" si="1072"/>
        <v>46.857962958655875</v>
      </c>
      <c r="AH732" s="280">
        <f t="shared" si="1072"/>
        <v>48.002196204221043</v>
      </c>
      <c r="AI732" s="280">
        <f t="shared" si="1072"/>
        <v>49.179712565610551</v>
      </c>
      <c r="AJ732" s="280">
        <f t="shared" si="1072"/>
        <v>50.391697627686476</v>
      </c>
      <c r="AM732" s="39"/>
      <c r="AN732" s="39"/>
    </row>
    <row r="733" spans="1:40" hidden="1" x14ac:dyDescent="0.25">
      <c r="A733" t="s">
        <v>697</v>
      </c>
      <c r="H733" s="557" t="s">
        <v>454</v>
      </c>
      <c r="I733" s="558" t="str">
        <f t="shared" si="1063"/>
        <v>tr. VND/tấn</v>
      </c>
      <c r="K733" s="567">
        <f>SUM(K734:K735)</f>
        <v>0</v>
      </c>
      <c r="L733" s="567">
        <f t="shared" ref="L733:AJ733" si="1073">SUM(L734:L735)</f>
        <v>26.838709677419356</v>
      </c>
      <c r="M733" s="567">
        <f t="shared" si="1073"/>
        <v>26.838709677419359</v>
      </c>
      <c r="N733" s="567">
        <f t="shared" si="1073"/>
        <v>27.375483870967745</v>
      </c>
      <c r="O733" s="567">
        <f t="shared" si="1073"/>
        <v>27.922993548387105</v>
      </c>
      <c r="P733" s="567">
        <f t="shared" si="1073"/>
        <v>28.481453419354843</v>
      </c>
      <c r="Q733" s="567">
        <f t="shared" si="1073"/>
        <v>29.05108248774194</v>
      </c>
      <c r="R733" s="567">
        <f t="shared" si="1073"/>
        <v>29.632104137496778</v>
      </c>
      <c r="S733" s="567">
        <f t="shared" si="1073"/>
        <v>30.224746220246715</v>
      </c>
      <c r="T733" s="567">
        <f t="shared" si="1073"/>
        <v>30.829241144651643</v>
      </c>
      <c r="U733" s="567">
        <f t="shared" si="1073"/>
        <v>31.445825967544675</v>
      </c>
      <c r="V733" s="567">
        <f t="shared" si="1073"/>
        <v>32.074742486895573</v>
      </c>
      <c r="W733" s="567">
        <f t="shared" si="1073"/>
        <v>32.71623733663349</v>
      </c>
      <c r="X733" s="567">
        <f t="shared" si="1073"/>
        <v>33.370562083366146</v>
      </c>
      <c r="Y733" s="567">
        <f t="shared" si="1073"/>
        <v>34.037973325033477</v>
      </c>
      <c r="Z733" s="567">
        <f t="shared" si="1073"/>
        <v>34.718732791534151</v>
      </c>
      <c r="AA733" s="567">
        <f t="shared" si="1073"/>
        <v>35.413107447364823</v>
      </c>
      <c r="AB733" s="567">
        <f t="shared" si="1073"/>
        <v>36.121369596312114</v>
      </c>
      <c r="AC733" s="567">
        <f t="shared" si="1073"/>
        <v>36.843796988238367</v>
      </c>
      <c r="AD733" s="567">
        <f t="shared" si="1073"/>
        <v>37.580672928003132</v>
      </c>
      <c r="AE733" s="567">
        <f t="shared" si="1073"/>
        <v>38.332286386563197</v>
      </c>
      <c r="AF733" s="567">
        <f t="shared" si="1073"/>
        <v>39.098932114294456</v>
      </c>
      <c r="AG733" s="567">
        <f t="shared" si="1073"/>
        <v>39.880910756580349</v>
      </c>
      <c r="AH733" s="567">
        <f t="shared" si="1073"/>
        <v>40.678528971711948</v>
      </c>
      <c r="AI733" s="567">
        <f t="shared" si="1073"/>
        <v>41.492099551146204</v>
      </c>
      <c r="AJ733" s="567">
        <f t="shared" si="1073"/>
        <v>42.321941542169114</v>
      </c>
      <c r="AM733" s="15"/>
      <c r="AN733" s="15"/>
    </row>
    <row r="734" spans="1:40" s="299" customFormat="1" hidden="1" x14ac:dyDescent="0.25">
      <c r="A734" s="299" t="s">
        <v>697</v>
      </c>
      <c r="C734" s="299" t="s">
        <v>504</v>
      </c>
      <c r="E734" s="331"/>
      <c r="F734" s="331"/>
      <c r="H734" s="561" t="s">
        <v>167</v>
      </c>
      <c r="I734" s="562" t="str">
        <f t="shared" si="1063"/>
        <v>tr. VND/tấn</v>
      </c>
      <c r="K734" s="566"/>
      <c r="L734" s="566">
        <f t="shared" ref="L734:AJ734" si="1074">-IF($H$9="VND",L702/L679/$H$10/10^3,L702/L679/$H$10*10^3)</f>
        <v>24.96</v>
      </c>
      <c r="M734" s="566">
        <f t="shared" si="1074"/>
        <v>24.96</v>
      </c>
      <c r="N734" s="566">
        <f t="shared" si="1074"/>
        <v>25.459199999999999</v>
      </c>
      <c r="O734" s="566">
        <f t="shared" si="1074"/>
        <v>25.968384000000004</v>
      </c>
      <c r="P734" s="566">
        <f t="shared" si="1074"/>
        <v>26.487751680000002</v>
      </c>
      <c r="Q734" s="566">
        <f t="shared" si="1074"/>
        <v>27.017506713600003</v>
      </c>
      <c r="R734" s="566">
        <f t="shared" si="1074"/>
        <v>27.557856847872003</v>
      </c>
      <c r="S734" s="566">
        <f t="shared" si="1074"/>
        <v>28.109013984829442</v>
      </c>
      <c r="T734" s="566">
        <f t="shared" si="1074"/>
        <v>28.671194264526026</v>
      </c>
      <c r="U734" s="566">
        <f t="shared" si="1074"/>
        <v>29.244618149816546</v>
      </c>
      <c r="V734" s="566">
        <f t="shared" si="1074"/>
        <v>29.829510512812881</v>
      </c>
      <c r="W734" s="566">
        <f t="shared" si="1074"/>
        <v>30.426100723069144</v>
      </c>
      <c r="X734" s="566">
        <f t="shared" si="1074"/>
        <v>31.034622737530515</v>
      </c>
      <c r="Y734" s="566">
        <f t="shared" si="1074"/>
        <v>31.655315192281126</v>
      </c>
      <c r="Z734" s="566">
        <f t="shared" si="1074"/>
        <v>32.288421496126759</v>
      </c>
      <c r="AA734" s="566">
        <f t="shared" si="1074"/>
        <v>32.934189926049285</v>
      </c>
      <c r="AB734" s="566">
        <f t="shared" si="1074"/>
        <v>33.592873724570268</v>
      </c>
      <c r="AC734" s="566">
        <f t="shared" si="1074"/>
        <v>34.264731199061679</v>
      </c>
      <c r="AD734" s="566">
        <f t="shared" si="1074"/>
        <v>34.950025823042914</v>
      </c>
      <c r="AE734" s="566">
        <f t="shared" si="1074"/>
        <v>35.64902633950377</v>
      </c>
      <c r="AF734" s="566">
        <f t="shared" si="1074"/>
        <v>36.362006866293839</v>
      </c>
      <c r="AG734" s="566">
        <f t="shared" si="1074"/>
        <v>37.089247003619725</v>
      </c>
      <c r="AH734" s="566">
        <f t="shared" si="1074"/>
        <v>37.831031943692111</v>
      </c>
      <c r="AI734" s="566">
        <f t="shared" si="1074"/>
        <v>38.587652582565966</v>
      </c>
      <c r="AJ734" s="566">
        <f t="shared" si="1074"/>
        <v>39.359405634217268</v>
      </c>
      <c r="AM734" s="880"/>
      <c r="AN734" s="880"/>
    </row>
    <row r="735" spans="1:40" s="299" customFormat="1" hidden="1" x14ac:dyDescent="0.25">
      <c r="A735" s="299" t="s">
        <v>697</v>
      </c>
      <c r="C735" s="299" t="s">
        <v>387</v>
      </c>
      <c r="E735" s="331"/>
      <c r="F735" s="331"/>
      <c r="H735" s="641" t="s">
        <v>203</v>
      </c>
      <c r="I735" s="642" t="str">
        <f t="shared" si="1063"/>
        <v>tr. VND/tấn</v>
      </c>
      <c r="K735" s="643"/>
      <c r="L735" s="643">
        <f t="shared" ref="L735:AJ735" si="1075">-IF($H$9="VND",L703/L679/$H$10/10^3,L703/L679/$H$10*10^3)</f>
        <v>1.8787096774193559</v>
      </c>
      <c r="M735" s="643">
        <f t="shared" si="1075"/>
        <v>1.8787096774193583</v>
      </c>
      <c r="N735" s="643">
        <f t="shared" si="1075"/>
        <v>1.9162838709677454</v>
      </c>
      <c r="O735" s="643">
        <f t="shared" si="1075"/>
        <v>1.9546095483871007</v>
      </c>
      <c r="P735" s="643">
        <f t="shared" si="1075"/>
        <v>1.9937017393548417</v>
      </c>
      <c r="Q735" s="643">
        <f t="shared" si="1075"/>
        <v>2.0335757741419362</v>
      </c>
      <c r="R735" s="643">
        <f t="shared" si="1075"/>
        <v>2.0742472896247759</v>
      </c>
      <c r="S735" s="643">
        <f t="shared" si="1075"/>
        <v>2.1157322354172718</v>
      </c>
      <c r="T735" s="643">
        <f t="shared" si="1075"/>
        <v>2.1580468801256183</v>
      </c>
      <c r="U735" s="643">
        <f t="shared" si="1075"/>
        <v>2.2012078177281285</v>
      </c>
      <c r="V735" s="643">
        <f t="shared" si="1075"/>
        <v>2.2452319740826931</v>
      </c>
      <c r="W735" s="643">
        <f t="shared" si="1075"/>
        <v>2.2901366135643446</v>
      </c>
      <c r="X735" s="643">
        <f t="shared" si="1075"/>
        <v>2.3359393458356301</v>
      </c>
      <c r="Y735" s="643">
        <f t="shared" si="1075"/>
        <v>2.3826581327523475</v>
      </c>
      <c r="Z735" s="643">
        <f t="shared" si="1075"/>
        <v>2.430311295407392</v>
      </c>
      <c r="AA735" s="643">
        <f t="shared" si="1075"/>
        <v>2.4789175213155397</v>
      </c>
      <c r="AB735" s="643">
        <f t="shared" si="1075"/>
        <v>2.5284958717418484</v>
      </c>
      <c r="AC735" s="643">
        <f t="shared" si="1075"/>
        <v>2.5790657891766906</v>
      </c>
      <c r="AD735" s="643">
        <f t="shared" si="1075"/>
        <v>2.6306471049602203</v>
      </c>
      <c r="AE735" s="643">
        <f t="shared" si="1075"/>
        <v>2.6832600470594246</v>
      </c>
      <c r="AF735" s="643">
        <f t="shared" si="1075"/>
        <v>2.7369252480006154</v>
      </c>
      <c r="AG735" s="643">
        <f t="shared" si="1075"/>
        <v>2.7916637529606247</v>
      </c>
      <c r="AH735" s="643">
        <f t="shared" si="1075"/>
        <v>2.8474970280198399</v>
      </c>
      <c r="AI735" s="643">
        <f t="shared" si="1075"/>
        <v>2.9044469685802379</v>
      </c>
      <c r="AJ735" s="643">
        <f t="shared" si="1075"/>
        <v>2.9625359079518438</v>
      </c>
      <c r="AM735" s="880"/>
      <c r="AN735" s="880"/>
    </row>
    <row r="736" spans="1:40" hidden="1" x14ac:dyDescent="0.25">
      <c r="A736" t="s">
        <v>697</v>
      </c>
      <c r="H736" s="559" t="s">
        <v>676</v>
      </c>
      <c r="I736" s="560" t="str">
        <f t="shared" si="1063"/>
        <v>tr. VND/tấn</v>
      </c>
      <c r="K736" s="568">
        <f>SUM(K737:K738)</f>
        <v>0</v>
      </c>
      <c r="L736" s="568">
        <f t="shared" ref="L736:AJ736" si="1076">SUM(L737:L738)</f>
        <v>0.20420258064516131</v>
      </c>
      <c r="M736" s="568">
        <f t="shared" si="1076"/>
        <v>0.20420258064516134</v>
      </c>
      <c r="N736" s="568">
        <f t="shared" si="1076"/>
        <v>0.21441270967741941</v>
      </c>
      <c r="O736" s="568">
        <f t="shared" si="1076"/>
        <v>0.22513334516129035</v>
      </c>
      <c r="P736" s="568">
        <f t="shared" si="1076"/>
        <v>0.23639001241935489</v>
      </c>
      <c r="Q736" s="568">
        <f t="shared" si="1076"/>
        <v>0.24820951304032263</v>
      </c>
      <c r="R736" s="568">
        <f t="shared" si="1076"/>
        <v>0.26061998869233877</v>
      </c>
      <c r="S736" s="568">
        <f t="shared" si="1076"/>
        <v>0.27365098812695565</v>
      </c>
      <c r="T736" s="568">
        <f t="shared" si="1076"/>
        <v>0.28733353753330354</v>
      </c>
      <c r="U736" s="568">
        <f t="shared" si="1076"/>
        <v>0.30170021440996864</v>
      </c>
      <c r="V736" s="568">
        <f t="shared" si="1076"/>
        <v>0.31678522513046709</v>
      </c>
      <c r="W736" s="568">
        <f t="shared" si="1076"/>
        <v>0.33262448638699044</v>
      </c>
      <c r="X736" s="568">
        <f t="shared" si="1076"/>
        <v>0.34925571070633998</v>
      </c>
      <c r="Y736" s="568">
        <f t="shared" si="1076"/>
        <v>0.36671849624165698</v>
      </c>
      <c r="Z736" s="568">
        <f t="shared" si="1076"/>
        <v>0.38505442105373988</v>
      </c>
      <c r="AA736" s="568">
        <f t="shared" si="1076"/>
        <v>0.40430714210642676</v>
      </c>
      <c r="AB736" s="568">
        <f t="shared" si="1076"/>
        <v>0.42452249921174823</v>
      </c>
      <c r="AC736" s="568">
        <f t="shared" si="1076"/>
        <v>0.44574862417233563</v>
      </c>
      <c r="AD736" s="568">
        <f t="shared" si="1076"/>
        <v>0.46803605538095244</v>
      </c>
      <c r="AE736" s="568">
        <f t="shared" si="1076"/>
        <v>0.49143785815000002</v>
      </c>
      <c r="AF736" s="568">
        <f t="shared" si="1076"/>
        <v>0.51600975105750013</v>
      </c>
      <c r="AG736" s="568">
        <f t="shared" si="1076"/>
        <v>0.54181023861037514</v>
      </c>
      <c r="AH736" s="568">
        <f t="shared" si="1076"/>
        <v>0.56890075054089384</v>
      </c>
      <c r="AI736" s="568">
        <f t="shared" si="1076"/>
        <v>0.59734578806793848</v>
      </c>
      <c r="AJ736" s="568">
        <f t="shared" si="1076"/>
        <v>0.62721307747133548</v>
      </c>
      <c r="AM736" s="15"/>
      <c r="AN736" s="15"/>
    </row>
    <row r="737" spans="1:40" s="299" customFormat="1" hidden="1" x14ac:dyDescent="0.25">
      <c r="A737" s="299" t="s">
        <v>697</v>
      </c>
      <c r="C737" s="299" t="s">
        <v>367</v>
      </c>
      <c r="E737" s="331"/>
      <c r="F737" s="331"/>
      <c r="H737" s="561" t="s">
        <v>673</v>
      </c>
      <c r="I737" s="562" t="str">
        <f t="shared" si="1063"/>
        <v>tr. VND/tấn</v>
      </c>
      <c r="K737" s="566"/>
      <c r="L737" s="566">
        <f>-IF($H$9="VND",L705/L679/$H$10/10^3,L705/L679/$H$10*10^3)</f>
        <v>0.20420258064516131</v>
      </c>
      <c r="M737" s="566">
        <f t="shared" ref="M737:AJ737" si="1077">-IF($H$9="VND",M705/M679/$H$10/10^3,M705/M679/$H$10*10^3)</f>
        <v>0.20420258064516134</v>
      </c>
      <c r="N737" s="566">
        <f t="shared" si="1077"/>
        <v>0.21441270967741941</v>
      </c>
      <c r="O737" s="566">
        <f t="shared" si="1077"/>
        <v>0.22513334516129035</v>
      </c>
      <c r="P737" s="566">
        <f t="shared" si="1077"/>
        <v>0.23639001241935489</v>
      </c>
      <c r="Q737" s="566">
        <f t="shared" si="1077"/>
        <v>0.24820951304032263</v>
      </c>
      <c r="R737" s="566">
        <f t="shared" si="1077"/>
        <v>0.26061998869233877</v>
      </c>
      <c r="S737" s="566">
        <f t="shared" si="1077"/>
        <v>0.27365098812695565</v>
      </c>
      <c r="T737" s="566">
        <f t="shared" si="1077"/>
        <v>0.28733353753330354</v>
      </c>
      <c r="U737" s="566">
        <f t="shared" si="1077"/>
        <v>0.30170021440996864</v>
      </c>
      <c r="V737" s="566">
        <f t="shared" si="1077"/>
        <v>0.31678522513046709</v>
      </c>
      <c r="W737" s="566">
        <f t="shared" si="1077"/>
        <v>0.33262448638699044</v>
      </c>
      <c r="X737" s="566">
        <f t="shared" si="1077"/>
        <v>0.34925571070633998</v>
      </c>
      <c r="Y737" s="566">
        <f t="shared" si="1077"/>
        <v>0.36671849624165698</v>
      </c>
      <c r="Z737" s="566">
        <f t="shared" si="1077"/>
        <v>0.38505442105373988</v>
      </c>
      <c r="AA737" s="566">
        <f t="shared" si="1077"/>
        <v>0.40430714210642676</v>
      </c>
      <c r="AB737" s="566">
        <f t="shared" si="1077"/>
        <v>0.42452249921174823</v>
      </c>
      <c r="AC737" s="566">
        <f t="shared" si="1077"/>
        <v>0.44574862417233563</v>
      </c>
      <c r="AD737" s="566">
        <f t="shared" si="1077"/>
        <v>0.46803605538095244</v>
      </c>
      <c r="AE737" s="566">
        <f t="shared" si="1077"/>
        <v>0.49143785815000002</v>
      </c>
      <c r="AF737" s="566">
        <f t="shared" si="1077"/>
        <v>0.51600975105750013</v>
      </c>
      <c r="AG737" s="566">
        <f t="shared" si="1077"/>
        <v>0.54181023861037514</v>
      </c>
      <c r="AH737" s="566">
        <f t="shared" si="1077"/>
        <v>0.56890075054089384</v>
      </c>
      <c r="AI737" s="566">
        <f t="shared" si="1077"/>
        <v>0.59734578806793848</v>
      </c>
      <c r="AJ737" s="566">
        <f t="shared" si="1077"/>
        <v>0.62721307747133548</v>
      </c>
      <c r="AM737" s="880"/>
      <c r="AN737" s="880"/>
    </row>
    <row r="738" spans="1:40" s="299" customFormat="1" hidden="1" x14ac:dyDescent="0.25">
      <c r="A738" s="299" t="s">
        <v>697</v>
      </c>
      <c r="C738" s="299" t="s">
        <v>367</v>
      </c>
      <c r="E738" s="331"/>
      <c r="F738" s="331"/>
      <c r="H738" s="561" t="s">
        <v>674</v>
      </c>
      <c r="I738" s="562" t="str">
        <f t="shared" si="1063"/>
        <v>tr. VND/tấn</v>
      </c>
      <c r="K738" s="566"/>
      <c r="L738" s="566">
        <f>-IF($H$9="VND",L706/L679/$H$10/10^3,L706/L679/$H$10*10^3)</f>
        <v>0</v>
      </c>
      <c r="M738" s="566">
        <f t="shared" ref="M738:AJ738" si="1078">-IF($H$9="VND",M706/M679/$H$10/10^3,M706/M679/$H$10*10^3)</f>
        <v>0</v>
      </c>
      <c r="N738" s="566">
        <f t="shared" si="1078"/>
        <v>0</v>
      </c>
      <c r="O738" s="566">
        <f t="shared" si="1078"/>
        <v>0</v>
      </c>
      <c r="P738" s="566">
        <f t="shared" si="1078"/>
        <v>0</v>
      </c>
      <c r="Q738" s="566">
        <f t="shared" si="1078"/>
        <v>0</v>
      </c>
      <c r="R738" s="566">
        <f t="shared" si="1078"/>
        <v>0</v>
      </c>
      <c r="S738" s="566">
        <f t="shared" si="1078"/>
        <v>0</v>
      </c>
      <c r="T738" s="566">
        <f t="shared" si="1078"/>
        <v>0</v>
      </c>
      <c r="U738" s="566">
        <f t="shared" si="1078"/>
        <v>0</v>
      </c>
      <c r="V738" s="566">
        <f t="shared" si="1078"/>
        <v>0</v>
      </c>
      <c r="W738" s="566">
        <f t="shared" si="1078"/>
        <v>0</v>
      </c>
      <c r="X738" s="566">
        <f t="shared" si="1078"/>
        <v>0</v>
      </c>
      <c r="Y738" s="566">
        <f t="shared" si="1078"/>
        <v>0</v>
      </c>
      <c r="Z738" s="566">
        <f t="shared" si="1078"/>
        <v>0</v>
      </c>
      <c r="AA738" s="566">
        <f t="shared" si="1078"/>
        <v>0</v>
      </c>
      <c r="AB738" s="566">
        <f t="shared" si="1078"/>
        <v>0</v>
      </c>
      <c r="AC738" s="566">
        <f t="shared" si="1078"/>
        <v>0</v>
      </c>
      <c r="AD738" s="566">
        <f t="shared" si="1078"/>
        <v>0</v>
      </c>
      <c r="AE738" s="566">
        <f t="shared" si="1078"/>
        <v>0</v>
      </c>
      <c r="AF738" s="566">
        <f t="shared" si="1078"/>
        <v>0</v>
      </c>
      <c r="AG738" s="566">
        <f t="shared" si="1078"/>
        <v>0</v>
      </c>
      <c r="AH738" s="566">
        <f t="shared" si="1078"/>
        <v>0</v>
      </c>
      <c r="AI738" s="566">
        <f t="shared" si="1078"/>
        <v>0</v>
      </c>
      <c r="AJ738" s="566">
        <f t="shared" si="1078"/>
        <v>0</v>
      </c>
      <c r="AM738" s="880"/>
      <c r="AN738" s="880"/>
    </row>
    <row r="739" spans="1:40" hidden="1" x14ac:dyDescent="0.25">
      <c r="A739" t="s">
        <v>697</v>
      </c>
      <c r="H739" s="559" t="s">
        <v>180</v>
      </c>
      <c r="I739" s="560" t="str">
        <f t="shared" si="1063"/>
        <v>tr. VND/tấn</v>
      </c>
      <c r="K739" s="568">
        <f>SUM(K740:K742)</f>
        <v>0</v>
      </c>
      <c r="L739" s="568">
        <f>SUM(L740:L742)</f>
        <v>2.9690002125489414</v>
      </c>
      <c r="M739" s="568">
        <f t="shared" ref="M739:AJ739" si="1079">SUM(M740:M742)</f>
        <v>2.7711537616517017</v>
      </c>
      <c r="N739" s="568">
        <f t="shared" si="1079"/>
        <v>2.7431943540226316</v>
      </c>
      <c r="O739" s="568">
        <f t="shared" si="1079"/>
        <v>2.8696410560936845</v>
      </c>
      <c r="P739" s="568">
        <f t="shared" si="1079"/>
        <v>3.0024100932682898</v>
      </c>
      <c r="Q739" s="568">
        <f t="shared" si="1079"/>
        <v>3.1418175823016239</v>
      </c>
      <c r="R739" s="568">
        <f t="shared" si="1079"/>
        <v>3.2881954457866263</v>
      </c>
      <c r="S739" s="568">
        <f t="shared" si="1079"/>
        <v>3.441892202445878</v>
      </c>
      <c r="T739" s="568">
        <f t="shared" si="1079"/>
        <v>3.6032737969380935</v>
      </c>
      <c r="U739" s="568">
        <f t="shared" si="1079"/>
        <v>3.7727244711549188</v>
      </c>
      <c r="V739" s="568">
        <f t="shared" si="1079"/>
        <v>3.9506476790825857</v>
      </c>
      <c r="W739" s="568">
        <f t="shared" si="1079"/>
        <v>4.137467047406636</v>
      </c>
      <c r="X739" s="568">
        <f t="shared" si="1079"/>
        <v>4.1641186649494371</v>
      </c>
      <c r="Y739" s="568">
        <f t="shared" si="1079"/>
        <v>4.3700870185267009</v>
      </c>
      <c r="Z739" s="568">
        <f t="shared" si="1079"/>
        <v>4.5863537897828301</v>
      </c>
      <c r="AA739" s="568">
        <f t="shared" si="1079"/>
        <v>4.8134338996017645</v>
      </c>
      <c r="AB739" s="568">
        <f t="shared" si="1079"/>
        <v>5.0518680149116486</v>
      </c>
      <c r="AC739" s="568">
        <f t="shared" si="1079"/>
        <v>5.3022238359870242</v>
      </c>
      <c r="AD739" s="568">
        <f t="shared" si="1079"/>
        <v>5.5650974481161688</v>
      </c>
      <c r="AE739" s="568">
        <f t="shared" si="1079"/>
        <v>5.8411147408517703</v>
      </c>
      <c r="AF739" s="568">
        <f t="shared" si="1079"/>
        <v>6.1309328982241516</v>
      </c>
      <c r="AG739" s="568">
        <f t="shared" si="1079"/>
        <v>6.4352419634651525</v>
      </c>
      <c r="AH739" s="568">
        <f t="shared" si="1079"/>
        <v>6.7547664819682041</v>
      </c>
      <c r="AI739" s="568">
        <f t="shared" si="1079"/>
        <v>7.0902672263964064</v>
      </c>
      <c r="AJ739" s="568">
        <f t="shared" si="1079"/>
        <v>7.4425430080460222</v>
      </c>
      <c r="AM739" s="15"/>
      <c r="AN739" s="15"/>
    </row>
    <row r="740" spans="1:40" s="299" customFormat="1" hidden="1" x14ac:dyDescent="0.25">
      <c r="A740" s="299" t="s">
        <v>697</v>
      </c>
      <c r="C740" s="299" t="s">
        <v>367</v>
      </c>
      <c r="H740" s="561" t="s">
        <v>73</v>
      </c>
      <c r="I740" s="562" t="str">
        <f t="shared" si="1063"/>
        <v>tr. VND/tấn</v>
      </c>
      <c r="K740" s="566"/>
      <c r="L740" s="566">
        <f t="shared" ref="L740:AJ740" si="1080">-IF($H$9="VND",L708/L679/$H$10/10^3,L708/L679/$H$10*10^3)</f>
        <v>1.8584229390681004</v>
      </c>
      <c r="M740" s="566">
        <f t="shared" si="1080"/>
        <v>1.8584229390681002</v>
      </c>
      <c r="N740" s="566">
        <f t="shared" si="1080"/>
        <v>1.9513440860215057</v>
      </c>
      <c r="O740" s="566">
        <f t="shared" si="1080"/>
        <v>2.0489112903225815</v>
      </c>
      <c r="P740" s="566">
        <f t="shared" si="1080"/>
        <v>2.1513568548387108</v>
      </c>
      <c r="Q740" s="566">
        <f t="shared" si="1080"/>
        <v>2.2589246975806452</v>
      </c>
      <c r="R740" s="566">
        <f t="shared" si="1080"/>
        <v>2.3718709324596778</v>
      </c>
      <c r="S740" s="566">
        <f t="shared" si="1080"/>
        <v>2.4904644790826613</v>
      </c>
      <c r="T740" s="566">
        <f t="shared" si="1080"/>
        <v>2.6149877030367952</v>
      </c>
      <c r="U740" s="566">
        <f t="shared" si="1080"/>
        <v>2.7457370881886347</v>
      </c>
      <c r="V740" s="566">
        <f t="shared" si="1080"/>
        <v>2.8830239425980664</v>
      </c>
      <c r="W740" s="566">
        <f t="shared" si="1080"/>
        <v>3.0271751397279698</v>
      </c>
      <c r="X740" s="566">
        <f t="shared" si="1080"/>
        <v>3.1785338967143684</v>
      </c>
      <c r="Y740" s="566">
        <f t="shared" si="1080"/>
        <v>3.3374605915500863</v>
      </c>
      <c r="Z740" s="566">
        <f t="shared" si="1080"/>
        <v>3.5043336211275911</v>
      </c>
      <c r="AA740" s="566">
        <f t="shared" si="1080"/>
        <v>3.6795503021839702</v>
      </c>
      <c r="AB740" s="566">
        <f t="shared" si="1080"/>
        <v>3.86352781729317</v>
      </c>
      <c r="AC740" s="566">
        <f t="shared" si="1080"/>
        <v>4.0567042081578286</v>
      </c>
      <c r="AD740" s="566">
        <f t="shared" si="1080"/>
        <v>4.25953941856572</v>
      </c>
      <c r="AE740" s="566">
        <f t="shared" si="1080"/>
        <v>4.4725163894940057</v>
      </c>
      <c r="AF740" s="566">
        <f t="shared" si="1080"/>
        <v>4.6961422089687055</v>
      </c>
      <c r="AG740" s="566">
        <f t="shared" si="1080"/>
        <v>4.9309493194171408</v>
      </c>
      <c r="AH740" s="566">
        <f t="shared" si="1080"/>
        <v>5.1774967853879978</v>
      </c>
      <c r="AI740" s="566">
        <f t="shared" si="1080"/>
        <v>5.4363716246573981</v>
      </c>
      <c r="AJ740" s="566">
        <f t="shared" si="1080"/>
        <v>5.7081902058902685</v>
      </c>
      <c r="AM740" s="880"/>
      <c r="AN740" s="880"/>
    </row>
    <row r="741" spans="1:40" s="299" customFormat="1" hidden="1" x14ac:dyDescent="0.25">
      <c r="A741" s="299" t="s">
        <v>697</v>
      </c>
      <c r="C741" s="299" t="s">
        <v>370</v>
      </c>
      <c r="H741" s="561" t="s">
        <v>192</v>
      </c>
      <c r="I741" s="562" t="str">
        <f t="shared" si="1063"/>
        <v>tr. VND/tấn</v>
      </c>
      <c r="K741" s="566"/>
      <c r="L741" s="566">
        <f t="shared" ref="L741:AJ741" si="1081">-IF($H$9="VND",L709/L679/$H$10/10^3,L709/L679/$H$10*10^3)</f>
        <v>0.3305555555555556</v>
      </c>
      <c r="M741" s="566">
        <f t="shared" si="1081"/>
        <v>0.3305555555555556</v>
      </c>
      <c r="N741" s="566">
        <f t="shared" si="1081"/>
        <v>0.34708333333333335</v>
      </c>
      <c r="O741" s="566">
        <f t="shared" si="1081"/>
        <v>0.36443750000000008</v>
      </c>
      <c r="P741" s="566">
        <f t="shared" si="1081"/>
        <v>0.38265937500000008</v>
      </c>
      <c r="Q741" s="566">
        <f t="shared" si="1081"/>
        <v>0.40179234375000006</v>
      </c>
      <c r="R741" s="566">
        <f t="shared" si="1081"/>
        <v>0.42188196093750002</v>
      </c>
      <c r="S741" s="566">
        <f t="shared" si="1081"/>
        <v>0.44297605898437503</v>
      </c>
      <c r="T741" s="566">
        <f t="shared" si="1081"/>
        <v>0.46512486193359387</v>
      </c>
      <c r="U741" s="566">
        <f t="shared" si="1081"/>
        <v>0.48838110503027343</v>
      </c>
      <c r="V741" s="566">
        <f t="shared" si="1081"/>
        <v>0.51280016028178721</v>
      </c>
      <c r="W741" s="566">
        <f t="shared" si="1081"/>
        <v>0.5384401682958766</v>
      </c>
      <c r="X741" s="566">
        <f t="shared" si="1081"/>
        <v>0.56536217671067046</v>
      </c>
      <c r="Y741" s="566">
        <f t="shared" si="1081"/>
        <v>0.59363028554620378</v>
      </c>
      <c r="Z741" s="566">
        <f t="shared" si="1081"/>
        <v>0.62331179982351426</v>
      </c>
      <c r="AA741" s="566">
        <f t="shared" si="1081"/>
        <v>0.65447738981468984</v>
      </c>
      <c r="AB741" s="566">
        <f t="shared" si="1081"/>
        <v>0.68720125930542442</v>
      </c>
      <c r="AC741" s="566">
        <f t="shared" si="1081"/>
        <v>0.72156132227069569</v>
      </c>
      <c r="AD741" s="566">
        <f t="shared" si="1081"/>
        <v>0.75763938838423039</v>
      </c>
      <c r="AE741" s="566">
        <f t="shared" si="1081"/>
        <v>0.79552135780344191</v>
      </c>
      <c r="AF741" s="566">
        <f t="shared" si="1081"/>
        <v>0.83529742569361409</v>
      </c>
      <c r="AG741" s="566">
        <f t="shared" si="1081"/>
        <v>0.87706229697829474</v>
      </c>
      <c r="AH741" s="566">
        <f t="shared" si="1081"/>
        <v>0.9209154118272096</v>
      </c>
      <c r="AI741" s="566">
        <f t="shared" si="1081"/>
        <v>0.96696118241856999</v>
      </c>
      <c r="AJ741" s="566">
        <f t="shared" si="1081"/>
        <v>1.0153092415394986</v>
      </c>
      <c r="AM741" s="880"/>
      <c r="AN741" s="880"/>
    </row>
    <row r="742" spans="1:40" s="299" customFormat="1" hidden="1" x14ac:dyDescent="0.25">
      <c r="A742" s="299" t="s">
        <v>697</v>
      </c>
      <c r="C742" s="299" t="s">
        <v>367</v>
      </c>
      <c r="H742" s="561" t="s">
        <v>175</v>
      </c>
      <c r="I742" s="562" t="str">
        <f t="shared" si="1063"/>
        <v>tr. VND/tấn</v>
      </c>
      <c r="K742" s="566"/>
      <c r="L742" s="566">
        <f>-IF($H$9="VND",L710/L679/$H$10/10^3,L710/L679/$H$10*10^3)</f>
        <v>0.78002171792528552</v>
      </c>
      <c r="M742" s="566">
        <f t="shared" ref="M742:AJ742" si="1082">-IF($H$9="VND",M710/M679/$H$10/10^3,M710/M679/$H$10*10^3)</f>
        <v>0.58217526702804567</v>
      </c>
      <c r="N742" s="566">
        <f t="shared" si="1082"/>
        <v>0.44476693466779255</v>
      </c>
      <c r="O742" s="566">
        <f t="shared" si="1082"/>
        <v>0.45629226577110282</v>
      </c>
      <c r="P742" s="566">
        <f t="shared" si="1082"/>
        <v>0.46839386342957889</v>
      </c>
      <c r="Q742" s="566">
        <f t="shared" si="1082"/>
        <v>0.48110054097097865</v>
      </c>
      <c r="R742" s="566">
        <f t="shared" si="1082"/>
        <v>0.49444255238944845</v>
      </c>
      <c r="S742" s="566">
        <f t="shared" si="1082"/>
        <v>0.50845166437884159</v>
      </c>
      <c r="T742" s="566">
        <f t="shared" si="1082"/>
        <v>0.52316123196770448</v>
      </c>
      <c r="U742" s="566">
        <f t="shared" si="1082"/>
        <v>0.53860627793601057</v>
      </c>
      <c r="V742" s="566">
        <f t="shared" si="1082"/>
        <v>0.55482357620273193</v>
      </c>
      <c r="W742" s="566">
        <f t="shared" si="1082"/>
        <v>0.57185173938278933</v>
      </c>
      <c r="X742" s="566">
        <f t="shared" si="1082"/>
        <v>0.42022259152439789</v>
      </c>
      <c r="Y742" s="566">
        <f t="shared" si="1082"/>
        <v>0.4389961414304111</v>
      </c>
      <c r="Z742" s="566">
        <f t="shared" si="1082"/>
        <v>0.45870836883172522</v>
      </c>
      <c r="AA742" s="566">
        <f t="shared" si="1082"/>
        <v>0.47940620760310476</v>
      </c>
      <c r="AB742" s="566">
        <f t="shared" si="1082"/>
        <v>0.50113893831305367</v>
      </c>
      <c r="AC742" s="566">
        <f t="shared" si="1082"/>
        <v>0.52395830555849954</v>
      </c>
      <c r="AD742" s="566">
        <f t="shared" si="1082"/>
        <v>0.54791864116621802</v>
      </c>
      <c r="AE742" s="566">
        <f t="shared" si="1082"/>
        <v>0.5730769935543224</v>
      </c>
      <c r="AF742" s="566">
        <f t="shared" si="1082"/>
        <v>0.59949326356183164</v>
      </c>
      <c r="AG742" s="566">
        <f t="shared" si="1082"/>
        <v>0.62723034706971681</v>
      </c>
      <c r="AH742" s="566">
        <f t="shared" si="1082"/>
        <v>0.65635428475299618</v>
      </c>
      <c r="AI742" s="566">
        <f t="shared" si="1082"/>
        <v>0.68693441932043919</v>
      </c>
      <c r="AJ742" s="566">
        <f t="shared" si="1082"/>
        <v>0.71904356061625474</v>
      </c>
      <c r="AM742" s="880"/>
      <c r="AN742" s="880"/>
    </row>
    <row r="743" spans="1:40" hidden="1" x14ac:dyDescent="0.25">
      <c r="A743" t="s">
        <v>697</v>
      </c>
      <c r="H743" s="247"/>
      <c r="I743" s="275"/>
      <c r="K743" s="281"/>
      <c r="L743" s="282"/>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M743" s="15"/>
      <c r="AN743" s="15"/>
    </row>
    <row r="744" spans="1:40" s="16" customFormat="1" hidden="1" x14ac:dyDescent="0.25">
      <c r="A744" s="16" t="s">
        <v>697</v>
      </c>
      <c r="H744" s="276" t="s">
        <v>464</v>
      </c>
      <c r="I744" s="277" t="str">
        <f t="shared" si="1063"/>
        <v>tr. VND/tấn</v>
      </c>
      <c r="K744" s="283">
        <f>K722+K732</f>
        <v>0</v>
      </c>
      <c r="L744" s="283">
        <f t="shared" ref="L744:AJ744" si="1083">L722+L732</f>
        <v>47.323476924121934</v>
      </c>
      <c r="M744" s="283">
        <f t="shared" si="1083"/>
        <v>42.179469200793704</v>
      </c>
      <c r="N744" s="283">
        <f t="shared" si="1083"/>
        <v>39.153836882007766</v>
      </c>
      <c r="O744" s="283">
        <f t="shared" si="1083"/>
        <v>40.011725803597074</v>
      </c>
      <c r="P744" s="283">
        <f t="shared" si="1083"/>
        <v>40.896083880943252</v>
      </c>
      <c r="Q744" s="283">
        <f t="shared" si="1083"/>
        <v>41.807906066027705</v>
      </c>
      <c r="R744" s="283">
        <f t="shared" si="1083"/>
        <v>42.748230488314775</v>
      </c>
      <c r="S744" s="283">
        <f t="shared" si="1083"/>
        <v>43.718140482223546</v>
      </c>
      <c r="T744" s="283">
        <f t="shared" si="1083"/>
        <v>44.718766713345261</v>
      </c>
      <c r="U744" s="283">
        <f t="shared" si="1083"/>
        <v>45.751289408290916</v>
      </c>
      <c r="V744" s="283">
        <f t="shared" si="1083"/>
        <v>46.81694069329707</v>
      </c>
      <c r="W744" s="283">
        <f t="shared" si="1083"/>
        <v>47.917007046973005</v>
      </c>
      <c r="X744" s="283">
        <f t="shared" si="1083"/>
        <v>44.645605173706826</v>
      </c>
      <c r="Y744" s="283">
        <f t="shared" si="1083"/>
        <v>45.818591498465828</v>
      </c>
      <c r="Z744" s="283">
        <f t="shared" si="1083"/>
        <v>47.030204802212744</v>
      </c>
      <c r="AA744" s="283">
        <f t="shared" si="1083"/>
        <v>48.281975987151966</v>
      </c>
      <c r="AB744" s="283">
        <f t="shared" si="1083"/>
        <v>49.575504491663253</v>
      </c>
      <c r="AC744" s="283">
        <f t="shared" si="1083"/>
        <v>50.912461556931689</v>
      </c>
      <c r="AD744" s="283">
        <f t="shared" si="1083"/>
        <v>52.294593653705746</v>
      </c>
      <c r="AE744" s="283">
        <f t="shared" si="1083"/>
        <v>53.723726077125576</v>
      </c>
      <c r="AF744" s="283">
        <f t="shared" si="1083"/>
        <v>55.201766717959586</v>
      </c>
      <c r="AG744" s="283">
        <f t="shared" si="1083"/>
        <v>56.730710019003361</v>
      </c>
      <c r="AH744" s="283">
        <f t="shared" si="1083"/>
        <v>58.312641125830737</v>
      </c>
      <c r="AI744" s="283">
        <f t="shared" si="1083"/>
        <v>59.949740241545562</v>
      </c>
      <c r="AJ744" s="283">
        <f t="shared" si="1083"/>
        <v>61.644287195663075</v>
      </c>
      <c r="AM744" s="29"/>
      <c r="AN744" s="29"/>
    </row>
    <row r="745" spans="1:40" hidden="1" x14ac:dyDescent="0.25">
      <c r="A745" t="s">
        <v>697</v>
      </c>
      <c r="H745" s="247"/>
      <c r="I745" s="275"/>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M745" s="15"/>
      <c r="AN745" s="15"/>
    </row>
    <row r="746" spans="1:40" hidden="1" x14ac:dyDescent="0.25">
      <c r="A746" t="s">
        <v>697</v>
      </c>
      <c r="C746" t="s">
        <v>367</v>
      </c>
      <c r="H746" s="569" t="s">
        <v>166</v>
      </c>
      <c r="I746" s="570" t="str">
        <f t="shared" si="1063"/>
        <v>tr. VND/tấn</v>
      </c>
      <c r="K746" s="571"/>
      <c r="L746" s="571">
        <f>-IF($H$9="VND",L714/L679/$H$10/10^3,L714/L679/$H$10*10^3)</f>
        <v>0.93333333333333335</v>
      </c>
      <c r="M746" s="571">
        <f t="shared" ref="M746:AJ746" si="1084">-IF($H$9="VND",M714/M679/$H$10/10^3,M714/M679/$H$10*10^3)</f>
        <v>0.93333333333333335</v>
      </c>
      <c r="N746" s="571">
        <f t="shared" si="1084"/>
        <v>0.98</v>
      </c>
      <c r="O746" s="571">
        <f t="shared" si="1084"/>
        <v>1.0290000000000001</v>
      </c>
      <c r="P746" s="571">
        <f t="shared" si="1084"/>
        <v>1.0804500000000004</v>
      </c>
      <c r="Q746" s="571">
        <f t="shared" si="1084"/>
        <v>1.1344725</v>
      </c>
      <c r="R746" s="571">
        <f t="shared" si="1084"/>
        <v>1.1911961250000003</v>
      </c>
      <c r="S746" s="571">
        <f t="shared" si="1084"/>
        <v>1.2507559312500001</v>
      </c>
      <c r="T746" s="571">
        <f t="shared" si="1084"/>
        <v>1.3132937278125003</v>
      </c>
      <c r="U746" s="571">
        <f t="shared" si="1084"/>
        <v>1.378958414203125</v>
      </c>
      <c r="V746" s="571">
        <f t="shared" si="1084"/>
        <v>1.4479063349132817</v>
      </c>
      <c r="W746" s="571">
        <f t="shared" si="1084"/>
        <v>1.5203016516589456</v>
      </c>
      <c r="X746" s="571">
        <f t="shared" si="1084"/>
        <v>1.5963167342418931</v>
      </c>
      <c r="Y746" s="571">
        <f t="shared" si="1084"/>
        <v>1.6761325709539874</v>
      </c>
      <c r="Z746" s="571">
        <f t="shared" si="1084"/>
        <v>1.7599391995016869</v>
      </c>
      <c r="AA746" s="571">
        <f t="shared" si="1084"/>
        <v>1.8479361594767709</v>
      </c>
      <c r="AB746" s="571">
        <f t="shared" si="1084"/>
        <v>1.94033296745061</v>
      </c>
      <c r="AC746" s="571">
        <f t="shared" si="1084"/>
        <v>2.0373496158231403</v>
      </c>
      <c r="AD746" s="571">
        <f t="shared" si="1084"/>
        <v>2.1392170966142974</v>
      </c>
      <c r="AE746" s="571">
        <f t="shared" si="1084"/>
        <v>2.2461779514450129</v>
      </c>
      <c r="AF746" s="571">
        <f t="shared" si="1084"/>
        <v>2.3584868490172628</v>
      </c>
      <c r="AG746" s="571">
        <f t="shared" si="1084"/>
        <v>2.4764111914681264</v>
      </c>
      <c r="AH746" s="571">
        <f t="shared" si="1084"/>
        <v>2.6002317510415329</v>
      </c>
      <c r="AI746" s="571">
        <f t="shared" si="1084"/>
        <v>2.7302433385936089</v>
      </c>
      <c r="AJ746" s="571">
        <f t="shared" si="1084"/>
        <v>2.8667555055232903</v>
      </c>
      <c r="AM746" s="15"/>
      <c r="AN746" s="15"/>
    </row>
    <row r="747" spans="1:40" hidden="1" x14ac:dyDescent="0.25">
      <c r="A747" t="s">
        <v>697</v>
      </c>
      <c r="C747" t="s">
        <v>367</v>
      </c>
      <c r="H747" s="559" t="s">
        <v>469</v>
      </c>
      <c r="I747" s="560" t="str">
        <f t="shared" si="1063"/>
        <v>tr. VND/tấn</v>
      </c>
      <c r="K747" s="572"/>
      <c r="L747" s="572">
        <f t="shared" ref="L747:AJ747" si="1085">-IF($H$9="VND",L715/L679/$H$10/10^3,L715/L679/$H$10*10^3)</f>
        <v>0.37087222464266623</v>
      </c>
      <c r="M747" s="572">
        <f t="shared" si="1085"/>
        <v>0.37087222464266623</v>
      </c>
      <c r="N747" s="572">
        <f t="shared" si="1085"/>
        <v>0.38941583587479961</v>
      </c>
      <c r="O747" s="572">
        <f t="shared" si="1085"/>
        <v>0.40888662766853956</v>
      </c>
      <c r="P747" s="572">
        <f t="shared" si="1085"/>
        <v>0.4293309590519665</v>
      </c>
      <c r="Q747" s="572">
        <f t="shared" si="1085"/>
        <v>0.45079750700456472</v>
      </c>
      <c r="R747" s="572">
        <f t="shared" si="1085"/>
        <v>0.47333738235479306</v>
      </c>
      <c r="S747" s="572">
        <f t="shared" si="1085"/>
        <v>0.49700425147253269</v>
      </c>
      <c r="T747" s="572">
        <f t="shared" si="1085"/>
        <v>0.52185446404615943</v>
      </c>
      <c r="U747" s="572">
        <f t="shared" si="1085"/>
        <v>0.54794718724846736</v>
      </c>
      <c r="V747" s="572">
        <f t="shared" si="1085"/>
        <v>0.57534454661089074</v>
      </c>
      <c r="W747" s="572">
        <f t="shared" si="1085"/>
        <v>0.60411177394143523</v>
      </c>
      <c r="X747" s="572">
        <f t="shared" si="1085"/>
        <v>0.63431736263850702</v>
      </c>
      <c r="Y747" s="572">
        <f t="shared" si="1085"/>
        <v>0.66603323077043242</v>
      </c>
      <c r="Z747" s="572">
        <f t="shared" si="1085"/>
        <v>0.69933489230895407</v>
      </c>
      <c r="AA747" s="572">
        <f t="shared" si="1085"/>
        <v>0.73430163692440165</v>
      </c>
      <c r="AB747" s="572">
        <f t="shared" si="1085"/>
        <v>0.77101671877062206</v>
      </c>
      <c r="AC747" s="572">
        <f t="shared" si="1085"/>
        <v>0.80956755470915298</v>
      </c>
      <c r="AD747" s="572">
        <f t="shared" si="1085"/>
        <v>0.85004593244461069</v>
      </c>
      <c r="AE747" s="572">
        <f t="shared" si="1085"/>
        <v>0.89254822906684139</v>
      </c>
      <c r="AF747" s="572">
        <f t="shared" si="1085"/>
        <v>0.93717564052018332</v>
      </c>
      <c r="AG747" s="572">
        <f t="shared" si="1085"/>
        <v>0.98403442254619244</v>
      </c>
      <c r="AH747" s="572">
        <f t="shared" si="1085"/>
        <v>1.033236143673502</v>
      </c>
      <c r="AI747" s="572">
        <f t="shared" si="1085"/>
        <v>1.084897950857177</v>
      </c>
      <c r="AJ747" s="572">
        <f t="shared" si="1085"/>
        <v>1.1391428484000361</v>
      </c>
      <c r="AM747" s="15"/>
      <c r="AN747" s="15"/>
    </row>
    <row r="748" spans="1:40" hidden="1" x14ac:dyDescent="0.25">
      <c r="A748" t="s">
        <v>697</v>
      </c>
      <c r="C748" t="s">
        <v>367</v>
      </c>
      <c r="H748" s="559" t="s">
        <v>468</v>
      </c>
      <c r="I748" s="560" t="str">
        <f t="shared" si="1063"/>
        <v>tr. VND/tấn</v>
      </c>
      <c r="K748" s="559"/>
      <c r="L748" s="572">
        <f t="shared" ref="L748:AJ748" si="1086">-IF($H$9="VND",L716/L679/$H$10/10^3,L716/L679/$H$10*10^3)</f>
        <v>0.12422064680508108</v>
      </c>
      <c r="M748" s="572">
        <f t="shared" si="1086"/>
        <v>0.12422064680508105</v>
      </c>
      <c r="N748" s="572">
        <f t="shared" si="1086"/>
        <v>0.13043167914533513</v>
      </c>
      <c r="O748" s="572">
        <f t="shared" si="1086"/>
        <v>0.13695326310260192</v>
      </c>
      <c r="P748" s="572">
        <f t="shared" si="1086"/>
        <v>0.14380092625773203</v>
      </c>
      <c r="Q748" s="572">
        <f t="shared" si="1086"/>
        <v>0.15099097257061855</v>
      </c>
      <c r="R748" s="572">
        <f t="shared" si="1086"/>
        <v>0.15854052119914955</v>
      </c>
      <c r="S748" s="572">
        <f t="shared" si="1086"/>
        <v>0.16646754725910701</v>
      </c>
      <c r="T748" s="572">
        <f t="shared" si="1086"/>
        <v>0.17479092462206236</v>
      </c>
      <c r="U748" s="572">
        <f t="shared" si="1086"/>
        <v>0.18353047085316543</v>
      </c>
      <c r="V748" s="572">
        <f t="shared" si="1086"/>
        <v>0.19270699439582373</v>
      </c>
      <c r="W748" s="572">
        <f t="shared" si="1086"/>
        <v>0.20234234411561494</v>
      </c>
      <c r="X748" s="572">
        <f t="shared" si="1086"/>
        <v>0.21245946132139568</v>
      </c>
      <c r="Y748" s="572">
        <f t="shared" si="1086"/>
        <v>0.22308243438746542</v>
      </c>
      <c r="Z748" s="572">
        <f t="shared" si="1086"/>
        <v>0.23423655610683877</v>
      </c>
      <c r="AA748" s="572">
        <f t="shared" si="1086"/>
        <v>0.24594838391218063</v>
      </c>
      <c r="AB748" s="572">
        <f t="shared" si="1086"/>
        <v>0.25824580310778977</v>
      </c>
      <c r="AC748" s="572">
        <f t="shared" si="1086"/>
        <v>0.27115809326317925</v>
      </c>
      <c r="AD748" s="572">
        <f t="shared" si="1086"/>
        <v>0.28471599792633823</v>
      </c>
      <c r="AE748" s="572">
        <f t="shared" si="1086"/>
        <v>0.29895179782265513</v>
      </c>
      <c r="AF748" s="572">
        <f t="shared" si="1086"/>
        <v>0.31389938771378784</v>
      </c>
      <c r="AG748" s="572">
        <f t="shared" si="1086"/>
        <v>0.32959435709947732</v>
      </c>
      <c r="AH748" s="572">
        <f t="shared" si="1086"/>
        <v>0.34607407495445114</v>
      </c>
      <c r="AI748" s="572">
        <f t="shared" si="1086"/>
        <v>0.36337777870217358</v>
      </c>
      <c r="AJ748" s="572">
        <f t="shared" si="1086"/>
        <v>0.38154666763728246</v>
      </c>
      <c r="AM748" s="15"/>
      <c r="AN748" s="15"/>
    </row>
    <row r="749" spans="1:40" hidden="1" x14ac:dyDescent="0.25">
      <c r="A749" t="s">
        <v>697</v>
      </c>
      <c r="C749" t="s">
        <v>367</v>
      </c>
      <c r="H749" s="559" t="s">
        <v>470</v>
      </c>
      <c r="I749" s="560" t="str">
        <f t="shared" si="1063"/>
        <v>tr. VND/tấn</v>
      </c>
      <c r="K749" s="559"/>
      <c r="L749" s="572">
        <f t="shared" ref="L749:AJ749" si="1087">-IF($H$9="VND",L717/L679/$H$10/10^3,L717/L679/$H$10*10^3)</f>
        <v>8.4077185745939129</v>
      </c>
      <c r="M749" s="572">
        <f t="shared" si="1087"/>
        <v>5.9524999992412511</v>
      </c>
      <c r="N749" s="572">
        <f t="shared" si="1087"/>
        <v>4.1266719686145494</v>
      </c>
      <c r="O749" s="572">
        <f t="shared" si="1087"/>
        <v>4.0833876952918775</v>
      </c>
      <c r="P749" s="572">
        <f t="shared" si="1087"/>
        <v>4.0366406801033916</v>
      </c>
      <c r="Q749" s="572">
        <f t="shared" si="1087"/>
        <v>3.9861539036998259</v>
      </c>
      <c r="R749" s="572">
        <f t="shared" si="1087"/>
        <v>3.9316281851839743</v>
      </c>
      <c r="S749" s="572">
        <f t="shared" si="1087"/>
        <v>3.8727404091868562</v>
      </c>
      <c r="T749" s="572">
        <f t="shared" si="1087"/>
        <v>3.8091416111099679</v>
      </c>
      <c r="U749" s="572">
        <f t="shared" si="1087"/>
        <v>3.740454909186929</v>
      </c>
      <c r="V749" s="572">
        <f t="shared" si="1087"/>
        <v>3.6662732711100472</v>
      </c>
      <c r="W749" s="572">
        <f t="shared" si="1087"/>
        <v>3.586157101987014</v>
      </c>
      <c r="X749" s="572">
        <f t="shared" si="1087"/>
        <v>3.4996316393341385</v>
      </c>
      <c r="Y749" s="572">
        <f t="shared" si="1087"/>
        <v>3.4061841396690338</v>
      </c>
      <c r="Z749" s="572">
        <f t="shared" si="1087"/>
        <v>3.3052608400307202</v>
      </c>
      <c r="AA749" s="572">
        <f t="shared" si="1087"/>
        <v>3.1962636764213421</v>
      </c>
      <c r="AB749" s="572">
        <f t="shared" si="1087"/>
        <v>3.0785467397232136</v>
      </c>
      <c r="AC749" s="572">
        <f t="shared" si="1087"/>
        <v>2.9514124480892345</v>
      </c>
      <c r="AD749" s="572">
        <f t="shared" si="1087"/>
        <v>2.8141074131245367</v>
      </c>
      <c r="AE749" s="572">
        <f t="shared" si="1087"/>
        <v>2.6658179753626636</v>
      </c>
      <c r="AF749" s="572">
        <f t="shared" si="1087"/>
        <v>2.5056653825798412</v>
      </c>
      <c r="AG749" s="572">
        <f t="shared" si="1087"/>
        <v>2.3327005823743927</v>
      </c>
      <c r="AH749" s="572">
        <f t="shared" si="1087"/>
        <v>2.1458985981525069</v>
      </c>
      <c r="AI749" s="572">
        <f t="shared" si="1087"/>
        <v>1.9441524551928715</v>
      </c>
      <c r="AJ749" s="572">
        <f t="shared" si="1087"/>
        <v>1.7262666207964648</v>
      </c>
      <c r="AM749" s="15"/>
      <c r="AN749" s="15"/>
    </row>
    <row r="750" spans="1:40" hidden="1" x14ac:dyDescent="0.25">
      <c r="A750" t="s">
        <v>697</v>
      </c>
      <c r="H750" s="247"/>
      <c r="I750" s="275"/>
      <c r="K750" s="247"/>
      <c r="L750" s="247"/>
      <c r="M750" s="247"/>
      <c r="N750" s="247"/>
      <c r="O750" s="247"/>
      <c r="P750" s="247"/>
      <c r="Q750" s="247"/>
      <c r="R750" s="247"/>
      <c r="S750" s="247"/>
      <c r="T750" s="247"/>
      <c r="U750" s="247"/>
      <c r="V750" s="247"/>
      <c r="W750" s="247"/>
      <c r="X750" s="247"/>
      <c r="Y750" s="247"/>
      <c r="Z750" s="247"/>
      <c r="AA750" s="247"/>
      <c r="AB750" s="247"/>
      <c r="AC750" s="247"/>
      <c r="AD750" s="247"/>
      <c r="AE750" s="247"/>
      <c r="AF750" s="247"/>
      <c r="AG750" s="247"/>
      <c r="AH750" s="247"/>
      <c r="AI750" s="247"/>
      <c r="AJ750" s="247"/>
      <c r="AM750" s="15"/>
      <c r="AN750" s="15"/>
    </row>
    <row r="751" spans="1:40" s="16" customFormat="1" hidden="1" x14ac:dyDescent="0.25">
      <c r="A751" s="16" t="s">
        <v>697</v>
      </c>
      <c r="H751" s="276" t="s">
        <v>474</v>
      </c>
      <c r="I751" s="277" t="str">
        <f t="shared" si="1063"/>
        <v>tr. VND/tấn</v>
      </c>
      <c r="K751" s="283">
        <f t="shared" ref="K751" si="1088">K744+SUM(K746:K749)</f>
        <v>0</v>
      </c>
      <c r="L751" s="283">
        <f>L744+SUM(L746:L749)</f>
        <v>57.159621703496924</v>
      </c>
      <c r="M751" s="283">
        <f t="shared" ref="M751:AJ751" si="1089">M744+SUM(M746:M749)</f>
        <v>49.560395404816035</v>
      </c>
      <c r="N751" s="283">
        <f t="shared" si="1089"/>
        <v>44.780356365642447</v>
      </c>
      <c r="O751" s="283">
        <f t="shared" si="1089"/>
        <v>45.669953389660094</v>
      </c>
      <c r="P751" s="283">
        <f t="shared" si="1089"/>
        <v>46.586306446356346</v>
      </c>
      <c r="Q751" s="283">
        <f t="shared" si="1089"/>
        <v>47.530320949302713</v>
      </c>
      <c r="R751" s="283">
        <f t="shared" si="1089"/>
        <v>48.502932702052689</v>
      </c>
      <c r="S751" s="283">
        <f t="shared" si="1089"/>
        <v>49.50510862139204</v>
      </c>
      <c r="T751" s="283">
        <f t="shared" si="1089"/>
        <v>50.537847440935948</v>
      </c>
      <c r="U751" s="283">
        <f t="shared" si="1089"/>
        <v>51.602180389782603</v>
      </c>
      <c r="V751" s="283">
        <f t="shared" si="1089"/>
        <v>52.699171840327111</v>
      </c>
      <c r="W751" s="283">
        <f t="shared" si="1089"/>
        <v>53.829919918676012</v>
      </c>
      <c r="X751" s="283">
        <f t="shared" si="1089"/>
        <v>50.588330371242762</v>
      </c>
      <c r="Y751" s="283">
        <f t="shared" si="1089"/>
        <v>51.790023874246749</v>
      </c>
      <c r="Z751" s="283">
        <f t="shared" si="1089"/>
        <v>53.028976290160941</v>
      </c>
      <c r="AA751" s="283">
        <f t="shared" si="1089"/>
        <v>54.306425843886664</v>
      </c>
      <c r="AB751" s="283">
        <f t="shared" si="1089"/>
        <v>55.623646720715485</v>
      </c>
      <c r="AC751" s="283">
        <f t="shared" si="1089"/>
        <v>56.981949268816393</v>
      </c>
      <c r="AD751" s="283">
        <f t="shared" si="1089"/>
        <v>58.38268009381553</v>
      </c>
      <c r="AE751" s="283">
        <f t="shared" si="1089"/>
        <v>59.827222030822753</v>
      </c>
      <c r="AF751" s="283">
        <f t="shared" si="1089"/>
        <v>61.316993977790659</v>
      </c>
      <c r="AG751" s="283">
        <f t="shared" si="1089"/>
        <v>62.853450572491553</v>
      </c>
      <c r="AH751" s="283">
        <f t="shared" si="1089"/>
        <v>64.438081693652734</v>
      </c>
      <c r="AI751" s="283">
        <f t="shared" si="1089"/>
        <v>66.072411764891399</v>
      </c>
      <c r="AJ751" s="283">
        <f t="shared" si="1089"/>
        <v>67.757998838020143</v>
      </c>
      <c r="AM751" s="29"/>
      <c r="AN751" s="29"/>
    </row>
    <row r="752" spans="1:40" hidden="1" x14ac:dyDescent="0.25">
      <c r="A752" t="s">
        <v>697</v>
      </c>
    </row>
    <row r="753" spans="1:37" hidden="1" x14ac:dyDescent="0.25">
      <c r="A753" t="s">
        <v>697</v>
      </c>
      <c r="H753" s="569" t="s">
        <v>361</v>
      </c>
      <c r="I753" s="570" t="str">
        <f t="shared" si="1063"/>
        <v>tr. VND/tấn</v>
      </c>
      <c r="K753" s="569"/>
      <c r="L753" s="590">
        <f>INDEX('Cover Page'!$H$12:$W$12,MATCH($A753,'Cover Page'!$H$5:$W$5,0))</f>
        <v>6.6666666666666666E-2</v>
      </c>
      <c r="M753" s="590">
        <f>INDEX('Cover Page'!$H$12:$W$12,MATCH($A753,'Cover Page'!$H$5:$W$5,0))</f>
        <v>6.6666666666666666E-2</v>
      </c>
      <c r="N753" s="590">
        <f>INDEX('Cover Page'!$H$12:$W$12,MATCH($A753,'Cover Page'!$H$5:$W$5,0))</f>
        <v>6.6666666666666666E-2</v>
      </c>
      <c r="O753" s="590">
        <f>INDEX('Cover Page'!$H$12:$W$12,MATCH($A753,'Cover Page'!$H$5:$W$5,0))</f>
        <v>6.6666666666666666E-2</v>
      </c>
      <c r="P753" s="590">
        <f>INDEX('Cover Page'!$H$12:$W$12,MATCH($A753,'Cover Page'!$H$5:$W$5,0))</f>
        <v>6.6666666666666666E-2</v>
      </c>
      <c r="Q753" s="590">
        <f>INDEX('Cover Page'!$H$12:$W$12,MATCH($A753,'Cover Page'!$H$5:$W$5,0))</f>
        <v>6.6666666666666666E-2</v>
      </c>
      <c r="R753" s="590">
        <f>INDEX('Cover Page'!$H$12:$W$12,MATCH($A753,'Cover Page'!$H$5:$W$5,0))</f>
        <v>6.6666666666666666E-2</v>
      </c>
      <c r="S753" s="590">
        <f>INDEX('Cover Page'!$H$12:$W$12,MATCH($A753,'Cover Page'!$H$5:$W$5,0))</f>
        <v>6.6666666666666666E-2</v>
      </c>
      <c r="T753" s="590">
        <f>INDEX('Cover Page'!$H$12:$W$12,MATCH($A753,'Cover Page'!$H$5:$W$5,0))</f>
        <v>6.6666666666666666E-2</v>
      </c>
      <c r="U753" s="590">
        <f>INDEX('Cover Page'!$H$12:$W$12,MATCH($A753,'Cover Page'!$H$5:$W$5,0))</f>
        <v>6.6666666666666666E-2</v>
      </c>
      <c r="V753" s="590">
        <f>INDEX('Cover Page'!$H$12:$W$12,MATCH($A753,'Cover Page'!$H$5:$W$5,0))</f>
        <v>6.6666666666666666E-2</v>
      </c>
      <c r="W753" s="590">
        <f>INDEX('Cover Page'!$H$12:$W$12,MATCH($A753,'Cover Page'!$H$5:$W$5,0))</f>
        <v>6.6666666666666666E-2</v>
      </c>
      <c r="X753" s="590">
        <f>INDEX('Cover Page'!$H$12:$W$12,MATCH($A753,'Cover Page'!$H$5:$W$5,0))</f>
        <v>6.6666666666666666E-2</v>
      </c>
      <c r="Y753" s="590">
        <f>INDEX('Cover Page'!$H$12:$W$12,MATCH($A753,'Cover Page'!$H$5:$W$5,0))</f>
        <v>6.6666666666666666E-2</v>
      </c>
      <c r="Z753" s="590">
        <f>INDEX('Cover Page'!$H$12:$W$12,MATCH($A753,'Cover Page'!$H$5:$W$5,0))</f>
        <v>6.6666666666666666E-2</v>
      </c>
      <c r="AA753" s="590">
        <f>INDEX('Cover Page'!$H$12:$W$12,MATCH($A753,'Cover Page'!$H$5:$W$5,0))</f>
        <v>6.6666666666666666E-2</v>
      </c>
      <c r="AB753" s="590">
        <f>INDEX('Cover Page'!$H$12:$W$12,MATCH($A753,'Cover Page'!$H$5:$W$5,0))</f>
        <v>6.6666666666666666E-2</v>
      </c>
      <c r="AC753" s="590">
        <f>INDEX('Cover Page'!$H$12:$W$12,MATCH($A753,'Cover Page'!$H$5:$W$5,0))</f>
        <v>6.6666666666666666E-2</v>
      </c>
      <c r="AD753" s="590">
        <f>INDEX('Cover Page'!$H$12:$W$12,MATCH($A753,'Cover Page'!$H$5:$W$5,0))</f>
        <v>6.6666666666666666E-2</v>
      </c>
      <c r="AE753" s="590">
        <f>INDEX('Cover Page'!$H$12:$W$12,MATCH($A753,'Cover Page'!$H$5:$W$5,0))</f>
        <v>6.6666666666666666E-2</v>
      </c>
      <c r="AF753" s="590">
        <f>INDEX('Cover Page'!$H$12:$W$12,MATCH($A753,'Cover Page'!$H$5:$W$5,0))</f>
        <v>6.6666666666666666E-2</v>
      </c>
      <c r="AG753" s="590">
        <f>INDEX('Cover Page'!$H$12:$W$12,MATCH($A753,'Cover Page'!$H$5:$W$5,0))</f>
        <v>6.6666666666666666E-2</v>
      </c>
      <c r="AH753" s="590">
        <f>INDEX('Cover Page'!$H$12:$W$12,MATCH($A753,'Cover Page'!$H$5:$W$5,0))</f>
        <v>6.6666666666666666E-2</v>
      </c>
      <c r="AI753" s="590">
        <f>INDEX('Cover Page'!$H$12:$W$12,MATCH($A753,'Cover Page'!$H$5:$W$5,0))</f>
        <v>6.6666666666666666E-2</v>
      </c>
      <c r="AJ753" s="590">
        <f>INDEX('Cover Page'!$H$12:$W$12,MATCH($A753,'Cover Page'!$H$5:$W$5,0))</f>
        <v>6.6666666666666666E-2</v>
      </c>
    </row>
    <row r="754" spans="1:37" s="1" customFormat="1" hidden="1" x14ac:dyDescent="0.25">
      <c r="A754" s="1" t="s">
        <v>697</v>
      </c>
      <c r="H754" s="586" t="s">
        <v>490</v>
      </c>
      <c r="I754" s="587" t="str">
        <f t="shared" si="1063"/>
        <v>tr. VND/tấn</v>
      </c>
      <c r="K754" s="586"/>
      <c r="L754" s="591">
        <f t="shared" ref="L754:AJ754" si="1090">L751*(1+L753)</f>
        <v>60.970263150396718</v>
      </c>
      <c r="M754" s="591">
        <f t="shared" si="1090"/>
        <v>52.864421765137102</v>
      </c>
      <c r="N754" s="591">
        <f t="shared" si="1090"/>
        <v>47.765713456685276</v>
      </c>
      <c r="O754" s="591">
        <f t="shared" si="1090"/>
        <v>48.714616948970765</v>
      </c>
      <c r="P754" s="591">
        <f t="shared" si="1090"/>
        <v>49.692060209446765</v>
      </c>
      <c r="Q754" s="591">
        <f t="shared" si="1090"/>
        <v>50.699009012589556</v>
      </c>
      <c r="R754" s="591">
        <f t="shared" si="1090"/>
        <v>51.736461548856198</v>
      </c>
      <c r="S754" s="591">
        <f t="shared" si="1090"/>
        <v>52.805449196151507</v>
      </c>
      <c r="T754" s="591">
        <f t="shared" si="1090"/>
        <v>53.907037270331678</v>
      </c>
      <c r="U754" s="591">
        <f t="shared" si="1090"/>
        <v>55.042325749101444</v>
      </c>
      <c r="V754" s="591">
        <f t="shared" si="1090"/>
        <v>56.212449963015587</v>
      </c>
      <c r="W754" s="591">
        <f t="shared" si="1090"/>
        <v>57.418581246587742</v>
      </c>
      <c r="X754" s="591">
        <f t="shared" si="1090"/>
        <v>53.960885729325611</v>
      </c>
      <c r="Y754" s="591">
        <f t="shared" si="1090"/>
        <v>55.242692132529868</v>
      </c>
      <c r="Z754" s="591">
        <f t="shared" si="1090"/>
        <v>56.564241376171672</v>
      </c>
      <c r="AA754" s="591">
        <f t="shared" si="1090"/>
        <v>57.926854233479105</v>
      </c>
      <c r="AB754" s="591">
        <f t="shared" si="1090"/>
        <v>59.331889835429848</v>
      </c>
      <c r="AC754" s="591">
        <f t="shared" si="1090"/>
        <v>60.780745886737485</v>
      </c>
      <c r="AD754" s="591">
        <f t="shared" si="1090"/>
        <v>62.274858766736564</v>
      </c>
      <c r="AE754" s="591">
        <f t="shared" si="1090"/>
        <v>63.81570349954427</v>
      </c>
      <c r="AF754" s="591">
        <f t="shared" si="1090"/>
        <v>65.404793576310041</v>
      </c>
      <c r="AG754" s="591">
        <f t="shared" si="1090"/>
        <v>67.04368061065766</v>
      </c>
      <c r="AH754" s="591">
        <f t="shared" si="1090"/>
        <v>68.733953806562909</v>
      </c>
      <c r="AI754" s="591">
        <f t="shared" si="1090"/>
        <v>70.477239215884154</v>
      </c>
      <c r="AJ754" s="591">
        <f t="shared" si="1090"/>
        <v>72.275198760554815</v>
      </c>
    </row>
    <row r="755" spans="1:37" hidden="1" x14ac:dyDescent="0.25">
      <c r="A755" t="s">
        <v>697</v>
      </c>
      <c r="H755" s="559" t="s">
        <v>292</v>
      </c>
      <c r="I755" s="560" t="str">
        <f t="shared" si="1063"/>
        <v>tr. VND/tấn</v>
      </c>
      <c r="K755" s="559"/>
      <c r="L755" s="592">
        <f t="shared" ref="L755:AJ755" si="1091">Tax_rate</f>
        <v>0.2</v>
      </c>
      <c r="M755" s="592">
        <f t="shared" si="1091"/>
        <v>0.2</v>
      </c>
      <c r="N755" s="592">
        <f t="shared" si="1091"/>
        <v>0.2</v>
      </c>
      <c r="O755" s="592">
        <f t="shared" si="1091"/>
        <v>0.2</v>
      </c>
      <c r="P755" s="592">
        <f t="shared" si="1091"/>
        <v>0.2</v>
      </c>
      <c r="Q755" s="592">
        <f t="shared" si="1091"/>
        <v>0.2</v>
      </c>
      <c r="R755" s="592">
        <f t="shared" si="1091"/>
        <v>0.2</v>
      </c>
      <c r="S755" s="592">
        <f t="shared" si="1091"/>
        <v>0.2</v>
      </c>
      <c r="T755" s="592">
        <f t="shared" si="1091"/>
        <v>0.2</v>
      </c>
      <c r="U755" s="592">
        <f t="shared" si="1091"/>
        <v>0.2</v>
      </c>
      <c r="V755" s="592">
        <f t="shared" si="1091"/>
        <v>0.2</v>
      </c>
      <c r="W755" s="592">
        <f t="shared" si="1091"/>
        <v>0.2</v>
      </c>
      <c r="X755" s="592">
        <f t="shared" si="1091"/>
        <v>0.2</v>
      </c>
      <c r="Y755" s="592">
        <f t="shared" si="1091"/>
        <v>0.2</v>
      </c>
      <c r="Z755" s="592">
        <f t="shared" si="1091"/>
        <v>0.2</v>
      </c>
      <c r="AA755" s="592">
        <f t="shared" si="1091"/>
        <v>0.2</v>
      </c>
      <c r="AB755" s="592">
        <f t="shared" si="1091"/>
        <v>0.2</v>
      </c>
      <c r="AC755" s="592">
        <f t="shared" si="1091"/>
        <v>0.2</v>
      </c>
      <c r="AD755" s="592">
        <f t="shared" si="1091"/>
        <v>0.2</v>
      </c>
      <c r="AE755" s="592">
        <f t="shared" si="1091"/>
        <v>0.2</v>
      </c>
      <c r="AF755" s="592">
        <f t="shared" si="1091"/>
        <v>0.2</v>
      </c>
      <c r="AG755" s="592">
        <f t="shared" si="1091"/>
        <v>0.2</v>
      </c>
      <c r="AH755" s="592">
        <f t="shared" si="1091"/>
        <v>0.2</v>
      </c>
      <c r="AI755" s="592">
        <f t="shared" si="1091"/>
        <v>0.2</v>
      </c>
      <c r="AJ755" s="592">
        <f t="shared" si="1091"/>
        <v>0.2</v>
      </c>
    </row>
    <row r="756" spans="1:37" s="1" customFormat="1" hidden="1" x14ac:dyDescent="0.25">
      <c r="A756" s="1" t="s">
        <v>697</v>
      </c>
      <c r="H756" s="586" t="s">
        <v>491</v>
      </c>
      <c r="I756" s="587" t="str">
        <f t="shared" si="1063"/>
        <v>tr. VND/tấn</v>
      </c>
      <c r="K756" s="586"/>
      <c r="L756" s="591">
        <f>(L754-L751)*(1-L755)</f>
        <v>3.0485131575198352</v>
      </c>
      <c r="M756" s="591">
        <f t="shared" ref="M756:AJ756" si="1092">(M754-M751)*(1-M755)</f>
        <v>2.6432210882568543</v>
      </c>
      <c r="N756" s="591">
        <f t="shared" si="1092"/>
        <v>2.3882856728342632</v>
      </c>
      <c r="O756" s="591">
        <f t="shared" si="1092"/>
        <v>2.4357308474485366</v>
      </c>
      <c r="P756" s="591">
        <f t="shared" si="1092"/>
        <v>2.4846030104723358</v>
      </c>
      <c r="Q756" s="591">
        <f t="shared" si="1092"/>
        <v>2.5349504506294753</v>
      </c>
      <c r="R756" s="591">
        <f t="shared" si="1092"/>
        <v>2.5868230774428072</v>
      </c>
      <c r="S756" s="591">
        <f t="shared" si="1092"/>
        <v>2.6402724598075737</v>
      </c>
      <c r="T756" s="591">
        <f t="shared" si="1092"/>
        <v>2.6953518635165836</v>
      </c>
      <c r="U756" s="591">
        <f t="shared" si="1092"/>
        <v>2.7521162874550726</v>
      </c>
      <c r="V756" s="591">
        <f t="shared" si="1092"/>
        <v>2.810622498150781</v>
      </c>
      <c r="W756" s="591">
        <f t="shared" si="1092"/>
        <v>2.8709290623293842</v>
      </c>
      <c r="X756" s="591">
        <f t="shared" si="1092"/>
        <v>2.6980442864662795</v>
      </c>
      <c r="Y756" s="591">
        <f t="shared" si="1092"/>
        <v>2.7621346066264949</v>
      </c>
      <c r="Z756" s="591">
        <f t="shared" si="1092"/>
        <v>2.8282120688085857</v>
      </c>
      <c r="AA756" s="591">
        <f t="shared" si="1092"/>
        <v>2.8963427116739524</v>
      </c>
      <c r="AB756" s="591">
        <f t="shared" si="1092"/>
        <v>2.9665944917714913</v>
      </c>
      <c r="AC756" s="591">
        <f t="shared" si="1092"/>
        <v>3.0390372943368735</v>
      </c>
      <c r="AD756" s="591">
        <f t="shared" si="1092"/>
        <v>3.1137429383368271</v>
      </c>
      <c r="AE756" s="591">
        <f t="shared" si="1092"/>
        <v>3.1907851749772136</v>
      </c>
      <c r="AF756" s="591">
        <f t="shared" si="1092"/>
        <v>3.2702396788155057</v>
      </c>
      <c r="AG756" s="591">
        <f t="shared" si="1092"/>
        <v>3.3521840305328854</v>
      </c>
      <c r="AH756" s="591">
        <f t="shared" si="1092"/>
        <v>3.4366976903281401</v>
      </c>
      <c r="AI756" s="591">
        <f t="shared" si="1092"/>
        <v>3.5238619607942043</v>
      </c>
      <c r="AJ756" s="591">
        <f t="shared" si="1092"/>
        <v>3.6137599380277381</v>
      </c>
    </row>
    <row r="757" spans="1:37" s="146" customFormat="1" hidden="1" x14ac:dyDescent="0.25">
      <c r="A757" s="146" t="s">
        <v>697</v>
      </c>
      <c r="H757" s="588" t="s">
        <v>492</v>
      </c>
      <c r="I757" s="589"/>
      <c r="K757" s="588"/>
      <c r="L757" s="593">
        <f>IFERROR(L756/L754,0)</f>
        <v>4.9999999999999989E-2</v>
      </c>
      <c r="M757" s="593">
        <f>IFERROR(M756/M754,0)</f>
        <v>4.9999999999999982E-2</v>
      </c>
      <c r="N757" s="593">
        <f t="shared" ref="N757:AJ757" si="1093">IFERROR(N756/N754,0)</f>
        <v>4.9999999999999989E-2</v>
      </c>
      <c r="O757" s="593">
        <f t="shared" si="1093"/>
        <v>4.9999999999999968E-2</v>
      </c>
      <c r="P757" s="593">
        <f t="shared" si="1093"/>
        <v>4.9999999999999947E-2</v>
      </c>
      <c r="Q757" s="593">
        <f t="shared" si="1093"/>
        <v>4.9999999999999954E-2</v>
      </c>
      <c r="R757" s="593">
        <f t="shared" si="1093"/>
        <v>4.9999999999999947E-2</v>
      </c>
      <c r="S757" s="593">
        <f t="shared" si="1093"/>
        <v>4.9999999999999968E-2</v>
      </c>
      <c r="T757" s="593">
        <f t="shared" si="1093"/>
        <v>4.9999999999999996E-2</v>
      </c>
      <c r="U757" s="593">
        <f t="shared" si="1093"/>
        <v>5.000000000000001E-2</v>
      </c>
      <c r="V757" s="593">
        <f t="shared" si="1093"/>
        <v>5.0000000000000031E-2</v>
      </c>
      <c r="W757" s="593">
        <f t="shared" si="1093"/>
        <v>4.9999999999999947E-2</v>
      </c>
      <c r="X757" s="593">
        <f t="shared" si="1093"/>
        <v>4.9999999999999982E-2</v>
      </c>
      <c r="Y757" s="593">
        <f t="shared" si="1093"/>
        <v>5.0000000000000031E-2</v>
      </c>
      <c r="Z757" s="593">
        <f t="shared" si="1093"/>
        <v>5.0000000000000037E-2</v>
      </c>
      <c r="AA757" s="593">
        <f t="shared" si="1093"/>
        <v>4.9999999999999954E-2</v>
      </c>
      <c r="AB757" s="593">
        <f t="shared" si="1093"/>
        <v>4.9999999999999982E-2</v>
      </c>
      <c r="AC757" s="593">
        <f t="shared" si="1093"/>
        <v>4.9999999999999989E-2</v>
      </c>
      <c r="AD757" s="593">
        <f t="shared" si="1093"/>
        <v>4.9999999999999982E-2</v>
      </c>
      <c r="AE757" s="593">
        <f t="shared" si="1093"/>
        <v>0.05</v>
      </c>
      <c r="AF757" s="593">
        <f t="shared" si="1093"/>
        <v>5.0000000000000058E-2</v>
      </c>
      <c r="AG757" s="593">
        <f t="shared" si="1093"/>
        <v>5.0000000000000037E-2</v>
      </c>
      <c r="AH757" s="593">
        <f t="shared" si="1093"/>
        <v>4.999999999999992E-2</v>
      </c>
      <c r="AI757" s="593">
        <f t="shared" si="1093"/>
        <v>4.9999999999999954E-2</v>
      </c>
      <c r="AJ757" s="593">
        <f t="shared" si="1093"/>
        <v>4.9999999999999961E-2</v>
      </c>
    </row>
    <row r="758" spans="1:37" hidden="1" x14ac:dyDescent="0.25">
      <c r="A758" t="s">
        <v>697</v>
      </c>
    </row>
    <row r="759" spans="1:37" s="24" customFormat="1" ht="17.25" hidden="1" x14ac:dyDescent="0.3">
      <c r="A759" s="24" t="s">
        <v>697</v>
      </c>
      <c r="H759" s="645" t="s">
        <v>476</v>
      </c>
      <c r="I759" s="645"/>
      <c r="K759" s="645"/>
      <c r="L759" s="645"/>
      <c r="M759" s="645"/>
      <c r="N759" s="645"/>
      <c r="O759" s="645"/>
      <c r="P759" s="645"/>
      <c r="Q759" s="645"/>
      <c r="R759" s="645"/>
      <c r="S759" s="645"/>
      <c r="T759" s="645"/>
      <c r="U759" s="645"/>
      <c r="V759" s="645"/>
      <c r="W759" s="645"/>
      <c r="X759" s="645"/>
      <c r="Y759" s="645"/>
      <c r="Z759" s="645"/>
      <c r="AA759" s="645"/>
      <c r="AB759" s="645"/>
      <c r="AC759" s="645"/>
      <c r="AD759" s="645"/>
      <c r="AE759" s="645"/>
      <c r="AF759" s="645"/>
      <c r="AG759" s="645"/>
      <c r="AH759" s="645"/>
      <c r="AI759" s="645"/>
      <c r="AJ759" s="645"/>
    </row>
    <row r="760" spans="1:37" s="1" customFormat="1" hidden="1" x14ac:dyDescent="0.25">
      <c r="A760" s="1" t="s">
        <v>697</v>
      </c>
      <c r="H760" s="287" t="s">
        <v>434</v>
      </c>
      <c r="I760" s="288" t="str">
        <f>IF($H$9="USD","USD/1.000 phôi","VND/phôi")</f>
        <v>VND/phôi</v>
      </c>
      <c r="K760" s="293">
        <f t="shared" ref="K760" si="1094">SUM(K761:K762,K765:K768,)</f>
        <v>0</v>
      </c>
      <c r="L760" s="293">
        <f>SUM(L761:L762,L765:L768,)</f>
        <v>259.67346680262716</v>
      </c>
      <c r="M760" s="293">
        <f t="shared" ref="M760:AJ760" si="1095">SUM(M761:M762,M765:M768,)</f>
        <v>185.48104771616227</v>
      </c>
      <c r="N760" s="293">
        <f t="shared" si="1095"/>
        <v>132.31118921009957</v>
      </c>
      <c r="O760" s="293">
        <f t="shared" si="1095"/>
        <v>134.90936780932486</v>
      </c>
      <c r="P760" s="293">
        <f t="shared" si="1095"/>
        <v>137.63745533851142</v>
      </c>
      <c r="Q760" s="293">
        <f t="shared" si="1095"/>
        <v>140.50194724415729</v>
      </c>
      <c r="R760" s="293">
        <f t="shared" si="1095"/>
        <v>143.50966374508548</v>
      </c>
      <c r="S760" s="293">
        <f t="shared" si="1095"/>
        <v>146.66776607106004</v>
      </c>
      <c r="T760" s="293">
        <f t="shared" si="1095"/>
        <v>149.98377351333335</v>
      </c>
      <c r="U760" s="293">
        <f t="shared" si="1095"/>
        <v>153.46558132772032</v>
      </c>
      <c r="V760" s="293">
        <f t="shared" si="1095"/>
        <v>157.12147953282664</v>
      </c>
      <c r="W760" s="293">
        <f t="shared" si="1095"/>
        <v>160.96017264818829</v>
      </c>
      <c r="X760" s="293">
        <f t="shared" si="1095"/>
        <v>101.4250307202736</v>
      </c>
      <c r="Y760" s="293">
        <f t="shared" si="1095"/>
        <v>105.65718987995979</v>
      </c>
      <c r="Z760" s="293">
        <f t="shared" si="1095"/>
        <v>110.10095699763032</v>
      </c>
      <c r="AA760" s="293">
        <f t="shared" si="1095"/>
        <v>114.76691247118434</v>
      </c>
      <c r="AB760" s="293">
        <f t="shared" si="1095"/>
        <v>119.66616571841611</v>
      </c>
      <c r="AC760" s="293">
        <f t="shared" si="1095"/>
        <v>124.81038162800947</v>
      </c>
      <c r="AD760" s="293">
        <f t="shared" si="1095"/>
        <v>130.21180833308247</v>
      </c>
      <c r="AE760" s="293">
        <f t="shared" si="1095"/>
        <v>135.88330637340914</v>
      </c>
      <c r="AF760" s="293">
        <f t="shared" si="1095"/>
        <v>141.83837931575212</v>
      </c>
      <c r="AG760" s="293">
        <f t="shared" si="1095"/>
        <v>148.09120590521223</v>
      </c>
      <c r="AH760" s="293">
        <f t="shared" si="1095"/>
        <v>154.6566738241454</v>
      </c>
      <c r="AI760" s="293">
        <f t="shared" si="1095"/>
        <v>161.55041513902518</v>
      </c>
      <c r="AJ760" s="293">
        <f t="shared" si="1095"/>
        <v>168.78884351964902</v>
      </c>
    </row>
    <row r="761" spans="1:37" hidden="1" x14ac:dyDescent="0.25">
      <c r="A761" t="s">
        <v>697</v>
      </c>
      <c r="E761" t="s">
        <v>173</v>
      </c>
      <c r="H761" s="573" t="s">
        <v>190</v>
      </c>
      <c r="I761" s="574" t="str">
        <f t="shared" ref="I761:I768" si="1096">IF($H$9="USD","USD/1.000 phôi","VND/phôi")</f>
        <v>VND/phôi</v>
      </c>
      <c r="K761" s="579"/>
      <c r="L761" s="580">
        <f t="shared" ref="L761:AJ761" si="1097">-IF($H$9="USD",L691/L680/$H$10*10^3,L691/L680/$H$10)</f>
        <v>156.19109950051237</v>
      </c>
      <c r="M761" s="580">
        <f t="shared" si="1097"/>
        <v>111.56507107179456</v>
      </c>
      <c r="N761" s="580">
        <f t="shared" si="1097"/>
        <v>78.095549750256183</v>
      </c>
      <c r="O761" s="580">
        <f t="shared" si="1097"/>
        <v>78.095549750256183</v>
      </c>
      <c r="P761" s="580">
        <f t="shared" si="1097"/>
        <v>78.095549750256183</v>
      </c>
      <c r="Q761" s="580">
        <f t="shared" si="1097"/>
        <v>78.095549750256183</v>
      </c>
      <c r="R761" s="580">
        <f t="shared" si="1097"/>
        <v>78.095549750256183</v>
      </c>
      <c r="S761" s="580">
        <f t="shared" si="1097"/>
        <v>78.095549750256183</v>
      </c>
      <c r="T761" s="580">
        <f t="shared" si="1097"/>
        <v>78.095549750256183</v>
      </c>
      <c r="U761" s="580">
        <f t="shared" si="1097"/>
        <v>78.095549750256183</v>
      </c>
      <c r="V761" s="580">
        <f t="shared" si="1097"/>
        <v>78.095549750256183</v>
      </c>
      <c r="W761" s="580">
        <f t="shared" si="1097"/>
        <v>78.095549750256183</v>
      </c>
      <c r="X761" s="580">
        <f t="shared" si="1097"/>
        <v>14.529780051211779</v>
      </c>
      <c r="Y761" s="580">
        <f t="shared" si="1097"/>
        <v>14.529780051211779</v>
      </c>
      <c r="Z761" s="580">
        <f t="shared" si="1097"/>
        <v>14.529780051211779</v>
      </c>
      <c r="AA761" s="580">
        <f t="shared" si="1097"/>
        <v>14.529780051211779</v>
      </c>
      <c r="AB761" s="580">
        <f t="shared" si="1097"/>
        <v>14.529780051211779</v>
      </c>
      <c r="AC761" s="580">
        <f t="shared" si="1097"/>
        <v>14.529780051211779</v>
      </c>
      <c r="AD761" s="580">
        <f t="shared" si="1097"/>
        <v>14.529780051211779</v>
      </c>
      <c r="AE761" s="580">
        <f t="shared" si="1097"/>
        <v>14.529780051211779</v>
      </c>
      <c r="AF761" s="580">
        <f t="shared" si="1097"/>
        <v>14.529780051211779</v>
      </c>
      <c r="AG761" s="580">
        <f t="shared" si="1097"/>
        <v>14.529780051211779</v>
      </c>
      <c r="AH761" s="580">
        <f t="shared" si="1097"/>
        <v>14.529780051211779</v>
      </c>
      <c r="AI761" s="580">
        <f t="shared" si="1097"/>
        <v>14.529780051211779</v>
      </c>
      <c r="AJ761" s="580">
        <f t="shared" si="1097"/>
        <v>14.529780051211779</v>
      </c>
      <c r="AK761" t="s">
        <v>747</v>
      </c>
    </row>
    <row r="762" spans="1:37" hidden="1" x14ac:dyDescent="0.25">
      <c r="A762" t="s">
        <v>697</v>
      </c>
      <c r="H762" s="575" t="s">
        <v>429</v>
      </c>
      <c r="I762" s="576" t="str">
        <f t="shared" si="1096"/>
        <v>VND/phôi</v>
      </c>
      <c r="K762" s="581">
        <f>SUM(K763:K764)</f>
        <v>0</v>
      </c>
      <c r="L762" s="581">
        <f t="shared" ref="L762:AJ762" si="1098">SUM(L763:L764)</f>
        <v>30.570817055330142</v>
      </c>
      <c r="M762" s="581">
        <f t="shared" si="1098"/>
        <v>21.836297896664394</v>
      </c>
      <c r="N762" s="581">
        <f t="shared" si="1098"/>
        <v>16.049678954048325</v>
      </c>
      <c r="O762" s="581">
        <f t="shared" si="1098"/>
        <v>16.852162901750741</v>
      </c>
      <c r="P762" s="581">
        <f t="shared" si="1098"/>
        <v>17.69477104683828</v>
      </c>
      <c r="Q762" s="581">
        <f t="shared" si="1098"/>
        <v>18.579509599180195</v>
      </c>
      <c r="R762" s="581">
        <f t="shared" si="1098"/>
        <v>19.508485079139206</v>
      </c>
      <c r="S762" s="581">
        <f t="shared" si="1098"/>
        <v>20.483909333096161</v>
      </c>
      <c r="T762" s="581">
        <f t="shared" si="1098"/>
        <v>21.508104799750974</v>
      </c>
      <c r="U762" s="581">
        <f t="shared" si="1098"/>
        <v>22.58351003973852</v>
      </c>
      <c r="V762" s="581">
        <f t="shared" si="1098"/>
        <v>23.712685541725449</v>
      </c>
      <c r="W762" s="581">
        <f t="shared" si="1098"/>
        <v>24.898319818811718</v>
      </c>
      <c r="X762" s="581">
        <f t="shared" si="1098"/>
        <v>26.143235809752309</v>
      </c>
      <c r="Y762" s="581">
        <f t="shared" si="1098"/>
        <v>27.450397600239921</v>
      </c>
      <c r="Z762" s="581">
        <f t="shared" si="1098"/>
        <v>28.82291748025192</v>
      </c>
      <c r="AA762" s="581">
        <f t="shared" si="1098"/>
        <v>30.264063354264511</v>
      </c>
      <c r="AB762" s="581">
        <f t="shared" si="1098"/>
        <v>31.777266521977747</v>
      </c>
      <c r="AC762" s="581">
        <f t="shared" si="1098"/>
        <v>33.366129848076632</v>
      </c>
      <c r="AD762" s="581">
        <f t="shared" si="1098"/>
        <v>35.034436340480468</v>
      </c>
      <c r="AE762" s="581">
        <f t="shared" si="1098"/>
        <v>36.786158157504495</v>
      </c>
      <c r="AF762" s="581">
        <f t="shared" si="1098"/>
        <v>38.625466065379712</v>
      </c>
      <c r="AG762" s="581">
        <f t="shared" si="1098"/>
        <v>40.556739368648692</v>
      </c>
      <c r="AH762" s="581">
        <f t="shared" si="1098"/>
        <v>42.584576337081131</v>
      </c>
      <c r="AI762" s="581">
        <f t="shared" si="1098"/>
        <v>44.713805153935184</v>
      </c>
      <c r="AJ762" s="581">
        <f t="shared" si="1098"/>
        <v>46.949495411631951</v>
      </c>
    </row>
    <row r="763" spans="1:37" s="299" customFormat="1" hidden="1" x14ac:dyDescent="0.25">
      <c r="A763" s="299" t="s">
        <v>697</v>
      </c>
      <c r="E763" s="299" t="s">
        <v>171</v>
      </c>
      <c r="H763" s="577" t="s">
        <v>430</v>
      </c>
      <c r="I763" s="578" t="str">
        <f t="shared" si="1096"/>
        <v>VND/phôi</v>
      </c>
      <c r="K763" s="582"/>
      <c r="L763" s="582">
        <f t="shared" ref="L763:AJ763" si="1099">-IF($H$9="USD",L693/L680/$H$10*10^3,L693/L680/$H$10)</f>
        <v>4.9979537420158273</v>
      </c>
      <c r="M763" s="582">
        <f t="shared" si="1099"/>
        <v>3.5699669585827345</v>
      </c>
      <c r="N763" s="582">
        <f t="shared" si="1099"/>
        <v>2.6239257145583097</v>
      </c>
      <c r="O763" s="582">
        <f t="shared" si="1099"/>
        <v>2.7551220002862253</v>
      </c>
      <c r="P763" s="582">
        <f t="shared" si="1099"/>
        <v>2.8928781003005364</v>
      </c>
      <c r="Q763" s="582">
        <f t="shared" si="1099"/>
        <v>3.0375220053155632</v>
      </c>
      <c r="R763" s="582">
        <f t="shared" si="1099"/>
        <v>3.1893981055813421</v>
      </c>
      <c r="S763" s="582">
        <f t="shared" si="1099"/>
        <v>3.3488680108604081</v>
      </c>
      <c r="T763" s="582">
        <f t="shared" si="1099"/>
        <v>3.5163114114034291</v>
      </c>
      <c r="U763" s="582">
        <f t="shared" si="1099"/>
        <v>3.6921269819736002</v>
      </c>
      <c r="V763" s="582">
        <f t="shared" si="1099"/>
        <v>3.8767333310722805</v>
      </c>
      <c r="W763" s="582">
        <f t="shared" si="1099"/>
        <v>4.0705699976258947</v>
      </c>
      <c r="X763" s="582">
        <f t="shared" si="1099"/>
        <v>4.2740984975071896</v>
      </c>
      <c r="Y763" s="582">
        <f t="shared" si="1099"/>
        <v>4.4878034223825489</v>
      </c>
      <c r="Z763" s="582">
        <f t="shared" si="1099"/>
        <v>4.7121935935016763</v>
      </c>
      <c r="AA763" s="582">
        <f t="shared" si="1099"/>
        <v>4.9478032731767598</v>
      </c>
      <c r="AB763" s="582">
        <f t="shared" si="1099"/>
        <v>5.1951934368355994</v>
      </c>
      <c r="AC763" s="582">
        <f t="shared" si="1099"/>
        <v>5.4549531086773788</v>
      </c>
      <c r="AD763" s="582">
        <f t="shared" si="1099"/>
        <v>5.7277007641112485</v>
      </c>
      <c r="AE763" s="582">
        <f t="shared" si="1099"/>
        <v>6.0140858023168109</v>
      </c>
      <c r="AF763" s="582">
        <f t="shared" si="1099"/>
        <v>6.3147900924326512</v>
      </c>
      <c r="AG763" s="582">
        <f t="shared" si="1099"/>
        <v>6.6305295970542835</v>
      </c>
      <c r="AH763" s="582">
        <f t="shared" si="1099"/>
        <v>6.9620560769069977</v>
      </c>
      <c r="AI763" s="582">
        <f t="shared" si="1099"/>
        <v>7.310158880752347</v>
      </c>
      <c r="AJ763" s="582">
        <f t="shared" si="1099"/>
        <v>7.6756668247899658</v>
      </c>
      <c r="AK763" s="299" t="s">
        <v>747</v>
      </c>
    </row>
    <row r="764" spans="1:37" s="299" customFormat="1" hidden="1" x14ac:dyDescent="0.25">
      <c r="A764" s="299" t="s">
        <v>697</v>
      </c>
      <c r="E764" s="299" t="s">
        <v>171</v>
      </c>
      <c r="H764" s="577" t="s">
        <v>431</v>
      </c>
      <c r="I764" s="578" t="str">
        <f t="shared" si="1096"/>
        <v>VND/phôi</v>
      </c>
      <c r="K764" s="582"/>
      <c r="L764" s="582">
        <f t="shared" ref="L764:AJ764" si="1100">-IF($H$9="USD",L694/L680/$H$10*10^3,L694/L680/$H$10)</f>
        <v>25.572863313314315</v>
      </c>
      <c r="M764" s="582">
        <f t="shared" si="1100"/>
        <v>18.266330938081659</v>
      </c>
      <c r="N764" s="582">
        <f t="shared" si="1100"/>
        <v>13.425753239490016</v>
      </c>
      <c r="O764" s="582">
        <f t="shared" si="1100"/>
        <v>14.097040901464517</v>
      </c>
      <c r="P764" s="582">
        <f t="shared" si="1100"/>
        <v>14.801892946537745</v>
      </c>
      <c r="Q764" s="582">
        <f t="shared" si="1100"/>
        <v>15.541987593864631</v>
      </c>
      <c r="R764" s="582">
        <f t="shared" si="1100"/>
        <v>16.319086973557862</v>
      </c>
      <c r="S764" s="582">
        <f t="shared" si="1100"/>
        <v>17.135041322235754</v>
      </c>
      <c r="T764" s="582">
        <f t="shared" si="1100"/>
        <v>17.991793388347546</v>
      </c>
      <c r="U764" s="582">
        <f t="shared" si="1100"/>
        <v>18.891383057764919</v>
      </c>
      <c r="V764" s="582">
        <f t="shared" si="1100"/>
        <v>19.835952210653168</v>
      </c>
      <c r="W764" s="582">
        <f t="shared" si="1100"/>
        <v>20.827749821185822</v>
      </c>
      <c r="X764" s="582">
        <f t="shared" si="1100"/>
        <v>21.869137312245119</v>
      </c>
      <c r="Y764" s="582">
        <f t="shared" si="1100"/>
        <v>22.962594177857373</v>
      </c>
      <c r="Z764" s="582">
        <f t="shared" si="1100"/>
        <v>24.110723886750243</v>
      </c>
      <c r="AA764" s="582">
        <f t="shared" si="1100"/>
        <v>25.316260081087751</v>
      </c>
      <c r="AB764" s="582">
        <f t="shared" si="1100"/>
        <v>26.582073085142149</v>
      </c>
      <c r="AC764" s="582">
        <f t="shared" si="1100"/>
        <v>27.911176739399252</v>
      </c>
      <c r="AD764" s="582">
        <f t="shared" si="1100"/>
        <v>29.306735576369221</v>
      </c>
      <c r="AE764" s="582">
        <f t="shared" si="1100"/>
        <v>30.772072355187682</v>
      </c>
      <c r="AF764" s="582">
        <f t="shared" si="1100"/>
        <v>32.31067597294706</v>
      </c>
      <c r="AG764" s="582">
        <f t="shared" si="1100"/>
        <v>33.926209771594408</v>
      </c>
      <c r="AH764" s="582">
        <f t="shared" si="1100"/>
        <v>35.622520260174134</v>
      </c>
      <c r="AI764" s="582">
        <f t="shared" si="1100"/>
        <v>37.403646273182837</v>
      </c>
      <c r="AJ764" s="582">
        <f t="shared" si="1100"/>
        <v>39.273828586841987</v>
      </c>
      <c r="AK764" s="299" t="s">
        <v>747</v>
      </c>
    </row>
    <row r="765" spans="1:37" hidden="1" x14ac:dyDescent="0.25">
      <c r="A765" t="s">
        <v>697</v>
      </c>
      <c r="E765" t="s">
        <v>172</v>
      </c>
      <c r="H765" s="575" t="s">
        <v>656</v>
      </c>
      <c r="I765" s="576" t="str">
        <f t="shared" si="1096"/>
        <v>VND/phôi</v>
      </c>
      <c r="K765" s="581"/>
      <c r="L765" s="581">
        <f t="shared" ref="L765:AI765" si="1101">-IF($H$9="USD",L695/L680/$H$10*10^3,L695/L680/$H$10)</f>
        <v>12.205015243017893</v>
      </c>
      <c r="M765" s="581">
        <f t="shared" si="1101"/>
        <v>8.7178680307270682</v>
      </c>
      <c r="N765" s="581">
        <f t="shared" si="1101"/>
        <v>6.4076330025843937</v>
      </c>
      <c r="O765" s="581">
        <f t="shared" si="1101"/>
        <v>6.7280146527136147</v>
      </c>
      <c r="P765" s="581">
        <f t="shared" si="1101"/>
        <v>7.064415385349295</v>
      </c>
      <c r="Q765" s="581">
        <f t="shared" si="1101"/>
        <v>7.4176361546167593</v>
      </c>
      <c r="R765" s="581">
        <f t="shared" si="1101"/>
        <v>7.7885179623475977</v>
      </c>
      <c r="S765" s="581">
        <f t="shared" si="1101"/>
        <v>8.1779438604649766</v>
      </c>
      <c r="T765" s="581">
        <f t="shared" si="1101"/>
        <v>8.5868410534882287</v>
      </c>
      <c r="U765" s="581">
        <f t="shared" si="1101"/>
        <v>9.0161831061626376</v>
      </c>
      <c r="V765" s="581">
        <f t="shared" si="1101"/>
        <v>9.4669922614707716</v>
      </c>
      <c r="W765" s="581">
        <f t="shared" si="1101"/>
        <v>9.9403418745443091</v>
      </c>
      <c r="X765" s="581">
        <f t="shared" si="1101"/>
        <v>10.437358968271525</v>
      </c>
      <c r="Y765" s="581">
        <f t="shared" si="1101"/>
        <v>10.9592269166851</v>
      </c>
      <c r="Z765" s="581">
        <f t="shared" si="1101"/>
        <v>11.507188262519358</v>
      </c>
      <c r="AA765" s="581">
        <f t="shared" si="1101"/>
        <v>12.082547675645321</v>
      </c>
      <c r="AB765" s="581">
        <f t="shared" si="1101"/>
        <v>12.686675059427591</v>
      </c>
      <c r="AC765" s="581">
        <f t="shared" si="1101"/>
        <v>13.32100881239897</v>
      </c>
      <c r="AD765" s="581">
        <f t="shared" si="1101"/>
        <v>13.987059253018922</v>
      </c>
      <c r="AE765" s="581">
        <f t="shared" si="1101"/>
        <v>14.686412215669867</v>
      </c>
      <c r="AF765" s="581">
        <f t="shared" si="1101"/>
        <v>15.420732826453358</v>
      </c>
      <c r="AG765" s="581">
        <f t="shared" si="1101"/>
        <v>16.191769467776027</v>
      </c>
      <c r="AH765" s="581">
        <f t="shared" si="1101"/>
        <v>17.00135794116483</v>
      </c>
      <c r="AI765" s="581">
        <f t="shared" si="1101"/>
        <v>17.851425838223069</v>
      </c>
      <c r="AJ765" s="581">
        <f>-IF($H$9="USD",AJ695/AJ680/$H$10*10^3,AJ695/AJ680/$H$10)</f>
        <v>18.743997130134225</v>
      </c>
    </row>
    <row r="766" spans="1:37" hidden="1" x14ac:dyDescent="0.25">
      <c r="A766" t="s">
        <v>697</v>
      </c>
      <c r="E766" t="s">
        <v>172</v>
      </c>
      <c r="H766" s="575" t="s">
        <v>432</v>
      </c>
      <c r="I766" s="576" t="str">
        <f t="shared" si="1096"/>
        <v>VND/phôi</v>
      </c>
      <c r="K766" s="581"/>
      <c r="L766" s="581">
        <f t="shared" ref="L766:AJ766" si="1102">-IF($H$9="USD",L696/L680/$H$10*10^3,L696/L680/$H$10)</f>
        <v>53.39524654719731</v>
      </c>
      <c r="M766" s="581">
        <f t="shared" si="1102"/>
        <v>38.13946181942665</v>
      </c>
      <c r="N766" s="581">
        <f t="shared" si="1102"/>
        <v>28.03250443727859</v>
      </c>
      <c r="O766" s="581">
        <f t="shared" si="1102"/>
        <v>29.434129659142517</v>
      </c>
      <c r="P766" s="581">
        <f t="shared" si="1102"/>
        <v>30.905836142099648</v>
      </c>
      <c r="Q766" s="581">
        <f t="shared" si="1102"/>
        <v>32.451127949204626</v>
      </c>
      <c r="R766" s="581">
        <f t="shared" si="1102"/>
        <v>34.073684346664862</v>
      </c>
      <c r="S766" s="581">
        <f t="shared" si="1102"/>
        <v>35.777368563998103</v>
      </c>
      <c r="T766" s="581">
        <f t="shared" si="1102"/>
        <v>37.566236992198007</v>
      </c>
      <c r="U766" s="581">
        <f t="shared" si="1102"/>
        <v>39.444548841807901</v>
      </c>
      <c r="V766" s="581">
        <f t="shared" si="1102"/>
        <v>41.416776283898301</v>
      </c>
      <c r="W766" s="581">
        <f t="shared" si="1102"/>
        <v>43.487615098093215</v>
      </c>
      <c r="X766" s="581">
        <f t="shared" si="1102"/>
        <v>45.661995852997883</v>
      </c>
      <c r="Y766" s="581">
        <f t="shared" si="1102"/>
        <v>47.945095645647768</v>
      </c>
      <c r="Z766" s="581">
        <f t="shared" si="1102"/>
        <v>50.342350427930164</v>
      </c>
      <c r="AA766" s="581">
        <f t="shared" si="1102"/>
        <v>52.859467949326664</v>
      </c>
      <c r="AB766" s="581">
        <f t="shared" si="1102"/>
        <v>55.502441346793006</v>
      </c>
      <c r="AC766" s="581">
        <f t="shared" si="1102"/>
        <v>58.277563414132658</v>
      </c>
      <c r="AD766" s="581">
        <f t="shared" si="1102"/>
        <v>61.191441584839296</v>
      </c>
      <c r="AE766" s="581">
        <f t="shared" si="1102"/>
        <v>64.25101366408127</v>
      </c>
      <c r="AF766" s="581">
        <f t="shared" si="1102"/>
        <v>67.463564347285327</v>
      </c>
      <c r="AG766" s="581">
        <f t="shared" si="1102"/>
        <v>70.836742564649583</v>
      </c>
      <c r="AH766" s="581">
        <f t="shared" si="1102"/>
        <v>74.378579692882084</v>
      </c>
      <c r="AI766" s="581">
        <f t="shared" si="1102"/>
        <v>78.097508677526164</v>
      </c>
      <c r="AJ766" s="581">
        <f t="shared" si="1102"/>
        <v>82.002384111402492</v>
      </c>
    </row>
    <row r="767" spans="1:37" hidden="1" x14ac:dyDescent="0.25">
      <c r="A767" t="s">
        <v>697</v>
      </c>
      <c r="E767" t="s">
        <v>172</v>
      </c>
      <c r="H767" s="575" t="s">
        <v>433</v>
      </c>
      <c r="I767" s="576" t="str">
        <f t="shared" si="1096"/>
        <v>VND/phôi</v>
      </c>
      <c r="K767" s="581"/>
      <c r="L767" s="581">
        <f t="shared" ref="L767:AJ767" si="1103">-IF($H$9="USD",L697/L680/$H$10*10^3,L697/L680/$H$10)</f>
        <v>2.8071535058941155</v>
      </c>
      <c r="M767" s="581">
        <f t="shared" si="1103"/>
        <v>2.0051096470672256</v>
      </c>
      <c r="N767" s="581">
        <f t="shared" si="1103"/>
        <v>1.4737555905944109</v>
      </c>
      <c r="O767" s="581">
        <f t="shared" si="1103"/>
        <v>1.5474433701241312</v>
      </c>
      <c r="P767" s="581">
        <f t="shared" si="1103"/>
        <v>1.624815538630338</v>
      </c>
      <c r="Q767" s="581">
        <f t="shared" si="1103"/>
        <v>1.7060563155618549</v>
      </c>
      <c r="R767" s="581">
        <f t="shared" si="1103"/>
        <v>1.7913591313399477</v>
      </c>
      <c r="S767" s="581">
        <f t="shared" si="1103"/>
        <v>1.8809270879069449</v>
      </c>
      <c r="T767" s="581">
        <f t="shared" si="1103"/>
        <v>1.9749734423022924</v>
      </c>
      <c r="U767" s="581">
        <f t="shared" si="1103"/>
        <v>2.0737221144174067</v>
      </c>
      <c r="V767" s="581">
        <f t="shared" si="1103"/>
        <v>2.1774082201382772</v>
      </c>
      <c r="W767" s="581">
        <f t="shared" si="1103"/>
        <v>2.286278631145191</v>
      </c>
      <c r="X767" s="581">
        <f t="shared" si="1103"/>
        <v>2.4005925627024509</v>
      </c>
      <c r="Y767" s="581">
        <f t="shared" si="1103"/>
        <v>2.5206221908375728</v>
      </c>
      <c r="Z767" s="581">
        <f t="shared" si="1103"/>
        <v>2.6466533003794517</v>
      </c>
      <c r="AA767" s="581">
        <f t="shared" si="1103"/>
        <v>2.7789859653984244</v>
      </c>
      <c r="AB767" s="581">
        <f t="shared" si="1103"/>
        <v>2.9179352636683462</v>
      </c>
      <c r="AC767" s="581">
        <f t="shared" si="1103"/>
        <v>3.0638320268517631</v>
      </c>
      <c r="AD767" s="581">
        <f t="shared" si="1103"/>
        <v>3.2170236281943518</v>
      </c>
      <c r="AE767" s="581">
        <f t="shared" si="1103"/>
        <v>3.3778748096040694</v>
      </c>
      <c r="AF767" s="581">
        <f t="shared" si="1103"/>
        <v>3.5467685500842729</v>
      </c>
      <c r="AG767" s="581">
        <f t="shared" si="1103"/>
        <v>3.7241069775884865</v>
      </c>
      <c r="AH767" s="581">
        <f t="shared" si="1103"/>
        <v>3.9103123264679103</v>
      </c>
      <c r="AI767" s="581">
        <f t="shared" si="1103"/>
        <v>4.105827942791306</v>
      </c>
      <c r="AJ767" s="581">
        <f t="shared" si="1103"/>
        <v>4.3111193399308716</v>
      </c>
    </row>
    <row r="768" spans="1:37" hidden="1" x14ac:dyDescent="0.25">
      <c r="A768" t="s">
        <v>697</v>
      </c>
      <c r="E768" t="s">
        <v>172</v>
      </c>
      <c r="H768" s="575" t="s">
        <v>520</v>
      </c>
      <c r="I768" s="576" t="str">
        <f t="shared" si="1096"/>
        <v>VND/phôi</v>
      </c>
      <c r="K768" s="581"/>
      <c r="L768" s="581">
        <f t="shared" ref="L768:AJ768" si="1104">-IF($H$9="USD",L698/L680/$H$10*10^3,L698/L680/$H$10)</f>
        <v>4.5041349506753097</v>
      </c>
      <c r="M768" s="581">
        <f t="shared" si="1104"/>
        <v>3.2172392504823644</v>
      </c>
      <c r="N768" s="581">
        <f t="shared" si="1104"/>
        <v>2.2520674753376548</v>
      </c>
      <c r="O768" s="581">
        <f t="shared" si="1104"/>
        <v>2.2520674753376548</v>
      </c>
      <c r="P768" s="581">
        <f t="shared" si="1104"/>
        <v>2.2520674753376548</v>
      </c>
      <c r="Q768" s="581">
        <f t="shared" si="1104"/>
        <v>2.2520674753376548</v>
      </c>
      <c r="R768" s="581">
        <f t="shared" si="1104"/>
        <v>2.2520674753376548</v>
      </c>
      <c r="S768" s="581">
        <f t="shared" si="1104"/>
        <v>2.2520674753376548</v>
      </c>
      <c r="T768" s="581">
        <f t="shared" si="1104"/>
        <v>2.2520674753376548</v>
      </c>
      <c r="U768" s="581">
        <f t="shared" si="1104"/>
        <v>2.2520674753376548</v>
      </c>
      <c r="V768" s="581">
        <f t="shared" si="1104"/>
        <v>2.2520674753376548</v>
      </c>
      <c r="W768" s="581">
        <f t="shared" si="1104"/>
        <v>2.2520674753376548</v>
      </c>
      <c r="X768" s="581">
        <f t="shared" si="1104"/>
        <v>2.2520674753376548</v>
      </c>
      <c r="Y768" s="581">
        <f t="shared" si="1104"/>
        <v>2.2520674753376548</v>
      </c>
      <c r="Z768" s="581">
        <f t="shared" si="1104"/>
        <v>2.2520674753376548</v>
      </c>
      <c r="AA768" s="581">
        <f t="shared" si="1104"/>
        <v>2.2520674753376548</v>
      </c>
      <c r="AB768" s="581">
        <f t="shared" si="1104"/>
        <v>2.2520674753376548</v>
      </c>
      <c r="AC768" s="581">
        <f t="shared" si="1104"/>
        <v>2.2520674753376548</v>
      </c>
      <c r="AD768" s="581">
        <f t="shared" si="1104"/>
        <v>2.2520674753376548</v>
      </c>
      <c r="AE768" s="581">
        <f t="shared" si="1104"/>
        <v>2.2520674753376548</v>
      </c>
      <c r="AF768" s="581">
        <f t="shared" si="1104"/>
        <v>2.2520674753376548</v>
      </c>
      <c r="AG768" s="581">
        <f t="shared" si="1104"/>
        <v>2.2520674753376548</v>
      </c>
      <c r="AH768" s="581">
        <f t="shared" si="1104"/>
        <v>2.2520674753376548</v>
      </c>
      <c r="AI768" s="581">
        <f t="shared" si="1104"/>
        <v>2.2520674753376548</v>
      </c>
      <c r="AJ768" s="581">
        <f t="shared" si="1104"/>
        <v>2.2520674753376548</v>
      </c>
    </row>
    <row r="769" spans="1:36" hidden="1" x14ac:dyDescent="0.25">
      <c r="A769" t="s">
        <v>697</v>
      </c>
      <c r="H769" s="289"/>
      <c r="I769" s="290"/>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c r="AJ769" s="294"/>
    </row>
    <row r="770" spans="1:36" s="1" customFormat="1" hidden="1" x14ac:dyDescent="0.25">
      <c r="A770" s="1" t="s">
        <v>697</v>
      </c>
      <c r="H770" s="287" t="s">
        <v>435</v>
      </c>
      <c r="I770" s="288" t="str">
        <f t="shared" ref="I770:I794" si="1105">IF($H$9="USD","USD/1.000 phôi","VND/phôi")</f>
        <v>VND/phôi</v>
      </c>
      <c r="K770" s="295">
        <f>K771+K774+K777</f>
        <v>0</v>
      </c>
      <c r="L770" s="295">
        <f t="shared" ref="L770:AJ770" si="1106">L771+L774+L777</f>
        <v>450.17868705920182</v>
      </c>
      <c r="M770" s="295">
        <f t="shared" si="1106"/>
        <v>447.21099029574339</v>
      </c>
      <c r="N770" s="295">
        <f t="shared" si="1106"/>
        <v>454.99636402001693</v>
      </c>
      <c r="O770" s="295">
        <f t="shared" si="1106"/>
        <v>465.26651924463107</v>
      </c>
      <c r="P770" s="295">
        <f t="shared" si="1106"/>
        <v>475.80380287563719</v>
      </c>
      <c r="Q770" s="295">
        <f t="shared" si="1106"/>
        <v>486.61664374625826</v>
      </c>
      <c r="R770" s="295">
        <f t="shared" si="1106"/>
        <v>497.7137935796361</v>
      </c>
      <c r="S770" s="295">
        <f t="shared" si="1106"/>
        <v>509.10434116229317</v>
      </c>
      <c r="T770" s="295">
        <f t="shared" si="1106"/>
        <v>520.79772718684558</v>
      </c>
      <c r="U770" s="295">
        <f t="shared" si="1106"/>
        <v>532.80375979664336</v>
      </c>
      <c r="V770" s="295">
        <f t="shared" si="1106"/>
        <v>545.13263086662937</v>
      </c>
      <c r="W770" s="295">
        <f t="shared" si="1106"/>
        <v>557.79493305640665</v>
      </c>
      <c r="X770" s="295">
        <f t="shared" si="1106"/>
        <v>568.25904688532887</v>
      </c>
      <c r="Y770" s="295">
        <f t="shared" si="1106"/>
        <v>581.62168259702753</v>
      </c>
      <c r="Z770" s="295">
        <f t="shared" si="1106"/>
        <v>595.3521150355607</v>
      </c>
      <c r="AA770" s="295">
        <f t="shared" si="1106"/>
        <v>609.46272733609533</v>
      </c>
      <c r="AB770" s="295">
        <f t="shared" si="1106"/>
        <v>623.96640165653264</v>
      </c>
      <c r="AC770" s="295">
        <f t="shared" si="1106"/>
        <v>638.87654172596592</v>
      </c>
      <c r="AD770" s="295">
        <f t="shared" si="1106"/>
        <v>654.20709647250374</v>
      </c>
      <c r="AE770" s="295">
        <f t="shared" si="1106"/>
        <v>669.9725847834743</v>
      </c>
      <c r="AF770" s="295">
        <f t="shared" si="1106"/>
        <v>686.18812145364154</v>
      </c>
      <c r="AG770" s="295">
        <f t="shared" si="1106"/>
        <v>702.86944437983811</v>
      </c>
      <c r="AH770" s="295">
        <f t="shared" si="1106"/>
        <v>720.03294306331566</v>
      </c>
      <c r="AI770" s="295">
        <f t="shared" si="1106"/>
        <v>737.69568848415804</v>
      </c>
      <c r="AJ770" s="295">
        <f t="shared" si="1106"/>
        <v>755.87546441529696</v>
      </c>
    </row>
    <row r="771" spans="1:36" hidden="1" x14ac:dyDescent="0.25">
      <c r="A771" t="s">
        <v>697</v>
      </c>
      <c r="H771" s="573" t="s">
        <v>454</v>
      </c>
      <c r="I771" s="574" t="str">
        <f t="shared" si="1105"/>
        <v>VND/phôi</v>
      </c>
      <c r="K771" s="583">
        <f>SUM(K772:K773)</f>
        <v>0</v>
      </c>
      <c r="L771" s="583">
        <f t="shared" ref="L771:AJ771" si="1107">SUM(L772:L773)</f>
        <v>402.58064516129031</v>
      </c>
      <c r="M771" s="583">
        <f t="shared" si="1107"/>
        <v>402.58064516129042</v>
      </c>
      <c r="N771" s="583">
        <f t="shared" si="1107"/>
        <v>410.63225806451618</v>
      </c>
      <c r="O771" s="583">
        <f t="shared" si="1107"/>
        <v>418.84490322580649</v>
      </c>
      <c r="P771" s="583">
        <f t="shared" si="1107"/>
        <v>427.22180129032256</v>
      </c>
      <c r="Q771" s="583">
        <f t="shared" si="1107"/>
        <v>435.76623731612904</v>
      </c>
      <c r="R771" s="583">
        <f t="shared" si="1107"/>
        <v>444.48156206245164</v>
      </c>
      <c r="S771" s="583">
        <f t="shared" si="1107"/>
        <v>453.37119330370069</v>
      </c>
      <c r="T771" s="583">
        <f t="shared" si="1107"/>
        <v>462.4386171697746</v>
      </c>
      <c r="U771" s="583">
        <f t="shared" si="1107"/>
        <v>471.68738951317005</v>
      </c>
      <c r="V771" s="583">
        <f t="shared" si="1107"/>
        <v>481.12113730343356</v>
      </c>
      <c r="W771" s="583">
        <f t="shared" si="1107"/>
        <v>490.74356004950221</v>
      </c>
      <c r="X771" s="583">
        <f t="shared" si="1107"/>
        <v>500.55843125049216</v>
      </c>
      <c r="Y771" s="583">
        <f t="shared" si="1107"/>
        <v>510.56959987550215</v>
      </c>
      <c r="Z771" s="583">
        <f t="shared" si="1107"/>
        <v>520.78099187301211</v>
      </c>
      <c r="AA771" s="583">
        <f t="shared" si="1107"/>
        <v>531.19661171047244</v>
      </c>
      <c r="AB771" s="583">
        <f t="shared" si="1107"/>
        <v>541.82054394468173</v>
      </c>
      <c r="AC771" s="583">
        <f t="shared" si="1107"/>
        <v>552.65695482357557</v>
      </c>
      <c r="AD771" s="583">
        <f t="shared" si="1107"/>
        <v>563.71009392004692</v>
      </c>
      <c r="AE771" s="583">
        <f t="shared" si="1107"/>
        <v>574.98429579844776</v>
      </c>
      <c r="AF771" s="583">
        <f t="shared" si="1107"/>
        <v>586.48398171441681</v>
      </c>
      <c r="AG771" s="583">
        <f t="shared" si="1107"/>
        <v>598.21366134870516</v>
      </c>
      <c r="AH771" s="583">
        <f t="shared" si="1107"/>
        <v>610.17793457567916</v>
      </c>
      <c r="AI771" s="583">
        <f t="shared" si="1107"/>
        <v>622.38149326719292</v>
      </c>
      <c r="AJ771" s="583">
        <f t="shared" si="1107"/>
        <v>634.82912313253667</v>
      </c>
    </row>
    <row r="772" spans="1:36" s="299" customFormat="1" hidden="1" x14ac:dyDescent="0.25">
      <c r="A772" s="299" t="s">
        <v>697</v>
      </c>
      <c r="E772" s="299" t="s">
        <v>536</v>
      </c>
      <c r="H772" s="577" t="s">
        <v>167</v>
      </c>
      <c r="I772" s="578" t="str">
        <f t="shared" si="1105"/>
        <v>VND/phôi</v>
      </c>
      <c r="K772" s="582"/>
      <c r="L772" s="582">
        <f>-IF($H$9="USD",L702/L680/$H$10*10^3,L702/L680/$H$10)</f>
        <v>374.4</v>
      </c>
      <c r="M772" s="582">
        <f t="shared" ref="M772:AJ772" si="1108">-IF($H$9="USD",M702/M680/$H$10*10^3,M702/M680/$H$10)</f>
        <v>374.40000000000003</v>
      </c>
      <c r="N772" s="582">
        <f t="shared" si="1108"/>
        <v>381.88799999999998</v>
      </c>
      <c r="O772" s="582">
        <f t="shared" si="1108"/>
        <v>389.52575999999999</v>
      </c>
      <c r="P772" s="582">
        <f t="shared" si="1108"/>
        <v>397.31627519999995</v>
      </c>
      <c r="Q772" s="582">
        <f t="shared" si="1108"/>
        <v>405.26260070400002</v>
      </c>
      <c r="R772" s="582">
        <f t="shared" si="1108"/>
        <v>413.36785271808003</v>
      </c>
      <c r="S772" s="582">
        <f t="shared" si="1108"/>
        <v>421.63520977244161</v>
      </c>
      <c r="T772" s="582">
        <f t="shared" si="1108"/>
        <v>430.06791396789032</v>
      </c>
      <c r="U772" s="582">
        <f t="shared" si="1108"/>
        <v>438.66927224724816</v>
      </c>
      <c r="V772" s="582">
        <f t="shared" si="1108"/>
        <v>447.44265769219317</v>
      </c>
      <c r="W772" s="582">
        <f t="shared" si="1108"/>
        <v>456.39151084603702</v>
      </c>
      <c r="X772" s="582">
        <f t="shared" si="1108"/>
        <v>465.51934106295772</v>
      </c>
      <c r="Y772" s="582">
        <f t="shared" si="1108"/>
        <v>474.82972788421694</v>
      </c>
      <c r="Z772" s="582">
        <f t="shared" si="1108"/>
        <v>484.32632244190125</v>
      </c>
      <c r="AA772" s="582">
        <f t="shared" si="1108"/>
        <v>494.01284889073935</v>
      </c>
      <c r="AB772" s="582">
        <f t="shared" si="1108"/>
        <v>503.89310586855402</v>
      </c>
      <c r="AC772" s="582">
        <f t="shared" si="1108"/>
        <v>513.9709679859252</v>
      </c>
      <c r="AD772" s="582">
        <f t="shared" si="1108"/>
        <v>524.25038734564362</v>
      </c>
      <c r="AE772" s="582">
        <f t="shared" si="1108"/>
        <v>534.73539509255636</v>
      </c>
      <c r="AF772" s="582">
        <f t="shared" si="1108"/>
        <v>545.43010299440755</v>
      </c>
      <c r="AG772" s="582">
        <f t="shared" si="1108"/>
        <v>556.33870505429581</v>
      </c>
      <c r="AH772" s="582">
        <f t="shared" si="1108"/>
        <v>567.46547915538156</v>
      </c>
      <c r="AI772" s="582">
        <f t="shared" si="1108"/>
        <v>578.81478873848937</v>
      </c>
      <c r="AJ772" s="582">
        <f t="shared" si="1108"/>
        <v>590.39108451325899</v>
      </c>
    </row>
    <row r="773" spans="1:36" s="299" customFormat="1" hidden="1" x14ac:dyDescent="0.25">
      <c r="A773" s="299" t="s">
        <v>697</v>
      </c>
      <c r="E773" s="299" t="s">
        <v>537</v>
      </c>
      <c r="H773" s="646" t="s">
        <v>203</v>
      </c>
      <c r="I773" s="647" t="str">
        <f t="shared" si="1105"/>
        <v>VND/phôi</v>
      </c>
      <c r="K773" s="648"/>
      <c r="L773" s="648">
        <f t="shared" ref="L773:AJ773" si="1109">-IF($H$9="USD",L703/L680/$H$10*10^3,L703/L680/$H$10)</f>
        <v>28.180645161290336</v>
      </c>
      <c r="M773" s="648">
        <f t="shared" si="1109"/>
        <v>28.180645161290371</v>
      </c>
      <c r="N773" s="648">
        <f t="shared" si="1109"/>
        <v>28.744258064516178</v>
      </c>
      <c r="O773" s="648">
        <f t="shared" si="1109"/>
        <v>29.319143225806506</v>
      </c>
      <c r="P773" s="648">
        <f t="shared" si="1109"/>
        <v>29.905526090322624</v>
      </c>
      <c r="Q773" s="648">
        <f t="shared" si="1109"/>
        <v>30.503636612129036</v>
      </c>
      <c r="R773" s="648">
        <f t="shared" si="1109"/>
        <v>31.113709344371639</v>
      </c>
      <c r="S773" s="648">
        <f t="shared" si="1109"/>
        <v>31.735983531259077</v>
      </c>
      <c r="T773" s="648">
        <f t="shared" si="1109"/>
        <v>32.370703201884282</v>
      </c>
      <c r="U773" s="648">
        <f t="shared" si="1109"/>
        <v>33.018117265921916</v>
      </c>
      <c r="V773" s="648">
        <f t="shared" si="1109"/>
        <v>33.678479611240391</v>
      </c>
      <c r="W773" s="648">
        <f t="shared" si="1109"/>
        <v>34.352049203465171</v>
      </c>
      <c r="X773" s="648">
        <f t="shared" si="1109"/>
        <v>35.039090187534455</v>
      </c>
      <c r="Y773" s="648">
        <f t="shared" si="1109"/>
        <v>35.739871991285206</v>
      </c>
      <c r="Z773" s="648">
        <f t="shared" si="1109"/>
        <v>36.454669431110879</v>
      </c>
      <c r="AA773" s="648">
        <f t="shared" si="1109"/>
        <v>37.18376281973309</v>
      </c>
      <c r="AB773" s="648">
        <f t="shared" si="1109"/>
        <v>37.927438076127729</v>
      </c>
      <c r="AC773" s="648">
        <f t="shared" si="1109"/>
        <v>38.685986837650347</v>
      </c>
      <c r="AD773" s="648">
        <f t="shared" si="1109"/>
        <v>39.459706574403299</v>
      </c>
      <c r="AE773" s="648">
        <f t="shared" si="1109"/>
        <v>40.248900705891366</v>
      </c>
      <c r="AF773" s="648">
        <f t="shared" si="1109"/>
        <v>41.05387872000923</v>
      </c>
      <c r="AG773" s="648">
        <f t="shared" si="1109"/>
        <v>41.874956294409365</v>
      </c>
      <c r="AH773" s="648">
        <f t="shared" si="1109"/>
        <v>42.712455420297601</v>
      </c>
      <c r="AI773" s="648">
        <f t="shared" si="1109"/>
        <v>43.566704528703553</v>
      </c>
      <c r="AJ773" s="648">
        <f t="shared" si="1109"/>
        <v>44.438038619277648</v>
      </c>
    </row>
    <row r="774" spans="1:36" hidden="1" x14ac:dyDescent="0.25">
      <c r="A774" t="s">
        <v>697</v>
      </c>
      <c r="E774" t="s">
        <v>177</v>
      </c>
      <c r="H774" s="575" t="s">
        <v>676</v>
      </c>
      <c r="I774" s="576" t="str">
        <f t="shared" si="1105"/>
        <v>VND/phôi</v>
      </c>
      <c r="K774" s="584">
        <f>SUM(K775:K776)</f>
        <v>0</v>
      </c>
      <c r="L774" s="584">
        <f t="shared" ref="L774:AJ774" si="1110">SUM(L775:L776)</f>
        <v>3.0630387096774192</v>
      </c>
      <c r="M774" s="584">
        <f t="shared" si="1110"/>
        <v>3.0630387096774196</v>
      </c>
      <c r="N774" s="584">
        <f t="shared" si="1110"/>
        <v>3.2161906451612912</v>
      </c>
      <c r="O774" s="584">
        <f t="shared" si="1110"/>
        <v>3.377000177419355</v>
      </c>
      <c r="P774" s="584">
        <f t="shared" si="1110"/>
        <v>3.5458501862903229</v>
      </c>
      <c r="Q774" s="584">
        <f t="shared" si="1110"/>
        <v>3.7231426956048392</v>
      </c>
      <c r="R774" s="584">
        <f t="shared" si="1110"/>
        <v>3.9092998303850814</v>
      </c>
      <c r="S774" s="584">
        <f t="shared" si="1110"/>
        <v>4.1047648219043342</v>
      </c>
      <c r="T774" s="584">
        <f t="shared" si="1110"/>
        <v>4.3100030629995523</v>
      </c>
      <c r="U774" s="584">
        <f t="shared" si="1110"/>
        <v>4.525503216149529</v>
      </c>
      <c r="V774" s="584">
        <f t="shared" si="1110"/>
        <v>4.7517783769570059</v>
      </c>
      <c r="W774" s="584">
        <f t="shared" si="1110"/>
        <v>4.9893672958048558</v>
      </c>
      <c r="X774" s="584">
        <f t="shared" si="1110"/>
        <v>5.2388356605950994</v>
      </c>
      <c r="Y774" s="584">
        <f t="shared" si="1110"/>
        <v>5.5007774436248544</v>
      </c>
      <c r="Z774" s="584">
        <f t="shared" si="1110"/>
        <v>5.7758163158060976</v>
      </c>
      <c r="AA774" s="584">
        <f t="shared" si="1110"/>
        <v>6.0646071315964001</v>
      </c>
      <c r="AB774" s="584">
        <f t="shared" si="1110"/>
        <v>6.3678374881762236</v>
      </c>
      <c r="AC774" s="584">
        <f t="shared" si="1110"/>
        <v>6.6862293625850331</v>
      </c>
      <c r="AD774" s="584">
        <f t="shared" si="1110"/>
        <v>7.0205408307142863</v>
      </c>
      <c r="AE774" s="584">
        <f t="shared" si="1110"/>
        <v>7.37156787225</v>
      </c>
      <c r="AF774" s="584">
        <f t="shared" si="1110"/>
        <v>7.7401462658625002</v>
      </c>
      <c r="AG774" s="584">
        <f t="shared" si="1110"/>
        <v>8.1271535791556264</v>
      </c>
      <c r="AH774" s="584">
        <f t="shared" si="1110"/>
        <v>8.5335112581134069</v>
      </c>
      <c r="AI774" s="584">
        <f t="shared" si="1110"/>
        <v>8.9601868210190769</v>
      </c>
      <c r="AJ774" s="584">
        <f t="shared" si="1110"/>
        <v>9.4081961620700323</v>
      </c>
    </row>
    <row r="775" spans="1:36" s="299" customFormat="1" hidden="1" x14ac:dyDescent="0.25">
      <c r="A775" s="299" t="s">
        <v>697</v>
      </c>
      <c r="H775" s="577" t="s">
        <v>673</v>
      </c>
      <c r="I775" s="578" t="str">
        <f t="shared" si="1105"/>
        <v>VND/phôi</v>
      </c>
      <c r="K775" s="582"/>
      <c r="L775" s="582">
        <f>-IF($H$9="USD",L705/L680/$H$10*10^3,L705/L680/$H$10)</f>
        <v>3.0630387096774192</v>
      </c>
      <c r="M775" s="582">
        <f t="shared" ref="M775:AJ775" si="1111">-IF($H$9="USD",M705/M680/$H$10*10^3,M705/M680/$H$10)</f>
        <v>3.0630387096774196</v>
      </c>
      <c r="N775" s="582">
        <f t="shared" si="1111"/>
        <v>3.2161906451612912</v>
      </c>
      <c r="O775" s="582">
        <f t="shared" si="1111"/>
        <v>3.377000177419355</v>
      </c>
      <c r="P775" s="582">
        <f t="shared" si="1111"/>
        <v>3.5458501862903229</v>
      </c>
      <c r="Q775" s="582">
        <f t="shared" si="1111"/>
        <v>3.7231426956048392</v>
      </c>
      <c r="R775" s="582">
        <f t="shared" si="1111"/>
        <v>3.9092998303850814</v>
      </c>
      <c r="S775" s="582">
        <f t="shared" si="1111"/>
        <v>4.1047648219043342</v>
      </c>
      <c r="T775" s="582">
        <f t="shared" si="1111"/>
        <v>4.3100030629995523</v>
      </c>
      <c r="U775" s="582">
        <f t="shared" si="1111"/>
        <v>4.525503216149529</v>
      </c>
      <c r="V775" s="582">
        <f t="shared" si="1111"/>
        <v>4.7517783769570059</v>
      </c>
      <c r="W775" s="582">
        <f t="shared" si="1111"/>
        <v>4.9893672958048558</v>
      </c>
      <c r="X775" s="582">
        <f t="shared" si="1111"/>
        <v>5.2388356605950994</v>
      </c>
      <c r="Y775" s="582">
        <f t="shared" si="1111"/>
        <v>5.5007774436248544</v>
      </c>
      <c r="Z775" s="582">
        <f t="shared" si="1111"/>
        <v>5.7758163158060976</v>
      </c>
      <c r="AA775" s="582">
        <f t="shared" si="1111"/>
        <v>6.0646071315964001</v>
      </c>
      <c r="AB775" s="582">
        <f t="shared" si="1111"/>
        <v>6.3678374881762236</v>
      </c>
      <c r="AC775" s="582">
        <f t="shared" si="1111"/>
        <v>6.6862293625850331</v>
      </c>
      <c r="AD775" s="582">
        <f t="shared" si="1111"/>
        <v>7.0205408307142863</v>
      </c>
      <c r="AE775" s="582">
        <f t="shared" si="1111"/>
        <v>7.37156787225</v>
      </c>
      <c r="AF775" s="582">
        <f t="shared" si="1111"/>
        <v>7.7401462658625002</v>
      </c>
      <c r="AG775" s="582">
        <f t="shared" si="1111"/>
        <v>8.1271535791556264</v>
      </c>
      <c r="AH775" s="582">
        <f t="shared" si="1111"/>
        <v>8.5335112581134069</v>
      </c>
      <c r="AI775" s="582">
        <f t="shared" si="1111"/>
        <v>8.9601868210190769</v>
      </c>
      <c r="AJ775" s="582">
        <f t="shared" si="1111"/>
        <v>9.4081961620700323</v>
      </c>
    </row>
    <row r="776" spans="1:36" s="299" customFormat="1" hidden="1" x14ac:dyDescent="0.25">
      <c r="A776" s="299" t="s">
        <v>697</v>
      </c>
      <c r="H776" s="577" t="s">
        <v>674</v>
      </c>
      <c r="I776" s="578" t="str">
        <f t="shared" si="1105"/>
        <v>VND/phôi</v>
      </c>
      <c r="K776" s="582"/>
      <c r="L776" s="582">
        <f>-IF($H$9="USD",L706/L680/$H$10*10^3,L706/L680/$H$10)</f>
        <v>0</v>
      </c>
      <c r="M776" s="582">
        <f t="shared" ref="M776:AJ776" si="1112">-IF($H$9="USD",M706/M680/$H$10*10^3,M706/M680/$H$10)</f>
        <v>0</v>
      </c>
      <c r="N776" s="582">
        <f t="shared" si="1112"/>
        <v>0</v>
      </c>
      <c r="O776" s="582">
        <f t="shared" si="1112"/>
        <v>0</v>
      </c>
      <c r="P776" s="582">
        <f t="shared" si="1112"/>
        <v>0</v>
      </c>
      <c r="Q776" s="582">
        <f t="shared" si="1112"/>
        <v>0</v>
      </c>
      <c r="R776" s="582">
        <f t="shared" si="1112"/>
        <v>0</v>
      </c>
      <c r="S776" s="582">
        <f t="shared" si="1112"/>
        <v>0</v>
      </c>
      <c r="T776" s="582">
        <f t="shared" si="1112"/>
        <v>0</v>
      </c>
      <c r="U776" s="582">
        <f t="shared" si="1112"/>
        <v>0</v>
      </c>
      <c r="V776" s="582">
        <f t="shared" si="1112"/>
        <v>0</v>
      </c>
      <c r="W776" s="582">
        <f t="shared" si="1112"/>
        <v>0</v>
      </c>
      <c r="X776" s="582">
        <f t="shared" si="1112"/>
        <v>0</v>
      </c>
      <c r="Y776" s="582">
        <f t="shared" si="1112"/>
        <v>0</v>
      </c>
      <c r="Z776" s="582">
        <f t="shared" si="1112"/>
        <v>0</v>
      </c>
      <c r="AA776" s="582">
        <f t="shared" si="1112"/>
        <v>0</v>
      </c>
      <c r="AB776" s="582">
        <f t="shared" si="1112"/>
        <v>0</v>
      </c>
      <c r="AC776" s="582">
        <f t="shared" si="1112"/>
        <v>0</v>
      </c>
      <c r="AD776" s="582">
        <f t="shared" si="1112"/>
        <v>0</v>
      </c>
      <c r="AE776" s="582">
        <f t="shared" si="1112"/>
        <v>0</v>
      </c>
      <c r="AF776" s="582">
        <f t="shared" si="1112"/>
        <v>0</v>
      </c>
      <c r="AG776" s="582">
        <f t="shared" si="1112"/>
        <v>0</v>
      </c>
      <c r="AH776" s="582">
        <f t="shared" si="1112"/>
        <v>0</v>
      </c>
      <c r="AI776" s="582">
        <f t="shared" si="1112"/>
        <v>0</v>
      </c>
      <c r="AJ776" s="582">
        <f t="shared" si="1112"/>
        <v>0</v>
      </c>
    </row>
    <row r="777" spans="1:36" hidden="1" x14ac:dyDescent="0.25">
      <c r="A777" t="s">
        <v>697</v>
      </c>
      <c r="H777" s="575" t="s">
        <v>180</v>
      </c>
      <c r="I777" s="576" t="str">
        <f t="shared" si="1105"/>
        <v>VND/phôi</v>
      </c>
      <c r="K777" s="584">
        <f>SUM(K778:K780)</f>
        <v>0</v>
      </c>
      <c r="L777" s="584">
        <f>SUM(L778:L780)</f>
        <v>44.535003188234121</v>
      </c>
      <c r="M777" s="584">
        <f t="shared" ref="M777:AJ777" si="1113">SUM(M778:M780)</f>
        <v>41.567306424775524</v>
      </c>
      <c r="N777" s="584">
        <f t="shared" si="1113"/>
        <v>41.147915310339471</v>
      </c>
      <c r="O777" s="584">
        <f t="shared" si="1113"/>
        <v>43.044615841405253</v>
      </c>
      <c r="P777" s="584">
        <f t="shared" si="1113"/>
        <v>45.036151399024334</v>
      </c>
      <c r="Q777" s="584">
        <f t="shared" si="1113"/>
        <v>47.127263734524355</v>
      </c>
      <c r="R777" s="584">
        <f t="shared" si="1113"/>
        <v>49.322931686799386</v>
      </c>
      <c r="S777" s="584">
        <f t="shared" si="1113"/>
        <v>51.628383036688163</v>
      </c>
      <c r="T777" s="584">
        <f t="shared" si="1113"/>
        <v>54.049106954071391</v>
      </c>
      <c r="U777" s="584">
        <f t="shared" si="1113"/>
        <v>56.590867067323771</v>
      </c>
      <c r="V777" s="584">
        <f t="shared" si="1113"/>
        <v>59.259715186238772</v>
      </c>
      <c r="W777" s="584">
        <f t="shared" si="1113"/>
        <v>62.06200571109953</v>
      </c>
      <c r="X777" s="584">
        <f t="shared" si="1113"/>
        <v>62.461779974241551</v>
      </c>
      <c r="Y777" s="584">
        <f t="shared" si="1113"/>
        <v>65.551305277900511</v>
      </c>
      <c r="Z777" s="584">
        <f t="shared" si="1113"/>
        <v>68.795306846742449</v>
      </c>
      <c r="AA777" s="584">
        <f t="shared" si="1113"/>
        <v>72.201508494026456</v>
      </c>
      <c r="AB777" s="584">
        <f t="shared" si="1113"/>
        <v>75.778020223674702</v>
      </c>
      <c r="AC777" s="584">
        <f t="shared" si="1113"/>
        <v>79.533357539805337</v>
      </c>
      <c r="AD777" s="584">
        <f t="shared" si="1113"/>
        <v>83.47646172174251</v>
      </c>
      <c r="AE777" s="584">
        <f t="shared" si="1113"/>
        <v>87.61672111277656</v>
      </c>
      <c r="AF777" s="584">
        <f t="shared" si="1113"/>
        <v>91.963993473362251</v>
      </c>
      <c r="AG777" s="584">
        <f t="shared" si="1113"/>
        <v>96.528629451977281</v>
      </c>
      <c r="AH777" s="584">
        <f t="shared" si="1113"/>
        <v>101.32149722952303</v>
      </c>
      <c r="AI777" s="584">
        <f t="shared" si="1113"/>
        <v>106.35400839594608</v>
      </c>
      <c r="AJ777" s="584">
        <f t="shared" si="1113"/>
        <v>111.63814512069033</v>
      </c>
    </row>
    <row r="778" spans="1:36" s="299" customFormat="1" hidden="1" x14ac:dyDescent="0.25">
      <c r="A778" s="299" t="s">
        <v>697</v>
      </c>
      <c r="E778" s="299" t="s">
        <v>174</v>
      </c>
      <c r="H778" s="577" t="s">
        <v>73</v>
      </c>
      <c r="I778" s="578" t="str">
        <f t="shared" si="1105"/>
        <v>VND/phôi</v>
      </c>
      <c r="K778" s="582"/>
      <c r="L778" s="582">
        <f t="shared" ref="L778:AJ778" si="1114">-IF($H$9="USD",L708/L680/$H$10*10^3,L708/L680/$H$10)</f>
        <v>27.876344086021508</v>
      </c>
      <c r="M778" s="582">
        <f t="shared" si="1114"/>
        <v>27.876344086021504</v>
      </c>
      <c r="N778" s="582">
        <f t="shared" si="1114"/>
        <v>29.270161290322584</v>
      </c>
      <c r="O778" s="582">
        <f t="shared" si="1114"/>
        <v>30.733669354838714</v>
      </c>
      <c r="P778" s="582">
        <f t="shared" si="1114"/>
        <v>32.270352822580648</v>
      </c>
      <c r="Q778" s="582">
        <f t="shared" si="1114"/>
        <v>33.88387046370967</v>
      </c>
      <c r="R778" s="582">
        <f t="shared" si="1114"/>
        <v>35.57806398689516</v>
      </c>
      <c r="S778" s="582">
        <f t="shared" si="1114"/>
        <v>37.35696718623992</v>
      </c>
      <c r="T778" s="582">
        <f t="shared" si="1114"/>
        <v>39.22481554555192</v>
      </c>
      <c r="U778" s="582">
        <f t="shared" si="1114"/>
        <v>41.186056322829515</v>
      </c>
      <c r="V778" s="582">
        <f t="shared" si="1114"/>
        <v>43.24535913897099</v>
      </c>
      <c r="W778" s="582">
        <f t="shared" si="1114"/>
        <v>45.407627095919544</v>
      </c>
      <c r="X778" s="582">
        <f t="shared" si="1114"/>
        <v>47.678008450715524</v>
      </c>
      <c r="Y778" s="582">
        <f t="shared" si="1114"/>
        <v>50.061908873251284</v>
      </c>
      <c r="Z778" s="582">
        <f t="shared" si="1114"/>
        <v>52.565004316913864</v>
      </c>
      <c r="AA778" s="582">
        <f t="shared" si="1114"/>
        <v>55.193254532759539</v>
      </c>
      <c r="AB778" s="582">
        <f t="shared" si="1114"/>
        <v>57.952917259397537</v>
      </c>
      <c r="AC778" s="582">
        <f t="shared" si="1114"/>
        <v>60.850563122367411</v>
      </c>
      <c r="AD778" s="582">
        <f t="shared" si="1114"/>
        <v>63.893091278485784</v>
      </c>
      <c r="AE778" s="582">
        <f t="shared" si="1114"/>
        <v>67.087745842410087</v>
      </c>
      <c r="AF778" s="582">
        <f t="shared" si="1114"/>
        <v>70.442133134530579</v>
      </c>
      <c r="AG778" s="582">
        <f t="shared" si="1114"/>
        <v>73.9642397912571</v>
      </c>
      <c r="AH778" s="582">
        <f t="shared" si="1114"/>
        <v>77.66245178081995</v>
      </c>
      <c r="AI778" s="582">
        <f t="shared" si="1114"/>
        <v>81.545574369860958</v>
      </c>
      <c r="AJ778" s="582">
        <f t="shared" si="1114"/>
        <v>85.622853088354034</v>
      </c>
    </row>
    <row r="779" spans="1:36" s="299" customFormat="1" hidden="1" x14ac:dyDescent="0.25">
      <c r="A779" s="299" t="s">
        <v>697</v>
      </c>
      <c r="E779" s="299" t="s">
        <v>306</v>
      </c>
      <c r="H779" s="577" t="s">
        <v>192</v>
      </c>
      <c r="I779" s="578" t="str">
        <f t="shared" si="1105"/>
        <v>VND/phôi</v>
      </c>
      <c r="K779" s="582"/>
      <c r="L779" s="582">
        <f t="shared" ref="L779:AJ779" si="1115">-IF($H$9="USD",L709/L680/$H$10*10^3,L709/L680/$H$10)</f>
        <v>4.958333333333333</v>
      </c>
      <c r="M779" s="582">
        <f t="shared" si="1115"/>
        <v>4.958333333333333</v>
      </c>
      <c r="N779" s="582">
        <f t="shared" si="1115"/>
        <v>5.2062499999999998</v>
      </c>
      <c r="O779" s="582">
        <f t="shared" si="1115"/>
        <v>5.4665624999999993</v>
      </c>
      <c r="P779" s="582">
        <f t="shared" si="1115"/>
        <v>5.7398906250000001</v>
      </c>
      <c r="Q779" s="582">
        <f t="shared" si="1115"/>
        <v>6.0268851562500005</v>
      </c>
      <c r="R779" s="582">
        <f t="shared" si="1115"/>
        <v>6.3282294140625002</v>
      </c>
      <c r="S779" s="582">
        <f t="shared" si="1115"/>
        <v>6.6446408847656242</v>
      </c>
      <c r="T779" s="582">
        <f t="shared" si="1115"/>
        <v>6.9768729290039069</v>
      </c>
      <c r="U779" s="582">
        <f t="shared" si="1115"/>
        <v>7.3257165754541012</v>
      </c>
      <c r="V779" s="582">
        <f t="shared" si="1115"/>
        <v>7.6920024042268071</v>
      </c>
      <c r="W779" s="582">
        <f t="shared" si="1115"/>
        <v>8.0766025244381474</v>
      </c>
      <c r="X779" s="582">
        <f t="shared" si="1115"/>
        <v>8.480432650660056</v>
      </c>
      <c r="Y779" s="582">
        <f t="shared" si="1115"/>
        <v>8.9044542831930578</v>
      </c>
      <c r="Z779" s="582">
        <f t="shared" si="1115"/>
        <v>9.3496769973527112</v>
      </c>
      <c r="AA779" s="582">
        <f t="shared" si="1115"/>
        <v>9.8171608472203449</v>
      </c>
      <c r="AB779" s="582">
        <f t="shared" si="1115"/>
        <v>10.308018889581366</v>
      </c>
      <c r="AC779" s="582">
        <f t="shared" si="1115"/>
        <v>10.823419834060434</v>
      </c>
      <c r="AD779" s="582">
        <f t="shared" si="1115"/>
        <v>11.364590825763454</v>
      </c>
      <c r="AE779" s="582">
        <f t="shared" si="1115"/>
        <v>11.932820367051628</v>
      </c>
      <c r="AF779" s="582">
        <f t="shared" si="1115"/>
        <v>12.529461385404209</v>
      </c>
      <c r="AG779" s="582">
        <f t="shared" si="1115"/>
        <v>13.155934454674419</v>
      </c>
      <c r="AH779" s="582">
        <f t="shared" si="1115"/>
        <v>13.81373117740814</v>
      </c>
      <c r="AI779" s="582">
        <f t="shared" si="1115"/>
        <v>14.504417736278546</v>
      </c>
      <c r="AJ779" s="582">
        <f t="shared" si="1115"/>
        <v>15.229638623092477</v>
      </c>
    </row>
    <row r="780" spans="1:36" s="299" customFormat="1" hidden="1" x14ac:dyDescent="0.25">
      <c r="A780" s="299" t="s">
        <v>697</v>
      </c>
      <c r="E780" s="299" t="s">
        <v>172</v>
      </c>
      <c r="H780" s="577" t="s">
        <v>175</v>
      </c>
      <c r="I780" s="578" t="str">
        <f t="shared" si="1105"/>
        <v>VND/phôi</v>
      </c>
      <c r="K780" s="582"/>
      <c r="L780" s="582">
        <f t="shared" ref="L780:AJ780" si="1116">-IF($H$9="USD",L710/L680/$H$10*10^3,L710/L680/$H$10)</f>
        <v>11.700325768879281</v>
      </c>
      <c r="M780" s="582">
        <f t="shared" si="1116"/>
        <v>8.7326290054206854</v>
      </c>
      <c r="N780" s="582">
        <f t="shared" si="1116"/>
        <v>6.6715040200168874</v>
      </c>
      <c r="O780" s="582">
        <f t="shared" si="1116"/>
        <v>6.8443839865665419</v>
      </c>
      <c r="P780" s="582">
        <f t="shared" si="1116"/>
        <v>7.0259079514436831</v>
      </c>
      <c r="Q780" s="582">
        <f t="shared" si="1116"/>
        <v>7.2165081145646797</v>
      </c>
      <c r="R780" s="582">
        <f t="shared" si="1116"/>
        <v>7.4166382858417252</v>
      </c>
      <c r="S780" s="582">
        <f t="shared" si="1116"/>
        <v>7.6267749656826229</v>
      </c>
      <c r="T780" s="582">
        <f t="shared" si="1116"/>
        <v>7.847418479515567</v>
      </c>
      <c r="U780" s="582">
        <f t="shared" si="1116"/>
        <v>8.0790941690401574</v>
      </c>
      <c r="V780" s="582">
        <f t="shared" si="1116"/>
        <v>8.3223536430409784</v>
      </c>
      <c r="W780" s="582">
        <f t="shared" si="1116"/>
        <v>8.577776090741839</v>
      </c>
      <c r="X780" s="582">
        <f t="shared" si="1116"/>
        <v>6.3033388728659681</v>
      </c>
      <c r="Y780" s="582">
        <f t="shared" si="1116"/>
        <v>6.5849421214561668</v>
      </c>
      <c r="Z780" s="582">
        <f t="shared" si="1116"/>
        <v>6.8806255324758778</v>
      </c>
      <c r="AA780" s="582">
        <f t="shared" si="1116"/>
        <v>7.1910931140465699</v>
      </c>
      <c r="AB780" s="582">
        <f t="shared" si="1116"/>
        <v>7.517084074695803</v>
      </c>
      <c r="AC780" s="582">
        <f t="shared" si="1116"/>
        <v>7.859374583377492</v>
      </c>
      <c r="AD780" s="582">
        <f t="shared" si="1116"/>
        <v>8.2187796174932686</v>
      </c>
      <c r="AE780" s="582">
        <f t="shared" si="1116"/>
        <v>8.5961549033148348</v>
      </c>
      <c r="AF780" s="582">
        <f t="shared" si="1116"/>
        <v>8.9923989534274735</v>
      </c>
      <c r="AG780" s="582">
        <f t="shared" si="1116"/>
        <v>9.4084552060457511</v>
      </c>
      <c r="AH780" s="582">
        <f t="shared" si="1116"/>
        <v>9.8453142712949404</v>
      </c>
      <c r="AI780" s="582">
        <f t="shared" si="1116"/>
        <v>10.304016289806588</v>
      </c>
      <c r="AJ780" s="582">
        <f t="shared" si="1116"/>
        <v>10.785653409243819</v>
      </c>
    </row>
    <row r="781" spans="1:36" hidden="1" x14ac:dyDescent="0.25">
      <c r="A781" t="s">
        <v>697</v>
      </c>
      <c r="H781" s="289"/>
      <c r="I781" s="290"/>
      <c r="K781" s="296"/>
      <c r="L781" s="297"/>
      <c r="M781" s="296"/>
      <c r="N781" s="296"/>
      <c r="O781" s="296"/>
      <c r="P781" s="296"/>
      <c r="Q781" s="296"/>
      <c r="R781" s="296"/>
      <c r="S781" s="296"/>
      <c r="T781" s="296"/>
      <c r="U781" s="296"/>
      <c r="V781" s="296"/>
      <c r="W781" s="296"/>
      <c r="X781" s="296"/>
      <c r="Y781" s="296"/>
      <c r="Z781" s="296"/>
      <c r="AA781" s="296"/>
      <c r="AB781" s="296"/>
      <c r="AC781" s="296"/>
      <c r="AD781" s="296"/>
      <c r="AE781" s="296"/>
      <c r="AF781" s="296"/>
      <c r="AG781" s="296"/>
      <c r="AH781" s="296"/>
      <c r="AI781" s="296"/>
      <c r="AJ781" s="296"/>
    </row>
    <row r="782" spans="1:36" s="16" customFormat="1" hidden="1" x14ac:dyDescent="0.25">
      <c r="A782" s="16" t="s">
        <v>697</v>
      </c>
      <c r="H782" s="291" t="s">
        <v>464</v>
      </c>
      <c r="I782" s="292" t="str">
        <f t="shared" si="1105"/>
        <v>VND/phôi</v>
      </c>
      <c r="K782" s="298">
        <f>K760+K770</f>
        <v>0</v>
      </c>
      <c r="L782" s="298">
        <f t="shared" ref="L782:AJ782" si="1117">L760+L770</f>
        <v>709.85215386182904</v>
      </c>
      <c r="M782" s="298">
        <f t="shared" si="1117"/>
        <v>632.69203801190565</v>
      </c>
      <c r="N782" s="298">
        <f t="shared" si="1117"/>
        <v>587.30755323011647</v>
      </c>
      <c r="O782" s="298">
        <f t="shared" si="1117"/>
        <v>600.17588705395588</v>
      </c>
      <c r="P782" s="298">
        <f t="shared" si="1117"/>
        <v>613.44125821414855</v>
      </c>
      <c r="Q782" s="298">
        <f t="shared" si="1117"/>
        <v>627.11859099041556</v>
      </c>
      <c r="R782" s="298">
        <f t="shared" si="1117"/>
        <v>641.22345732472161</v>
      </c>
      <c r="S782" s="298">
        <f t="shared" si="1117"/>
        <v>655.77210723335315</v>
      </c>
      <c r="T782" s="298">
        <f t="shared" si="1117"/>
        <v>670.78150070017887</v>
      </c>
      <c r="U782" s="298">
        <f t="shared" si="1117"/>
        <v>686.26934112436368</v>
      </c>
      <c r="V782" s="298">
        <f t="shared" si="1117"/>
        <v>702.25411039945607</v>
      </c>
      <c r="W782" s="298">
        <f t="shared" si="1117"/>
        <v>718.75510570459494</v>
      </c>
      <c r="X782" s="298">
        <f t="shared" si="1117"/>
        <v>669.68407760560251</v>
      </c>
      <c r="Y782" s="298">
        <f t="shared" si="1117"/>
        <v>687.27887247698732</v>
      </c>
      <c r="Z782" s="298">
        <f t="shared" si="1117"/>
        <v>705.45307203319101</v>
      </c>
      <c r="AA782" s="298">
        <f t="shared" si="1117"/>
        <v>724.22963980727968</v>
      </c>
      <c r="AB782" s="298">
        <f t="shared" si="1117"/>
        <v>743.63256737494874</v>
      </c>
      <c r="AC782" s="298">
        <f t="shared" si="1117"/>
        <v>763.68692335397543</v>
      </c>
      <c r="AD782" s="298">
        <f t="shared" si="1117"/>
        <v>784.41890480558618</v>
      </c>
      <c r="AE782" s="298">
        <f t="shared" si="1117"/>
        <v>805.85589115688344</v>
      </c>
      <c r="AF782" s="298">
        <f t="shared" si="1117"/>
        <v>828.02650076939369</v>
      </c>
      <c r="AG782" s="298">
        <f t="shared" si="1117"/>
        <v>850.96065028505041</v>
      </c>
      <c r="AH782" s="298">
        <f t="shared" si="1117"/>
        <v>874.68961688746106</v>
      </c>
      <c r="AI782" s="298">
        <f t="shared" si="1117"/>
        <v>899.24610362318322</v>
      </c>
      <c r="AJ782" s="298">
        <f t="shared" si="1117"/>
        <v>924.66430793494601</v>
      </c>
    </row>
    <row r="783" spans="1:36" hidden="1" x14ac:dyDescent="0.25">
      <c r="A783" t="s">
        <v>697</v>
      </c>
      <c r="H783" s="289"/>
      <c r="I783" s="290"/>
      <c r="K783" s="296"/>
      <c r="L783" s="296"/>
      <c r="M783" s="296"/>
      <c r="N783" s="296"/>
      <c r="O783" s="296"/>
      <c r="P783" s="296"/>
      <c r="Q783" s="296"/>
      <c r="R783" s="296"/>
      <c r="S783" s="296"/>
      <c r="T783" s="296"/>
      <c r="U783" s="296"/>
      <c r="V783" s="296"/>
      <c r="W783" s="296"/>
      <c r="X783" s="296"/>
      <c r="Y783" s="296"/>
      <c r="Z783" s="296"/>
      <c r="AA783" s="296"/>
      <c r="AB783" s="296"/>
      <c r="AC783" s="296"/>
      <c r="AD783" s="296"/>
      <c r="AE783" s="296"/>
      <c r="AF783" s="296"/>
      <c r="AG783" s="296"/>
      <c r="AH783" s="296"/>
      <c r="AI783" s="296"/>
      <c r="AJ783" s="296"/>
    </row>
    <row r="784" spans="1:36" hidden="1" x14ac:dyDescent="0.25">
      <c r="A784" t="s">
        <v>697</v>
      </c>
      <c r="E784" t="s">
        <v>172</v>
      </c>
      <c r="H784" s="594" t="s">
        <v>166</v>
      </c>
      <c r="I784" s="595" t="str">
        <f t="shared" si="1105"/>
        <v>VND/phôi</v>
      </c>
      <c r="K784" s="605"/>
      <c r="L784" s="605">
        <f>-IF($H$9="USD",L714/L680/$H$10*10^3,L714/L680/$H$10)</f>
        <v>13.999999999999998</v>
      </c>
      <c r="M784" s="605">
        <f t="shared" ref="M784:AJ784" si="1118">-IF($H$9="USD",M714/M680/$H$10*10^3,M714/M680/$H$10)</f>
        <v>14</v>
      </c>
      <c r="N784" s="605">
        <f t="shared" si="1118"/>
        <v>14.7</v>
      </c>
      <c r="O784" s="605">
        <f t="shared" si="1118"/>
        <v>15.435</v>
      </c>
      <c r="P784" s="605">
        <f t="shared" si="1118"/>
        <v>16.206750000000003</v>
      </c>
      <c r="Q784" s="605">
        <f t="shared" si="1118"/>
        <v>17.017087499999999</v>
      </c>
      <c r="R784" s="605">
        <f t="shared" si="1118"/>
        <v>17.867941875000003</v>
      </c>
      <c r="S784" s="605">
        <f t="shared" si="1118"/>
        <v>18.761338968749996</v>
      </c>
      <c r="T784" s="605">
        <f t="shared" si="1118"/>
        <v>19.699405917187505</v>
      </c>
      <c r="U784" s="605">
        <f t="shared" si="1118"/>
        <v>20.684376213046875</v>
      </c>
      <c r="V784" s="605">
        <f t="shared" si="1118"/>
        <v>21.718595023699219</v>
      </c>
      <c r="W784" s="605">
        <f t="shared" si="1118"/>
        <v>22.804524774884179</v>
      </c>
      <c r="X784" s="605">
        <f t="shared" si="1118"/>
        <v>23.944751013628391</v>
      </c>
      <c r="Y784" s="605">
        <f t="shared" si="1118"/>
        <v>25.141988564309809</v>
      </c>
      <c r="Z784" s="605">
        <f t="shared" si="1118"/>
        <v>26.399087992525303</v>
      </c>
      <c r="AA784" s="605">
        <f t="shared" si="1118"/>
        <v>27.719042392151561</v>
      </c>
      <c r="AB784" s="605">
        <f t="shared" si="1118"/>
        <v>29.104994511759148</v>
      </c>
      <c r="AC784" s="605">
        <f t="shared" si="1118"/>
        <v>30.560244237347103</v>
      </c>
      <c r="AD784" s="605">
        <f t="shared" si="1118"/>
        <v>32.088256449214462</v>
      </c>
      <c r="AE784" s="605">
        <f t="shared" si="1118"/>
        <v>33.692669271675186</v>
      </c>
      <c r="AF784" s="605">
        <f t="shared" si="1118"/>
        <v>35.377302735258944</v>
      </c>
      <c r="AG784" s="605">
        <f t="shared" si="1118"/>
        <v>37.146167872021891</v>
      </c>
      <c r="AH784" s="605">
        <f t="shared" si="1118"/>
        <v>39.003476265622986</v>
      </c>
      <c r="AI784" s="605">
        <f t="shared" si="1118"/>
        <v>40.953650078904126</v>
      </c>
      <c r="AJ784" s="605">
        <f t="shared" si="1118"/>
        <v>43.001332582849344</v>
      </c>
    </row>
    <row r="785" spans="1:36" hidden="1" x14ac:dyDescent="0.25">
      <c r="A785" t="s">
        <v>697</v>
      </c>
      <c r="E785" t="s">
        <v>171</v>
      </c>
      <c r="H785" s="575" t="s">
        <v>469</v>
      </c>
      <c r="I785" s="576" t="str">
        <f t="shared" si="1105"/>
        <v>VND/phôi</v>
      </c>
      <c r="K785" s="585"/>
      <c r="L785" s="585">
        <f t="shared" ref="L785:AJ785" si="1119">-IF($H$9="USD",L715/L680/$H$10*10^3,L715/L680/$H$10)</f>
        <v>5.5630833696399931</v>
      </c>
      <c r="M785" s="585">
        <f t="shared" si="1119"/>
        <v>5.5630833696399939</v>
      </c>
      <c r="N785" s="585">
        <f t="shared" si="1119"/>
        <v>5.8412375381219928</v>
      </c>
      <c r="O785" s="585">
        <f t="shared" si="1119"/>
        <v>6.1332994150280928</v>
      </c>
      <c r="P785" s="585">
        <f t="shared" si="1119"/>
        <v>6.439964385779497</v>
      </c>
      <c r="Q785" s="585">
        <f t="shared" si="1119"/>
        <v>6.7619626050684714</v>
      </c>
      <c r="R785" s="585">
        <f t="shared" si="1119"/>
        <v>7.100060735321895</v>
      </c>
      <c r="S785" s="585">
        <f t="shared" si="1119"/>
        <v>7.45506377208799</v>
      </c>
      <c r="T785" s="585">
        <f t="shared" si="1119"/>
        <v>7.8278169606923909</v>
      </c>
      <c r="U785" s="585">
        <f t="shared" si="1119"/>
        <v>8.2192078087270097</v>
      </c>
      <c r="V785" s="585">
        <f t="shared" si="1119"/>
        <v>8.6301681991633608</v>
      </c>
      <c r="W785" s="585">
        <f t="shared" si="1119"/>
        <v>9.0616766091215286</v>
      </c>
      <c r="X785" s="585">
        <f t="shared" si="1119"/>
        <v>9.5147604395776053</v>
      </c>
      <c r="Y785" s="585">
        <f t="shared" si="1119"/>
        <v>9.9904984615564842</v>
      </c>
      <c r="Z785" s="585">
        <f t="shared" si="1119"/>
        <v>10.490023384634309</v>
      </c>
      <c r="AA785" s="585">
        <f t="shared" si="1119"/>
        <v>11.014524553866023</v>
      </c>
      <c r="AB785" s="585">
        <f t="shared" si="1119"/>
        <v>11.56525078155933</v>
      </c>
      <c r="AC785" s="585">
        <f t="shared" si="1119"/>
        <v>12.143513320637293</v>
      </c>
      <c r="AD785" s="585">
        <f t="shared" si="1119"/>
        <v>12.750688986669159</v>
      </c>
      <c r="AE785" s="585">
        <f t="shared" si="1119"/>
        <v>13.388223436002619</v>
      </c>
      <c r="AF785" s="585">
        <f t="shared" si="1119"/>
        <v>14.057634607802749</v>
      </c>
      <c r="AG785" s="585">
        <f t="shared" si="1119"/>
        <v>14.760516338192884</v>
      </c>
      <c r="AH785" s="585">
        <f t="shared" si="1119"/>
        <v>15.49854215510253</v>
      </c>
      <c r="AI785" s="585">
        <f t="shared" si="1119"/>
        <v>16.273469262857652</v>
      </c>
      <c r="AJ785" s="585">
        <f t="shared" si="1119"/>
        <v>17.087142726000543</v>
      </c>
    </row>
    <row r="786" spans="1:36" hidden="1" x14ac:dyDescent="0.25">
      <c r="A786" t="s">
        <v>697</v>
      </c>
      <c r="E786" t="s">
        <v>182</v>
      </c>
      <c r="H786" s="575" t="s">
        <v>468</v>
      </c>
      <c r="I786" s="576" t="str">
        <f t="shared" si="1105"/>
        <v>VND/phôi</v>
      </c>
      <c r="K786" s="575"/>
      <c r="L786" s="585">
        <f t="shared" ref="L786:AJ786" si="1120">-IF($H$9="USD",L716/L680/$H$10*10^3,L716/L680/$H$10)</f>
        <v>1.8633097020762159</v>
      </c>
      <c r="M786" s="585">
        <f t="shared" si="1120"/>
        <v>1.8633097020762155</v>
      </c>
      <c r="N786" s="585">
        <f t="shared" si="1120"/>
        <v>1.956475187180027</v>
      </c>
      <c r="O786" s="585">
        <f t="shared" si="1120"/>
        <v>2.0542989465390282</v>
      </c>
      <c r="P786" s="585">
        <f t="shared" si="1120"/>
        <v>2.1570138938659795</v>
      </c>
      <c r="Q786" s="585">
        <f t="shared" si="1120"/>
        <v>2.2648645885592784</v>
      </c>
      <c r="R786" s="585">
        <f t="shared" si="1120"/>
        <v>2.3781078179872424</v>
      </c>
      <c r="S786" s="585">
        <f t="shared" si="1120"/>
        <v>2.4970132088866044</v>
      </c>
      <c r="T786" s="585">
        <f t="shared" si="1120"/>
        <v>2.6218638693309351</v>
      </c>
      <c r="U786" s="585">
        <f t="shared" si="1120"/>
        <v>2.7529570627974813</v>
      </c>
      <c r="V786" s="585">
        <f t="shared" si="1120"/>
        <v>2.8906049159373555</v>
      </c>
      <c r="W786" s="585">
        <f t="shared" si="1120"/>
        <v>3.0351351617342233</v>
      </c>
      <c r="X786" s="585">
        <f t="shared" si="1120"/>
        <v>3.1868919198209351</v>
      </c>
      <c r="Y786" s="585">
        <f t="shared" si="1120"/>
        <v>3.3462365158119809</v>
      </c>
      <c r="Z786" s="585">
        <f t="shared" si="1120"/>
        <v>3.5135483416025814</v>
      </c>
      <c r="AA786" s="585">
        <f t="shared" si="1120"/>
        <v>3.6892257586827091</v>
      </c>
      <c r="AB786" s="585">
        <f t="shared" si="1120"/>
        <v>3.8736870466168458</v>
      </c>
      <c r="AC786" s="585">
        <f t="shared" si="1120"/>
        <v>4.0673713989476878</v>
      </c>
      <c r="AD786" s="585">
        <f t="shared" si="1120"/>
        <v>4.2707399688950733</v>
      </c>
      <c r="AE786" s="585">
        <f t="shared" si="1120"/>
        <v>4.4842769673398264</v>
      </c>
      <c r="AF786" s="585">
        <f t="shared" si="1120"/>
        <v>4.7084908157068179</v>
      </c>
      <c r="AG786" s="585">
        <f t="shared" si="1120"/>
        <v>4.9439153564921581</v>
      </c>
      <c r="AH786" s="585">
        <f t="shared" si="1120"/>
        <v>5.191111124316766</v>
      </c>
      <c r="AI786" s="585">
        <f t="shared" si="1120"/>
        <v>5.4506666805326036</v>
      </c>
      <c r="AJ786" s="585">
        <f t="shared" si="1120"/>
        <v>5.723200014559235</v>
      </c>
    </row>
    <row r="787" spans="1:36" hidden="1" x14ac:dyDescent="0.25">
      <c r="A787" t="s">
        <v>697</v>
      </c>
      <c r="E787" t="s">
        <v>182</v>
      </c>
      <c r="H787" s="575" t="s">
        <v>470</v>
      </c>
      <c r="I787" s="576" t="str">
        <f t="shared" si="1105"/>
        <v>VND/phôi</v>
      </c>
      <c r="K787" s="575"/>
      <c r="L787" s="585">
        <f t="shared" ref="L787:AJ787" si="1121">-IF($H$9="USD",L717/L680/$H$10*10^3,L717/L680/$H$10)</f>
        <v>126.11577861890866</v>
      </c>
      <c r="M787" s="585">
        <f t="shared" si="1121"/>
        <v>89.287499988618777</v>
      </c>
      <c r="N787" s="585">
        <f t="shared" si="1121"/>
        <v>61.900079529218246</v>
      </c>
      <c r="O787" s="585">
        <f t="shared" si="1121"/>
        <v>61.250815429378143</v>
      </c>
      <c r="P787" s="585">
        <f t="shared" si="1121"/>
        <v>60.549610201550863</v>
      </c>
      <c r="Q787" s="585">
        <f t="shared" si="1121"/>
        <v>59.792308555497378</v>
      </c>
      <c r="R787" s="585">
        <f t="shared" si="1121"/>
        <v>58.974422777759614</v>
      </c>
      <c r="S787" s="585">
        <f t="shared" si="1121"/>
        <v>58.091106137802832</v>
      </c>
      <c r="T787" s="585">
        <f t="shared" si="1121"/>
        <v>57.137124166649514</v>
      </c>
      <c r="U787" s="585">
        <f t="shared" si="1121"/>
        <v>56.106823637803927</v>
      </c>
      <c r="V787" s="585">
        <f t="shared" si="1121"/>
        <v>54.994099066650698</v>
      </c>
      <c r="W787" s="585">
        <f t="shared" si="1121"/>
        <v>53.792356529805204</v>
      </c>
      <c r="X787" s="585">
        <f t="shared" si="1121"/>
        <v>52.494474590012075</v>
      </c>
      <c r="Y787" s="585">
        <f t="shared" si="1121"/>
        <v>51.092762095035503</v>
      </c>
      <c r="Z787" s="585">
        <f t="shared" si="1121"/>
        <v>49.578912600460804</v>
      </c>
      <c r="AA787" s="585">
        <f t="shared" si="1121"/>
        <v>47.943955146320128</v>
      </c>
      <c r="AB787" s="585">
        <f t="shared" si="1121"/>
        <v>46.178201095848195</v>
      </c>
      <c r="AC787" s="585">
        <f t="shared" si="1121"/>
        <v>44.271186721338509</v>
      </c>
      <c r="AD787" s="585">
        <f t="shared" si="1121"/>
        <v>42.211611196868049</v>
      </c>
      <c r="AE787" s="585">
        <f t="shared" si="1121"/>
        <v>39.987269630439947</v>
      </c>
      <c r="AF787" s="585">
        <f t="shared" si="1121"/>
        <v>37.58498073869761</v>
      </c>
      <c r="AG787" s="585">
        <f t="shared" si="1121"/>
        <v>34.990508735615883</v>
      </c>
      <c r="AH787" s="585">
        <f t="shared" si="1121"/>
        <v>32.188478972287605</v>
      </c>
      <c r="AI787" s="585">
        <f t="shared" si="1121"/>
        <v>29.16228682789307</v>
      </c>
      <c r="AJ787" s="585">
        <f t="shared" si="1121"/>
        <v>25.893999311946974</v>
      </c>
    </row>
    <row r="788" spans="1:36" hidden="1" x14ac:dyDescent="0.25">
      <c r="A788" t="s">
        <v>697</v>
      </c>
      <c r="H788" s="289"/>
      <c r="I788" s="290"/>
      <c r="K788" s="289"/>
      <c r="L788" s="289"/>
      <c r="M788" s="289"/>
      <c r="N788" s="289"/>
      <c r="O788" s="289"/>
      <c r="P788" s="289"/>
      <c r="Q788" s="289"/>
      <c r="R788" s="289"/>
      <c r="S788" s="289"/>
      <c r="T788" s="289"/>
      <c r="U788" s="289"/>
      <c r="V788" s="289"/>
      <c r="W788" s="289"/>
      <c r="X788" s="289"/>
      <c r="Y788" s="289"/>
      <c r="Z788" s="289"/>
      <c r="AA788" s="289"/>
      <c r="AB788" s="289"/>
      <c r="AC788" s="289"/>
      <c r="AD788" s="289"/>
      <c r="AE788" s="289"/>
      <c r="AF788" s="289"/>
      <c r="AG788" s="289"/>
      <c r="AH788" s="289"/>
      <c r="AI788" s="289"/>
      <c r="AJ788" s="289"/>
    </row>
    <row r="789" spans="1:36" s="16" customFormat="1" hidden="1" x14ac:dyDescent="0.25">
      <c r="A789" s="16" t="s">
        <v>697</v>
      </c>
      <c r="H789" s="291" t="s">
        <v>487</v>
      </c>
      <c r="I789" s="292" t="str">
        <f t="shared" si="1105"/>
        <v>VND/phôi</v>
      </c>
      <c r="K789" s="298">
        <f>K782+SUM(K784:K787)</f>
        <v>0</v>
      </c>
      <c r="L789" s="298">
        <f t="shared" ref="L789:AJ789" si="1122">L782+SUM(L784:L787)</f>
        <v>857.39432555245389</v>
      </c>
      <c r="M789" s="298">
        <f t="shared" si="1122"/>
        <v>743.40593107224061</v>
      </c>
      <c r="N789" s="298">
        <f t="shared" si="1122"/>
        <v>671.70534548463672</v>
      </c>
      <c r="O789" s="298">
        <f t="shared" si="1122"/>
        <v>685.04930084490115</v>
      </c>
      <c r="P789" s="298">
        <f t="shared" si="1122"/>
        <v>698.79459669534492</v>
      </c>
      <c r="Q789" s="298">
        <f t="shared" si="1122"/>
        <v>712.95481423954072</v>
      </c>
      <c r="R789" s="298">
        <f t="shared" si="1122"/>
        <v>727.54399053079032</v>
      </c>
      <c r="S789" s="298">
        <f t="shared" si="1122"/>
        <v>742.57662932088056</v>
      </c>
      <c r="T789" s="298">
        <f t="shared" si="1122"/>
        <v>758.06771161403924</v>
      </c>
      <c r="U789" s="298">
        <f t="shared" si="1122"/>
        <v>774.03270584673896</v>
      </c>
      <c r="V789" s="298">
        <f t="shared" si="1122"/>
        <v>790.48757760490673</v>
      </c>
      <c r="W789" s="298">
        <f t="shared" si="1122"/>
        <v>807.44879878014012</v>
      </c>
      <c r="X789" s="298">
        <f t="shared" si="1122"/>
        <v>758.82495556864149</v>
      </c>
      <c r="Y789" s="298">
        <f t="shared" si="1122"/>
        <v>776.85035811370108</v>
      </c>
      <c r="Z789" s="298">
        <f t="shared" si="1122"/>
        <v>795.43464435241401</v>
      </c>
      <c r="AA789" s="298">
        <f t="shared" si="1122"/>
        <v>814.59638765830005</v>
      </c>
      <c r="AB789" s="298">
        <f t="shared" si="1122"/>
        <v>834.35470081073231</v>
      </c>
      <c r="AC789" s="298">
        <f t="shared" si="1122"/>
        <v>854.72923903224603</v>
      </c>
      <c r="AD789" s="298">
        <f t="shared" si="1122"/>
        <v>875.74020140723292</v>
      </c>
      <c r="AE789" s="298">
        <f t="shared" si="1122"/>
        <v>897.40833046234104</v>
      </c>
      <c r="AF789" s="298">
        <f t="shared" si="1122"/>
        <v>919.75490966685982</v>
      </c>
      <c r="AG789" s="298">
        <f t="shared" si="1122"/>
        <v>942.80175858737323</v>
      </c>
      <c r="AH789" s="298">
        <f t="shared" si="1122"/>
        <v>966.57122540479099</v>
      </c>
      <c r="AI789" s="298">
        <f t="shared" si="1122"/>
        <v>991.08617647337064</v>
      </c>
      <c r="AJ789" s="298">
        <f t="shared" si="1122"/>
        <v>1016.3699825703021</v>
      </c>
    </row>
    <row r="790" spans="1:36" hidden="1" x14ac:dyDescent="0.25">
      <c r="A790" t="s">
        <v>697</v>
      </c>
    </row>
    <row r="791" spans="1:36" hidden="1" x14ac:dyDescent="0.25">
      <c r="A791" t="s">
        <v>697</v>
      </c>
      <c r="H791" s="594" t="s">
        <v>361</v>
      </c>
      <c r="I791" s="595" t="str">
        <f t="shared" si="1105"/>
        <v>VND/phôi</v>
      </c>
      <c r="K791" s="594"/>
      <c r="L791" s="600">
        <f>INDEX('Cover Page'!$H$12:$W$12,MATCH($A791,'Cover Page'!$H$5:$W$5,0))</f>
        <v>6.6666666666666666E-2</v>
      </c>
      <c r="M791" s="600">
        <f>INDEX('Cover Page'!$H$12:$W$12,MATCH($A791,'Cover Page'!$H$5:$W$5,0))</f>
        <v>6.6666666666666666E-2</v>
      </c>
      <c r="N791" s="600">
        <f>INDEX('Cover Page'!$H$12:$W$12,MATCH($A791,'Cover Page'!$H$5:$W$5,0))</f>
        <v>6.6666666666666666E-2</v>
      </c>
      <c r="O791" s="600">
        <f>INDEX('Cover Page'!$H$12:$W$12,MATCH($A791,'Cover Page'!$H$5:$W$5,0))</f>
        <v>6.6666666666666666E-2</v>
      </c>
      <c r="P791" s="600">
        <f>INDEX('Cover Page'!$H$12:$W$12,MATCH($A791,'Cover Page'!$H$5:$W$5,0))</f>
        <v>6.6666666666666666E-2</v>
      </c>
      <c r="Q791" s="600">
        <f>INDEX('Cover Page'!$H$12:$W$12,MATCH($A791,'Cover Page'!$H$5:$W$5,0))</f>
        <v>6.6666666666666666E-2</v>
      </c>
      <c r="R791" s="600">
        <f>INDEX('Cover Page'!$H$12:$W$12,MATCH($A791,'Cover Page'!$H$5:$W$5,0))</f>
        <v>6.6666666666666666E-2</v>
      </c>
      <c r="S791" s="600">
        <f>INDEX('Cover Page'!$H$12:$W$12,MATCH($A791,'Cover Page'!$H$5:$W$5,0))</f>
        <v>6.6666666666666666E-2</v>
      </c>
      <c r="T791" s="600">
        <f>INDEX('Cover Page'!$H$12:$W$12,MATCH($A791,'Cover Page'!$H$5:$W$5,0))</f>
        <v>6.6666666666666666E-2</v>
      </c>
      <c r="U791" s="600">
        <f>INDEX('Cover Page'!$H$12:$W$12,MATCH($A791,'Cover Page'!$H$5:$W$5,0))</f>
        <v>6.6666666666666666E-2</v>
      </c>
      <c r="V791" s="600">
        <f>INDEX('Cover Page'!$H$12:$W$12,MATCH($A791,'Cover Page'!$H$5:$W$5,0))</f>
        <v>6.6666666666666666E-2</v>
      </c>
      <c r="W791" s="600">
        <f>INDEX('Cover Page'!$H$12:$W$12,MATCH($A791,'Cover Page'!$H$5:$W$5,0))</f>
        <v>6.6666666666666666E-2</v>
      </c>
      <c r="X791" s="600">
        <f>INDEX('Cover Page'!$H$12:$W$12,MATCH($A791,'Cover Page'!$H$5:$W$5,0))</f>
        <v>6.6666666666666666E-2</v>
      </c>
      <c r="Y791" s="600">
        <f>INDEX('Cover Page'!$H$12:$W$12,MATCH($A791,'Cover Page'!$H$5:$W$5,0))</f>
        <v>6.6666666666666666E-2</v>
      </c>
      <c r="Z791" s="600">
        <f>INDEX('Cover Page'!$H$12:$W$12,MATCH($A791,'Cover Page'!$H$5:$W$5,0))</f>
        <v>6.6666666666666666E-2</v>
      </c>
      <c r="AA791" s="600">
        <f>INDEX('Cover Page'!$H$12:$W$12,MATCH($A791,'Cover Page'!$H$5:$W$5,0))</f>
        <v>6.6666666666666666E-2</v>
      </c>
      <c r="AB791" s="600">
        <f>INDEX('Cover Page'!$H$12:$W$12,MATCH($A791,'Cover Page'!$H$5:$W$5,0))</f>
        <v>6.6666666666666666E-2</v>
      </c>
      <c r="AC791" s="600">
        <f>INDEX('Cover Page'!$H$12:$W$12,MATCH($A791,'Cover Page'!$H$5:$W$5,0))</f>
        <v>6.6666666666666666E-2</v>
      </c>
      <c r="AD791" s="600">
        <f>INDEX('Cover Page'!$H$12:$W$12,MATCH($A791,'Cover Page'!$H$5:$W$5,0))</f>
        <v>6.6666666666666666E-2</v>
      </c>
      <c r="AE791" s="600">
        <f>INDEX('Cover Page'!$H$12:$W$12,MATCH($A791,'Cover Page'!$H$5:$W$5,0))</f>
        <v>6.6666666666666666E-2</v>
      </c>
      <c r="AF791" s="600">
        <f>INDEX('Cover Page'!$H$12:$W$12,MATCH($A791,'Cover Page'!$H$5:$W$5,0))</f>
        <v>6.6666666666666666E-2</v>
      </c>
      <c r="AG791" s="600">
        <f>INDEX('Cover Page'!$H$12:$W$12,MATCH($A791,'Cover Page'!$H$5:$W$5,0))</f>
        <v>6.6666666666666666E-2</v>
      </c>
      <c r="AH791" s="600">
        <f>INDEX('Cover Page'!$H$12:$W$12,MATCH($A791,'Cover Page'!$H$5:$W$5,0))</f>
        <v>6.6666666666666666E-2</v>
      </c>
      <c r="AI791" s="600">
        <f>INDEX('Cover Page'!$H$12:$W$12,MATCH($A791,'Cover Page'!$H$5:$W$5,0))</f>
        <v>6.6666666666666666E-2</v>
      </c>
      <c r="AJ791" s="600">
        <f>INDEX('Cover Page'!$H$12:$W$12,MATCH($A791,'Cover Page'!$H$5:$W$5,0))</f>
        <v>6.6666666666666666E-2</v>
      </c>
    </row>
    <row r="792" spans="1:36" s="1" customFormat="1" hidden="1" x14ac:dyDescent="0.25">
      <c r="A792" s="1" t="s">
        <v>697</v>
      </c>
      <c r="H792" s="596" t="s">
        <v>490</v>
      </c>
      <c r="I792" s="597" t="str">
        <f t="shared" si="1105"/>
        <v>VND/phôi</v>
      </c>
      <c r="K792" s="596"/>
      <c r="L792" s="601">
        <f>L789*(1+L791)</f>
        <v>914.55394725595079</v>
      </c>
      <c r="M792" s="601">
        <f t="shared" ref="M792:AJ792" si="1123">M789*(1+M791)</f>
        <v>792.96632647705667</v>
      </c>
      <c r="N792" s="601">
        <f t="shared" si="1123"/>
        <v>716.48570185027916</v>
      </c>
      <c r="O792" s="601">
        <f t="shared" si="1123"/>
        <v>730.71925423456128</v>
      </c>
      <c r="P792" s="601">
        <f t="shared" si="1123"/>
        <v>745.3809031417012</v>
      </c>
      <c r="Q792" s="601">
        <f t="shared" si="1123"/>
        <v>760.4851351888434</v>
      </c>
      <c r="R792" s="601">
        <f t="shared" si="1123"/>
        <v>776.04692323284303</v>
      </c>
      <c r="S792" s="601">
        <f t="shared" si="1123"/>
        <v>792.08173794227264</v>
      </c>
      <c r="T792" s="601">
        <f t="shared" si="1123"/>
        <v>808.60555905497517</v>
      </c>
      <c r="U792" s="601">
        <f t="shared" si="1123"/>
        <v>825.63488623652154</v>
      </c>
      <c r="V792" s="601">
        <f t="shared" si="1123"/>
        <v>843.18674944523389</v>
      </c>
      <c r="W792" s="601">
        <f t="shared" si="1123"/>
        <v>861.27871869881608</v>
      </c>
      <c r="X792" s="601">
        <f t="shared" si="1123"/>
        <v>809.41328593988419</v>
      </c>
      <c r="Y792" s="601">
        <f t="shared" si="1123"/>
        <v>828.64038198794776</v>
      </c>
      <c r="Z792" s="601">
        <f t="shared" si="1123"/>
        <v>848.46362064257494</v>
      </c>
      <c r="AA792" s="601">
        <f t="shared" si="1123"/>
        <v>868.90281350218675</v>
      </c>
      <c r="AB792" s="601">
        <f t="shared" si="1123"/>
        <v>889.97834753144775</v>
      </c>
      <c r="AC792" s="601">
        <f t="shared" si="1123"/>
        <v>911.71118830106241</v>
      </c>
      <c r="AD792" s="601">
        <f t="shared" si="1123"/>
        <v>934.12288150104848</v>
      </c>
      <c r="AE792" s="601">
        <f t="shared" si="1123"/>
        <v>957.23555249316371</v>
      </c>
      <c r="AF792" s="601">
        <f t="shared" si="1123"/>
        <v>981.07190364465043</v>
      </c>
      <c r="AG792" s="601">
        <f t="shared" si="1123"/>
        <v>1005.6552091598647</v>
      </c>
      <c r="AH792" s="601">
        <f t="shared" si="1123"/>
        <v>1031.0093070984437</v>
      </c>
      <c r="AI792" s="601">
        <f t="shared" si="1123"/>
        <v>1057.1585882382619</v>
      </c>
      <c r="AJ792" s="601">
        <f t="shared" si="1123"/>
        <v>1084.1279814083223</v>
      </c>
    </row>
    <row r="793" spans="1:36" hidden="1" x14ac:dyDescent="0.25">
      <c r="A793" t="s">
        <v>697</v>
      </c>
      <c r="H793" s="575" t="s">
        <v>292</v>
      </c>
      <c r="I793" s="576" t="str">
        <f t="shared" si="1105"/>
        <v>VND/phôi</v>
      </c>
      <c r="K793" s="575"/>
      <c r="L793" s="602">
        <f t="shared" ref="L793:AJ793" si="1124">Tax_rate</f>
        <v>0.2</v>
      </c>
      <c r="M793" s="602">
        <f t="shared" si="1124"/>
        <v>0.2</v>
      </c>
      <c r="N793" s="602">
        <f t="shared" si="1124"/>
        <v>0.2</v>
      </c>
      <c r="O793" s="602">
        <f t="shared" si="1124"/>
        <v>0.2</v>
      </c>
      <c r="P793" s="602">
        <f t="shared" si="1124"/>
        <v>0.2</v>
      </c>
      <c r="Q793" s="602">
        <f t="shared" si="1124"/>
        <v>0.2</v>
      </c>
      <c r="R793" s="602">
        <f t="shared" si="1124"/>
        <v>0.2</v>
      </c>
      <c r="S793" s="602">
        <f t="shared" si="1124"/>
        <v>0.2</v>
      </c>
      <c r="T793" s="602">
        <f t="shared" si="1124"/>
        <v>0.2</v>
      </c>
      <c r="U793" s="602">
        <f t="shared" si="1124"/>
        <v>0.2</v>
      </c>
      <c r="V793" s="602">
        <f t="shared" si="1124"/>
        <v>0.2</v>
      </c>
      <c r="W793" s="602">
        <f t="shared" si="1124"/>
        <v>0.2</v>
      </c>
      <c r="X793" s="602">
        <f t="shared" si="1124"/>
        <v>0.2</v>
      </c>
      <c r="Y793" s="602">
        <f t="shared" si="1124"/>
        <v>0.2</v>
      </c>
      <c r="Z793" s="602">
        <f t="shared" si="1124"/>
        <v>0.2</v>
      </c>
      <c r="AA793" s="602">
        <f t="shared" si="1124"/>
        <v>0.2</v>
      </c>
      <c r="AB793" s="602">
        <f t="shared" si="1124"/>
        <v>0.2</v>
      </c>
      <c r="AC793" s="602">
        <f t="shared" si="1124"/>
        <v>0.2</v>
      </c>
      <c r="AD793" s="602">
        <f t="shared" si="1124"/>
        <v>0.2</v>
      </c>
      <c r="AE793" s="602">
        <f t="shared" si="1124"/>
        <v>0.2</v>
      </c>
      <c r="AF793" s="602">
        <f t="shared" si="1124"/>
        <v>0.2</v>
      </c>
      <c r="AG793" s="602">
        <f t="shared" si="1124"/>
        <v>0.2</v>
      </c>
      <c r="AH793" s="602">
        <f t="shared" si="1124"/>
        <v>0.2</v>
      </c>
      <c r="AI793" s="602">
        <f t="shared" si="1124"/>
        <v>0.2</v>
      </c>
      <c r="AJ793" s="602">
        <f t="shared" si="1124"/>
        <v>0.2</v>
      </c>
    </row>
    <row r="794" spans="1:36" s="1" customFormat="1" hidden="1" x14ac:dyDescent="0.25">
      <c r="A794" s="1" t="s">
        <v>697</v>
      </c>
      <c r="H794" s="596" t="s">
        <v>491</v>
      </c>
      <c r="I794" s="597" t="str">
        <f t="shared" si="1105"/>
        <v>VND/phôi</v>
      </c>
      <c r="K794" s="596"/>
      <c r="L794" s="601">
        <f>(L792-L789)*(1-L793)</f>
        <v>45.727697362797521</v>
      </c>
      <c r="M794" s="601">
        <f t="shared" ref="M794:AJ794" si="1125">(M792-M789)*(1-M793)</f>
        <v>39.648316323852853</v>
      </c>
      <c r="N794" s="601">
        <f t="shared" si="1125"/>
        <v>35.824285092513946</v>
      </c>
      <c r="O794" s="601">
        <f t="shared" si="1125"/>
        <v>36.535962711728097</v>
      </c>
      <c r="P794" s="601">
        <f t="shared" si="1125"/>
        <v>37.269045157085024</v>
      </c>
      <c r="Q794" s="601">
        <f t="shared" si="1125"/>
        <v>38.024256759442146</v>
      </c>
      <c r="R794" s="601">
        <f t="shared" si="1125"/>
        <v>38.802346161642163</v>
      </c>
      <c r="S794" s="601">
        <f t="shared" si="1125"/>
        <v>39.604086897113667</v>
      </c>
      <c r="T794" s="601">
        <f t="shared" si="1125"/>
        <v>40.430277952748753</v>
      </c>
      <c r="U794" s="601">
        <f t="shared" si="1125"/>
        <v>41.28174431182606</v>
      </c>
      <c r="V794" s="601">
        <f t="shared" si="1125"/>
        <v>42.159337472261726</v>
      </c>
      <c r="W794" s="601">
        <f t="shared" si="1125"/>
        <v>43.063935934940766</v>
      </c>
      <c r="X794" s="601">
        <f t="shared" si="1125"/>
        <v>40.470664296994165</v>
      </c>
      <c r="Y794" s="601">
        <f t="shared" si="1125"/>
        <v>41.432019099397351</v>
      </c>
      <c r="Z794" s="601">
        <f t="shared" si="1125"/>
        <v>42.423181032128745</v>
      </c>
      <c r="AA794" s="601">
        <f t="shared" si="1125"/>
        <v>43.445140675109364</v>
      </c>
      <c r="AB794" s="601">
        <f t="shared" si="1125"/>
        <v>44.498917376572358</v>
      </c>
      <c r="AC794" s="601">
        <f t="shared" si="1125"/>
        <v>45.585559415053105</v>
      </c>
      <c r="AD794" s="601">
        <f t="shared" si="1125"/>
        <v>46.706144075052457</v>
      </c>
      <c r="AE794" s="601">
        <f t="shared" si="1125"/>
        <v>47.861777624658139</v>
      </c>
      <c r="AF794" s="601">
        <f t="shared" si="1125"/>
        <v>49.053595182232499</v>
      </c>
      <c r="AG794" s="601">
        <f t="shared" si="1125"/>
        <v>50.282760457993213</v>
      </c>
      <c r="AH794" s="601">
        <f t="shared" si="1125"/>
        <v>51.550465354922203</v>
      </c>
      <c r="AI794" s="601">
        <f t="shared" si="1125"/>
        <v>52.857929411913034</v>
      </c>
      <c r="AJ794" s="601">
        <f t="shared" si="1125"/>
        <v>54.20639907041614</v>
      </c>
    </row>
    <row r="795" spans="1:36" s="146" customFormat="1" hidden="1" x14ac:dyDescent="0.25">
      <c r="A795" s="146" t="s">
        <v>697</v>
      </c>
      <c r="H795" s="598" t="s">
        <v>492</v>
      </c>
      <c r="I795" s="599"/>
      <c r="K795" s="598"/>
      <c r="L795" s="603">
        <f>IFERROR(L794/L792,0)</f>
        <v>4.9999999999999982E-2</v>
      </c>
      <c r="M795" s="603">
        <f>IFERROR(M794/M792,0)</f>
        <v>5.0000000000000024E-2</v>
      </c>
      <c r="N795" s="603">
        <f t="shared" ref="N795:AJ795" si="1126">IFERROR(N794/N792,0)</f>
        <v>4.9999999999999982E-2</v>
      </c>
      <c r="O795" s="603">
        <f t="shared" si="1126"/>
        <v>5.0000000000000044E-2</v>
      </c>
      <c r="P795" s="603">
        <f t="shared" si="1126"/>
        <v>4.9999999999999954E-2</v>
      </c>
      <c r="Q795" s="603">
        <f t="shared" si="1126"/>
        <v>4.9999999999999968E-2</v>
      </c>
      <c r="R795" s="603">
        <f t="shared" si="1126"/>
        <v>5.0000000000000017E-2</v>
      </c>
      <c r="S795" s="603">
        <f t="shared" si="1126"/>
        <v>5.0000000000000044E-2</v>
      </c>
      <c r="T795" s="603">
        <f t="shared" si="1126"/>
        <v>4.9999999999999996E-2</v>
      </c>
      <c r="U795" s="603">
        <f t="shared" si="1126"/>
        <v>4.9999999999999982E-2</v>
      </c>
      <c r="V795" s="603">
        <f t="shared" si="1126"/>
        <v>5.0000000000000037E-2</v>
      </c>
      <c r="W795" s="603">
        <f t="shared" si="1126"/>
        <v>4.9999999999999954E-2</v>
      </c>
      <c r="X795" s="603">
        <f t="shared" si="1126"/>
        <v>4.9999999999999947E-2</v>
      </c>
      <c r="Y795" s="603">
        <f t="shared" si="1126"/>
        <v>4.9999999999999954E-2</v>
      </c>
      <c r="Z795" s="603">
        <f t="shared" si="1126"/>
        <v>4.9999999999999996E-2</v>
      </c>
      <c r="AA795" s="603">
        <f t="shared" si="1126"/>
        <v>5.0000000000000031E-2</v>
      </c>
      <c r="AB795" s="603">
        <f t="shared" si="1126"/>
        <v>4.9999999999999968E-2</v>
      </c>
      <c r="AC795" s="603">
        <f t="shared" si="1126"/>
        <v>4.9999999999999982E-2</v>
      </c>
      <c r="AD795" s="603">
        <f t="shared" si="1126"/>
        <v>5.0000000000000037E-2</v>
      </c>
      <c r="AE795" s="603">
        <f t="shared" si="1126"/>
        <v>4.9999999999999954E-2</v>
      </c>
      <c r="AF795" s="603">
        <f t="shared" si="1126"/>
        <v>4.9999999999999975E-2</v>
      </c>
      <c r="AG795" s="603">
        <f t="shared" si="1126"/>
        <v>4.9999999999999975E-2</v>
      </c>
      <c r="AH795" s="603">
        <f t="shared" si="1126"/>
        <v>5.0000000000000017E-2</v>
      </c>
      <c r="AI795" s="603">
        <f t="shared" si="1126"/>
        <v>4.999999999999994E-2</v>
      </c>
      <c r="AJ795" s="603">
        <f t="shared" si="1126"/>
        <v>5.0000000000000024E-2</v>
      </c>
    </row>
    <row r="796" spans="1:36" hidden="1" x14ac:dyDescent="0.25">
      <c r="A796" t="s">
        <v>697</v>
      </c>
      <c r="L796" s="64"/>
    </row>
    <row r="797" spans="1:36" hidden="1" x14ac:dyDescent="0.25">
      <c r="A797" t="s">
        <v>697</v>
      </c>
      <c r="H797" s="1" t="s">
        <v>493</v>
      </c>
    </row>
    <row r="798" spans="1:36" hidden="1" x14ac:dyDescent="0.25">
      <c r="A798" t="s">
        <v>697</v>
      </c>
      <c r="H798" t="s">
        <v>493</v>
      </c>
      <c r="I798" s="65" t="s">
        <v>475</v>
      </c>
      <c r="K798" s="15"/>
      <c r="L798" s="15">
        <f t="shared" ref="L798:AJ798" si="1127">L799*PHOI_KG*10^3/10^6</f>
        <v>45.333333333333336</v>
      </c>
      <c r="M798" s="15">
        <f t="shared" si="1127"/>
        <v>46.240000000000009</v>
      </c>
      <c r="N798" s="15">
        <f t="shared" si="1127"/>
        <v>47.1648</v>
      </c>
      <c r="O798" s="15">
        <f t="shared" si="1127"/>
        <v>48.10809600000001</v>
      </c>
      <c r="P798" s="15">
        <f t="shared" si="1127"/>
        <v>49.070257920000003</v>
      </c>
      <c r="Q798" s="15">
        <f t="shared" si="1127"/>
        <v>50.051663078400004</v>
      </c>
      <c r="R798" s="15">
        <f t="shared" si="1127"/>
        <v>51.052696339968008</v>
      </c>
      <c r="S798" s="15">
        <f t="shared" si="1127"/>
        <v>52.073750266767355</v>
      </c>
      <c r="T798" s="15">
        <f t="shared" si="1127"/>
        <v>53.115225272102705</v>
      </c>
      <c r="U798" s="15">
        <f t="shared" si="1127"/>
        <v>54.177529777544763</v>
      </c>
      <c r="V798" s="15">
        <f t="shared" si="1127"/>
        <v>55.261080373095652</v>
      </c>
      <c r="W798" s="15">
        <f t="shared" si="1127"/>
        <v>56.366301980557566</v>
      </c>
      <c r="X798" s="15">
        <f t="shared" si="1127"/>
        <v>57.493628020168721</v>
      </c>
      <c r="Y798" s="15">
        <f t="shared" si="1127"/>
        <v>58.643500580572088</v>
      </c>
      <c r="Z798" s="15">
        <f t="shared" si="1127"/>
        <v>59.816370592183539</v>
      </c>
      <c r="AA798" s="15">
        <f t="shared" si="1127"/>
        <v>61.012698004027193</v>
      </c>
      <c r="AB798" s="15">
        <f t="shared" si="1127"/>
        <v>62.232951964107755</v>
      </c>
      <c r="AC798" s="15">
        <f t="shared" si="1127"/>
        <v>63.47761100338991</v>
      </c>
      <c r="AD798" s="15">
        <f t="shared" si="1127"/>
        <v>64.74716322345769</v>
      </c>
      <c r="AE798" s="15">
        <f t="shared" si="1127"/>
        <v>66.042106487926858</v>
      </c>
      <c r="AF798" s="15">
        <f t="shared" si="1127"/>
        <v>67.36294861768539</v>
      </c>
      <c r="AG798" s="15">
        <f t="shared" si="1127"/>
        <v>68.71020759003909</v>
      </c>
      <c r="AH798" s="15">
        <f t="shared" si="1127"/>
        <v>70.084411741839887</v>
      </c>
      <c r="AI798" s="15">
        <f t="shared" si="1127"/>
        <v>71.486099976676655</v>
      </c>
      <c r="AJ798" s="15">
        <f t="shared" si="1127"/>
        <v>72.915821976210211</v>
      </c>
    </row>
    <row r="799" spans="1:36" hidden="1" x14ac:dyDescent="0.25">
      <c r="A799" t="s">
        <v>697</v>
      </c>
      <c r="F799" t="s">
        <v>570</v>
      </c>
      <c r="H799" t="s">
        <v>493</v>
      </c>
      <c r="I799" s="65" t="s">
        <v>368</v>
      </c>
      <c r="K799" s="27"/>
      <c r="L799" s="27">
        <f>INDEX('Cover Page'!$H$14:$W$14,MATCH($A799,'Cover Page'!$H$5:$W$5,0))</f>
        <v>680</v>
      </c>
      <c r="M799" s="27">
        <f>$L799*POWER(1+INDEX('Cover Page'!$H$17:$W$17,MATCH($A799,'Cover Page'!$H$5:$W$5,0)),M$12+1)</f>
        <v>693.6</v>
      </c>
      <c r="N799" s="27">
        <f>$L799*POWER(1+INDEX('Cover Page'!$H$17:$W$17,MATCH($A799,'Cover Page'!$H$5:$W$5,0)),N$12+1)</f>
        <v>707.47199999999998</v>
      </c>
      <c r="O799" s="27">
        <f>$L799*POWER(1+INDEX('Cover Page'!$H$17:$W$17,MATCH($A799,'Cover Page'!$H$5:$W$5,0)),O$12+1)</f>
        <v>721.62144000000001</v>
      </c>
      <c r="P799" s="27">
        <f>$L799*POWER(1+INDEX('Cover Page'!$H$17:$W$17,MATCH($A799,'Cover Page'!$H$5:$W$5,0)),P$12+1)</f>
        <v>736.05386880000003</v>
      </c>
      <c r="Q799" s="27">
        <f>$L799*POWER(1+INDEX('Cover Page'!$H$17:$W$17,MATCH($A799,'Cover Page'!$H$5:$W$5,0)),Q$12+1)</f>
        <v>750.77494617599996</v>
      </c>
      <c r="R799" s="27">
        <f>$L799*POWER(1+INDEX('Cover Page'!$H$17:$W$17,MATCH($A799,'Cover Page'!$H$5:$W$5,0)),R$12+1)</f>
        <v>765.79044509952007</v>
      </c>
      <c r="S799" s="27">
        <f>$L799*POWER(1+INDEX('Cover Page'!$H$17:$W$17,MATCH($A799,'Cover Page'!$H$5:$W$5,0)),S$12+1)</f>
        <v>781.10625400151025</v>
      </c>
      <c r="T799" s="27">
        <f>$L799*POWER(1+INDEX('Cover Page'!$H$17:$W$17,MATCH($A799,'Cover Page'!$H$5:$W$5,0)),T$12+1)</f>
        <v>796.72837908154054</v>
      </c>
      <c r="U799" s="27">
        <f>$L799*POWER(1+INDEX('Cover Page'!$H$17:$W$17,MATCH($A799,'Cover Page'!$H$5:$W$5,0)),U$12+1)</f>
        <v>812.6629466631714</v>
      </c>
      <c r="V799" s="27">
        <f>$L799*POWER(1+INDEX('Cover Page'!$H$17:$W$17,MATCH($A799,'Cover Page'!$H$5:$W$5,0)),V$12+1)</f>
        <v>828.91620559643479</v>
      </c>
      <c r="W799" s="27">
        <f>$L799*POWER(1+INDEX('Cover Page'!$H$17:$W$17,MATCH($A799,'Cover Page'!$H$5:$W$5,0)),W$12+1)</f>
        <v>845.49452970836342</v>
      </c>
      <c r="X799" s="27">
        <f>$L799*POWER(1+INDEX('Cover Page'!$H$17:$W$17,MATCH($A799,'Cover Page'!$H$5:$W$5,0)),X$12+1)</f>
        <v>862.40442030253075</v>
      </c>
      <c r="Y799" s="27">
        <f>$L799*POWER(1+INDEX('Cover Page'!$H$17:$W$17,MATCH($A799,'Cover Page'!$H$5:$W$5,0)),Y$12+1)</f>
        <v>879.65250870858131</v>
      </c>
      <c r="Z799" s="27">
        <f>$L799*POWER(1+INDEX('Cover Page'!$H$17:$W$17,MATCH($A799,'Cover Page'!$H$5:$W$5,0)),Z$12+1)</f>
        <v>897.24555888275302</v>
      </c>
      <c r="AA799" s="27">
        <f>$L799*POWER(1+INDEX('Cover Page'!$H$17:$W$17,MATCH($A799,'Cover Page'!$H$5:$W$5,0)),AA$12+1)</f>
        <v>915.19047006040785</v>
      </c>
      <c r="AB799" s="27">
        <f>$L799*POWER(1+INDEX('Cover Page'!$H$17:$W$17,MATCH($A799,'Cover Page'!$H$5:$W$5,0)),AB$12+1)</f>
        <v>933.4942794616162</v>
      </c>
      <c r="AC799" s="27">
        <f>$L799*POWER(1+INDEX('Cover Page'!$H$17:$W$17,MATCH($A799,'Cover Page'!$H$5:$W$5,0)),AC$12+1)</f>
        <v>952.16416505084862</v>
      </c>
      <c r="AD799" s="27">
        <f>$L799*POWER(1+INDEX('Cover Page'!$H$17:$W$17,MATCH($A799,'Cover Page'!$H$5:$W$5,0)),AD$12+1)</f>
        <v>971.20744835186542</v>
      </c>
      <c r="AE799" s="27">
        <f>$L799*POWER(1+INDEX('Cover Page'!$H$17:$W$17,MATCH($A799,'Cover Page'!$H$5:$W$5,0)),AE$12+1)</f>
        <v>990.63159731890278</v>
      </c>
      <c r="AF799" s="27">
        <f>$L799*POWER(1+INDEX('Cover Page'!$H$17:$W$17,MATCH($A799,'Cover Page'!$H$5:$W$5,0)),AF$12+1)</f>
        <v>1010.4442292652809</v>
      </c>
      <c r="AG799" s="27">
        <f>$L799*POWER(1+INDEX('Cover Page'!$H$17:$W$17,MATCH($A799,'Cover Page'!$H$5:$W$5,0)),AG$12+1)</f>
        <v>1030.6531138505864</v>
      </c>
      <c r="AH799" s="27">
        <f>$L799*POWER(1+INDEX('Cover Page'!$H$17:$W$17,MATCH($A799,'Cover Page'!$H$5:$W$5,0)),AH$12+1)</f>
        <v>1051.2661761275981</v>
      </c>
      <c r="AI799" s="27">
        <f>$L799*POWER(1+INDEX('Cover Page'!$H$17:$W$17,MATCH($A799,'Cover Page'!$H$5:$W$5,0)),AI$12+1)</f>
        <v>1072.2914996501499</v>
      </c>
      <c r="AJ799" s="27">
        <f>$L799*POWER(1+INDEX('Cover Page'!$H$17:$W$17,MATCH($A799,'Cover Page'!$H$5:$W$5,0)),AJ$12+1)</f>
        <v>1093.7373296431531</v>
      </c>
    </row>
    <row r="800" spans="1:36" hidden="1" x14ac:dyDescent="0.25">
      <c r="A800" t="s">
        <v>697</v>
      </c>
      <c r="H800" t="s">
        <v>493</v>
      </c>
      <c r="I800" s="65" t="s">
        <v>369</v>
      </c>
      <c r="K800" s="15"/>
      <c r="L800" s="15">
        <f t="shared" ref="L800:AJ800" si="1128">L798/EXR*10^6</f>
        <v>1743.5897435897436</v>
      </c>
      <c r="M800" s="15">
        <f t="shared" si="1128"/>
        <v>1778.4615384615388</v>
      </c>
      <c r="N800" s="15">
        <f t="shared" si="1128"/>
        <v>1814.0307692307692</v>
      </c>
      <c r="O800" s="15">
        <f t="shared" si="1128"/>
        <v>1850.3113846153849</v>
      </c>
      <c r="P800" s="15">
        <f t="shared" si="1128"/>
        <v>1887.3176123076926</v>
      </c>
      <c r="Q800" s="15">
        <f t="shared" si="1128"/>
        <v>1925.0639645538463</v>
      </c>
      <c r="R800" s="15">
        <f t="shared" si="1128"/>
        <v>1963.5652438449235</v>
      </c>
      <c r="S800" s="15">
        <f t="shared" si="1128"/>
        <v>2002.8365487218214</v>
      </c>
      <c r="T800" s="15">
        <f t="shared" si="1128"/>
        <v>2042.8932796962579</v>
      </c>
      <c r="U800" s="15">
        <f t="shared" si="1128"/>
        <v>2083.7511452901831</v>
      </c>
      <c r="V800" s="15">
        <f t="shared" si="1128"/>
        <v>2125.426168195987</v>
      </c>
      <c r="W800" s="15">
        <f t="shared" si="1128"/>
        <v>2167.9346915599062</v>
      </c>
      <c r="X800" s="15">
        <f t="shared" si="1128"/>
        <v>2211.2933853911045</v>
      </c>
      <c r="Y800" s="15">
        <f t="shared" si="1128"/>
        <v>2255.5192530989266</v>
      </c>
      <c r="Z800" s="15">
        <f t="shared" si="1128"/>
        <v>2300.6296381609054</v>
      </c>
      <c r="AA800" s="15">
        <f t="shared" si="1128"/>
        <v>2346.6422309241225</v>
      </c>
      <c r="AB800" s="15">
        <f t="shared" si="1128"/>
        <v>2393.5750755426056</v>
      </c>
      <c r="AC800" s="15">
        <f t="shared" si="1128"/>
        <v>2441.4465770534584</v>
      </c>
      <c r="AD800" s="15">
        <f t="shared" si="1128"/>
        <v>2490.2755085945264</v>
      </c>
      <c r="AE800" s="15">
        <f t="shared" si="1128"/>
        <v>2540.0810187664179</v>
      </c>
      <c r="AF800" s="15">
        <f t="shared" si="1128"/>
        <v>2590.8826391417456</v>
      </c>
      <c r="AG800" s="15">
        <f t="shared" si="1128"/>
        <v>2642.7002919245806</v>
      </c>
      <c r="AH800" s="15">
        <f t="shared" si="1128"/>
        <v>2695.5542977630726</v>
      </c>
      <c r="AI800" s="15">
        <f t="shared" si="1128"/>
        <v>2749.4653837183328</v>
      </c>
      <c r="AJ800" s="15">
        <f t="shared" si="1128"/>
        <v>2804.4546913927006</v>
      </c>
    </row>
    <row r="801" spans="1:36" hidden="1" x14ac:dyDescent="0.25">
      <c r="A801" t="s">
        <v>697</v>
      </c>
      <c r="H801" t="s">
        <v>493</v>
      </c>
      <c r="I801" s="65" t="s">
        <v>494</v>
      </c>
      <c r="K801" s="15"/>
      <c r="L801" s="15">
        <f t="shared" ref="L801:AJ801" si="1129">L799*1000/EXR</f>
        <v>26.153846153846153</v>
      </c>
      <c r="M801" s="15">
        <f t="shared" si="1129"/>
        <v>26.676923076923078</v>
      </c>
      <c r="N801" s="15">
        <f t="shared" si="1129"/>
        <v>27.210461538461537</v>
      </c>
      <c r="O801" s="15">
        <f t="shared" si="1129"/>
        <v>27.754670769230771</v>
      </c>
      <c r="P801" s="15">
        <f t="shared" si="1129"/>
        <v>28.309764184615386</v>
      </c>
      <c r="Q801" s="15">
        <f t="shared" si="1129"/>
        <v>28.875959468307691</v>
      </c>
      <c r="R801" s="15">
        <f t="shared" si="1129"/>
        <v>29.453478657673848</v>
      </c>
      <c r="S801" s="15">
        <f t="shared" si="1129"/>
        <v>30.042548230827315</v>
      </c>
      <c r="T801" s="15">
        <f t="shared" si="1129"/>
        <v>30.643399195443866</v>
      </c>
      <c r="U801" s="15">
        <f t="shared" si="1129"/>
        <v>31.256267179352747</v>
      </c>
      <c r="V801" s="15">
        <f t="shared" si="1129"/>
        <v>31.881392522939798</v>
      </c>
      <c r="W801" s="15">
        <f t="shared" si="1129"/>
        <v>32.519020373398597</v>
      </c>
      <c r="X801" s="15">
        <f t="shared" si="1129"/>
        <v>33.169400780866567</v>
      </c>
      <c r="Y801" s="15">
        <f t="shared" si="1129"/>
        <v>33.832788796483896</v>
      </c>
      <c r="Z801" s="15">
        <f t="shared" si="1129"/>
        <v>34.509444572413578</v>
      </c>
      <c r="AA801" s="15">
        <f t="shared" si="1129"/>
        <v>35.199633463861844</v>
      </c>
      <c r="AB801" s="15">
        <f t="shared" si="1129"/>
        <v>35.903626133139085</v>
      </c>
      <c r="AC801" s="15">
        <f t="shared" si="1129"/>
        <v>36.621698655801872</v>
      </c>
      <c r="AD801" s="15">
        <f t="shared" si="1129"/>
        <v>37.354132628917903</v>
      </c>
      <c r="AE801" s="15">
        <f t="shared" si="1129"/>
        <v>38.101215281496259</v>
      </c>
      <c r="AF801" s="15">
        <f t="shared" si="1129"/>
        <v>38.863239587126188</v>
      </c>
      <c r="AG801" s="15">
        <f t="shared" si="1129"/>
        <v>39.640504378868705</v>
      </c>
      <c r="AH801" s="15">
        <f t="shared" si="1129"/>
        <v>40.433314466446085</v>
      </c>
      <c r="AI801" s="15">
        <f t="shared" si="1129"/>
        <v>41.241980755774996</v>
      </c>
      <c r="AJ801" s="15">
        <f t="shared" si="1129"/>
        <v>42.066820370890504</v>
      </c>
    </row>
    <row r="802" spans="1:36" hidden="1" x14ac:dyDescent="0.25">
      <c r="A802" t="s">
        <v>697</v>
      </c>
    </row>
    <row r="803" spans="1:36" s="16" customFormat="1" hidden="1" x14ac:dyDescent="0.25">
      <c r="A803" s="16" t="s">
        <v>697</v>
      </c>
      <c r="D803" s="16" t="s">
        <v>723</v>
      </c>
      <c r="H803" s="270" t="s">
        <v>497</v>
      </c>
      <c r="I803" s="271" t="str">
        <f>IF($H$9="USD","USD","tr. VND")</f>
        <v>tr. VND</v>
      </c>
      <c r="K803" s="270"/>
      <c r="L803" s="272">
        <f t="shared" ref="L803:AJ803" si="1130">IF($H$9="USD",L800*L679/10^3,L798*L679/10^3)</f>
        <v>140401.29945600001</v>
      </c>
      <c r="M803" s="272">
        <f t="shared" si="1130"/>
        <v>200493.05562316801</v>
      </c>
      <c r="N803" s="272">
        <f t="shared" si="1130"/>
        <v>292147.02390804479</v>
      </c>
      <c r="O803" s="272">
        <f t="shared" si="1130"/>
        <v>297989.96438620571</v>
      </c>
      <c r="P803" s="272">
        <f t="shared" si="1130"/>
        <v>303949.76367392979</v>
      </c>
      <c r="Q803" s="272">
        <f t="shared" si="1130"/>
        <v>310028.75894740841</v>
      </c>
      <c r="R803" s="272">
        <f t="shared" si="1130"/>
        <v>316229.33412635658</v>
      </c>
      <c r="S803" s="272">
        <f t="shared" si="1130"/>
        <v>322553.92080888367</v>
      </c>
      <c r="T803" s="272">
        <f t="shared" si="1130"/>
        <v>329004.99922506133</v>
      </c>
      <c r="U803" s="272">
        <f t="shared" si="1130"/>
        <v>335585.09920956258</v>
      </c>
      <c r="V803" s="272">
        <f t="shared" si="1130"/>
        <v>342296.80119375384</v>
      </c>
      <c r="W803" s="272">
        <f t="shared" si="1130"/>
        <v>349142.73721762892</v>
      </c>
      <c r="X803" s="272">
        <f t="shared" si="1130"/>
        <v>356125.5919619815</v>
      </c>
      <c r="Y803" s="272">
        <f t="shared" si="1130"/>
        <v>363248.10380122106</v>
      </c>
      <c r="Z803" s="272">
        <f t="shared" si="1130"/>
        <v>370513.06587724556</v>
      </c>
      <c r="AA803" s="272">
        <f t="shared" si="1130"/>
        <v>377923.32719479036</v>
      </c>
      <c r="AB803" s="272">
        <f t="shared" si="1130"/>
        <v>385481.79373868631</v>
      </c>
      <c r="AC803" s="272">
        <f t="shared" si="1130"/>
        <v>393191.42961346003</v>
      </c>
      <c r="AD803" s="272">
        <f t="shared" si="1130"/>
        <v>401055.25820572913</v>
      </c>
      <c r="AE803" s="272">
        <f t="shared" si="1130"/>
        <v>409076.36336984381</v>
      </c>
      <c r="AF803" s="272">
        <f t="shared" si="1130"/>
        <v>417257.89063724066</v>
      </c>
      <c r="AG803" s="272">
        <f t="shared" si="1130"/>
        <v>425603.04844998539</v>
      </c>
      <c r="AH803" s="272">
        <f t="shared" si="1130"/>
        <v>434115.1094189852</v>
      </c>
      <c r="AI803" s="272">
        <f t="shared" si="1130"/>
        <v>442797.41160736472</v>
      </c>
      <c r="AJ803" s="272">
        <f t="shared" si="1130"/>
        <v>451653.35983951209</v>
      </c>
    </row>
    <row r="804" spans="1:36" hidden="1" x14ac:dyDescent="0.25">
      <c r="A804" t="s">
        <v>697</v>
      </c>
    </row>
    <row r="805" spans="1:36" s="1" customFormat="1" hidden="1" x14ac:dyDescent="0.25">
      <c r="A805" s="1" t="s">
        <v>697</v>
      </c>
      <c r="H805" s="266" t="s">
        <v>495</v>
      </c>
      <c r="I805" s="267" t="str">
        <f>IF($H$9="USD","USD","tr. VND")</f>
        <v>tr. VND</v>
      </c>
      <c r="K805" s="266"/>
      <c r="L805" s="269">
        <f>L803+L719</f>
        <v>-36627.049740713584</v>
      </c>
      <c r="M805" s="269">
        <f t="shared" ref="M805:AJ805" si="1131">M803+M719</f>
        <v>-14396.977088855812</v>
      </c>
      <c r="N805" s="269">
        <f t="shared" si="1131"/>
        <v>14769.661091620044</v>
      </c>
      <c r="O805" s="269">
        <f t="shared" si="1131"/>
        <v>15102.281944886839</v>
      </c>
      <c r="P805" s="269">
        <f t="shared" si="1131"/>
        <v>15386.030059641867</v>
      </c>
      <c r="Q805" s="269">
        <f t="shared" si="1131"/>
        <v>15617.634321989026</v>
      </c>
      <c r="R805" s="269">
        <f t="shared" si="1131"/>
        <v>15793.682120689715</v>
      </c>
      <c r="S805" s="269">
        <f t="shared" si="1131"/>
        <v>15910.615802095213</v>
      </c>
      <c r="T805" s="269">
        <f t="shared" si="1131"/>
        <v>15964.729265510221</v>
      </c>
      <c r="U805" s="269">
        <f t="shared" si="1131"/>
        <v>15952.164732133271</v>
      </c>
      <c r="V805" s="269">
        <f t="shared" si="1131"/>
        <v>15868.909724475816</v>
      </c>
      <c r="W805" s="269">
        <f t="shared" si="1131"/>
        <v>15710.79429728206</v>
      </c>
      <c r="X805" s="269">
        <f t="shared" si="1131"/>
        <v>42772.621898808808</v>
      </c>
      <c r="Y805" s="269">
        <f t="shared" si="1131"/>
        <v>42451.63391291938</v>
      </c>
      <c r="Z805" s="269">
        <f t="shared" si="1131"/>
        <v>42042.307937833364</v>
      </c>
      <c r="AA805" s="269">
        <f t="shared" si="1131"/>
        <v>41539.823196587851</v>
      </c>
      <c r="AB805" s="269">
        <f t="shared" si="1131"/>
        <v>40939.193147365935</v>
      </c>
      <c r="AC805" s="269">
        <f t="shared" si="1131"/>
        <v>40235.265368856024</v>
      </c>
      <c r="AD805" s="269">
        <f t="shared" si="1131"/>
        <v>39422.722136803612</v>
      </c>
      <c r="AE805" s="269">
        <f t="shared" si="1131"/>
        <v>38496.081782925641</v>
      </c>
      <c r="AF805" s="269">
        <f t="shared" si="1131"/>
        <v>37449.700936467096</v>
      </c>
      <c r="AG805" s="269">
        <f t="shared" si="1131"/>
        <v>36277.777758605429</v>
      </c>
      <c r="AH805" s="269">
        <f t="shared" si="1131"/>
        <v>34974.356290717726</v>
      </c>
      <c r="AI805" s="269">
        <f t="shared" si="1131"/>
        <v>33533.332049306482</v>
      </c>
      <c r="AJ805" s="269">
        <f t="shared" si="1131"/>
        <v>31948.459013210726</v>
      </c>
    </row>
    <row r="806" spans="1:36" s="146" customFormat="1" hidden="1" x14ac:dyDescent="0.25">
      <c r="A806" s="146" t="s">
        <v>697</v>
      </c>
      <c r="H806" s="146" t="s">
        <v>496</v>
      </c>
      <c r="I806" s="144"/>
      <c r="L806" s="147">
        <f>IFERROR(L805/L803,0)</f>
        <v>-0.26087400816537343</v>
      </c>
      <c r="M806" s="147">
        <f t="shared" ref="M806:AJ806" si="1132">IFERROR(M805/M803,0)</f>
        <v>-7.1807859100692803E-2</v>
      </c>
      <c r="N806" s="147">
        <f t="shared" si="1132"/>
        <v>5.0555576072782084E-2</v>
      </c>
      <c r="O806" s="147">
        <f t="shared" si="1132"/>
        <v>5.0680505217664776E-2</v>
      </c>
      <c r="P806" s="147">
        <f t="shared" si="1132"/>
        <v>5.0620306045533373E-2</v>
      </c>
      <c r="Q806" s="147">
        <f t="shared" si="1132"/>
        <v>5.0374792245123028E-2</v>
      </c>
      <c r="R806" s="147">
        <f t="shared" si="1132"/>
        <v>4.9943760481053256E-2</v>
      </c>
      <c r="S806" s="147">
        <f t="shared" si="1132"/>
        <v>4.9326995505729436E-2</v>
      </c>
      <c r="T806" s="147">
        <f t="shared" si="1132"/>
        <v>4.8524275628375128E-2</v>
      </c>
      <c r="U806" s="147">
        <f t="shared" si="1132"/>
        <v>4.7535378566292162E-2</v>
      </c>
      <c r="V806" s="147">
        <f t="shared" si="1132"/>
        <v>4.6360087704977911E-2</v>
      </c>
      <c r="W806" s="147">
        <f t="shared" si="1132"/>
        <v>4.4998198795380216E-2</v>
      </c>
      <c r="X806" s="147">
        <f t="shared" si="1132"/>
        <v>0.12010544275451857</v>
      </c>
      <c r="Y806" s="147">
        <f t="shared" si="1132"/>
        <v>0.11686677361473588</v>
      </c>
      <c r="Z806" s="147">
        <f t="shared" si="1132"/>
        <v>0.11347051375446601</v>
      </c>
      <c r="AA806" s="147">
        <f t="shared" si="1132"/>
        <v>0.10991600731536022</v>
      </c>
      <c r="AB806" s="147">
        <f t="shared" si="1132"/>
        <v>0.10620266329651394</v>
      </c>
      <c r="AC806" s="147">
        <f t="shared" si="1132"/>
        <v>0.10232996535150994</v>
      </c>
      <c r="AD806" s="147">
        <f t="shared" si="1132"/>
        <v>9.8297482280062659E-2</v>
      </c>
      <c r="AE806" s="147">
        <f t="shared" si="1132"/>
        <v>9.4104879259722801E-2</v>
      </c>
      <c r="AF806" s="147">
        <f t="shared" si="1132"/>
        <v>8.9751929865900235E-2</v>
      </c>
      <c r="AG806" s="147">
        <f t="shared" si="1132"/>
        <v>8.5238528931421878E-2</v>
      </c>
      <c r="AH806" s="147">
        <f t="shared" si="1132"/>
        <v>8.0564706299965025E-2</v>
      </c>
      <c r="AI806" s="147">
        <f t="shared" si="1132"/>
        <v>7.5730641531032719E-2</v>
      </c>
      <c r="AJ806" s="147">
        <f t="shared" si="1132"/>
        <v>7.073667961766765E-2</v>
      </c>
    </row>
    <row r="807" spans="1:36" hidden="1" x14ac:dyDescent="0.25">
      <c r="A807" t="s">
        <v>697</v>
      </c>
    </row>
    <row r="808" spans="1:36" s="16" customFormat="1" hidden="1" x14ac:dyDescent="0.25">
      <c r="A808" s="16" t="s">
        <v>697</v>
      </c>
      <c r="D808" s="16" t="s">
        <v>488</v>
      </c>
      <c r="H808" s="270" t="s">
        <v>488</v>
      </c>
      <c r="I808" s="271" t="str">
        <f>IF($H$9="USD","USD","tr. VND")</f>
        <v>tr. VND</v>
      </c>
      <c r="K808" s="270"/>
      <c r="L808" s="272">
        <f t="shared" ref="L808:AJ808" si="1133">L805*(1-Tax_rate)</f>
        <v>-29301.63979257087</v>
      </c>
      <c r="M808" s="272">
        <f t="shared" si="1133"/>
        <v>-11517.58167108465</v>
      </c>
      <c r="N808" s="272">
        <f t="shared" si="1133"/>
        <v>11815.728873296037</v>
      </c>
      <c r="O808" s="272">
        <f t="shared" si="1133"/>
        <v>12081.825555909472</v>
      </c>
      <c r="P808" s="272">
        <f t="shared" si="1133"/>
        <v>12308.824047713495</v>
      </c>
      <c r="Q808" s="272">
        <f t="shared" si="1133"/>
        <v>12494.107457591221</v>
      </c>
      <c r="R808" s="272">
        <f t="shared" si="1133"/>
        <v>12634.945696551773</v>
      </c>
      <c r="S808" s="272">
        <f t="shared" si="1133"/>
        <v>12728.492641676172</v>
      </c>
      <c r="T808" s="272">
        <f t="shared" si="1133"/>
        <v>12771.783412408178</v>
      </c>
      <c r="U808" s="272">
        <f t="shared" si="1133"/>
        <v>12761.731785706617</v>
      </c>
      <c r="V808" s="272">
        <f t="shared" si="1133"/>
        <v>12695.127779580653</v>
      </c>
      <c r="W808" s="272">
        <f t="shared" si="1133"/>
        <v>12568.635437825649</v>
      </c>
      <c r="X808" s="272">
        <f t="shared" si="1133"/>
        <v>34218.097519047049</v>
      </c>
      <c r="Y808" s="272">
        <f t="shared" si="1133"/>
        <v>33961.307130335503</v>
      </c>
      <c r="Z808" s="272">
        <f t="shared" si="1133"/>
        <v>33633.846350266693</v>
      </c>
      <c r="AA808" s="272">
        <f t="shared" si="1133"/>
        <v>33231.85855727028</v>
      </c>
      <c r="AB808" s="272">
        <f t="shared" si="1133"/>
        <v>32751.354517892749</v>
      </c>
      <c r="AC808" s="272">
        <f t="shared" si="1133"/>
        <v>32188.212295084821</v>
      </c>
      <c r="AD808" s="272">
        <f t="shared" si="1133"/>
        <v>31538.177709442891</v>
      </c>
      <c r="AE808" s="272">
        <f t="shared" si="1133"/>
        <v>30796.865426340515</v>
      </c>
      <c r="AF808" s="272">
        <f t="shared" si="1133"/>
        <v>29959.760749173678</v>
      </c>
      <c r="AG808" s="272">
        <f t="shared" si="1133"/>
        <v>29022.222206884344</v>
      </c>
      <c r="AH808" s="272">
        <f t="shared" si="1133"/>
        <v>27979.485032574183</v>
      </c>
      <c r="AI808" s="272">
        <f t="shared" si="1133"/>
        <v>26826.665639445186</v>
      </c>
      <c r="AJ808" s="272">
        <f t="shared" si="1133"/>
        <v>25558.767210568582</v>
      </c>
    </row>
    <row r="809" spans="1:36" s="146" customFormat="1" hidden="1" x14ac:dyDescent="0.25">
      <c r="A809" s="146" t="s">
        <v>697</v>
      </c>
      <c r="H809" s="146" t="s">
        <v>489</v>
      </c>
      <c r="I809" s="144"/>
      <c r="L809" s="147">
        <f>IFERROR(L808/L803,0)</f>
        <v>-0.20869920653229876</v>
      </c>
      <c r="M809" s="147">
        <f t="shared" ref="M809:AJ809" si="1134">IFERROR(M808/M803,0)</f>
        <v>-5.7446287280554238E-2</v>
      </c>
      <c r="N809" s="147">
        <f t="shared" si="1134"/>
        <v>4.0444460858225673E-2</v>
      </c>
      <c r="O809" s="147">
        <f t="shared" si="1134"/>
        <v>4.0544404174131826E-2</v>
      </c>
      <c r="P809" s="147">
        <f t="shared" si="1134"/>
        <v>4.0496244836426699E-2</v>
      </c>
      <c r="Q809" s="147">
        <f t="shared" si="1134"/>
        <v>4.0299833796098423E-2</v>
      </c>
      <c r="R809" s="147">
        <f t="shared" si="1134"/>
        <v>3.9955008384842609E-2</v>
      </c>
      <c r="S809" s="147">
        <f t="shared" si="1134"/>
        <v>3.9461596404583549E-2</v>
      </c>
      <c r="T809" s="147">
        <f t="shared" si="1134"/>
        <v>3.8819420502700104E-2</v>
      </c>
      <c r="U809" s="147">
        <f t="shared" si="1134"/>
        <v>3.8028302853033734E-2</v>
      </c>
      <c r="V809" s="147">
        <f t="shared" si="1134"/>
        <v>3.7088070163982328E-2</v>
      </c>
      <c r="W809" s="147">
        <f t="shared" si="1134"/>
        <v>3.5998559036304174E-2</v>
      </c>
      <c r="X809" s="147">
        <f t="shared" si="1134"/>
        <v>9.6084354203614872E-2</v>
      </c>
      <c r="Y809" s="147">
        <f t="shared" si="1134"/>
        <v>9.3493418891788693E-2</v>
      </c>
      <c r="Z809" s="147">
        <f t="shared" si="1134"/>
        <v>9.077641100357281E-2</v>
      </c>
      <c r="AA809" s="147">
        <f t="shared" si="1134"/>
        <v>8.7932805852288173E-2</v>
      </c>
      <c r="AB809" s="147">
        <f t="shared" si="1134"/>
        <v>8.4962130637211156E-2</v>
      </c>
      <c r="AC809" s="147">
        <f t="shared" si="1134"/>
        <v>8.1863972281207953E-2</v>
      </c>
      <c r="AD809" s="147">
        <f t="shared" si="1134"/>
        <v>7.8637985824050127E-2</v>
      </c>
      <c r="AE809" s="147">
        <f t="shared" si="1134"/>
        <v>7.5283903407778241E-2</v>
      </c>
      <c r="AF809" s="147">
        <f t="shared" si="1134"/>
        <v>7.1801543892720199E-2</v>
      </c>
      <c r="AG809" s="147">
        <f t="shared" si="1134"/>
        <v>6.8190823145137511E-2</v>
      </c>
      <c r="AH809" s="147">
        <f t="shared" si="1134"/>
        <v>6.4451765039972034E-2</v>
      </c>
      <c r="AI809" s="147">
        <f t="shared" si="1134"/>
        <v>6.0584513224826171E-2</v>
      </c>
      <c r="AJ809" s="147">
        <f t="shared" si="1134"/>
        <v>5.6589343694134119E-2</v>
      </c>
    </row>
    <row r="810" spans="1:36" hidden="1" x14ac:dyDescent="0.25">
      <c r="A810" t="s">
        <v>697</v>
      </c>
    </row>
    <row r="811" spans="1:36" s="16" customFormat="1" hidden="1" x14ac:dyDescent="0.25">
      <c r="A811" s="16" t="s">
        <v>697</v>
      </c>
      <c r="H811" s="270" t="s">
        <v>477</v>
      </c>
      <c r="I811" s="271" t="str">
        <f>IF($H$9="USD","USD","tr. VND")</f>
        <v>tr. VND</v>
      </c>
      <c r="K811" s="272">
        <f>SUM(K813:K816)</f>
        <v>-464990</v>
      </c>
      <c r="L811" s="272">
        <f t="shared" ref="L811:AJ811" si="1135">SUM(L813:L816)</f>
        <v>0</v>
      </c>
      <c r="M811" s="272">
        <f t="shared" si="1135"/>
        <v>0</v>
      </c>
      <c r="N811" s="272">
        <f t="shared" si="1135"/>
        <v>0</v>
      </c>
      <c r="O811" s="272">
        <f t="shared" si="1135"/>
        <v>0</v>
      </c>
      <c r="P811" s="272">
        <f t="shared" si="1135"/>
        <v>0</v>
      </c>
      <c r="Q811" s="272">
        <f t="shared" si="1135"/>
        <v>0</v>
      </c>
      <c r="R811" s="272">
        <f t="shared" si="1135"/>
        <v>0</v>
      </c>
      <c r="S811" s="272">
        <f t="shared" si="1135"/>
        <v>0</v>
      </c>
      <c r="T811" s="272">
        <f t="shared" si="1135"/>
        <v>0</v>
      </c>
      <c r="U811" s="272">
        <f t="shared" si="1135"/>
        <v>0</v>
      </c>
      <c r="V811" s="272">
        <f t="shared" si="1135"/>
        <v>0</v>
      </c>
      <c r="W811" s="272">
        <f t="shared" si="1135"/>
        <v>0</v>
      </c>
      <c r="X811" s="272">
        <f t="shared" si="1135"/>
        <v>0</v>
      </c>
      <c r="Y811" s="272">
        <f t="shared" si="1135"/>
        <v>0</v>
      </c>
      <c r="Z811" s="272">
        <f t="shared" si="1135"/>
        <v>0</v>
      </c>
      <c r="AA811" s="272">
        <f t="shared" si="1135"/>
        <v>0</v>
      </c>
      <c r="AB811" s="272">
        <f t="shared" si="1135"/>
        <v>0</v>
      </c>
      <c r="AC811" s="272">
        <f t="shared" si="1135"/>
        <v>0</v>
      </c>
      <c r="AD811" s="272">
        <f t="shared" si="1135"/>
        <v>0</v>
      </c>
      <c r="AE811" s="272">
        <f t="shared" si="1135"/>
        <v>0</v>
      </c>
      <c r="AF811" s="272">
        <f t="shared" si="1135"/>
        <v>0</v>
      </c>
      <c r="AG811" s="272">
        <f t="shared" si="1135"/>
        <v>0</v>
      </c>
      <c r="AH811" s="272">
        <f t="shared" si="1135"/>
        <v>0</v>
      </c>
      <c r="AI811" s="272">
        <f t="shared" si="1135"/>
        <v>0</v>
      </c>
      <c r="AJ811" s="272">
        <f t="shared" si="1135"/>
        <v>0</v>
      </c>
    </row>
    <row r="812" spans="1:36" hidden="1" x14ac:dyDescent="0.25">
      <c r="A812" t="s">
        <v>697</v>
      </c>
    </row>
    <row r="813" spans="1:36" hidden="1" x14ac:dyDescent="0.25">
      <c r="A813" t="s">
        <v>697</v>
      </c>
      <c r="B813" t="s">
        <v>480</v>
      </c>
      <c r="H813" s="459" t="s">
        <v>30</v>
      </c>
      <c r="I813" s="494" t="str">
        <f t="shared" ref="I813:I816" si="1136">IF($H$9="USD","USD","tr. VND")</f>
        <v>tr. VND</v>
      </c>
      <c r="K813" s="461" cm="1">
        <f t="array" ref="K813">-SUMPRODUCT('W1'!$H$10:$AI$60*('W1'!$A$10:$A$60=$B813)*('W1'!$H$7:$AI$7="Giá trị đầu tư")*('W1'!$H$6:$AI$6=$A813))*$H$10</f>
        <v>-260598</v>
      </c>
      <c r="L813" s="461"/>
      <c r="M813" s="461"/>
      <c r="N813" s="461"/>
      <c r="O813" s="461"/>
      <c r="P813" s="461"/>
      <c r="Q813" s="461"/>
      <c r="R813" s="461"/>
      <c r="S813" s="461"/>
      <c r="T813" s="461"/>
      <c r="U813" s="461"/>
      <c r="V813" s="461"/>
      <c r="W813" s="461"/>
      <c r="X813" s="461"/>
      <c r="Y813" s="461"/>
      <c r="Z813" s="461"/>
      <c r="AA813" s="461"/>
      <c r="AB813" s="461"/>
      <c r="AC813" s="461"/>
      <c r="AD813" s="461"/>
      <c r="AE813" s="461"/>
      <c r="AF813" s="461"/>
      <c r="AG813" s="461"/>
      <c r="AH813" s="461"/>
      <c r="AI813" s="461"/>
      <c r="AJ813" s="461"/>
    </row>
    <row r="814" spans="1:36" hidden="1" x14ac:dyDescent="0.25">
      <c r="A814" t="s">
        <v>697</v>
      </c>
      <c r="B814" t="s">
        <v>481</v>
      </c>
      <c r="H814" s="454" t="s">
        <v>32</v>
      </c>
      <c r="I814" s="497" t="str">
        <f t="shared" si="1136"/>
        <v>tr. VND</v>
      </c>
      <c r="K814" s="457" cm="1">
        <f t="array" ref="K814">-SUMPRODUCT('W1'!$H$10:$AI$60*('W1'!$A$10:$A$60=$B814)*('W1'!$H$7:$AI$7="Giá trị đầu tư")*('W1'!$H$6:$AI$6=$A814))*$H$10</f>
        <v>-38116</v>
      </c>
      <c r="L814" s="457"/>
      <c r="M814" s="457"/>
      <c r="N814" s="457"/>
      <c r="O814" s="457"/>
      <c r="P814" s="457"/>
      <c r="Q814" s="457"/>
      <c r="R814" s="457"/>
      <c r="S814" s="457"/>
      <c r="T814" s="457"/>
      <c r="U814" s="457"/>
      <c r="V814" s="457"/>
      <c r="W814" s="457"/>
      <c r="X814" s="457"/>
      <c r="Y814" s="457"/>
      <c r="Z814" s="457"/>
      <c r="AA814" s="457"/>
      <c r="AB814" s="457"/>
      <c r="AC814" s="457"/>
      <c r="AD814" s="457"/>
      <c r="AE814" s="457"/>
      <c r="AF814" s="457"/>
      <c r="AG814" s="457"/>
      <c r="AH814" s="457"/>
      <c r="AI814" s="457"/>
      <c r="AJ814" s="457"/>
    </row>
    <row r="815" spans="1:36" hidden="1" x14ac:dyDescent="0.25">
      <c r="A815" t="s">
        <v>697</v>
      </c>
      <c r="B815" t="s">
        <v>482</v>
      </c>
      <c r="H815" s="454" t="s">
        <v>478</v>
      </c>
      <c r="I815" s="497" t="str">
        <f t="shared" si="1136"/>
        <v>tr. VND</v>
      </c>
      <c r="K815" s="457" cm="1">
        <f t="array" ref="K815">-SUMPRODUCT('W1'!$H$10:$AI$60*('W1'!$A$10:$A$60=$B815)*('W1'!$H$7:$AI$7="Giá trị đầu tư")*('W1'!$H$6:$AI$6=$A815))*$H$10</f>
        <v>-150000</v>
      </c>
      <c r="L815" s="457"/>
      <c r="M815" s="457"/>
      <c r="N815" s="457"/>
      <c r="O815" s="457"/>
      <c r="P815" s="457"/>
      <c r="Q815" s="457"/>
      <c r="R815" s="457"/>
      <c r="S815" s="457"/>
      <c r="T815" s="457"/>
      <c r="U815" s="457"/>
      <c r="V815" s="457"/>
      <c r="W815" s="457"/>
      <c r="X815" s="457"/>
      <c r="Y815" s="457"/>
      <c r="Z815" s="457"/>
      <c r="AA815" s="457"/>
      <c r="AB815" s="457"/>
      <c r="AC815" s="457"/>
      <c r="AD815" s="457"/>
      <c r="AE815" s="457"/>
      <c r="AF815" s="457"/>
      <c r="AG815" s="457"/>
      <c r="AH815" s="457"/>
      <c r="AI815" s="457"/>
      <c r="AJ815" s="457"/>
    </row>
    <row r="816" spans="1:36" hidden="1" x14ac:dyDescent="0.25">
      <c r="A816" t="s">
        <v>697</v>
      </c>
      <c r="B816" t="s">
        <v>483</v>
      </c>
      <c r="H816" s="454" t="s">
        <v>479</v>
      </c>
      <c r="I816" s="497" t="str">
        <f t="shared" si="1136"/>
        <v>tr. VND</v>
      </c>
      <c r="K816" s="457" cm="1">
        <f t="array" ref="K816">-SUMPRODUCT('W1'!$H$10:$AI$60*('W1'!$A$10:$A$60=$B816)*('W1'!$H$7:$AI$7="Giá trị đầu tư")*('W1'!$H$6:$AI$6=$A816))*$H$10</f>
        <v>-16276</v>
      </c>
      <c r="L816" s="457"/>
      <c r="M816" s="457"/>
      <c r="N816" s="457"/>
      <c r="O816" s="457"/>
      <c r="P816" s="457"/>
      <c r="Q816" s="457"/>
      <c r="R816" s="457"/>
      <c r="S816" s="457"/>
      <c r="T816" s="457"/>
      <c r="U816" s="457"/>
      <c r="V816" s="457"/>
      <c r="W816" s="457"/>
      <c r="X816" s="457"/>
      <c r="Y816" s="457"/>
      <c r="Z816" s="457"/>
      <c r="AA816" s="457"/>
      <c r="AB816" s="457"/>
      <c r="AC816" s="457"/>
      <c r="AD816" s="457"/>
      <c r="AE816" s="457"/>
      <c r="AF816" s="457"/>
      <c r="AG816" s="457"/>
      <c r="AH816" s="457"/>
      <c r="AI816" s="457"/>
      <c r="AJ816" s="457"/>
    </row>
    <row r="817" spans="1:36" hidden="1" x14ac:dyDescent="0.25">
      <c r="A817" t="s">
        <v>697</v>
      </c>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row>
    <row r="818" spans="1:36" s="16" customFormat="1" hidden="1" x14ac:dyDescent="0.25">
      <c r="A818" s="16" t="s">
        <v>697</v>
      </c>
      <c r="H818" s="270" t="s">
        <v>498</v>
      </c>
      <c r="I818" s="271" t="str">
        <f>IF($H$9="USD","USD","tr. VND")</f>
        <v>tr. VND</v>
      </c>
      <c r="K818" s="272">
        <f>K811</f>
        <v>-464990</v>
      </c>
      <c r="L818" s="272">
        <f t="shared" ref="L818:AJ818" si="1137">L803+L719-(L691+L717)</f>
        <v>21661.556925953075</v>
      </c>
      <c r="M818" s="272">
        <f t="shared" si="1137"/>
        <v>43661.768155768979</v>
      </c>
      <c r="N818" s="272">
        <f t="shared" si="1137"/>
        <v>72580.156000439601</v>
      </c>
      <c r="O818" s="272">
        <f t="shared" si="1137"/>
        <v>72644.666491036754</v>
      </c>
      <c r="P818" s="272">
        <f t="shared" si="1137"/>
        <v>72638.855414108577</v>
      </c>
      <c r="Q818" s="272">
        <f t="shared" si="1137"/>
        <v>72557.735749437867</v>
      </c>
      <c r="R818" s="272">
        <f t="shared" si="1137"/>
        <v>72396.041706959251</v>
      </c>
      <c r="S818" s="272">
        <f t="shared" si="1137"/>
        <v>72148.214199891096</v>
      </c>
      <c r="T818" s="272">
        <f t="shared" si="1137"/>
        <v>71808.385579754569</v>
      </c>
      <c r="U818" s="272">
        <f t="shared" si="1137"/>
        <v>71370.363596141964</v>
      </c>
      <c r="V818" s="272">
        <f t="shared" si="1137"/>
        <v>70827.614542230003</v>
      </c>
      <c r="W818" s="272">
        <f t="shared" si="1137"/>
        <v>70173.245545081358</v>
      </c>
      <c r="X818" s="272">
        <f t="shared" si="1137"/>
        <v>70449.952624390193</v>
      </c>
      <c r="Y818" s="272">
        <f t="shared" si="1137"/>
        <v>69550.134474505394</v>
      </c>
      <c r="Z818" s="272">
        <f t="shared" si="1137"/>
        <v>68515.671922304391</v>
      </c>
      <c r="AA818" s="272">
        <f t="shared" si="1137"/>
        <v>67338.039677774694</v>
      </c>
      <c r="AB818" s="272">
        <f t="shared" si="1137"/>
        <v>66008.250325005851</v>
      </c>
      <c r="AC818" s="272">
        <f t="shared" si="1137"/>
        <v>64516.830498665258</v>
      </c>
      <c r="AD818" s="272">
        <f t="shared" si="1137"/>
        <v>62853.795854955708</v>
      </c>
      <c r="AE818" s="272">
        <f t="shared" si="1137"/>
        <v>61008.624776488039</v>
      </c>
      <c r="AF818" s="272">
        <f t="shared" si="1137"/>
        <v>58970.230747472611</v>
      </c>
      <c r="AG818" s="272">
        <f t="shared" si="1137"/>
        <v>56726.933332449516</v>
      </c>
      <c r="AH818" s="272">
        <f t="shared" si="1137"/>
        <v>54266.427688427466</v>
      </c>
      <c r="AI818" s="272">
        <f t="shared" si="1137"/>
        <v>51575.752536791129</v>
      </c>
      <c r="AJ818" s="272">
        <f t="shared" si="1137"/>
        <v>48641.256517652269</v>
      </c>
    </row>
    <row r="819" spans="1:36" hidden="1" x14ac:dyDescent="0.25">
      <c r="A819" t="s">
        <v>697</v>
      </c>
      <c r="H819" t="s">
        <v>292</v>
      </c>
      <c r="I819" s="65" t="str">
        <f t="shared" ref="I819:I826" si="1138">IF($H$9="USD","USD","tr. VND")</f>
        <v>tr. VND</v>
      </c>
      <c r="L819" s="15">
        <f t="shared" ref="L819:AJ819" si="1139">-(L818+L691)*Tax_rate</f>
        <v>2117.521948142718</v>
      </c>
      <c r="M819" s="15">
        <f t="shared" si="1139"/>
        <v>-2282.5202978204629</v>
      </c>
      <c r="N819" s="15">
        <f t="shared" si="1139"/>
        <v>-8066.1978667545882</v>
      </c>
      <c r="O819" s="15">
        <f t="shared" si="1139"/>
        <v>-8079.099964874018</v>
      </c>
      <c r="P819" s="15">
        <f t="shared" si="1139"/>
        <v>-8077.9377494883829</v>
      </c>
      <c r="Q819" s="15">
        <f t="shared" si="1139"/>
        <v>-8061.713816554241</v>
      </c>
      <c r="R819" s="15">
        <f t="shared" si="1139"/>
        <v>-8029.3750080585178</v>
      </c>
      <c r="S819" s="15">
        <f t="shared" si="1139"/>
        <v>-7979.8095066448868</v>
      </c>
      <c r="T819" s="15">
        <f t="shared" si="1139"/>
        <v>-7911.8437826175814</v>
      </c>
      <c r="U819" s="15">
        <f t="shared" si="1139"/>
        <v>-7824.23938589506</v>
      </c>
      <c r="V819" s="15">
        <f t="shared" si="1139"/>
        <v>-7715.6895751126685</v>
      </c>
      <c r="W819" s="15">
        <f t="shared" si="1139"/>
        <v>-7584.8157756829387</v>
      </c>
      <c r="X819" s="15">
        <f t="shared" si="1139"/>
        <v>-12889.99052487804</v>
      </c>
      <c r="Y819" s="15">
        <f t="shared" si="1139"/>
        <v>-12710.026894901079</v>
      </c>
      <c r="Z819" s="15">
        <f t="shared" si="1139"/>
        <v>-12503.134384460878</v>
      </c>
      <c r="AA819" s="15">
        <f t="shared" si="1139"/>
        <v>-12267.607935554939</v>
      </c>
      <c r="AB819" s="15">
        <f t="shared" si="1139"/>
        <v>-12001.650065001171</v>
      </c>
      <c r="AC819" s="15">
        <f t="shared" si="1139"/>
        <v>-11703.366099733052</v>
      </c>
      <c r="AD819" s="15">
        <f t="shared" si="1139"/>
        <v>-11370.759170991143</v>
      </c>
      <c r="AE819" s="15">
        <f t="shared" si="1139"/>
        <v>-11001.724955297608</v>
      </c>
      <c r="AF819" s="15">
        <f t="shared" si="1139"/>
        <v>-10594.046149494523</v>
      </c>
      <c r="AG819" s="15">
        <f t="shared" si="1139"/>
        <v>-10145.386666489903</v>
      </c>
      <c r="AH819" s="15">
        <f t="shared" si="1139"/>
        <v>-9653.2855376854932</v>
      </c>
      <c r="AI819" s="15">
        <f t="shared" si="1139"/>
        <v>-9115.1505073582266</v>
      </c>
      <c r="AJ819" s="15">
        <f t="shared" si="1139"/>
        <v>-8528.2513035304546</v>
      </c>
    </row>
    <row r="820" spans="1:36" s="16" customFormat="1" hidden="1" x14ac:dyDescent="0.25">
      <c r="A820" s="16" t="s">
        <v>697</v>
      </c>
      <c r="H820" s="270" t="s">
        <v>499</v>
      </c>
      <c r="I820" s="271" t="str">
        <f t="shared" si="1138"/>
        <v>tr. VND</v>
      </c>
      <c r="K820" s="272">
        <f>K818+K819</f>
        <v>-464990</v>
      </c>
      <c r="L820" s="272">
        <f t="shared" ref="L820:AJ820" si="1140">L818+L819</f>
        <v>23779.078874095794</v>
      </c>
      <c r="M820" s="272">
        <f t="shared" si="1140"/>
        <v>41379.247857948518</v>
      </c>
      <c r="N820" s="272">
        <f t="shared" si="1140"/>
        <v>64513.95813368501</v>
      </c>
      <c r="O820" s="272">
        <f t="shared" si="1140"/>
        <v>64565.566526162736</v>
      </c>
      <c r="P820" s="272">
        <f t="shared" si="1140"/>
        <v>64560.917664620196</v>
      </c>
      <c r="Q820" s="272">
        <f t="shared" si="1140"/>
        <v>64496.021932883625</v>
      </c>
      <c r="R820" s="272">
        <f t="shared" si="1140"/>
        <v>64366.666698900735</v>
      </c>
      <c r="S820" s="272">
        <f t="shared" si="1140"/>
        <v>64168.404693246208</v>
      </c>
      <c r="T820" s="272">
        <f t="shared" si="1140"/>
        <v>63896.54179713699</v>
      </c>
      <c r="U820" s="272">
        <f t="shared" si="1140"/>
        <v>63546.124210246904</v>
      </c>
      <c r="V820" s="272">
        <f t="shared" si="1140"/>
        <v>63111.924967117331</v>
      </c>
      <c r="W820" s="272">
        <f t="shared" si="1140"/>
        <v>62588.429769398419</v>
      </c>
      <c r="X820" s="272">
        <f t="shared" si="1140"/>
        <v>57559.962099512151</v>
      </c>
      <c r="Y820" s="272">
        <f t="shared" si="1140"/>
        <v>56840.107579604315</v>
      </c>
      <c r="Z820" s="272">
        <f t="shared" si="1140"/>
        <v>56012.537537843513</v>
      </c>
      <c r="AA820" s="272">
        <f t="shared" si="1140"/>
        <v>55070.431742219756</v>
      </c>
      <c r="AB820" s="272">
        <f t="shared" si="1140"/>
        <v>54006.600260004678</v>
      </c>
      <c r="AC820" s="272">
        <f t="shared" si="1140"/>
        <v>52813.464398932207</v>
      </c>
      <c r="AD820" s="272">
        <f t="shared" si="1140"/>
        <v>51483.036683964565</v>
      </c>
      <c r="AE820" s="272">
        <f t="shared" si="1140"/>
        <v>50006.899821190433</v>
      </c>
      <c r="AF820" s="272">
        <f t="shared" si="1140"/>
        <v>48376.184597978092</v>
      </c>
      <c r="AG820" s="272">
        <f t="shared" si="1140"/>
        <v>46581.546665959613</v>
      </c>
      <c r="AH820" s="272">
        <f t="shared" si="1140"/>
        <v>44613.142150741973</v>
      </c>
      <c r="AI820" s="272">
        <f t="shared" si="1140"/>
        <v>42460.602029432906</v>
      </c>
      <c r="AJ820" s="272">
        <f t="shared" si="1140"/>
        <v>40113.005214121818</v>
      </c>
    </row>
    <row r="821" spans="1:36" hidden="1" x14ac:dyDescent="0.25">
      <c r="A821" t="s">
        <v>697</v>
      </c>
      <c r="H821" t="s">
        <v>500</v>
      </c>
      <c r="K821" s="95">
        <f>INDEX('Cover Page'!$H$23:$W$23,MATCH($A821,'Cover Page'!$H$5:$W$5,0))</f>
        <v>7.8540000000000013E-2</v>
      </c>
    </row>
    <row r="822" spans="1:36" s="16" customFormat="1" hidden="1" x14ac:dyDescent="0.25">
      <c r="A822" s="16" t="s">
        <v>697</v>
      </c>
      <c r="D822" s="16" t="s">
        <v>515</v>
      </c>
      <c r="H822" s="270" t="s">
        <v>501</v>
      </c>
      <c r="I822" s="271" t="str">
        <f t="shared" si="1138"/>
        <v>tr. VND</v>
      </c>
      <c r="K822" s="272">
        <f>K820/POWER(1+$K821,K$14)</f>
        <v>-464990</v>
      </c>
      <c r="L822" s="272">
        <f t="shared" ref="L822:AJ822" si="1141">L820/POWER(1+$K821,L$14)</f>
        <v>22047.470538038266</v>
      </c>
      <c r="M822" s="272">
        <f t="shared" si="1141"/>
        <v>35572.147081099756</v>
      </c>
      <c r="N822" s="272">
        <f t="shared" si="1141"/>
        <v>51421.521005553397</v>
      </c>
      <c r="O822" s="272">
        <f t="shared" si="1141"/>
        <v>47715.11117926921</v>
      </c>
      <c r="P822" s="272">
        <f t="shared" si="1141"/>
        <v>44237.279644005386</v>
      </c>
      <c r="Q822" s="272">
        <f t="shared" si="1141"/>
        <v>40974.662923061864</v>
      </c>
      <c r="R822" s="272">
        <f t="shared" si="1141"/>
        <v>37914.665066310619</v>
      </c>
      <c r="S822" s="272">
        <f t="shared" si="1141"/>
        <v>35045.413645702924</v>
      </c>
      <c r="T822" s="272">
        <f t="shared" si="1141"/>
        <v>32355.718290757104</v>
      </c>
      <c r="U822" s="272">
        <f t="shared" si="1141"/>
        <v>29835.031615639091</v>
      </c>
      <c r="V822" s="272">
        <f t="shared" si="1141"/>
        <v>27473.412398253091</v>
      </c>
      <c r="W822" s="272">
        <f t="shared" si="1141"/>
        <v>25261.490880035308</v>
      </c>
      <c r="X822" s="272">
        <f t="shared" si="1141"/>
        <v>21540.171903499042</v>
      </c>
      <c r="Y822" s="272">
        <f t="shared" si="1141"/>
        <v>19721.834061291371</v>
      </c>
      <c r="Z822" s="272">
        <f t="shared" si="1141"/>
        <v>18019.444586705431</v>
      </c>
      <c r="AA822" s="272">
        <f t="shared" si="1141"/>
        <v>16426.248075121504</v>
      </c>
      <c r="AB822" s="272">
        <f t="shared" si="1141"/>
        <v>14935.868412225527</v>
      </c>
      <c r="AC822" s="272">
        <f t="shared" si="1141"/>
        <v>13542.287824014542</v>
      </c>
      <c r="AD822" s="272">
        <f t="shared" si="1141"/>
        <v>12239.827075637855</v>
      </c>
      <c r="AE822" s="272">
        <f t="shared" si="1141"/>
        <v>11023.126756252974</v>
      </c>
      <c r="AF822" s="272">
        <f t="shared" si="1141"/>
        <v>9887.1295905094976</v>
      </c>
      <c r="AG822" s="272">
        <f t="shared" si="1141"/>
        <v>8827.0637205200201</v>
      </c>
      <c r="AH822" s="272">
        <f t="shared" si="1141"/>
        <v>7838.4269052439549</v>
      </c>
      <c r="AI822" s="272">
        <f t="shared" si="1141"/>
        <v>6916.9715871109674</v>
      </c>
      <c r="AJ822" s="272">
        <f t="shared" si="1141"/>
        <v>6058.6907784527857</v>
      </c>
    </row>
    <row r="823" spans="1:36" hidden="1" x14ac:dyDescent="0.25">
      <c r="A823" t="s">
        <v>697</v>
      </c>
      <c r="H823" t="s">
        <v>503</v>
      </c>
      <c r="I823" s="65" t="str">
        <f t="shared" si="1138"/>
        <v>tr. VND</v>
      </c>
      <c r="K823" s="15">
        <f>SUM($K822:K822)</f>
        <v>-464990</v>
      </c>
      <c r="L823" s="15">
        <f>SUM($K822:L822)</f>
        <v>-442942.52946196171</v>
      </c>
      <c r="M823" s="15">
        <f>SUM($K822:M822)</f>
        <v>-407370.38238086196</v>
      </c>
      <c r="N823" s="15">
        <f>SUM($K822:N822)</f>
        <v>-355948.8613753086</v>
      </c>
      <c r="O823" s="15">
        <f>SUM($K822:O822)</f>
        <v>-308233.75019603939</v>
      </c>
      <c r="P823" s="15">
        <f>SUM($K822:P822)</f>
        <v>-263996.47055203398</v>
      </c>
      <c r="Q823" s="15">
        <f>SUM($K822:Q822)</f>
        <v>-223021.80762897211</v>
      </c>
      <c r="R823" s="15">
        <f>SUM($K822:R822)</f>
        <v>-185107.14256266149</v>
      </c>
      <c r="S823" s="15">
        <f>SUM($K822:S822)</f>
        <v>-150061.72891695856</v>
      </c>
      <c r="T823" s="15">
        <f>SUM($K822:T822)</f>
        <v>-117706.01062620146</v>
      </c>
      <c r="U823" s="15">
        <f>SUM($K822:U822)</f>
        <v>-87870.979010562369</v>
      </c>
      <c r="V823" s="15">
        <f>SUM($K822:V822)</f>
        <v>-60397.566612309281</v>
      </c>
      <c r="W823" s="15">
        <f>SUM($K822:W822)</f>
        <v>-35136.075732273974</v>
      </c>
      <c r="X823" s="15">
        <f>SUM($K822:X822)</f>
        <v>-13595.903828774932</v>
      </c>
      <c r="Y823" s="15">
        <f>SUM($K822:Y822)</f>
        <v>6125.930232516439</v>
      </c>
      <c r="Z823" s="15">
        <f>SUM($K822:Z822)</f>
        <v>24145.37481922187</v>
      </c>
      <c r="AA823" s="15">
        <f>SUM($K822:AA822)</f>
        <v>40571.622894343374</v>
      </c>
      <c r="AB823" s="15">
        <f>SUM($K822:AB822)</f>
        <v>55507.491306568903</v>
      </c>
      <c r="AC823" s="15">
        <f>SUM($K822:AC822)</f>
        <v>69049.77913058344</v>
      </c>
      <c r="AD823" s="15">
        <f>SUM($K822:AD822)</f>
        <v>81289.606206221302</v>
      </c>
      <c r="AE823" s="15">
        <f>SUM($K822:AE822)</f>
        <v>92312.732962474271</v>
      </c>
      <c r="AF823" s="15">
        <f>SUM($K822:AF822)</f>
        <v>102199.86255298377</v>
      </c>
      <c r="AG823" s="15">
        <f>SUM($K822:AG822)</f>
        <v>111026.92627350379</v>
      </c>
      <c r="AH823" s="15">
        <f>SUM($K822:AH822)</f>
        <v>118865.35317874774</v>
      </c>
      <c r="AI823" s="15">
        <f>SUM($K822:AI822)</f>
        <v>125782.32476585871</v>
      </c>
      <c r="AJ823" s="15">
        <f>SUM($K822:AJ822)</f>
        <v>131841.01554431149</v>
      </c>
    </row>
    <row r="824" spans="1:36" hidden="1" x14ac:dyDescent="0.25">
      <c r="A824" t="s">
        <v>697</v>
      </c>
    </row>
    <row r="825" spans="1:36" ht="15.75" hidden="1" thickBot="1" x14ac:dyDescent="0.3">
      <c r="A825" t="s">
        <v>697</v>
      </c>
    </row>
    <row r="826" spans="1:36" hidden="1" x14ac:dyDescent="0.25">
      <c r="A826" t="s">
        <v>697</v>
      </c>
      <c r="D826" t="s">
        <v>544</v>
      </c>
      <c r="H826" s="96" t="s">
        <v>401</v>
      </c>
      <c r="I826" s="310" t="str">
        <f t="shared" si="1138"/>
        <v>tr. VND</v>
      </c>
      <c r="J826" s="311"/>
      <c r="K826" s="97">
        <f>SUM(K822:AJ822)</f>
        <v>131841.01554431149</v>
      </c>
      <c r="L826" s="263"/>
      <c r="M826" s="70"/>
      <c r="N826" s="70"/>
    </row>
    <row r="827" spans="1:36" hidden="1" x14ac:dyDescent="0.25">
      <c r="A827" t="s">
        <v>697</v>
      </c>
      <c r="D827" t="s">
        <v>516</v>
      </c>
      <c r="H827" s="212" t="s">
        <v>402</v>
      </c>
      <c r="I827" s="255"/>
      <c r="J827" s="48"/>
      <c r="K827" s="314">
        <f>IFERROR(IRR(K820:AJ820),0)</f>
        <v>0.10937321578809911</v>
      </c>
    </row>
    <row r="828" spans="1:36" ht="15.75" hidden="1" thickBot="1" x14ac:dyDescent="0.3">
      <c r="A828" t="s">
        <v>697</v>
      </c>
      <c r="D828" t="s">
        <v>517</v>
      </c>
      <c r="H828" s="98" t="s">
        <v>403</v>
      </c>
      <c r="I828" s="312" t="s">
        <v>290</v>
      </c>
      <c r="J828" s="313"/>
      <c r="K828" s="315" cm="1">
        <f t="array" ref="K828">ROUNDUP(IF(K826&lt;0,0,INDEX(K$14:AJ$14,,MATCH(_xlfn.MINIFS(K823:AJ823,K823:AJ823,"&gt;"&amp;0),K823:AJ823))-1-INDEX(K823:AJ823,,MATCH(_xlfn.MINIFS(K823:AJ823,K823:AJ823,"&gt;"&amp;0),K823:AJ823)-1)/INDEX(K822:AJ822,,MATCH(_xlfn.MINIFS(K823:AJ823,K823:AJ823,"&gt;"&amp;0),K823:AJ823))),1)</f>
        <v>13.7</v>
      </c>
    </row>
    <row r="829" spans="1:36" hidden="1" x14ac:dyDescent="0.25">
      <c r="A829" t="s">
        <v>697</v>
      </c>
      <c r="H829" s="316" t="str">
        <f>INT(K828)&amp;" năm "&amp;IF(MOD(K828,1)*12=0,,TEXT(MOD(K828,1)*12,"00")&amp;" tháng")</f>
        <v>13 năm 08 tháng</v>
      </c>
    </row>
    <row r="830" spans="1:36" hidden="1" x14ac:dyDescent="0.25">
      <c r="A830" t="s">
        <v>697</v>
      </c>
    </row>
    <row r="831" spans="1:36" hidden="1" x14ac:dyDescent="0.25">
      <c r="A831" t="s">
        <v>697</v>
      </c>
    </row>
    <row r="832" spans="1:36" s="304" customFormat="1" hidden="1" x14ac:dyDescent="0.25">
      <c r="I832" s="305"/>
    </row>
    <row r="833" spans="1:36" s="632" customFormat="1" ht="19.5" hidden="1" x14ac:dyDescent="0.3">
      <c r="A833" s="632" t="s">
        <v>695</v>
      </c>
      <c r="H833" s="633" t="s">
        <v>695</v>
      </c>
      <c r="K833" s="634"/>
      <c r="L833" s="634"/>
      <c r="M833" s="634"/>
      <c r="N833" s="634"/>
      <c r="O833" s="634"/>
      <c r="P833" s="634"/>
      <c r="Q833" s="634"/>
      <c r="R833" s="634"/>
      <c r="S833" s="634"/>
      <c r="T833" s="634"/>
      <c r="U833" s="634"/>
      <c r="V833" s="634"/>
      <c r="W833" s="634"/>
      <c r="X833" s="634"/>
      <c r="Y833" s="634"/>
      <c r="Z833" s="634"/>
      <c r="AA833" s="634"/>
      <c r="AB833" s="634"/>
      <c r="AC833" s="634"/>
      <c r="AD833" s="634"/>
      <c r="AE833" s="634"/>
      <c r="AF833" s="634"/>
      <c r="AG833" s="634"/>
      <c r="AH833" s="634"/>
      <c r="AI833" s="634"/>
      <c r="AJ833" s="634"/>
    </row>
    <row r="834" spans="1:36" hidden="1" x14ac:dyDescent="0.25">
      <c r="A834" t="s">
        <v>695</v>
      </c>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row>
    <row r="835" spans="1:36" s="24" customFormat="1" ht="17.25" hidden="1" x14ac:dyDescent="0.3">
      <c r="A835" s="24" t="s">
        <v>695</v>
      </c>
      <c r="H835" s="24" t="s">
        <v>669</v>
      </c>
      <c r="K835" s="635"/>
      <c r="L835" s="635"/>
      <c r="M835" s="635"/>
      <c r="N835" s="635"/>
      <c r="O835" s="635"/>
      <c r="P835" s="635"/>
      <c r="Q835" s="635"/>
      <c r="R835" s="635"/>
      <c r="S835" s="635"/>
      <c r="T835" s="635"/>
      <c r="U835" s="635"/>
      <c r="V835" s="635"/>
      <c r="W835" s="635"/>
      <c r="X835" s="635"/>
      <c r="Y835" s="635"/>
      <c r="Z835" s="635"/>
      <c r="AA835" s="635"/>
      <c r="AB835" s="635"/>
      <c r="AC835" s="635"/>
      <c r="AD835" s="635"/>
      <c r="AE835" s="635"/>
      <c r="AF835" s="635"/>
      <c r="AG835" s="635"/>
      <c r="AH835" s="635"/>
      <c r="AI835" s="635"/>
      <c r="AJ835" s="635"/>
    </row>
    <row r="836" spans="1:36" hidden="1" x14ac:dyDescent="0.25">
      <c r="A836" t="s">
        <v>695</v>
      </c>
      <c r="H836" s="459" t="s">
        <v>427</v>
      </c>
      <c r="I836" s="494" t="s">
        <v>436</v>
      </c>
      <c r="K836" s="549"/>
      <c r="L836" s="549">
        <f t="shared" ref="L836:AA837" si="1142">Capacity*24*365</f>
        <v>7568640</v>
      </c>
      <c r="M836" s="549">
        <f t="shared" si="1142"/>
        <v>7568640</v>
      </c>
      <c r="N836" s="549">
        <f t="shared" si="1142"/>
        <v>7568640</v>
      </c>
      <c r="O836" s="549">
        <f t="shared" si="1142"/>
        <v>7568640</v>
      </c>
      <c r="P836" s="549">
        <f t="shared" si="1142"/>
        <v>7568640</v>
      </c>
      <c r="Q836" s="549">
        <f t="shared" si="1142"/>
        <v>7568640</v>
      </c>
      <c r="R836" s="549">
        <f t="shared" si="1142"/>
        <v>7568640</v>
      </c>
      <c r="S836" s="549">
        <f t="shared" si="1142"/>
        <v>7568640</v>
      </c>
      <c r="T836" s="549">
        <f t="shared" si="1142"/>
        <v>7568640</v>
      </c>
      <c r="U836" s="549">
        <f t="shared" si="1142"/>
        <v>7568640</v>
      </c>
      <c r="V836" s="549">
        <f t="shared" si="1142"/>
        <v>7568640</v>
      </c>
      <c r="W836" s="549">
        <f t="shared" si="1142"/>
        <v>7568640</v>
      </c>
      <c r="X836" s="549">
        <f t="shared" si="1142"/>
        <v>7568640</v>
      </c>
      <c r="Y836" s="549">
        <f t="shared" si="1142"/>
        <v>7568640</v>
      </c>
      <c r="Z836" s="549">
        <f t="shared" si="1142"/>
        <v>7568640</v>
      </c>
      <c r="AA836" s="549">
        <f t="shared" si="1142"/>
        <v>7568640</v>
      </c>
      <c r="AB836" s="549">
        <f t="shared" ref="AA836:AJ837" si="1143">Capacity*24*365</f>
        <v>7568640</v>
      </c>
      <c r="AC836" s="549">
        <f t="shared" si="1143"/>
        <v>7568640</v>
      </c>
      <c r="AD836" s="549">
        <f t="shared" si="1143"/>
        <v>7568640</v>
      </c>
      <c r="AE836" s="549">
        <f t="shared" si="1143"/>
        <v>7568640</v>
      </c>
      <c r="AF836" s="549">
        <f t="shared" si="1143"/>
        <v>7568640</v>
      </c>
      <c r="AG836" s="549">
        <f t="shared" si="1143"/>
        <v>7568640</v>
      </c>
      <c r="AH836" s="549">
        <f t="shared" si="1143"/>
        <v>7568640</v>
      </c>
      <c r="AI836" s="549">
        <f t="shared" si="1143"/>
        <v>7568640</v>
      </c>
      <c r="AJ836" s="549">
        <f t="shared" si="1143"/>
        <v>7568640</v>
      </c>
    </row>
    <row r="837" spans="1:36" hidden="1" x14ac:dyDescent="0.25">
      <c r="A837" t="s">
        <v>695</v>
      </c>
      <c r="H837" s="454" t="s">
        <v>427</v>
      </c>
      <c r="I837" s="497" t="s">
        <v>320</v>
      </c>
      <c r="K837" s="550"/>
      <c r="L837" s="550">
        <f t="shared" si="1142"/>
        <v>7568640</v>
      </c>
      <c r="M837" s="550">
        <f t="shared" si="1142"/>
        <v>7568640</v>
      </c>
      <c r="N837" s="550">
        <f t="shared" si="1142"/>
        <v>7568640</v>
      </c>
      <c r="O837" s="550">
        <f t="shared" si="1142"/>
        <v>7568640</v>
      </c>
      <c r="P837" s="550">
        <f t="shared" si="1142"/>
        <v>7568640</v>
      </c>
      <c r="Q837" s="550">
        <f t="shared" si="1142"/>
        <v>7568640</v>
      </c>
      <c r="R837" s="550">
        <f t="shared" si="1142"/>
        <v>7568640</v>
      </c>
      <c r="S837" s="550">
        <f t="shared" si="1142"/>
        <v>7568640</v>
      </c>
      <c r="T837" s="550">
        <f t="shared" si="1142"/>
        <v>7568640</v>
      </c>
      <c r="U837" s="550">
        <f t="shared" si="1142"/>
        <v>7568640</v>
      </c>
      <c r="V837" s="550">
        <f t="shared" si="1142"/>
        <v>7568640</v>
      </c>
      <c r="W837" s="550">
        <f t="shared" si="1142"/>
        <v>7568640</v>
      </c>
      <c r="X837" s="550">
        <f t="shared" si="1142"/>
        <v>7568640</v>
      </c>
      <c r="Y837" s="550">
        <f t="shared" si="1142"/>
        <v>7568640</v>
      </c>
      <c r="Z837" s="550">
        <f t="shared" si="1142"/>
        <v>7568640</v>
      </c>
      <c r="AA837" s="550">
        <f t="shared" si="1143"/>
        <v>7568640</v>
      </c>
      <c r="AB837" s="550">
        <f t="shared" si="1143"/>
        <v>7568640</v>
      </c>
      <c r="AC837" s="550">
        <f t="shared" si="1143"/>
        <v>7568640</v>
      </c>
      <c r="AD837" s="550">
        <f t="shared" si="1143"/>
        <v>7568640</v>
      </c>
      <c r="AE837" s="550">
        <f t="shared" si="1143"/>
        <v>7568640</v>
      </c>
      <c r="AF837" s="550">
        <f t="shared" si="1143"/>
        <v>7568640</v>
      </c>
      <c r="AG837" s="550">
        <f t="shared" si="1143"/>
        <v>7568640</v>
      </c>
      <c r="AH837" s="550">
        <f t="shared" si="1143"/>
        <v>7568640</v>
      </c>
      <c r="AI837" s="550">
        <f t="shared" si="1143"/>
        <v>7568640</v>
      </c>
      <c r="AJ837" s="550">
        <f t="shared" si="1143"/>
        <v>7568640</v>
      </c>
    </row>
    <row r="838" spans="1:36" s="250" customFormat="1" hidden="1" x14ac:dyDescent="0.25">
      <c r="A838" s="250" t="s">
        <v>695</v>
      </c>
      <c r="H838" s="537" t="s">
        <v>460</v>
      </c>
      <c r="I838" s="548"/>
      <c r="K838" s="551"/>
      <c r="L838" s="552">
        <v>0.88</v>
      </c>
      <c r="M838" s="552">
        <v>0.88</v>
      </c>
      <c r="N838" s="552">
        <v>0.88</v>
      </c>
      <c r="O838" s="552">
        <v>0.88</v>
      </c>
      <c r="P838" s="552">
        <v>0.88</v>
      </c>
      <c r="Q838" s="552">
        <v>0.88</v>
      </c>
      <c r="R838" s="552">
        <v>0.88</v>
      </c>
      <c r="S838" s="552">
        <v>0.88</v>
      </c>
      <c r="T838" s="552">
        <v>0.88</v>
      </c>
      <c r="U838" s="552">
        <v>0.88</v>
      </c>
      <c r="V838" s="552">
        <v>0.88</v>
      </c>
      <c r="W838" s="552">
        <v>0.88</v>
      </c>
      <c r="X838" s="552">
        <v>0.88</v>
      </c>
      <c r="Y838" s="552">
        <v>0.88</v>
      </c>
      <c r="Z838" s="552">
        <v>0.88</v>
      </c>
      <c r="AA838" s="552">
        <v>0.88</v>
      </c>
      <c r="AB838" s="552">
        <v>0.88</v>
      </c>
      <c r="AC838" s="552">
        <v>0.88</v>
      </c>
      <c r="AD838" s="552">
        <v>0.88</v>
      </c>
      <c r="AE838" s="552">
        <v>0.88</v>
      </c>
      <c r="AF838" s="552">
        <v>0.88</v>
      </c>
      <c r="AG838" s="552">
        <v>0.88</v>
      </c>
      <c r="AH838" s="552">
        <v>0.88</v>
      </c>
      <c r="AI838" s="552">
        <v>0.88</v>
      </c>
      <c r="AJ838" s="552">
        <v>0.88</v>
      </c>
    </row>
    <row r="839" spans="1:36" s="250" customFormat="1" hidden="1" x14ac:dyDescent="0.25">
      <c r="A839" s="250" t="s">
        <v>695</v>
      </c>
      <c r="H839" s="537" t="s">
        <v>461</v>
      </c>
      <c r="I839" s="548"/>
      <c r="K839" s="551"/>
      <c r="L839" s="552">
        <v>0.5</v>
      </c>
      <c r="M839" s="552">
        <v>0.7</v>
      </c>
      <c r="N839" s="552">
        <v>1</v>
      </c>
      <c r="O839" s="552">
        <v>1</v>
      </c>
      <c r="P839" s="552">
        <v>1</v>
      </c>
      <c r="Q839" s="552">
        <v>1</v>
      </c>
      <c r="R839" s="552">
        <v>1</v>
      </c>
      <c r="S839" s="552">
        <v>1</v>
      </c>
      <c r="T839" s="552">
        <v>1</v>
      </c>
      <c r="U839" s="552">
        <v>1</v>
      </c>
      <c r="V839" s="552">
        <v>1</v>
      </c>
      <c r="W839" s="552">
        <v>1</v>
      </c>
      <c r="X839" s="552">
        <v>1</v>
      </c>
      <c r="Y839" s="552">
        <v>1</v>
      </c>
      <c r="Z839" s="552">
        <v>1</v>
      </c>
      <c r="AA839" s="552">
        <v>1</v>
      </c>
      <c r="AB839" s="552">
        <v>1</v>
      </c>
      <c r="AC839" s="552">
        <v>1</v>
      </c>
      <c r="AD839" s="552">
        <v>1</v>
      </c>
      <c r="AE839" s="552">
        <v>1</v>
      </c>
      <c r="AF839" s="552">
        <v>1</v>
      </c>
      <c r="AG839" s="552">
        <v>1</v>
      </c>
      <c r="AH839" s="552">
        <v>1</v>
      </c>
      <c r="AI839" s="552">
        <v>1</v>
      </c>
      <c r="AJ839" s="552">
        <v>1</v>
      </c>
    </row>
    <row r="840" spans="1:36" hidden="1" x14ac:dyDescent="0.25">
      <c r="A840" t="s">
        <v>695</v>
      </c>
      <c r="B840" t="s">
        <v>437</v>
      </c>
      <c r="H840" s="454" t="s">
        <v>70</v>
      </c>
      <c r="I840" s="497"/>
      <c r="K840" s="550"/>
      <c r="L840" s="553" cm="1">
        <f t="array" ref="L840">SUMPRODUCT('W2'!$M$12:$R$112*('W2'!$M$7:$R$7=$A840)*('W2'!$A$12:$A$112=$B840))</f>
        <v>7.0000000000000007E-2</v>
      </c>
      <c r="M840" s="553">
        <f>L840</f>
        <v>7.0000000000000007E-2</v>
      </c>
      <c r="N840" s="553">
        <f t="shared" ref="N840" si="1144">M840</f>
        <v>7.0000000000000007E-2</v>
      </c>
      <c r="O840" s="553">
        <f t="shared" ref="O840" si="1145">N840</f>
        <v>7.0000000000000007E-2</v>
      </c>
      <c r="P840" s="553">
        <f t="shared" ref="P840" si="1146">O840</f>
        <v>7.0000000000000007E-2</v>
      </c>
      <c r="Q840" s="553">
        <f t="shared" ref="Q840" si="1147">P840</f>
        <v>7.0000000000000007E-2</v>
      </c>
      <c r="R840" s="553">
        <f t="shared" ref="R840" si="1148">Q840</f>
        <v>7.0000000000000007E-2</v>
      </c>
      <c r="S840" s="553">
        <f t="shared" ref="S840" si="1149">R840</f>
        <v>7.0000000000000007E-2</v>
      </c>
      <c r="T840" s="553">
        <f t="shared" ref="T840" si="1150">S840</f>
        <v>7.0000000000000007E-2</v>
      </c>
      <c r="U840" s="553">
        <f t="shared" ref="U840" si="1151">T840</f>
        <v>7.0000000000000007E-2</v>
      </c>
      <c r="V840" s="553">
        <f t="shared" ref="V840" si="1152">U840</f>
        <v>7.0000000000000007E-2</v>
      </c>
      <c r="W840" s="553">
        <f t="shared" ref="W840" si="1153">V840</f>
        <v>7.0000000000000007E-2</v>
      </c>
      <c r="X840" s="553">
        <f t="shared" ref="X840" si="1154">W840</f>
        <v>7.0000000000000007E-2</v>
      </c>
      <c r="Y840" s="553">
        <f t="shared" ref="Y840" si="1155">X840</f>
        <v>7.0000000000000007E-2</v>
      </c>
      <c r="Z840" s="553">
        <f t="shared" ref="Z840" si="1156">Y840</f>
        <v>7.0000000000000007E-2</v>
      </c>
      <c r="AA840" s="553">
        <f t="shared" ref="AA840" si="1157">Z840</f>
        <v>7.0000000000000007E-2</v>
      </c>
      <c r="AB840" s="553">
        <f t="shared" ref="AB840" si="1158">AA840</f>
        <v>7.0000000000000007E-2</v>
      </c>
      <c r="AC840" s="553">
        <f t="shared" ref="AC840" si="1159">AB840</f>
        <v>7.0000000000000007E-2</v>
      </c>
      <c r="AD840" s="553">
        <f t="shared" ref="AD840" si="1160">AC840</f>
        <v>7.0000000000000007E-2</v>
      </c>
      <c r="AE840" s="553">
        <f t="shared" ref="AE840" si="1161">AD840</f>
        <v>7.0000000000000007E-2</v>
      </c>
      <c r="AF840" s="553">
        <f t="shared" ref="AF840" si="1162">AE840</f>
        <v>7.0000000000000007E-2</v>
      </c>
      <c r="AG840" s="553">
        <f t="shared" ref="AG840" si="1163">AF840</f>
        <v>7.0000000000000007E-2</v>
      </c>
      <c r="AH840" s="553">
        <f t="shared" ref="AH840" si="1164">AG840</f>
        <v>7.0000000000000007E-2</v>
      </c>
      <c r="AI840" s="553">
        <f t="shared" ref="AI840" si="1165">AH840</f>
        <v>7.0000000000000007E-2</v>
      </c>
      <c r="AJ840" s="553">
        <f t="shared" ref="AJ840" si="1166">AI840</f>
        <v>7.0000000000000007E-2</v>
      </c>
    </row>
    <row r="841" spans="1:36" hidden="1" x14ac:dyDescent="0.25">
      <c r="A841" t="s">
        <v>695</v>
      </c>
      <c r="H841" s="454" t="s">
        <v>59</v>
      </c>
      <c r="I841" s="497"/>
      <c r="K841" s="550"/>
      <c r="L841" s="550">
        <f>365*L838*L839</f>
        <v>160.6</v>
      </c>
      <c r="M841" s="550">
        <f t="shared" ref="M841:AJ841" si="1167">365*M838*M839</f>
        <v>224.83999999999997</v>
      </c>
      <c r="N841" s="550">
        <f t="shared" si="1167"/>
        <v>321.2</v>
      </c>
      <c r="O841" s="550">
        <f t="shared" si="1167"/>
        <v>321.2</v>
      </c>
      <c r="P841" s="550">
        <f t="shared" si="1167"/>
        <v>321.2</v>
      </c>
      <c r="Q841" s="550">
        <f t="shared" si="1167"/>
        <v>321.2</v>
      </c>
      <c r="R841" s="550">
        <f t="shared" si="1167"/>
        <v>321.2</v>
      </c>
      <c r="S841" s="550">
        <f t="shared" si="1167"/>
        <v>321.2</v>
      </c>
      <c r="T841" s="550">
        <f t="shared" si="1167"/>
        <v>321.2</v>
      </c>
      <c r="U841" s="550">
        <f t="shared" si="1167"/>
        <v>321.2</v>
      </c>
      <c r="V841" s="550">
        <f t="shared" si="1167"/>
        <v>321.2</v>
      </c>
      <c r="W841" s="550">
        <f t="shared" si="1167"/>
        <v>321.2</v>
      </c>
      <c r="X841" s="550">
        <f t="shared" si="1167"/>
        <v>321.2</v>
      </c>
      <c r="Y841" s="550">
        <f t="shared" si="1167"/>
        <v>321.2</v>
      </c>
      <c r="Z841" s="550">
        <f t="shared" si="1167"/>
        <v>321.2</v>
      </c>
      <c r="AA841" s="550">
        <f t="shared" si="1167"/>
        <v>321.2</v>
      </c>
      <c r="AB841" s="550">
        <f t="shared" si="1167"/>
        <v>321.2</v>
      </c>
      <c r="AC841" s="550">
        <f t="shared" si="1167"/>
        <v>321.2</v>
      </c>
      <c r="AD841" s="550">
        <f t="shared" si="1167"/>
        <v>321.2</v>
      </c>
      <c r="AE841" s="550">
        <f t="shared" si="1167"/>
        <v>321.2</v>
      </c>
      <c r="AF841" s="550">
        <f t="shared" si="1167"/>
        <v>321.2</v>
      </c>
      <c r="AG841" s="550">
        <f t="shared" si="1167"/>
        <v>321.2</v>
      </c>
      <c r="AH841" s="550">
        <f t="shared" si="1167"/>
        <v>321.2</v>
      </c>
      <c r="AI841" s="550">
        <f t="shared" si="1167"/>
        <v>321.2</v>
      </c>
      <c r="AJ841" s="550">
        <f t="shared" si="1167"/>
        <v>321.2</v>
      </c>
    </row>
    <row r="842" spans="1:36" hidden="1" x14ac:dyDescent="0.25">
      <c r="A842" t="s">
        <v>695</v>
      </c>
      <c r="C842" t="s">
        <v>574</v>
      </c>
      <c r="H842" s="454" t="s">
        <v>202</v>
      </c>
      <c r="I842" s="497" t="s">
        <v>436</v>
      </c>
      <c r="K842" s="550"/>
      <c r="L842" s="550">
        <f>L836*L838*(1-L840)*L839</f>
        <v>3097087.4879999999</v>
      </c>
      <c r="M842" s="550">
        <f t="shared" ref="M842:AJ842" si="1168">M836*M838*(1-M840)*M839</f>
        <v>4335922.4831999997</v>
      </c>
      <c r="N842" s="550">
        <f t="shared" si="1168"/>
        <v>6194174.9759999998</v>
      </c>
      <c r="O842" s="550">
        <f t="shared" si="1168"/>
        <v>6194174.9759999998</v>
      </c>
      <c r="P842" s="550">
        <f t="shared" si="1168"/>
        <v>6194174.9759999998</v>
      </c>
      <c r="Q842" s="550">
        <f t="shared" si="1168"/>
        <v>6194174.9759999998</v>
      </c>
      <c r="R842" s="550">
        <f t="shared" si="1168"/>
        <v>6194174.9759999998</v>
      </c>
      <c r="S842" s="550">
        <f t="shared" si="1168"/>
        <v>6194174.9759999998</v>
      </c>
      <c r="T842" s="550">
        <f t="shared" si="1168"/>
        <v>6194174.9759999998</v>
      </c>
      <c r="U842" s="550">
        <f t="shared" si="1168"/>
        <v>6194174.9759999998</v>
      </c>
      <c r="V842" s="550">
        <f t="shared" si="1168"/>
        <v>6194174.9759999998</v>
      </c>
      <c r="W842" s="550">
        <f t="shared" si="1168"/>
        <v>6194174.9759999998</v>
      </c>
      <c r="X842" s="550">
        <f t="shared" si="1168"/>
        <v>6194174.9759999998</v>
      </c>
      <c r="Y842" s="550">
        <f t="shared" si="1168"/>
        <v>6194174.9759999998</v>
      </c>
      <c r="Z842" s="550">
        <f t="shared" si="1168"/>
        <v>6194174.9759999998</v>
      </c>
      <c r="AA842" s="550">
        <f t="shared" si="1168"/>
        <v>6194174.9759999998</v>
      </c>
      <c r="AB842" s="550">
        <f t="shared" si="1168"/>
        <v>6194174.9759999998</v>
      </c>
      <c r="AC842" s="550">
        <f t="shared" si="1168"/>
        <v>6194174.9759999998</v>
      </c>
      <c r="AD842" s="550">
        <f t="shared" si="1168"/>
        <v>6194174.9759999998</v>
      </c>
      <c r="AE842" s="550">
        <f t="shared" si="1168"/>
        <v>6194174.9759999998</v>
      </c>
      <c r="AF842" s="550">
        <f t="shared" si="1168"/>
        <v>6194174.9759999998</v>
      </c>
      <c r="AG842" s="550">
        <f t="shared" si="1168"/>
        <v>6194174.9759999998</v>
      </c>
      <c r="AH842" s="550">
        <f t="shared" si="1168"/>
        <v>6194174.9759999998</v>
      </c>
      <c r="AI842" s="550">
        <f t="shared" si="1168"/>
        <v>6194174.9759999998</v>
      </c>
      <c r="AJ842" s="550">
        <f t="shared" si="1168"/>
        <v>6194174.9759999998</v>
      </c>
    </row>
    <row r="843" spans="1:36" hidden="1" x14ac:dyDescent="0.25">
      <c r="A843" t="s">
        <v>695</v>
      </c>
      <c r="C843" t="s">
        <v>575</v>
      </c>
      <c r="H843" s="454" t="s">
        <v>202</v>
      </c>
      <c r="I843" s="497" t="s">
        <v>320</v>
      </c>
      <c r="K843" s="550"/>
      <c r="L843" s="550">
        <f t="shared" ref="L843:AJ843" si="1169">L842*PHOI_KG</f>
        <v>206472499.20000002</v>
      </c>
      <c r="M843" s="550">
        <f t="shared" si="1169"/>
        <v>289061498.88</v>
      </c>
      <c r="N843" s="550">
        <f t="shared" si="1169"/>
        <v>412944998.40000004</v>
      </c>
      <c r="O843" s="550">
        <f t="shared" si="1169"/>
        <v>412944998.40000004</v>
      </c>
      <c r="P843" s="550">
        <f t="shared" si="1169"/>
        <v>412944998.40000004</v>
      </c>
      <c r="Q843" s="550">
        <f t="shared" si="1169"/>
        <v>412944998.40000004</v>
      </c>
      <c r="R843" s="550">
        <f t="shared" si="1169"/>
        <v>412944998.40000004</v>
      </c>
      <c r="S843" s="550">
        <f t="shared" si="1169"/>
        <v>412944998.40000004</v>
      </c>
      <c r="T843" s="550">
        <f t="shared" si="1169"/>
        <v>412944998.40000004</v>
      </c>
      <c r="U843" s="550">
        <f t="shared" si="1169"/>
        <v>412944998.40000004</v>
      </c>
      <c r="V843" s="550">
        <f t="shared" si="1169"/>
        <v>412944998.40000004</v>
      </c>
      <c r="W843" s="550">
        <f t="shared" si="1169"/>
        <v>412944998.40000004</v>
      </c>
      <c r="X843" s="550">
        <f t="shared" si="1169"/>
        <v>412944998.40000004</v>
      </c>
      <c r="Y843" s="550">
        <f t="shared" si="1169"/>
        <v>412944998.40000004</v>
      </c>
      <c r="Z843" s="550">
        <f t="shared" si="1169"/>
        <v>412944998.40000004</v>
      </c>
      <c r="AA843" s="550">
        <f t="shared" si="1169"/>
        <v>412944998.40000004</v>
      </c>
      <c r="AB843" s="550">
        <f t="shared" si="1169"/>
        <v>412944998.40000004</v>
      </c>
      <c r="AC843" s="550">
        <f t="shared" si="1169"/>
        <v>412944998.40000004</v>
      </c>
      <c r="AD843" s="550">
        <f t="shared" si="1169"/>
        <v>412944998.40000004</v>
      </c>
      <c r="AE843" s="550">
        <f t="shared" si="1169"/>
        <v>412944998.40000004</v>
      </c>
      <c r="AF843" s="550">
        <f t="shared" si="1169"/>
        <v>412944998.40000004</v>
      </c>
      <c r="AG843" s="550">
        <f t="shared" si="1169"/>
        <v>412944998.40000004</v>
      </c>
      <c r="AH843" s="550">
        <f t="shared" si="1169"/>
        <v>412944998.40000004</v>
      </c>
      <c r="AI843" s="550">
        <f t="shared" si="1169"/>
        <v>412944998.40000004</v>
      </c>
      <c r="AJ843" s="550">
        <f t="shared" si="1169"/>
        <v>412944998.40000004</v>
      </c>
    </row>
    <row r="844" spans="1:36" hidden="1" x14ac:dyDescent="0.25">
      <c r="A844" t="s">
        <v>695</v>
      </c>
      <c r="K844" s="243"/>
      <c r="L844" s="243"/>
      <c r="M844" s="243"/>
      <c r="N844" s="243"/>
      <c r="O844" s="243"/>
      <c r="P844" s="243"/>
      <c r="Q844" s="243"/>
      <c r="R844" s="243"/>
      <c r="S844" s="243"/>
      <c r="T844" s="243"/>
      <c r="U844" s="243"/>
      <c r="V844" s="243"/>
      <c r="W844" s="243"/>
      <c r="X844" s="243"/>
      <c r="Y844" s="243"/>
      <c r="Z844" s="243"/>
      <c r="AA844" s="243"/>
      <c r="AB844" s="243"/>
      <c r="AC844" s="243"/>
      <c r="AD844" s="243"/>
      <c r="AE844" s="243"/>
      <c r="AF844" s="243"/>
      <c r="AG844" s="243"/>
      <c r="AH844" s="243"/>
      <c r="AI844" s="243"/>
      <c r="AJ844" s="243"/>
    </row>
    <row r="845" spans="1:36" s="24" customFormat="1" ht="17.25" hidden="1" x14ac:dyDescent="0.3">
      <c r="A845" s="24" t="s">
        <v>695</v>
      </c>
      <c r="H845" s="24" t="s">
        <v>670</v>
      </c>
      <c r="K845" s="636"/>
      <c r="L845" s="636"/>
      <c r="M845" s="636"/>
      <c r="N845" s="636"/>
      <c r="O845" s="636"/>
      <c r="P845" s="636"/>
      <c r="Q845" s="636"/>
      <c r="R845" s="636"/>
      <c r="S845" s="636"/>
      <c r="T845" s="636"/>
      <c r="U845" s="636"/>
      <c r="V845" s="636"/>
      <c r="W845" s="636"/>
      <c r="X845" s="636"/>
      <c r="Y845" s="636"/>
      <c r="Z845" s="636"/>
      <c r="AA845" s="636"/>
      <c r="AB845" s="636"/>
      <c r="AC845" s="636"/>
      <c r="AD845" s="636"/>
      <c r="AE845" s="636"/>
      <c r="AF845" s="636"/>
      <c r="AG845" s="636"/>
      <c r="AH845" s="636"/>
      <c r="AI845" s="636"/>
      <c r="AJ845" s="636"/>
    </row>
    <row r="846" spans="1:36" s="250" customFormat="1" hidden="1" x14ac:dyDescent="0.25">
      <c r="A846" s="250" t="s">
        <v>695</v>
      </c>
      <c r="B846" s="250" t="s">
        <v>665</v>
      </c>
      <c r="H846" s="626" t="s">
        <v>663</v>
      </c>
      <c r="I846" s="627" t="s">
        <v>71</v>
      </c>
      <c r="K846" s="628"/>
      <c r="L846" s="631" cm="1">
        <f t="array" ref="L846">SUMPRODUCT('W2'!$M$12:$R$112*('W2'!$M$7:$R$7=$A846)*('W2'!$A$12:$A$112=$B846))</f>
        <v>2.0000000000000001E-4</v>
      </c>
      <c r="M846" s="630">
        <f>L846</f>
        <v>2.0000000000000001E-4</v>
      </c>
      <c r="N846" s="630">
        <f t="shared" ref="N846:N847" si="1170">M846</f>
        <v>2.0000000000000001E-4</v>
      </c>
      <c r="O846" s="630">
        <f t="shared" ref="O846:O847" si="1171">N846</f>
        <v>2.0000000000000001E-4</v>
      </c>
      <c r="P846" s="630">
        <f t="shared" ref="P846:P847" si="1172">O846</f>
        <v>2.0000000000000001E-4</v>
      </c>
      <c r="Q846" s="630">
        <f t="shared" ref="Q846:Q847" si="1173">P846</f>
        <v>2.0000000000000001E-4</v>
      </c>
      <c r="R846" s="630">
        <f t="shared" ref="R846:R847" si="1174">Q846</f>
        <v>2.0000000000000001E-4</v>
      </c>
      <c r="S846" s="630">
        <f t="shared" ref="S846:S847" si="1175">R846</f>
        <v>2.0000000000000001E-4</v>
      </c>
      <c r="T846" s="630">
        <f t="shared" ref="T846:T847" si="1176">S846</f>
        <v>2.0000000000000001E-4</v>
      </c>
      <c r="U846" s="630">
        <f t="shared" ref="U846:U847" si="1177">T846</f>
        <v>2.0000000000000001E-4</v>
      </c>
      <c r="V846" s="630">
        <f t="shared" ref="V846:V847" si="1178">U846</f>
        <v>2.0000000000000001E-4</v>
      </c>
      <c r="W846" s="630">
        <f t="shared" ref="W846:W847" si="1179">V846</f>
        <v>2.0000000000000001E-4</v>
      </c>
      <c r="X846" s="630">
        <f t="shared" ref="X846:X847" si="1180">W846</f>
        <v>2.0000000000000001E-4</v>
      </c>
      <c r="Y846" s="630">
        <f t="shared" ref="Y846:Y847" si="1181">X846</f>
        <v>2.0000000000000001E-4</v>
      </c>
      <c r="Z846" s="630">
        <f t="shared" ref="Z846:Z847" si="1182">Y846</f>
        <v>2.0000000000000001E-4</v>
      </c>
      <c r="AA846" s="630">
        <f t="shared" ref="AA846:AA847" si="1183">Z846</f>
        <v>2.0000000000000001E-4</v>
      </c>
      <c r="AB846" s="630">
        <f t="shared" ref="AB846:AB847" si="1184">AA846</f>
        <v>2.0000000000000001E-4</v>
      </c>
      <c r="AC846" s="630">
        <f t="shared" ref="AC846:AC847" si="1185">AB846</f>
        <v>2.0000000000000001E-4</v>
      </c>
      <c r="AD846" s="630">
        <f t="shared" ref="AD846:AD847" si="1186">AC846</f>
        <v>2.0000000000000001E-4</v>
      </c>
      <c r="AE846" s="630">
        <f t="shared" ref="AE846:AE847" si="1187">AD846</f>
        <v>2.0000000000000001E-4</v>
      </c>
      <c r="AF846" s="630">
        <f t="shared" ref="AF846:AF847" si="1188">AE846</f>
        <v>2.0000000000000001E-4</v>
      </c>
      <c r="AG846" s="630">
        <f t="shared" ref="AG846:AG847" si="1189">AF846</f>
        <v>2.0000000000000001E-4</v>
      </c>
      <c r="AH846" s="630">
        <f t="shared" ref="AH846:AH847" si="1190">AG846</f>
        <v>2.0000000000000001E-4</v>
      </c>
      <c r="AI846" s="630">
        <f t="shared" ref="AI846:AI847" si="1191">AH846</f>
        <v>2.0000000000000001E-4</v>
      </c>
      <c r="AJ846" s="630">
        <f t="shared" ref="AJ846:AJ847" si="1192">AI846</f>
        <v>2.0000000000000001E-4</v>
      </c>
    </row>
    <row r="847" spans="1:36" s="250" customFormat="1" hidden="1" x14ac:dyDescent="0.25">
      <c r="A847" s="250" t="s">
        <v>695</v>
      </c>
      <c r="B847" s="250" t="s">
        <v>666</v>
      </c>
      <c r="H847" s="537" t="s">
        <v>664</v>
      </c>
      <c r="I847" s="548" t="s">
        <v>71</v>
      </c>
      <c r="K847" s="629"/>
      <c r="L847" s="631" cm="1">
        <f t="array" ref="L847">SUMPRODUCT('W2'!$M$12:$R$112*('W2'!$M$7:$R$7=$A847)*('W2'!$A$12:$A$112=$B847))</f>
        <v>5.0000000000000001E-3</v>
      </c>
      <c r="M847" s="630">
        <f>L847</f>
        <v>5.0000000000000001E-3</v>
      </c>
      <c r="N847" s="630">
        <f t="shared" si="1170"/>
        <v>5.0000000000000001E-3</v>
      </c>
      <c r="O847" s="630">
        <f t="shared" si="1171"/>
        <v>5.0000000000000001E-3</v>
      </c>
      <c r="P847" s="630">
        <f t="shared" si="1172"/>
        <v>5.0000000000000001E-3</v>
      </c>
      <c r="Q847" s="630">
        <f t="shared" si="1173"/>
        <v>5.0000000000000001E-3</v>
      </c>
      <c r="R847" s="630">
        <f t="shared" si="1174"/>
        <v>5.0000000000000001E-3</v>
      </c>
      <c r="S847" s="630">
        <f t="shared" si="1175"/>
        <v>5.0000000000000001E-3</v>
      </c>
      <c r="T847" s="630">
        <f t="shared" si="1176"/>
        <v>5.0000000000000001E-3</v>
      </c>
      <c r="U847" s="630">
        <f t="shared" si="1177"/>
        <v>5.0000000000000001E-3</v>
      </c>
      <c r="V847" s="630">
        <f t="shared" si="1178"/>
        <v>5.0000000000000001E-3</v>
      </c>
      <c r="W847" s="630">
        <f t="shared" si="1179"/>
        <v>5.0000000000000001E-3</v>
      </c>
      <c r="X847" s="630">
        <f t="shared" si="1180"/>
        <v>5.0000000000000001E-3</v>
      </c>
      <c r="Y847" s="630">
        <f t="shared" si="1181"/>
        <v>5.0000000000000001E-3</v>
      </c>
      <c r="Z847" s="630">
        <f t="shared" si="1182"/>
        <v>5.0000000000000001E-3</v>
      </c>
      <c r="AA847" s="630">
        <f t="shared" si="1183"/>
        <v>5.0000000000000001E-3</v>
      </c>
      <c r="AB847" s="630">
        <f t="shared" si="1184"/>
        <v>5.0000000000000001E-3</v>
      </c>
      <c r="AC847" s="630">
        <f t="shared" si="1185"/>
        <v>5.0000000000000001E-3</v>
      </c>
      <c r="AD847" s="630">
        <f t="shared" si="1186"/>
        <v>5.0000000000000001E-3</v>
      </c>
      <c r="AE847" s="630">
        <f t="shared" si="1187"/>
        <v>5.0000000000000001E-3</v>
      </c>
      <c r="AF847" s="630">
        <f t="shared" si="1188"/>
        <v>5.0000000000000001E-3</v>
      </c>
      <c r="AG847" s="630">
        <f t="shared" si="1189"/>
        <v>5.0000000000000001E-3</v>
      </c>
      <c r="AH847" s="630">
        <f t="shared" si="1190"/>
        <v>5.0000000000000001E-3</v>
      </c>
      <c r="AI847" s="630">
        <f t="shared" si="1191"/>
        <v>5.0000000000000001E-3</v>
      </c>
      <c r="AJ847" s="630">
        <f t="shared" si="1192"/>
        <v>5.0000000000000001E-3</v>
      </c>
    </row>
    <row r="848" spans="1:36" hidden="1" x14ac:dyDescent="0.25">
      <c r="A848" t="s">
        <v>695</v>
      </c>
      <c r="H848" s="454" t="s">
        <v>671</v>
      </c>
      <c r="I848" s="497" t="s">
        <v>436</v>
      </c>
      <c r="K848" s="550"/>
      <c r="L848" s="550">
        <f>L846*L842/(1-L840)</f>
        <v>666.04032000000007</v>
      </c>
      <c r="M848" s="550">
        <f>M846*M842/(1-M840)</f>
        <v>932.45644800000014</v>
      </c>
      <c r="N848" s="550">
        <f t="shared" ref="N848:AJ848" si="1193">N846*N842/(1-N840)</f>
        <v>1332.0806400000001</v>
      </c>
      <c r="O848" s="550">
        <f t="shared" si="1193"/>
        <v>1332.0806400000001</v>
      </c>
      <c r="P848" s="550">
        <f t="shared" si="1193"/>
        <v>1332.0806400000001</v>
      </c>
      <c r="Q848" s="550">
        <f t="shared" si="1193"/>
        <v>1332.0806400000001</v>
      </c>
      <c r="R848" s="550">
        <f t="shared" si="1193"/>
        <v>1332.0806400000001</v>
      </c>
      <c r="S848" s="550">
        <f t="shared" si="1193"/>
        <v>1332.0806400000001</v>
      </c>
      <c r="T848" s="550">
        <f t="shared" si="1193"/>
        <v>1332.0806400000001</v>
      </c>
      <c r="U848" s="550">
        <f t="shared" si="1193"/>
        <v>1332.0806400000001</v>
      </c>
      <c r="V848" s="550">
        <f t="shared" si="1193"/>
        <v>1332.0806400000001</v>
      </c>
      <c r="W848" s="550">
        <f t="shared" si="1193"/>
        <v>1332.0806400000001</v>
      </c>
      <c r="X848" s="550">
        <f t="shared" si="1193"/>
        <v>1332.0806400000001</v>
      </c>
      <c r="Y848" s="550">
        <f t="shared" si="1193"/>
        <v>1332.0806400000001</v>
      </c>
      <c r="Z848" s="550">
        <f t="shared" si="1193"/>
        <v>1332.0806400000001</v>
      </c>
      <c r="AA848" s="550">
        <f t="shared" si="1193"/>
        <v>1332.0806400000001</v>
      </c>
      <c r="AB848" s="550">
        <f t="shared" si="1193"/>
        <v>1332.0806400000001</v>
      </c>
      <c r="AC848" s="550">
        <f t="shared" si="1193"/>
        <v>1332.0806400000001</v>
      </c>
      <c r="AD848" s="550">
        <f t="shared" si="1193"/>
        <v>1332.0806400000001</v>
      </c>
      <c r="AE848" s="550">
        <f t="shared" si="1193"/>
        <v>1332.0806400000001</v>
      </c>
      <c r="AF848" s="550">
        <f t="shared" si="1193"/>
        <v>1332.0806400000001</v>
      </c>
      <c r="AG848" s="550">
        <f t="shared" si="1193"/>
        <v>1332.0806400000001</v>
      </c>
      <c r="AH848" s="550">
        <f t="shared" si="1193"/>
        <v>1332.0806400000001</v>
      </c>
      <c r="AI848" s="550">
        <f t="shared" si="1193"/>
        <v>1332.0806400000001</v>
      </c>
      <c r="AJ848" s="550">
        <f t="shared" si="1193"/>
        <v>1332.0806400000001</v>
      </c>
    </row>
    <row r="849" spans="1:36" hidden="1" x14ac:dyDescent="0.25">
      <c r="A849" t="s">
        <v>695</v>
      </c>
      <c r="H849" s="454" t="s">
        <v>675</v>
      </c>
      <c r="I849" s="497" t="s">
        <v>436</v>
      </c>
      <c r="K849" s="550"/>
      <c r="L849" s="550">
        <f>L847*L842/(1-L840)</f>
        <v>16651.008000000002</v>
      </c>
      <c r="M849" s="550">
        <f t="shared" ref="M849:AJ849" si="1194">M847*M842/(1-M840)</f>
        <v>23311.411200000002</v>
      </c>
      <c r="N849" s="550">
        <f t="shared" si="1194"/>
        <v>33302.016000000003</v>
      </c>
      <c r="O849" s="550">
        <f t="shared" si="1194"/>
        <v>33302.016000000003</v>
      </c>
      <c r="P849" s="550">
        <f t="shared" si="1194"/>
        <v>33302.016000000003</v>
      </c>
      <c r="Q849" s="550">
        <f t="shared" si="1194"/>
        <v>33302.016000000003</v>
      </c>
      <c r="R849" s="550">
        <f t="shared" si="1194"/>
        <v>33302.016000000003</v>
      </c>
      <c r="S849" s="550">
        <f t="shared" si="1194"/>
        <v>33302.016000000003</v>
      </c>
      <c r="T849" s="550">
        <f t="shared" si="1194"/>
        <v>33302.016000000003</v>
      </c>
      <c r="U849" s="550">
        <f t="shared" si="1194"/>
        <v>33302.016000000003</v>
      </c>
      <c r="V849" s="550">
        <f t="shared" si="1194"/>
        <v>33302.016000000003</v>
      </c>
      <c r="W849" s="550">
        <f t="shared" si="1194"/>
        <v>33302.016000000003</v>
      </c>
      <c r="X849" s="550">
        <f t="shared" si="1194"/>
        <v>33302.016000000003</v>
      </c>
      <c r="Y849" s="550">
        <f t="shared" si="1194"/>
        <v>33302.016000000003</v>
      </c>
      <c r="Z849" s="550">
        <f t="shared" si="1194"/>
        <v>33302.016000000003</v>
      </c>
      <c r="AA849" s="550">
        <f t="shared" si="1194"/>
        <v>33302.016000000003</v>
      </c>
      <c r="AB849" s="550">
        <f t="shared" si="1194"/>
        <v>33302.016000000003</v>
      </c>
      <c r="AC849" s="550">
        <f t="shared" si="1194"/>
        <v>33302.016000000003</v>
      </c>
      <c r="AD849" s="550">
        <f t="shared" si="1194"/>
        <v>33302.016000000003</v>
      </c>
      <c r="AE849" s="550">
        <f t="shared" si="1194"/>
        <v>33302.016000000003</v>
      </c>
      <c r="AF849" s="550">
        <f t="shared" si="1194"/>
        <v>33302.016000000003</v>
      </c>
      <c r="AG849" s="550">
        <f t="shared" si="1194"/>
        <v>33302.016000000003</v>
      </c>
      <c r="AH849" s="550">
        <f t="shared" si="1194"/>
        <v>33302.016000000003</v>
      </c>
      <c r="AI849" s="550">
        <f t="shared" si="1194"/>
        <v>33302.016000000003</v>
      </c>
      <c r="AJ849" s="550">
        <f t="shared" si="1194"/>
        <v>33302.016000000003</v>
      </c>
    </row>
    <row r="850" spans="1:36" hidden="1" x14ac:dyDescent="0.25">
      <c r="A850" t="s">
        <v>695</v>
      </c>
      <c r="K850" s="243"/>
      <c r="L850" s="243"/>
      <c r="M850" s="243"/>
      <c r="N850" s="243"/>
      <c r="O850" s="243"/>
      <c r="P850" s="243"/>
      <c r="Q850" s="243"/>
      <c r="R850" s="243"/>
      <c r="S850" s="243"/>
      <c r="T850" s="243"/>
      <c r="U850" s="243"/>
      <c r="V850" s="243"/>
      <c r="W850" s="243"/>
      <c r="X850" s="243"/>
      <c r="Y850" s="243"/>
      <c r="Z850" s="243"/>
      <c r="AA850" s="243"/>
      <c r="AB850" s="243"/>
      <c r="AC850" s="243"/>
      <c r="AD850" s="243"/>
      <c r="AE850" s="243"/>
      <c r="AF850" s="243"/>
      <c r="AG850" s="243"/>
      <c r="AH850" s="243"/>
      <c r="AI850" s="243"/>
      <c r="AJ850" s="243"/>
    </row>
    <row r="851" spans="1:36" hidden="1" x14ac:dyDescent="0.25">
      <c r="A851" t="s">
        <v>695</v>
      </c>
      <c r="K851" s="243"/>
      <c r="L851" s="243"/>
      <c r="M851" s="243"/>
      <c r="N851" s="243"/>
      <c r="O851" s="243"/>
      <c r="P851" s="243"/>
      <c r="Q851" s="243"/>
      <c r="R851" s="243"/>
      <c r="S851" s="243"/>
      <c r="T851" s="243"/>
      <c r="U851" s="243"/>
      <c r="V851" s="243"/>
      <c r="W851" s="243"/>
      <c r="X851" s="243"/>
      <c r="Y851" s="243"/>
      <c r="Z851" s="243"/>
      <c r="AA851" s="243"/>
      <c r="AB851" s="243"/>
      <c r="AC851" s="243"/>
      <c r="AD851" s="243"/>
      <c r="AE851" s="243"/>
      <c r="AF851" s="243"/>
      <c r="AG851" s="243"/>
      <c r="AH851" s="243"/>
      <c r="AI851" s="243"/>
      <c r="AJ851" s="243"/>
    </row>
    <row r="852" spans="1:36" hidden="1" x14ac:dyDescent="0.25">
      <c r="A852" t="s">
        <v>695</v>
      </c>
      <c r="K852" s="243"/>
      <c r="L852" s="243"/>
      <c r="M852" s="243"/>
      <c r="N852" s="243"/>
      <c r="O852" s="243"/>
      <c r="P852" s="243"/>
      <c r="Q852" s="243"/>
      <c r="R852" s="243"/>
      <c r="S852" s="243"/>
      <c r="T852" s="243"/>
      <c r="U852" s="243"/>
      <c r="V852" s="243"/>
      <c r="W852" s="243"/>
      <c r="X852" s="243"/>
      <c r="Y852" s="243"/>
      <c r="Z852" s="243"/>
      <c r="AA852" s="243"/>
      <c r="AB852" s="243"/>
      <c r="AC852" s="243"/>
      <c r="AD852" s="243"/>
      <c r="AE852" s="243"/>
      <c r="AF852" s="243"/>
      <c r="AG852" s="243"/>
      <c r="AH852" s="243"/>
      <c r="AI852" s="243"/>
      <c r="AJ852" s="243"/>
    </row>
    <row r="853" spans="1:36" s="1" customFormat="1" hidden="1" x14ac:dyDescent="0.25">
      <c r="A853" s="1" t="s">
        <v>695</v>
      </c>
      <c r="H853" s="266" t="s">
        <v>434</v>
      </c>
      <c r="I853" s="267" t="str">
        <f t="shared" ref="I853:I861" si="1195">IF($H$9="USD","USD","tr. VND")</f>
        <v>tr. VND</v>
      </c>
      <c r="K853" s="268">
        <f t="shared" ref="K853" si="1196">SUM(K854:K855,K858:K861,)</f>
        <v>0</v>
      </c>
      <c r="L853" s="268">
        <f>SUM(L854:L855,L858:L861,)</f>
        <v>-47315.429666666671</v>
      </c>
      <c r="M853" s="268">
        <f t="shared" ref="M853:AJ853" si="1197">SUM(M854:M855,M858:M861,)</f>
        <v>-47315.429666666671</v>
      </c>
      <c r="N853" s="268">
        <f t="shared" si="1197"/>
        <v>-48337.243816666669</v>
      </c>
      <c r="O853" s="268">
        <f t="shared" si="1197"/>
        <v>-49410.148674166667</v>
      </c>
      <c r="P853" s="268">
        <f t="shared" si="1197"/>
        <v>-50536.69877454167</v>
      </c>
      <c r="Q853" s="268">
        <f t="shared" si="1197"/>
        <v>-51719.576379935424</v>
      </c>
      <c r="R853" s="268">
        <f t="shared" si="1197"/>
        <v>-52961.597865598858</v>
      </c>
      <c r="S853" s="268">
        <f t="shared" si="1197"/>
        <v>-54265.720425545464</v>
      </c>
      <c r="T853" s="268">
        <f t="shared" si="1197"/>
        <v>-55635.049113489404</v>
      </c>
      <c r="U853" s="268">
        <f t="shared" si="1197"/>
        <v>-57072.84423583054</v>
      </c>
      <c r="V853" s="268">
        <f t="shared" si="1197"/>
        <v>-58582.529114288736</v>
      </c>
      <c r="W853" s="268">
        <f t="shared" si="1197"/>
        <v>-60167.698236669843</v>
      </c>
      <c r="X853" s="268">
        <f t="shared" si="1197"/>
        <v>-35582.959148503338</v>
      </c>
      <c r="Y853" s="268">
        <f t="shared" si="1197"/>
        <v>-37330.608105928499</v>
      </c>
      <c r="Z853" s="268">
        <f t="shared" si="1197"/>
        <v>-39165.639511224937</v>
      </c>
      <c r="AA853" s="268">
        <f t="shared" si="1197"/>
        <v>-41092.422486786163</v>
      </c>
      <c r="AB853" s="268">
        <f t="shared" si="1197"/>
        <v>-43115.544611125493</v>
      </c>
      <c r="AC853" s="268">
        <f t="shared" si="1197"/>
        <v>-45239.822841681758</v>
      </c>
      <c r="AD853" s="268">
        <f t="shared" si="1197"/>
        <v>-47470.314983765857</v>
      </c>
      <c r="AE853" s="268">
        <f t="shared" si="1197"/>
        <v>-49812.331732954146</v>
      </c>
      <c r="AF853" s="268">
        <f t="shared" si="1197"/>
        <v>-52271.449319601845</v>
      </c>
      <c r="AG853" s="268">
        <f t="shared" si="1197"/>
        <v>-54853.522785581939</v>
      </c>
      <c r="AH853" s="268">
        <f t="shared" si="1197"/>
        <v>-57564.699924861037</v>
      </c>
      <c r="AI853" s="268">
        <f t="shared" si="1197"/>
        <v>-60411.435921104086</v>
      </c>
      <c r="AJ853" s="268">
        <f t="shared" si="1197"/>
        <v>-63400.508717159304</v>
      </c>
    </row>
    <row r="854" spans="1:36" hidden="1" x14ac:dyDescent="0.25">
      <c r="A854" t="s">
        <v>695</v>
      </c>
      <c r="B854" t="s">
        <v>173</v>
      </c>
      <c r="H854" s="459" t="s">
        <v>190</v>
      </c>
      <c r="I854" s="494" t="str">
        <f t="shared" si="1195"/>
        <v>tr. VND</v>
      </c>
      <c r="K854" s="493"/>
      <c r="L854" s="549" cm="1">
        <f t="array" ref="L854">-SUMPRODUCT('W1'!$AO$10:$HQ$60*('W1'!$AO$7:$HQ$7=$A854)*('W1'!$AO$8:$HQ$8=L$14)*('W1'!$A$10:$A$60=$B854))*$H$10</f>
        <v>-26249.166666666664</v>
      </c>
      <c r="M854" s="549" cm="1">
        <f t="array" ref="M854">-SUMPRODUCT('W1'!$AO$10:$HQ$60*('W1'!$AO$7:$HQ$7=$A854)*('W1'!$AO$8:$HQ$8=M$14)*('W1'!$A$10:$A$60=$B854))*$H$10</f>
        <v>-26249.166666666664</v>
      </c>
      <c r="N854" s="549" cm="1">
        <f t="array" ref="N854">-SUMPRODUCT('W1'!$AO$10:$HQ$60*('W1'!$AO$7:$HQ$7=$A854)*('W1'!$AO$8:$HQ$8=N$14)*('W1'!$A$10:$A$60=$B854))*$H$10</f>
        <v>-26249.166666666664</v>
      </c>
      <c r="O854" s="549" cm="1">
        <f t="array" ref="O854">-SUMPRODUCT('W1'!$AO$10:$HQ$60*('W1'!$AO$7:$HQ$7=$A854)*('W1'!$AO$8:$HQ$8=O$14)*('W1'!$A$10:$A$60=$B854))*$H$10</f>
        <v>-26249.166666666664</v>
      </c>
      <c r="P854" s="549" cm="1">
        <f t="array" ref="P854">-SUMPRODUCT('W1'!$AO$10:$HQ$60*('W1'!$AO$7:$HQ$7=$A854)*('W1'!$AO$8:$HQ$8=P$14)*('W1'!$A$10:$A$60=$B854))*$H$10</f>
        <v>-26249.166666666664</v>
      </c>
      <c r="Q854" s="549" cm="1">
        <f t="array" ref="Q854">-SUMPRODUCT('W1'!$AO$10:$HQ$60*('W1'!$AO$7:$HQ$7=$A854)*('W1'!$AO$8:$HQ$8=Q$14)*('W1'!$A$10:$A$60=$B854))*$H$10</f>
        <v>-26249.166666666664</v>
      </c>
      <c r="R854" s="549" cm="1">
        <f t="array" ref="R854">-SUMPRODUCT('W1'!$AO$10:$HQ$60*('W1'!$AO$7:$HQ$7=$A854)*('W1'!$AO$8:$HQ$8=R$14)*('W1'!$A$10:$A$60=$B854))*$H$10</f>
        <v>-26249.166666666664</v>
      </c>
      <c r="S854" s="549" cm="1">
        <f t="array" ref="S854">-SUMPRODUCT('W1'!$AO$10:$HQ$60*('W1'!$AO$7:$HQ$7=$A854)*('W1'!$AO$8:$HQ$8=S$14)*('W1'!$A$10:$A$60=$B854))*$H$10</f>
        <v>-26249.166666666664</v>
      </c>
      <c r="T854" s="549" cm="1">
        <f t="array" ref="T854">-SUMPRODUCT('W1'!$AO$10:$HQ$60*('W1'!$AO$7:$HQ$7=$A854)*('W1'!$AO$8:$HQ$8=T$14)*('W1'!$A$10:$A$60=$B854))*$H$10</f>
        <v>-26249.166666666664</v>
      </c>
      <c r="U854" s="549" cm="1">
        <f t="array" ref="U854">-SUMPRODUCT('W1'!$AO$10:$HQ$60*('W1'!$AO$7:$HQ$7=$A854)*('W1'!$AO$8:$HQ$8=U$14)*('W1'!$A$10:$A$60=$B854))*$H$10</f>
        <v>-26249.166666666664</v>
      </c>
      <c r="V854" s="549" cm="1">
        <f t="array" ref="V854">-SUMPRODUCT('W1'!$AO$10:$HQ$60*('W1'!$AO$7:$HQ$7=$A854)*('W1'!$AO$8:$HQ$8=V$14)*('W1'!$A$10:$A$60=$B854))*$H$10</f>
        <v>-26249.166666666664</v>
      </c>
      <c r="W854" s="549" cm="1">
        <f t="array" ref="W854">-SUMPRODUCT('W1'!$AO$10:$HQ$60*('W1'!$AO$7:$HQ$7=$A854)*('W1'!$AO$8:$HQ$8=W$14)*('W1'!$A$10:$A$60=$B854))*$H$10</f>
        <v>-26249.166666666664</v>
      </c>
      <c r="X854" s="549" cm="1">
        <f t="array" ref="X854">-SUMPRODUCT('W1'!$AO$10:$HQ$60*('W1'!$AO$7:$HQ$7=$A854)*('W1'!$AO$8:$HQ$8=X$14)*('W1'!$A$10:$A$60=$B854))*$H$10</f>
        <v>0</v>
      </c>
      <c r="Y854" s="549" cm="1">
        <f t="array" ref="Y854">-SUMPRODUCT('W1'!$AO$10:$HQ$60*('W1'!$AO$7:$HQ$7=$A854)*('W1'!$AO$8:$HQ$8=Y$14)*('W1'!$A$10:$A$60=$B854))*$H$10</f>
        <v>0</v>
      </c>
      <c r="Z854" s="549" cm="1">
        <f t="array" ref="Z854">-SUMPRODUCT('W1'!$AO$10:$HQ$60*('W1'!$AO$7:$HQ$7=$A854)*('W1'!$AO$8:$HQ$8=Z$14)*('W1'!$A$10:$A$60=$B854))*$H$10</f>
        <v>0</v>
      </c>
      <c r="AA854" s="549" cm="1">
        <f t="array" ref="AA854">-SUMPRODUCT('W1'!$AO$10:$HQ$60*('W1'!$AO$7:$HQ$7=$A854)*('W1'!$AO$8:$HQ$8=AA$14)*('W1'!$A$10:$A$60=$B854))*$H$10</f>
        <v>0</v>
      </c>
      <c r="AB854" s="549" cm="1">
        <f t="array" ref="AB854">-SUMPRODUCT('W1'!$AO$10:$HQ$60*('W1'!$AO$7:$HQ$7=$A854)*('W1'!$AO$8:$HQ$8=AB$14)*('W1'!$A$10:$A$60=$B854))*$H$10</f>
        <v>0</v>
      </c>
      <c r="AC854" s="549" cm="1">
        <f t="array" ref="AC854">-SUMPRODUCT('W1'!$AO$10:$HQ$60*('W1'!$AO$7:$HQ$7=$A854)*('W1'!$AO$8:$HQ$8=AC$14)*('W1'!$A$10:$A$60=$B854))*$H$10</f>
        <v>0</v>
      </c>
      <c r="AD854" s="549" cm="1">
        <f t="array" ref="AD854">-SUMPRODUCT('W1'!$AO$10:$HQ$60*('W1'!$AO$7:$HQ$7=$A854)*('W1'!$AO$8:$HQ$8=AD$14)*('W1'!$A$10:$A$60=$B854))*$H$10</f>
        <v>0</v>
      </c>
      <c r="AE854" s="549" cm="1">
        <f t="array" ref="AE854">-SUMPRODUCT('W1'!$AO$10:$HQ$60*('W1'!$AO$7:$HQ$7=$A854)*('W1'!$AO$8:$HQ$8=AE$14)*('W1'!$A$10:$A$60=$B854))*$H$10</f>
        <v>0</v>
      </c>
      <c r="AF854" s="549" cm="1">
        <f t="array" ref="AF854">-SUMPRODUCT('W1'!$AO$10:$HQ$60*('W1'!$AO$7:$HQ$7=$A854)*('W1'!$AO$8:$HQ$8=AF$14)*('W1'!$A$10:$A$60=$B854))*$H$10</f>
        <v>0</v>
      </c>
      <c r="AG854" s="549" cm="1">
        <f t="array" ref="AG854">-SUMPRODUCT('W1'!$AO$10:$HQ$60*('W1'!$AO$7:$HQ$7=$A854)*('W1'!$AO$8:$HQ$8=AG$14)*('W1'!$A$10:$A$60=$B854))*$H$10</f>
        <v>0</v>
      </c>
      <c r="AH854" s="549" cm="1">
        <f t="array" ref="AH854">-SUMPRODUCT('W1'!$AO$10:$HQ$60*('W1'!$AO$7:$HQ$7=$A854)*('W1'!$AO$8:$HQ$8=AH$14)*('W1'!$A$10:$A$60=$B854))*$H$10</f>
        <v>0</v>
      </c>
      <c r="AI854" s="549" cm="1">
        <f t="array" ref="AI854">-SUMPRODUCT('W1'!$AO$10:$HQ$60*('W1'!$AO$7:$HQ$7=$A854)*('W1'!$AO$8:$HQ$8=AI$14)*('W1'!$A$10:$A$60=$B854))*$H$10</f>
        <v>0</v>
      </c>
      <c r="AJ854" s="549" cm="1">
        <f t="array" ref="AJ854">-SUMPRODUCT('W1'!$AO$10:$HQ$60*('W1'!$AO$7:$HQ$7=$A854)*('W1'!$AO$8:$HQ$8=AJ$14)*('W1'!$A$10:$A$60=$B854))*$H$10</f>
        <v>0</v>
      </c>
    </row>
    <row r="855" spans="1:36" hidden="1" x14ac:dyDescent="0.25">
      <c r="A855" t="s">
        <v>695</v>
      </c>
      <c r="H855" s="454" t="s">
        <v>429</v>
      </c>
      <c r="I855" s="497" t="str">
        <f t="shared" si="1195"/>
        <v>tr. VND</v>
      </c>
      <c r="K855" s="550">
        <f>SUM(K856:K857)</f>
        <v>0</v>
      </c>
      <c r="L855" s="550">
        <f t="shared" ref="L855:AJ855" si="1198">SUM(L856:L857)</f>
        <v>-6312.0329999999994</v>
      </c>
      <c r="M855" s="550">
        <f t="shared" si="1198"/>
        <v>-6312.0329999999994</v>
      </c>
      <c r="N855" s="550">
        <f t="shared" si="1198"/>
        <v>-6627.63465</v>
      </c>
      <c r="O855" s="550">
        <f t="shared" si="1198"/>
        <v>-6959.0163825</v>
      </c>
      <c r="P855" s="550">
        <f t="shared" si="1198"/>
        <v>-7306.9672016250006</v>
      </c>
      <c r="Q855" s="550">
        <f t="shared" si="1198"/>
        <v>-7672.3155617062503</v>
      </c>
      <c r="R855" s="550">
        <f t="shared" si="1198"/>
        <v>-8055.9313397915639</v>
      </c>
      <c r="S855" s="550">
        <f t="shared" si="1198"/>
        <v>-8458.7279067811396</v>
      </c>
      <c r="T855" s="550">
        <f t="shared" si="1198"/>
        <v>-8881.6643021201999</v>
      </c>
      <c r="U855" s="550">
        <f t="shared" si="1198"/>
        <v>-9325.7475172262075</v>
      </c>
      <c r="V855" s="550">
        <f t="shared" si="1198"/>
        <v>-9792.0348930875189</v>
      </c>
      <c r="W855" s="550">
        <f t="shared" si="1198"/>
        <v>-10281.636637741894</v>
      </c>
      <c r="X855" s="550">
        <f t="shared" si="1198"/>
        <v>-10795.71846962899</v>
      </c>
      <c r="Y855" s="550">
        <f t="shared" si="1198"/>
        <v>-11335.504393110437</v>
      </c>
      <c r="Z855" s="550">
        <f t="shared" si="1198"/>
        <v>-11902.279612765962</v>
      </c>
      <c r="AA855" s="550">
        <f t="shared" si="1198"/>
        <v>-12497.393593404257</v>
      </c>
      <c r="AB855" s="550">
        <f t="shared" si="1198"/>
        <v>-13122.263273074474</v>
      </c>
      <c r="AC855" s="550">
        <f t="shared" si="1198"/>
        <v>-13778.376436728196</v>
      </c>
      <c r="AD855" s="550">
        <f t="shared" si="1198"/>
        <v>-14467.295258564609</v>
      </c>
      <c r="AE855" s="550">
        <f t="shared" si="1198"/>
        <v>-15190.66002149284</v>
      </c>
      <c r="AF855" s="550">
        <f t="shared" si="1198"/>
        <v>-15950.193022567481</v>
      </c>
      <c r="AG855" s="550">
        <f t="shared" si="1198"/>
        <v>-16747.702673695854</v>
      </c>
      <c r="AH855" s="550">
        <f t="shared" si="1198"/>
        <v>-17585.087807380645</v>
      </c>
      <c r="AI855" s="550">
        <f t="shared" si="1198"/>
        <v>-18464.342197749676</v>
      </c>
      <c r="AJ855" s="550">
        <f t="shared" si="1198"/>
        <v>-19387.559307637166</v>
      </c>
    </row>
    <row r="856" spans="1:36" s="299" customFormat="1" hidden="1" x14ac:dyDescent="0.25">
      <c r="A856" s="299" t="s">
        <v>695</v>
      </c>
      <c r="B856" s="299" t="s">
        <v>449</v>
      </c>
      <c r="H856" s="554" t="s">
        <v>430</v>
      </c>
      <c r="I856" s="555" t="str">
        <f t="shared" si="1195"/>
        <v>tr. VND</v>
      </c>
      <c r="K856" s="556"/>
      <c r="L856" s="556" cm="1">
        <f t="array" ref="L856">-SUMPRODUCT('W2'!$M$12:$R$112*('W2'!$M$7:$R$7=$A856)*('W2'!$A$12:$A$112=$B856))*$H$10*POWER(1+Inflation,L$11+1)</f>
        <v>-1031.94</v>
      </c>
      <c r="M856" s="556" cm="1">
        <f t="array" ref="M856">-SUMPRODUCT('W2'!$M$12:$R$112*('W2'!$M$7:$R$7=$A856)*('W2'!$A$12:$A$112=$B856))*$H$10*POWER(1+Inflation,M$11+1)</f>
        <v>-1031.94</v>
      </c>
      <c r="N856" s="556" cm="1">
        <f t="array" ref="N856">-SUMPRODUCT('W2'!$M$12:$R$112*('W2'!$M$7:$R$7=$A856)*('W2'!$A$12:$A$112=$B856))*$H$10*POWER(1+Inflation,N$11+1)</f>
        <v>-1083.537</v>
      </c>
      <c r="O856" s="556" cm="1">
        <f t="array" ref="O856">-SUMPRODUCT('W2'!$M$12:$R$112*('W2'!$M$7:$R$7=$A856)*('W2'!$A$12:$A$112=$B856))*$H$10*POWER(1+Inflation,O$11+1)</f>
        <v>-1137.7138500000001</v>
      </c>
      <c r="P856" s="556" cm="1">
        <f t="array" ref="P856">-SUMPRODUCT('W2'!$M$12:$R$112*('W2'!$M$7:$R$7=$A856)*('W2'!$A$12:$A$112=$B856))*$H$10*POWER(1+Inflation,P$11+1)</f>
        <v>-1194.5995425000001</v>
      </c>
      <c r="Q856" s="556" cm="1">
        <f t="array" ref="Q856">-SUMPRODUCT('W2'!$M$12:$R$112*('W2'!$M$7:$R$7=$A856)*('W2'!$A$12:$A$112=$B856))*$H$10*POWER(1+Inflation,Q$11+1)</f>
        <v>-1254.3295196250001</v>
      </c>
      <c r="R856" s="556" cm="1">
        <f t="array" ref="R856">-SUMPRODUCT('W2'!$M$12:$R$112*('W2'!$M$7:$R$7=$A856)*('W2'!$A$12:$A$112=$B856))*$H$10*POWER(1+Inflation,R$11+1)</f>
        <v>-1317.0459956062502</v>
      </c>
      <c r="S856" s="556" cm="1">
        <f t="array" ref="S856">-SUMPRODUCT('W2'!$M$12:$R$112*('W2'!$M$7:$R$7=$A856)*('W2'!$A$12:$A$112=$B856))*$H$10*POWER(1+Inflation,S$11+1)</f>
        <v>-1382.8982953865625</v>
      </c>
      <c r="T856" s="556" cm="1">
        <f t="array" ref="T856">-SUMPRODUCT('W2'!$M$12:$R$112*('W2'!$M$7:$R$7=$A856)*('W2'!$A$12:$A$112=$B856))*$H$10*POWER(1+Inflation,T$11+1)</f>
        <v>-1452.0432101558908</v>
      </c>
      <c r="U856" s="556" cm="1">
        <f t="array" ref="U856">-SUMPRODUCT('W2'!$M$12:$R$112*('W2'!$M$7:$R$7=$A856)*('W2'!$A$12:$A$112=$B856))*$H$10*POWER(1+Inflation,U$11+1)</f>
        <v>-1524.6453706636853</v>
      </c>
      <c r="V856" s="556" cm="1">
        <f t="array" ref="V856">-SUMPRODUCT('W2'!$M$12:$R$112*('W2'!$M$7:$R$7=$A856)*('W2'!$A$12:$A$112=$B856))*$H$10*POWER(1+Inflation,V$11+1)</f>
        <v>-1600.8776391968697</v>
      </c>
      <c r="W856" s="556" cm="1">
        <f t="array" ref="W856">-SUMPRODUCT('W2'!$M$12:$R$112*('W2'!$M$7:$R$7=$A856)*('W2'!$A$12:$A$112=$B856))*$H$10*POWER(1+Inflation,W$11+1)</f>
        <v>-1680.9215211567132</v>
      </c>
      <c r="X856" s="556" cm="1">
        <f t="array" ref="X856">-SUMPRODUCT('W2'!$M$12:$R$112*('W2'!$M$7:$R$7=$A856)*('W2'!$A$12:$A$112=$B856))*$H$10*POWER(1+Inflation,X$11+1)</f>
        <v>-1764.967597214549</v>
      </c>
      <c r="Y856" s="556" cm="1">
        <f t="array" ref="Y856">-SUMPRODUCT('W2'!$M$12:$R$112*('W2'!$M$7:$R$7=$A856)*('W2'!$A$12:$A$112=$B856))*$H$10*POWER(1+Inflation,Y$11+1)</f>
        <v>-1853.215977075276</v>
      </c>
      <c r="Z856" s="556" cm="1">
        <f t="array" ref="Z856">-SUMPRODUCT('W2'!$M$12:$R$112*('W2'!$M$7:$R$7=$A856)*('W2'!$A$12:$A$112=$B856))*$H$10*POWER(1+Inflation,Z$11+1)</f>
        <v>-1945.8767759290402</v>
      </c>
      <c r="AA856" s="556" cm="1">
        <f t="array" ref="AA856">-SUMPRODUCT('W2'!$M$12:$R$112*('W2'!$M$7:$R$7=$A856)*('W2'!$A$12:$A$112=$B856))*$H$10*POWER(1+Inflation,AA$11+1)</f>
        <v>-2043.1706147254918</v>
      </c>
      <c r="AB856" s="556" cm="1">
        <f t="array" ref="AB856">-SUMPRODUCT('W2'!$M$12:$R$112*('W2'!$M$7:$R$7=$A856)*('W2'!$A$12:$A$112=$B856))*$H$10*POWER(1+Inflation,AB$11+1)</f>
        <v>-2145.329145461767</v>
      </c>
      <c r="AC856" s="556" cm="1">
        <f t="array" ref="AC856">-SUMPRODUCT('W2'!$M$12:$R$112*('W2'!$M$7:$R$7=$A856)*('W2'!$A$12:$A$112=$B856))*$H$10*POWER(1+Inflation,AC$11+1)</f>
        <v>-2252.5956027348552</v>
      </c>
      <c r="AD856" s="556" cm="1">
        <f t="array" ref="AD856">-SUMPRODUCT('W2'!$M$12:$R$112*('W2'!$M$7:$R$7=$A856)*('W2'!$A$12:$A$112=$B856))*$H$10*POWER(1+Inflation,AD$11+1)</f>
        <v>-2365.2253828715984</v>
      </c>
      <c r="AE856" s="556" cm="1">
        <f t="array" ref="AE856">-SUMPRODUCT('W2'!$M$12:$R$112*('W2'!$M$7:$R$7=$A856)*('W2'!$A$12:$A$112=$B856))*$H$10*POWER(1+Inflation,AE$11+1)</f>
        <v>-2483.4866520151782</v>
      </c>
      <c r="AF856" s="556" cm="1">
        <f t="array" ref="AF856">-SUMPRODUCT('W2'!$M$12:$R$112*('W2'!$M$7:$R$7=$A856)*('W2'!$A$12:$A$112=$B856))*$H$10*POWER(1+Inflation,AF$11+1)</f>
        <v>-2607.6609846159372</v>
      </c>
      <c r="AG856" s="556" cm="1">
        <f t="array" ref="AG856">-SUMPRODUCT('W2'!$M$12:$R$112*('W2'!$M$7:$R$7=$A856)*('W2'!$A$12:$A$112=$B856))*$H$10*POWER(1+Inflation,AG$11+1)</f>
        <v>-2738.0440338467338</v>
      </c>
      <c r="AH856" s="556" cm="1">
        <f t="array" ref="AH856">-SUMPRODUCT('W2'!$M$12:$R$112*('W2'!$M$7:$R$7=$A856)*('W2'!$A$12:$A$112=$B856))*$H$10*POWER(1+Inflation,AH$11+1)</f>
        <v>-2874.9462355390706</v>
      </c>
      <c r="AI856" s="556" cm="1">
        <f t="array" ref="AI856">-SUMPRODUCT('W2'!$M$12:$R$112*('W2'!$M$7:$R$7=$A856)*('W2'!$A$12:$A$112=$B856))*$H$10*POWER(1+Inflation,AI$11+1)</f>
        <v>-3018.6935473160238</v>
      </c>
      <c r="AJ856" s="556" cm="1">
        <f t="array" ref="AJ856">-SUMPRODUCT('W2'!$M$12:$R$112*('W2'!$M$7:$R$7=$A856)*('W2'!$A$12:$A$112=$B856))*$H$10*POWER(1+Inflation,AJ$11+1)</f>
        <v>-3169.6282246818255</v>
      </c>
    </row>
    <row r="857" spans="1:36" s="299" customFormat="1" hidden="1" x14ac:dyDescent="0.25">
      <c r="A857" s="299" t="s">
        <v>695</v>
      </c>
      <c r="B857" s="299" t="s">
        <v>450</v>
      </c>
      <c r="H857" s="554" t="s">
        <v>431</v>
      </c>
      <c r="I857" s="555" t="str">
        <f t="shared" si="1195"/>
        <v>tr. VND</v>
      </c>
      <c r="K857" s="556"/>
      <c r="L857" s="556" cm="1">
        <f t="array" ref="L857">-SUMPRODUCT('W2'!$M$12:$R$112*('W2'!$M$7:$R$7=$A857)*('W2'!$A$12:$A$112=$B857))*$H$10*POWER(1+Inflation,L$11+1)</f>
        <v>-5280.0929999999998</v>
      </c>
      <c r="M857" s="556" cm="1">
        <f t="array" ref="M857">-SUMPRODUCT('W2'!$M$12:$R$112*('W2'!$M$7:$R$7=$A857)*('W2'!$A$12:$A$112=$B857))*$H$10*POWER(1+Inflation,M$11+1)</f>
        <v>-5280.0929999999998</v>
      </c>
      <c r="N857" s="556" cm="1">
        <f t="array" ref="N857">-SUMPRODUCT('W2'!$M$12:$R$112*('W2'!$M$7:$R$7=$A857)*('W2'!$A$12:$A$112=$B857))*$H$10*POWER(1+Inflation,N$11+1)</f>
        <v>-5544.0976499999997</v>
      </c>
      <c r="O857" s="556" cm="1">
        <f t="array" ref="O857">-SUMPRODUCT('W2'!$M$12:$R$112*('W2'!$M$7:$R$7=$A857)*('W2'!$A$12:$A$112=$B857))*$H$10*POWER(1+Inflation,O$11+1)</f>
        <v>-5821.3025324999999</v>
      </c>
      <c r="P857" s="556" cm="1">
        <f t="array" ref="P857">-SUMPRODUCT('W2'!$M$12:$R$112*('W2'!$M$7:$R$7=$A857)*('W2'!$A$12:$A$112=$B857))*$H$10*POWER(1+Inflation,P$11+1)</f>
        <v>-6112.3676591250005</v>
      </c>
      <c r="Q857" s="556" cm="1">
        <f t="array" ref="Q857">-SUMPRODUCT('W2'!$M$12:$R$112*('W2'!$M$7:$R$7=$A857)*('W2'!$A$12:$A$112=$B857))*$H$10*POWER(1+Inflation,Q$11+1)</f>
        <v>-6417.9860420812502</v>
      </c>
      <c r="R857" s="556" cm="1">
        <f t="array" ref="R857">-SUMPRODUCT('W2'!$M$12:$R$112*('W2'!$M$7:$R$7=$A857)*('W2'!$A$12:$A$112=$B857))*$H$10*POWER(1+Inflation,R$11+1)</f>
        <v>-6738.8853441853134</v>
      </c>
      <c r="S857" s="556" cm="1">
        <f t="array" ref="S857">-SUMPRODUCT('W2'!$M$12:$R$112*('W2'!$M$7:$R$7=$A857)*('W2'!$A$12:$A$112=$B857))*$H$10*POWER(1+Inflation,S$11+1)</f>
        <v>-7075.829611394578</v>
      </c>
      <c r="T857" s="556" cm="1">
        <f t="array" ref="T857">-SUMPRODUCT('W2'!$M$12:$R$112*('W2'!$M$7:$R$7=$A857)*('W2'!$A$12:$A$112=$B857))*$H$10*POWER(1+Inflation,T$11+1)</f>
        <v>-7429.6210919643081</v>
      </c>
      <c r="U857" s="556" cm="1">
        <f t="array" ref="U857">-SUMPRODUCT('W2'!$M$12:$R$112*('W2'!$M$7:$R$7=$A857)*('W2'!$A$12:$A$112=$B857))*$H$10*POWER(1+Inflation,U$11+1)</f>
        <v>-7801.1021465625226</v>
      </c>
      <c r="V857" s="556" cm="1">
        <f t="array" ref="V857">-SUMPRODUCT('W2'!$M$12:$R$112*('W2'!$M$7:$R$7=$A857)*('W2'!$A$12:$A$112=$B857))*$H$10*POWER(1+Inflation,V$11+1)</f>
        <v>-8191.1572538906494</v>
      </c>
      <c r="W857" s="556" cm="1">
        <f t="array" ref="W857">-SUMPRODUCT('W2'!$M$12:$R$112*('W2'!$M$7:$R$7=$A857)*('W2'!$A$12:$A$112=$B857))*$H$10*POWER(1+Inflation,W$11+1)</f>
        <v>-8600.715116585181</v>
      </c>
      <c r="X857" s="556" cm="1">
        <f t="array" ref="X857">-SUMPRODUCT('W2'!$M$12:$R$112*('W2'!$M$7:$R$7=$A857)*('W2'!$A$12:$A$112=$B857))*$H$10*POWER(1+Inflation,X$11+1)</f>
        <v>-9030.7508724144409</v>
      </c>
      <c r="Y857" s="556" cm="1">
        <f t="array" ref="Y857">-SUMPRODUCT('W2'!$M$12:$R$112*('W2'!$M$7:$R$7=$A857)*('W2'!$A$12:$A$112=$B857))*$H$10*POWER(1+Inflation,Y$11+1)</f>
        <v>-9482.2884160351623</v>
      </c>
      <c r="Z857" s="556" cm="1">
        <f t="array" ref="Z857">-SUMPRODUCT('W2'!$M$12:$R$112*('W2'!$M$7:$R$7=$A857)*('W2'!$A$12:$A$112=$B857))*$H$10*POWER(1+Inflation,Z$11+1)</f>
        <v>-9956.4028368369218</v>
      </c>
      <c r="AA857" s="556" cm="1">
        <f t="array" ref="AA857">-SUMPRODUCT('W2'!$M$12:$R$112*('W2'!$M$7:$R$7=$A857)*('W2'!$A$12:$A$112=$B857))*$H$10*POWER(1+Inflation,AA$11+1)</f>
        <v>-10454.222978678765</v>
      </c>
      <c r="AB857" s="556" cm="1">
        <f t="array" ref="AB857">-SUMPRODUCT('W2'!$M$12:$R$112*('W2'!$M$7:$R$7=$A857)*('W2'!$A$12:$A$112=$B857))*$H$10*POWER(1+Inflation,AB$11+1)</f>
        <v>-10976.934127612707</v>
      </c>
      <c r="AC857" s="556" cm="1">
        <f t="array" ref="AC857">-SUMPRODUCT('W2'!$M$12:$R$112*('W2'!$M$7:$R$7=$A857)*('W2'!$A$12:$A$112=$B857))*$H$10*POWER(1+Inflation,AC$11+1)</f>
        <v>-11525.780833993342</v>
      </c>
      <c r="AD857" s="556" cm="1">
        <f t="array" ref="AD857">-SUMPRODUCT('W2'!$M$12:$R$112*('W2'!$M$7:$R$7=$A857)*('W2'!$A$12:$A$112=$B857))*$H$10*POWER(1+Inflation,AD$11+1)</f>
        <v>-12102.069875693011</v>
      </c>
      <c r="AE857" s="556" cm="1">
        <f t="array" ref="AE857">-SUMPRODUCT('W2'!$M$12:$R$112*('W2'!$M$7:$R$7=$A857)*('W2'!$A$12:$A$112=$B857))*$H$10*POWER(1+Inflation,AE$11+1)</f>
        <v>-12707.173369477661</v>
      </c>
      <c r="AF857" s="556" cm="1">
        <f t="array" ref="AF857">-SUMPRODUCT('W2'!$M$12:$R$112*('W2'!$M$7:$R$7=$A857)*('W2'!$A$12:$A$112=$B857))*$H$10*POWER(1+Inflation,AF$11+1)</f>
        <v>-13342.532037951543</v>
      </c>
      <c r="AG857" s="556" cm="1">
        <f t="array" ref="AG857">-SUMPRODUCT('W2'!$M$12:$R$112*('W2'!$M$7:$R$7=$A857)*('W2'!$A$12:$A$112=$B857))*$H$10*POWER(1+Inflation,AG$11+1)</f>
        <v>-14009.65863984912</v>
      </c>
      <c r="AH857" s="556" cm="1">
        <f t="array" ref="AH857">-SUMPRODUCT('W2'!$M$12:$R$112*('W2'!$M$7:$R$7=$A857)*('W2'!$A$12:$A$112=$B857))*$H$10*POWER(1+Inflation,AH$11+1)</f>
        <v>-14710.141571841576</v>
      </c>
      <c r="AI857" s="556" cm="1">
        <f t="array" ref="AI857">-SUMPRODUCT('W2'!$M$12:$R$112*('W2'!$M$7:$R$7=$A857)*('W2'!$A$12:$A$112=$B857))*$H$10*POWER(1+Inflation,AI$11+1)</f>
        <v>-15445.648650433654</v>
      </c>
      <c r="AJ857" s="556" cm="1">
        <f t="array" ref="AJ857">-SUMPRODUCT('W2'!$M$12:$R$112*('W2'!$M$7:$R$7=$A857)*('W2'!$A$12:$A$112=$B857))*$H$10*POWER(1+Inflation,AJ$11+1)</f>
        <v>-16217.93108295534</v>
      </c>
    </row>
    <row r="858" spans="1:36" hidden="1" x14ac:dyDescent="0.25">
      <c r="A858" t="s">
        <v>695</v>
      </c>
      <c r="B858" t="s">
        <v>451</v>
      </c>
      <c r="H858" s="454" t="s">
        <v>656</v>
      </c>
      <c r="I858" s="497" t="str">
        <f t="shared" si="1195"/>
        <v>tr. VND</v>
      </c>
      <c r="K858" s="550"/>
      <c r="L858" s="550" cm="1">
        <f t="array" ref="L858">-SUMPRODUCT('W2'!$M$12:$R$112*('W2'!$M$7:$R$7=$A858)*('W2'!$A$12:$A$112=$B858))*$H$10*POWER(1+Inflation,L$11+1)</f>
        <v>-2520</v>
      </c>
      <c r="M858" s="550" cm="1">
        <f t="array" ref="M858">-SUMPRODUCT('W2'!$M$12:$R$112*('W2'!$M$7:$R$7=$A858)*('W2'!$A$12:$A$112=$B858))*$H$10*POWER(1+Inflation,M$11+1)</f>
        <v>-2520</v>
      </c>
      <c r="N858" s="550" cm="1">
        <f t="array" ref="N858">-SUMPRODUCT('W2'!$M$12:$R$112*('W2'!$M$7:$R$7=$A858)*('W2'!$A$12:$A$112=$B858))*$H$10*POWER(1+Inflation,N$11+1)</f>
        <v>-2646</v>
      </c>
      <c r="O858" s="550" cm="1">
        <f t="array" ref="O858">-SUMPRODUCT('W2'!$M$12:$R$112*('W2'!$M$7:$R$7=$A858)*('W2'!$A$12:$A$112=$B858))*$H$10*POWER(1+Inflation,O$11+1)</f>
        <v>-2778.3</v>
      </c>
      <c r="P858" s="550" cm="1">
        <f t="array" ref="P858">-SUMPRODUCT('W2'!$M$12:$R$112*('W2'!$M$7:$R$7=$A858)*('W2'!$A$12:$A$112=$B858))*$H$10*POWER(1+Inflation,P$11+1)</f>
        <v>-2917.2150000000001</v>
      </c>
      <c r="Q858" s="550" cm="1">
        <f t="array" ref="Q858">-SUMPRODUCT('W2'!$M$12:$R$112*('W2'!$M$7:$R$7=$A858)*('W2'!$A$12:$A$112=$B858))*$H$10*POWER(1+Inflation,Q$11+1)</f>
        <v>-3063.07575</v>
      </c>
      <c r="R858" s="550" cm="1">
        <f t="array" ref="R858">-SUMPRODUCT('W2'!$M$12:$R$112*('W2'!$M$7:$R$7=$A858)*('W2'!$A$12:$A$112=$B858))*$H$10*POWER(1+Inflation,R$11+1)</f>
        <v>-3216.2295375000003</v>
      </c>
      <c r="S858" s="550" cm="1">
        <f t="array" ref="S858">-SUMPRODUCT('W2'!$M$12:$R$112*('W2'!$M$7:$R$7=$A858)*('W2'!$A$12:$A$112=$B858))*$H$10*POWER(1+Inflation,S$11+1)</f>
        <v>-3377.041014375</v>
      </c>
      <c r="T858" s="550" cm="1">
        <f t="array" ref="T858">-SUMPRODUCT('W2'!$M$12:$R$112*('W2'!$M$7:$R$7=$A858)*('W2'!$A$12:$A$112=$B858))*$H$10*POWER(1+Inflation,T$11+1)</f>
        <v>-3545.8930650937505</v>
      </c>
      <c r="U858" s="550" cm="1">
        <f t="array" ref="U858">-SUMPRODUCT('W2'!$M$12:$R$112*('W2'!$M$7:$R$7=$A858)*('W2'!$A$12:$A$112=$B858))*$H$10*POWER(1+Inflation,U$11+1)</f>
        <v>-3723.1877183484376</v>
      </c>
      <c r="V858" s="550" cm="1">
        <f t="array" ref="V858">-SUMPRODUCT('W2'!$M$12:$R$112*('W2'!$M$7:$R$7=$A858)*('W2'!$A$12:$A$112=$B858))*$H$10*POWER(1+Inflation,V$11+1)</f>
        <v>-3909.3471042658598</v>
      </c>
      <c r="W858" s="550" cm="1">
        <f t="array" ref="W858">-SUMPRODUCT('W2'!$M$12:$R$112*('W2'!$M$7:$R$7=$A858)*('W2'!$A$12:$A$112=$B858))*$H$10*POWER(1+Inflation,W$11+1)</f>
        <v>-4104.8144594791529</v>
      </c>
      <c r="X858" s="550" cm="1">
        <f t="array" ref="X858">-SUMPRODUCT('W2'!$M$12:$R$112*('W2'!$M$7:$R$7=$A858)*('W2'!$A$12:$A$112=$B858))*$H$10*POWER(1+Inflation,X$11+1)</f>
        <v>-4310.0551824531103</v>
      </c>
      <c r="Y858" s="550" cm="1">
        <f t="array" ref="Y858">-SUMPRODUCT('W2'!$M$12:$R$112*('W2'!$M$7:$R$7=$A858)*('W2'!$A$12:$A$112=$B858))*$H$10*POWER(1+Inflation,Y$11+1)</f>
        <v>-4525.5579415757657</v>
      </c>
      <c r="Z858" s="550" cm="1">
        <f t="array" ref="Z858">-SUMPRODUCT('W2'!$M$12:$R$112*('W2'!$M$7:$R$7=$A858)*('W2'!$A$12:$A$112=$B858))*$H$10*POWER(1+Inflation,Z$11+1)</f>
        <v>-4751.8358386545551</v>
      </c>
      <c r="AA858" s="550" cm="1">
        <f t="array" ref="AA858">-SUMPRODUCT('W2'!$M$12:$R$112*('W2'!$M$7:$R$7=$A858)*('W2'!$A$12:$A$112=$B858))*$H$10*POWER(1+Inflation,AA$11+1)</f>
        <v>-4989.4276305872809</v>
      </c>
      <c r="AB858" s="550" cm="1">
        <f t="array" ref="AB858">-SUMPRODUCT('W2'!$M$12:$R$112*('W2'!$M$7:$R$7=$A858)*('W2'!$A$12:$A$112=$B858))*$H$10*POWER(1+Inflation,AB$11+1)</f>
        <v>-5238.8990121166471</v>
      </c>
      <c r="AC858" s="550" cm="1">
        <f t="array" ref="AC858">-SUMPRODUCT('W2'!$M$12:$R$112*('W2'!$M$7:$R$7=$A858)*('W2'!$A$12:$A$112=$B858))*$H$10*POWER(1+Inflation,AC$11+1)</f>
        <v>-5500.8439627224789</v>
      </c>
      <c r="AD858" s="550" cm="1">
        <f t="array" ref="AD858">-SUMPRODUCT('W2'!$M$12:$R$112*('W2'!$M$7:$R$7=$A858)*('W2'!$A$12:$A$112=$B858))*$H$10*POWER(1+Inflation,AD$11+1)</f>
        <v>-5775.8861608586039</v>
      </c>
      <c r="AE858" s="550" cm="1">
        <f t="array" ref="AE858">-SUMPRODUCT('W2'!$M$12:$R$112*('W2'!$M$7:$R$7=$A858)*('W2'!$A$12:$A$112=$B858))*$H$10*POWER(1+Inflation,AE$11+1)</f>
        <v>-6064.6804689015335</v>
      </c>
      <c r="AF858" s="550" cm="1">
        <f t="array" ref="AF858">-SUMPRODUCT('W2'!$M$12:$R$112*('W2'!$M$7:$R$7=$A858)*('W2'!$A$12:$A$112=$B858))*$H$10*POWER(1+Inflation,AF$11+1)</f>
        <v>-6367.9144923466101</v>
      </c>
      <c r="AG858" s="550" cm="1">
        <f t="array" ref="AG858">-SUMPRODUCT('W2'!$M$12:$R$112*('W2'!$M$7:$R$7=$A858)*('W2'!$A$12:$A$112=$B858))*$H$10*POWER(1+Inflation,AG$11+1)</f>
        <v>-6686.3102169639405</v>
      </c>
      <c r="AH858" s="550" cm="1">
        <f t="array" ref="AH858">-SUMPRODUCT('W2'!$M$12:$R$112*('W2'!$M$7:$R$7=$A858)*('W2'!$A$12:$A$112=$B858))*$H$10*POWER(1+Inflation,AH$11+1)</f>
        <v>-7020.6257278121375</v>
      </c>
      <c r="AI858" s="550" cm="1">
        <f t="array" ref="AI858">-SUMPRODUCT('W2'!$M$12:$R$112*('W2'!$M$7:$R$7=$A858)*('W2'!$A$12:$A$112=$B858))*$H$10*POWER(1+Inflation,AI$11+1)</f>
        <v>-7371.657014202744</v>
      </c>
      <c r="AJ858" s="550" cm="1">
        <f t="array" ref="AJ858">-SUMPRODUCT('W2'!$M$12:$R$112*('W2'!$M$7:$R$7=$A858)*('W2'!$A$12:$A$112=$B858))*$H$10*POWER(1+Inflation,AJ$11+1)</f>
        <v>-7740.2398649128827</v>
      </c>
    </row>
    <row r="859" spans="1:36" hidden="1" x14ac:dyDescent="0.25">
      <c r="A859" t="s">
        <v>695</v>
      </c>
      <c r="B859" t="s">
        <v>452</v>
      </c>
      <c r="H859" s="454" t="s">
        <v>432</v>
      </c>
      <c r="I859" s="497" t="str">
        <f t="shared" si="1195"/>
        <v>tr. VND</v>
      </c>
      <c r="K859" s="550"/>
      <c r="L859" s="550" cm="1">
        <f t="array" ref="L859">-SUMPRODUCT('W2'!$M$12:$R$112*('W2'!$M$7:$R$7=$A859)*('W2'!$A$12:$A$112=$B859))*$H$10*POWER(1+Inflation,L$11+1)</f>
        <v>-11024.65</v>
      </c>
      <c r="M859" s="550" cm="1">
        <f t="array" ref="M859">-SUMPRODUCT('W2'!$M$12:$R$112*('W2'!$M$7:$R$7=$A859)*('W2'!$A$12:$A$112=$B859))*$H$10*POWER(1+Inflation,M$11+1)</f>
        <v>-11024.65</v>
      </c>
      <c r="N859" s="550" cm="1">
        <f t="array" ref="N859">-SUMPRODUCT('W2'!$M$12:$R$112*('W2'!$M$7:$R$7=$A859)*('W2'!$A$12:$A$112=$B859))*$H$10*POWER(1+Inflation,N$11+1)</f>
        <v>-11575.8825</v>
      </c>
      <c r="O859" s="550" cm="1">
        <f t="array" ref="O859">-SUMPRODUCT('W2'!$M$12:$R$112*('W2'!$M$7:$R$7=$A859)*('W2'!$A$12:$A$112=$B859))*$H$10*POWER(1+Inflation,O$11+1)</f>
        <v>-12154.676625</v>
      </c>
      <c r="P859" s="550" cm="1">
        <f t="array" ref="P859">-SUMPRODUCT('W2'!$M$12:$R$112*('W2'!$M$7:$R$7=$A859)*('W2'!$A$12:$A$112=$B859))*$H$10*POWER(1+Inflation,P$11+1)</f>
        <v>-12762.410456250002</v>
      </c>
      <c r="Q859" s="550" cm="1">
        <f t="array" ref="Q859">-SUMPRODUCT('W2'!$M$12:$R$112*('W2'!$M$7:$R$7=$A859)*('W2'!$A$12:$A$112=$B859))*$H$10*POWER(1+Inflation,Q$11+1)</f>
        <v>-13400.5309790625</v>
      </c>
      <c r="R859" s="550" cm="1">
        <f t="array" ref="R859">-SUMPRODUCT('W2'!$M$12:$R$112*('W2'!$M$7:$R$7=$A859)*('W2'!$A$12:$A$112=$B859))*$H$10*POWER(1+Inflation,R$11+1)</f>
        <v>-14070.557528015626</v>
      </c>
      <c r="S859" s="550" cm="1">
        <f t="array" ref="S859">-SUMPRODUCT('W2'!$M$12:$R$112*('W2'!$M$7:$R$7=$A859)*('W2'!$A$12:$A$112=$B859))*$H$10*POWER(1+Inflation,S$11+1)</f>
        <v>-14774.085404416406</v>
      </c>
      <c r="T859" s="550" cm="1">
        <f t="array" ref="T859">-SUMPRODUCT('W2'!$M$12:$R$112*('W2'!$M$7:$R$7=$A859)*('W2'!$A$12:$A$112=$B859))*$H$10*POWER(1+Inflation,T$11+1)</f>
        <v>-15512.789674637228</v>
      </c>
      <c r="U859" s="550" cm="1">
        <f t="array" ref="U859">-SUMPRODUCT('W2'!$M$12:$R$112*('W2'!$M$7:$R$7=$A859)*('W2'!$A$12:$A$112=$B859))*$H$10*POWER(1+Inflation,U$11+1)</f>
        <v>-16288.429158369088</v>
      </c>
      <c r="V859" s="550" cm="1">
        <f t="array" ref="V859">-SUMPRODUCT('W2'!$M$12:$R$112*('W2'!$M$7:$R$7=$A859)*('W2'!$A$12:$A$112=$B859))*$H$10*POWER(1+Inflation,V$11+1)</f>
        <v>-17102.850616287542</v>
      </c>
      <c r="W859" s="550" cm="1">
        <f t="array" ref="W859">-SUMPRODUCT('W2'!$M$12:$R$112*('W2'!$M$7:$R$7=$A859)*('W2'!$A$12:$A$112=$B859))*$H$10*POWER(1+Inflation,W$11+1)</f>
        <v>-17957.993147101919</v>
      </c>
      <c r="X859" s="550" cm="1">
        <f t="array" ref="X859">-SUMPRODUCT('W2'!$M$12:$R$112*('W2'!$M$7:$R$7=$A859)*('W2'!$A$12:$A$112=$B859))*$H$10*POWER(1+Inflation,X$11+1)</f>
        <v>-18855.892804457017</v>
      </c>
      <c r="Y859" s="550" cm="1">
        <f t="array" ref="Y859">-SUMPRODUCT('W2'!$M$12:$R$112*('W2'!$M$7:$R$7=$A859)*('W2'!$A$12:$A$112=$B859))*$H$10*POWER(1+Inflation,Y$11+1)</f>
        <v>-19798.687444679865</v>
      </c>
      <c r="Z859" s="550" cm="1">
        <f t="array" ref="Z859">-SUMPRODUCT('W2'!$M$12:$R$112*('W2'!$M$7:$R$7=$A859)*('W2'!$A$12:$A$112=$B859))*$H$10*POWER(1+Inflation,Z$11+1)</f>
        <v>-20788.621816913863</v>
      </c>
      <c r="AA859" s="550" cm="1">
        <f t="array" ref="AA859">-SUMPRODUCT('W2'!$M$12:$R$112*('W2'!$M$7:$R$7=$A859)*('W2'!$A$12:$A$112=$B859))*$H$10*POWER(1+Inflation,AA$11+1)</f>
        <v>-21828.052907759553</v>
      </c>
      <c r="AB859" s="550" cm="1">
        <f t="array" ref="AB859">-SUMPRODUCT('W2'!$M$12:$R$112*('W2'!$M$7:$R$7=$A859)*('W2'!$A$12:$A$112=$B859))*$H$10*POWER(1+Inflation,AB$11+1)</f>
        <v>-22919.455553147534</v>
      </c>
      <c r="AC859" s="550" cm="1">
        <f t="array" ref="AC859">-SUMPRODUCT('W2'!$M$12:$R$112*('W2'!$M$7:$R$7=$A859)*('W2'!$A$12:$A$112=$B859))*$H$10*POWER(1+Inflation,AC$11+1)</f>
        <v>-24065.428330804909</v>
      </c>
      <c r="AD859" s="550" cm="1">
        <f t="array" ref="AD859">-SUMPRODUCT('W2'!$M$12:$R$112*('W2'!$M$7:$R$7=$A859)*('W2'!$A$12:$A$112=$B859))*$H$10*POWER(1+Inflation,AD$11+1)</f>
        <v>-25268.699747345159</v>
      </c>
      <c r="AE859" s="550" cm="1">
        <f t="array" ref="AE859">-SUMPRODUCT('W2'!$M$12:$R$112*('W2'!$M$7:$R$7=$A859)*('W2'!$A$12:$A$112=$B859))*$H$10*POWER(1+Inflation,AE$11+1)</f>
        <v>-26532.134734712417</v>
      </c>
      <c r="AF859" s="550" cm="1">
        <f t="array" ref="AF859">-SUMPRODUCT('W2'!$M$12:$R$112*('W2'!$M$7:$R$7=$A859)*('W2'!$A$12:$A$112=$B859))*$H$10*POWER(1+Inflation,AF$11+1)</f>
        <v>-27858.741471448036</v>
      </c>
      <c r="AG859" s="550" cm="1">
        <f t="array" ref="AG859">-SUMPRODUCT('W2'!$M$12:$R$112*('W2'!$M$7:$R$7=$A859)*('W2'!$A$12:$A$112=$B859))*$H$10*POWER(1+Inflation,AG$11+1)</f>
        <v>-29251.678545020437</v>
      </c>
      <c r="AH859" s="550" cm="1">
        <f t="array" ref="AH859">-SUMPRODUCT('W2'!$M$12:$R$112*('W2'!$M$7:$R$7=$A859)*('W2'!$A$12:$A$112=$B859))*$H$10*POWER(1+Inflation,AH$11+1)</f>
        <v>-30714.262472271461</v>
      </c>
      <c r="AI859" s="550" cm="1">
        <f t="array" ref="AI859">-SUMPRODUCT('W2'!$M$12:$R$112*('W2'!$M$7:$R$7=$A859)*('W2'!$A$12:$A$112=$B859))*$H$10*POWER(1+Inflation,AI$11+1)</f>
        <v>-32249.975595885029</v>
      </c>
      <c r="AJ859" s="550" cm="1">
        <f t="array" ref="AJ859">-SUMPRODUCT('W2'!$M$12:$R$112*('W2'!$M$7:$R$7=$A859)*('W2'!$A$12:$A$112=$B859))*$H$10*POWER(1+Inflation,AJ$11+1)</f>
        <v>-33862.474375679289</v>
      </c>
    </row>
    <row r="860" spans="1:36" hidden="1" x14ac:dyDescent="0.25">
      <c r="A860" t="s">
        <v>695</v>
      </c>
      <c r="B860" t="s">
        <v>453</v>
      </c>
      <c r="H860" s="454" t="s">
        <v>433</v>
      </c>
      <c r="I860" s="497" t="str">
        <f t="shared" si="1195"/>
        <v>tr. VND</v>
      </c>
      <c r="K860" s="550"/>
      <c r="L860" s="550" cm="1">
        <f t="array" ref="L860">-SUMPRODUCT('W2'!$M$12:$R$112*('W2'!$M$7:$R$7=$A860)*('W2'!$A$12:$A$112=$B860))*$H$10*POWER(1+Inflation,L$11+1)</f>
        <v>-579.6</v>
      </c>
      <c r="M860" s="550" cm="1">
        <f t="array" ref="M860">-SUMPRODUCT('W2'!$M$12:$R$112*('W2'!$M$7:$R$7=$A860)*('W2'!$A$12:$A$112=$B860))*$H$10*POWER(1+Inflation,M$11+1)</f>
        <v>-579.6</v>
      </c>
      <c r="N860" s="550" cm="1">
        <f t="array" ref="N860">-SUMPRODUCT('W2'!$M$12:$R$112*('W2'!$M$7:$R$7=$A860)*('W2'!$A$12:$A$112=$B860))*$H$10*POWER(1+Inflation,N$11+1)</f>
        <v>-608.58000000000004</v>
      </c>
      <c r="O860" s="550" cm="1">
        <f t="array" ref="O860">-SUMPRODUCT('W2'!$M$12:$R$112*('W2'!$M$7:$R$7=$A860)*('W2'!$A$12:$A$112=$B860))*$H$10*POWER(1+Inflation,O$11+1)</f>
        <v>-639.00900000000001</v>
      </c>
      <c r="P860" s="550" cm="1">
        <f t="array" ref="P860">-SUMPRODUCT('W2'!$M$12:$R$112*('W2'!$M$7:$R$7=$A860)*('W2'!$A$12:$A$112=$B860))*$H$10*POWER(1+Inflation,P$11+1)</f>
        <v>-670.95945000000006</v>
      </c>
      <c r="Q860" s="550" cm="1">
        <f t="array" ref="Q860">-SUMPRODUCT('W2'!$M$12:$R$112*('W2'!$M$7:$R$7=$A860)*('W2'!$A$12:$A$112=$B860))*$H$10*POWER(1+Inflation,Q$11+1)</f>
        <v>-704.50742250000008</v>
      </c>
      <c r="R860" s="550" cm="1">
        <f t="array" ref="R860">-SUMPRODUCT('W2'!$M$12:$R$112*('W2'!$M$7:$R$7=$A860)*('W2'!$A$12:$A$112=$B860))*$H$10*POWER(1+Inflation,R$11+1)</f>
        <v>-739.73279362500011</v>
      </c>
      <c r="S860" s="550" cm="1">
        <f t="array" ref="S860">-SUMPRODUCT('W2'!$M$12:$R$112*('W2'!$M$7:$R$7=$A860)*('W2'!$A$12:$A$112=$B860))*$H$10*POWER(1+Inflation,S$11+1)</f>
        <v>-776.71943330625004</v>
      </c>
      <c r="T860" s="550" cm="1">
        <f t="array" ref="T860">-SUMPRODUCT('W2'!$M$12:$R$112*('W2'!$M$7:$R$7=$A860)*('W2'!$A$12:$A$112=$B860))*$H$10*POWER(1+Inflation,T$11+1)</f>
        <v>-815.55540497156267</v>
      </c>
      <c r="U860" s="550" cm="1">
        <f t="array" ref="U860">-SUMPRODUCT('W2'!$M$12:$R$112*('W2'!$M$7:$R$7=$A860)*('W2'!$A$12:$A$112=$B860))*$H$10*POWER(1+Inflation,U$11+1)</f>
        <v>-856.33317522014067</v>
      </c>
      <c r="V860" s="550" cm="1">
        <f t="array" ref="V860">-SUMPRODUCT('W2'!$M$12:$R$112*('W2'!$M$7:$R$7=$A860)*('W2'!$A$12:$A$112=$B860))*$H$10*POWER(1+Inflation,V$11+1)</f>
        <v>-899.14983398114782</v>
      </c>
      <c r="W860" s="550" cm="1">
        <f t="array" ref="W860">-SUMPRODUCT('W2'!$M$12:$R$112*('W2'!$M$7:$R$7=$A860)*('W2'!$A$12:$A$112=$B860))*$H$10*POWER(1+Inflation,W$11+1)</f>
        <v>-944.10732568020512</v>
      </c>
      <c r="X860" s="550" cm="1">
        <f t="array" ref="X860">-SUMPRODUCT('W2'!$M$12:$R$112*('W2'!$M$7:$R$7=$A860)*('W2'!$A$12:$A$112=$B860))*$H$10*POWER(1+Inflation,X$11+1)</f>
        <v>-991.31269196421545</v>
      </c>
      <c r="Y860" s="550" cm="1">
        <f t="array" ref="Y860">-SUMPRODUCT('W2'!$M$12:$R$112*('W2'!$M$7:$R$7=$A860)*('W2'!$A$12:$A$112=$B860))*$H$10*POWER(1+Inflation,Y$11+1)</f>
        <v>-1040.8783265624261</v>
      </c>
      <c r="Z860" s="550" cm="1">
        <f t="array" ref="Z860">-SUMPRODUCT('W2'!$M$12:$R$112*('W2'!$M$7:$R$7=$A860)*('W2'!$A$12:$A$112=$B860))*$H$10*POWER(1+Inflation,Z$11+1)</f>
        <v>-1092.9222428905475</v>
      </c>
      <c r="AA860" s="550" cm="1">
        <f t="array" ref="AA860">-SUMPRODUCT('W2'!$M$12:$R$112*('W2'!$M$7:$R$7=$A860)*('W2'!$A$12:$A$112=$B860))*$H$10*POWER(1+Inflation,AA$11+1)</f>
        <v>-1147.5683550350748</v>
      </c>
      <c r="AB860" s="550" cm="1">
        <f t="array" ref="AB860">-SUMPRODUCT('W2'!$M$12:$R$112*('W2'!$M$7:$R$7=$A860)*('W2'!$A$12:$A$112=$B860))*$H$10*POWER(1+Inflation,AB$11+1)</f>
        <v>-1204.9467727868289</v>
      </c>
      <c r="AC860" s="550" cm="1">
        <f t="array" ref="AC860">-SUMPRODUCT('W2'!$M$12:$R$112*('W2'!$M$7:$R$7=$A860)*('W2'!$A$12:$A$112=$B860))*$H$10*POWER(1+Inflation,AC$11+1)</f>
        <v>-1265.1941114261701</v>
      </c>
      <c r="AD860" s="550" cm="1">
        <f t="array" ref="AD860">-SUMPRODUCT('W2'!$M$12:$R$112*('W2'!$M$7:$R$7=$A860)*('W2'!$A$12:$A$112=$B860))*$H$10*POWER(1+Inflation,AD$11+1)</f>
        <v>-1328.453816997479</v>
      </c>
      <c r="AE860" s="550" cm="1">
        <f t="array" ref="AE860">-SUMPRODUCT('W2'!$M$12:$R$112*('W2'!$M$7:$R$7=$A860)*('W2'!$A$12:$A$112=$B860))*$H$10*POWER(1+Inflation,AE$11+1)</f>
        <v>-1394.8765078473527</v>
      </c>
      <c r="AF860" s="550" cm="1">
        <f t="array" ref="AF860">-SUMPRODUCT('W2'!$M$12:$R$112*('W2'!$M$7:$R$7=$A860)*('W2'!$A$12:$A$112=$B860))*$H$10*POWER(1+Inflation,AF$11+1)</f>
        <v>-1464.6203332397204</v>
      </c>
      <c r="AG860" s="550" cm="1">
        <f t="array" ref="AG860">-SUMPRODUCT('W2'!$M$12:$R$112*('W2'!$M$7:$R$7=$A860)*('W2'!$A$12:$A$112=$B860))*$H$10*POWER(1+Inflation,AG$11+1)</f>
        <v>-1537.8513499017065</v>
      </c>
      <c r="AH860" s="550" cm="1">
        <f t="array" ref="AH860">-SUMPRODUCT('W2'!$M$12:$R$112*('W2'!$M$7:$R$7=$A860)*('W2'!$A$12:$A$112=$B860))*$H$10*POWER(1+Inflation,AH$11+1)</f>
        <v>-1614.7439173967916</v>
      </c>
      <c r="AI860" s="550" cm="1">
        <f t="array" ref="AI860">-SUMPRODUCT('W2'!$M$12:$R$112*('W2'!$M$7:$R$7=$A860)*('W2'!$A$12:$A$112=$B860))*$H$10*POWER(1+Inflation,AI$11+1)</f>
        <v>-1695.4811132666312</v>
      </c>
      <c r="AJ860" s="550" cm="1">
        <f t="array" ref="AJ860">-SUMPRODUCT('W2'!$M$12:$R$112*('W2'!$M$7:$R$7=$A860)*('W2'!$A$12:$A$112=$B860))*$H$10*POWER(1+Inflation,AJ$11+1)</f>
        <v>-1780.255168929963</v>
      </c>
    </row>
    <row r="861" spans="1:36" hidden="1" x14ac:dyDescent="0.25">
      <c r="A861" t="s">
        <v>695</v>
      </c>
      <c r="B861" t="s">
        <v>521</v>
      </c>
      <c r="H861" s="454" t="s">
        <v>520</v>
      </c>
      <c r="I861" s="497" t="str">
        <f t="shared" si="1195"/>
        <v>tr. VND</v>
      </c>
      <c r="K861" s="550"/>
      <c r="L861" s="550" cm="1">
        <f t="array" ref="L861">-SUMPRODUCT('W2'!$M$12:$R$112*('W2'!$M$7:$R$7=$A861)*('W2'!$A$12:$A$112=$B861))*$H$10</f>
        <v>-629.98</v>
      </c>
      <c r="M861" s="550" cm="1">
        <f t="array" ref="M861">-SUMPRODUCT('W2'!$M$12:$R$112*('W2'!$M$7:$R$7=$A861)*('W2'!$A$12:$A$112=$B861))*$H$10</f>
        <v>-629.98</v>
      </c>
      <c r="N861" s="550" cm="1">
        <f t="array" ref="N861">-SUMPRODUCT('W2'!$M$12:$R$112*('W2'!$M$7:$R$7=$A861)*('W2'!$A$12:$A$112=$B861))*$H$10</f>
        <v>-629.98</v>
      </c>
      <c r="O861" s="550" cm="1">
        <f t="array" ref="O861">-SUMPRODUCT('W2'!$M$12:$R$112*('W2'!$M$7:$R$7=$A861)*('W2'!$A$12:$A$112=$B861))*$H$10</f>
        <v>-629.98</v>
      </c>
      <c r="P861" s="550" cm="1">
        <f t="array" ref="P861">-SUMPRODUCT('W2'!$M$12:$R$112*('W2'!$M$7:$R$7=$A861)*('W2'!$A$12:$A$112=$B861))*$H$10</f>
        <v>-629.98</v>
      </c>
      <c r="Q861" s="550" cm="1">
        <f t="array" ref="Q861">-SUMPRODUCT('W2'!$M$12:$R$112*('W2'!$M$7:$R$7=$A861)*('W2'!$A$12:$A$112=$B861))*$H$10</f>
        <v>-629.98</v>
      </c>
      <c r="R861" s="550" cm="1">
        <f t="array" ref="R861">-SUMPRODUCT('W2'!$M$12:$R$112*('W2'!$M$7:$R$7=$A861)*('W2'!$A$12:$A$112=$B861))*$H$10</f>
        <v>-629.98</v>
      </c>
      <c r="S861" s="550" cm="1">
        <f t="array" ref="S861">-SUMPRODUCT('W2'!$M$12:$R$112*('W2'!$M$7:$R$7=$A861)*('W2'!$A$12:$A$112=$B861))*$H$10</f>
        <v>-629.98</v>
      </c>
      <c r="T861" s="550" cm="1">
        <f t="array" ref="T861">-SUMPRODUCT('W2'!$M$12:$R$112*('W2'!$M$7:$R$7=$A861)*('W2'!$A$12:$A$112=$B861))*$H$10</f>
        <v>-629.98</v>
      </c>
      <c r="U861" s="550" cm="1">
        <f t="array" ref="U861">-SUMPRODUCT('W2'!$M$12:$R$112*('W2'!$M$7:$R$7=$A861)*('W2'!$A$12:$A$112=$B861))*$H$10</f>
        <v>-629.98</v>
      </c>
      <c r="V861" s="550" cm="1">
        <f t="array" ref="V861">-SUMPRODUCT('W2'!$M$12:$R$112*('W2'!$M$7:$R$7=$A861)*('W2'!$A$12:$A$112=$B861))*$H$10</f>
        <v>-629.98</v>
      </c>
      <c r="W861" s="550" cm="1">
        <f t="array" ref="W861">-SUMPRODUCT('W2'!$M$12:$R$112*('W2'!$M$7:$R$7=$A861)*('W2'!$A$12:$A$112=$B861))*$H$10</f>
        <v>-629.98</v>
      </c>
      <c r="X861" s="550" cm="1">
        <f t="array" ref="X861">-SUMPRODUCT('W2'!$M$12:$R$112*('W2'!$M$7:$R$7=$A861)*('W2'!$A$12:$A$112=$B861))*$H$10</f>
        <v>-629.98</v>
      </c>
      <c r="Y861" s="550" cm="1">
        <f t="array" ref="Y861">-SUMPRODUCT('W2'!$M$12:$R$112*('W2'!$M$7:$R$7=$A861)*('W2'!$A$12:$A$112=$B861))*$H$10</f>
        <v>-629.98</v>
      </c>
      <c r="Z861" s="550" cm="1">
        <f t="array" ref="Z861">-SUMPRODUCT('W2'!$M$12:$R$112*('W2'!$M$7:$R$7=$A861)*('W2'!$A$12:$A$112=$B861))*$H$10</f>
        <v>-629.98</v>
      </c>
      <c r="AA861" s="550" cm="1">
        <f t="array" ref="AA861">-SUMPRODUCT('W2'!$M$12:$R$112*('W2'!$M$7:$R$7=$A861)*('W2'!$A$12:$A$112=$B861))*$H$10</f>
        <v>-629.98</v>
      </c>
      <c r="AB861" s="550" cm="1">
        <f t="array" ref="AB861">-SUMPRODUCT('W2'!$M$12:$R$112*('W2'!$M$7:$R$7=$A861)*('W2'!$A$12:$A$112=$B861))*$H$10</f>
        <v>-629.98</v>
      </c>
      <c r="AC861" s="550" cm="1">
        <f t="array" ref="AC861">-SUMPRODUCT('W2'!$M$12:$R$112*('W2'!$M$7:$R$7=$A861)*('W2'!$A$12:$A$112=$B861))*$H$10</f>
        <v>-629.98</v>
      </c>
      <c r="AD861" s="550" cm="1">
        <f t="array" ref="AD861">-SUMPRODUCT('W2'!$M$12:$R$112*('W2'!$M$7:$R$7=$A861)*('W2'!$A$12:$A$112=$B861))*$H$10</f>
        <v>-629.98</v>
      </c>
      <c r="AE861" s="550" cm="1">
        <f t="array" ref="AE861">-SUMPRODUCT('W2'!$M$12:$R$112*('W2'!$M$7:$R$7=$A861)*('W2'!$A$12:$A$112=$B861))*$H$10</f>
        <v>-629.98</v>
      </c>
      <c r="AF861" s="550" cm="1">
        <f t="array" ref="AF861">-SUMPRODUCT('W2'!$M$12:$R$112*('W2'!$M$7:$R$7=$A861)*('W2'!$A$12:$A$112=$B861))*$H$10</f>
        <v>-629.98</v>
      </c>
      <c r="AG861" s="550" cm="1">
        <f t="array" ref="AG861">-SUMPRODUCT('W2'!$M$12:$R$112*('W2'!$M$7:$R$7=$A861)*('W2'!$A$12:$A$112=$B861))*$H$10</f>
        <v>-629.98</v>
      </c>
      <c r="AH861" s="550" cm="1">
        <f t="array" ref="AH861">-SUMPRODUCT('W2'!$M$12:$R$112*('W2'!$M$7:$R$7=$A861)*('W2'!$A$12:$A$112=$B861))*$H$10</f>
        <v>-629.98</v>
      </c>
      <c r="AI861" s="550" cm="1">
        <f t="array" ref="AI861">-SUMPRODUCT('W2'!$M$12:$R$112*('W2'!$M$7:$R$7=$A861)*('W2'!$A$12:$A$112=$B861))*$H$10</f>
        <v>-629.98</v>
      </c>
      <c r="AJ861" s="550" cm="1">
        <f t="array" ref="AJ861">-SUMPRODUCT('W2'!$M$12:$R$112*('W2'!$M$7:$R$7=$A861)*('W2'!$A$12:$A$112=$B861))*$H$10</f>
        <v>-629.98</v>
      </c>
    </row>
    <row r="862" spans="1:36" hidden="1" x14ac:dyDescent="0.25">
      <c r="A862" t="s">
        <v>695</v>
      </c>
      <c r="K862" s="243"/>
      <c r="L862" s="243"/>
      <c r="M862" s="243"/>
      <c r="N862" s="243"/>
      <c r="O862" s="243"/>
      <c r="P862" s="243"/>
      <c r="Q862" s="243"/>
      <c r="R862" s="243"/>
      <c r="S862" s="243"/>
      <c r="T862" s="243"/>
      <c r="U862" s="243"/>
      <c r="V862" s="243"/>
      <c r="W862" s="243"/>
      <c r="X862" s="243"/>
      <c r="Y862" s="243"/>
      <c r="Z862" s="243"/>
      <c r="AA862" s="243"/>
      <c r="AB862" s="243"/>
      <c r="AC862" s="243"/>
      <c r="AD862" s="243"/>
      <c r="AE862" s="243"/>
      <c r="AF862" s="243"/>
      <c r="AG862" s="243"/>
      <c r="AH862" s="243"/>
      <c r="AI862" s="243"/>
      <c r="AJ862" s="243"/>
    </row>
    <row r="863" spans="1:36" s="1" customFormat="1" hidden="1" x14ac:dyDescent="0.25">
      <c r="A863" s="1" t="s">
        <v>695</v>
      </c>
      <c r="H863" s="266" t="s">
        <v>435</v>
      </c>
      <c r="I863" s="267" t="str">
        <f t="shared" ref="I863:I866" si="1199">IF($H$9="USD","USD","tr. VND")</f>
        <v>tr. VND</v>
      </c>
      <c r="K863" s="269">
        <f>K864+K867+K870</f>
        <v>0</v>
      </c>
      <c r="L863" s="269">
        <f t="shared" ref="L863:AJ863" si="1200">L864+L867+L870</f>
        <v>-92697.518603688106</v>
      </c>
      <c r="M863" s="269">
        <f t="shared" si="1200"/>
        <v>-129019.47917049669</v>
      </c>
      <c r="N863" s="269">
        <f t="shared" si="1200"/>
        <v>-187636.47281225171</v>
      </c>
      <c r="O863" s="269">
        <f t="shared" si="1200"/>
        <v>-191877.48204504777</v>
      </c>
      <c r="P863" s="269">
        <f t="shared" si="1200"/>
        <v>-196228.80061719395</v>
      </c>
      <c r="Q863" s="269">
        <f t="shared" si="1200"/>
        <v>-200693.90917321196</v>
      </c>
      <c r="R863" s="269">
        <f t="shared" si="1200"/>
        <v>-205276.42169340077</v>
      </c>
      <c r="S863" s="269">
        <f t="shared" si="1200"/>
        <v>-209980.09134669622</v>
      </c>
      <c r="T863" s="269">
        <f t="shared" si="1200"/>
        <v>-214808.81661989557</v>
      </c>
      <c r="U863" s="269">
        <f t="shared" si="1200"/>
        <v>-219766.6477367389</v>
      </c>
      <c r="V863" s="269">
        <f t="shared" si="1200"/>
        <v>-224857.79338100806</v>
      </c>
      <c r="W863" s="269">
        <f t="shared" si="1200"/>
        <v>-230086.62773850595</v>
      </c>
      <c r="X863" s="269">
        <f t="shared" si="1200"/>
        <v>-234407.73120684765</v>
      </c>
      <c r="Y863" s="269">
        <f t="shared" si="1200"/>
        <v>-239925.76478943482</v>
      </c>
      <c r="Z863" s="269">
        <f t="shared" si="1200"/>
        <v>-245595.67819079623</v>
      </c>
      <c r="AA863" s="269">
        <f t="shared" si="1200"/>
        <v>-251422.58496466352</v>
      </c>
      <c r="AB863" s="269">
        <f t="shared" si="1200"/>
        <v>-257411.80473371065</v>
      </c>
      <c r="AC863" s="269">
        <f t="shared" si="1200"/>
        <v>-263568.87250082649</v>
      </c>
      <c r="AD863" s="269">
        <f t="shared" si="1200"/>
        <v>-269899.54840610671</v>
      </c>
      <c r="AE863" s="269">
        <f t="shared" si="1200"/>
        <v>-276409.82795145572</v>
      </c>
      <c r="AF863" s="269">
        <f t="shared" si="1200"/>
        <v>-283105.95271577308</v>
      </c>
      <c r="AG863" s="269">
        <f t="shared" si="1200"/>
        <v>-289994.4215848411</v>
      </c>
      <c r="AH863" s="269">
        <f t="shared" si="1200"/>
        <v>-297082.00252122822</v>
      </c>
      <c r="AI863" s="269">
        <f t="shared" si="1200"/>
        <v>-304375.74490077759</v>
      </c>
      <c r="AJ863" s="269">
        <f t="shared" si="1200"/>
        <v>-311882.99244357407</v>
      </c>
    </row>
    <row r="864" spans="1:36" hidden="1" x14ac:dyDescent="0.25">
      <c r="A864" t="s">
        <v>695</v>
      </c>
      <c r="H864" s="637" t="s">
        <v>454</v>
      </c>
      <c r="I864" s="638" t="str">
        <f t="shared" si="1199"/>
        <v>tr. VND</v>
      </c>
      <c r="K864" s="639">
        <f>SUM(K865:K866)</f>
        <v>0</v>
      </c>
      <c r="L864" s="639">
        <f t="shared" ref="L864:AJ864" si="1201">SUM(L865:L866)</f>
        <v>-83121.831936000002</v>
      </c>
      <c r="M864" s="639">
        <f t="shared" si="1201"/>
        <v>-116370.56471040001</v>
      </c>
      <c r="N864" s="639">
        <f t="shared" si="1201"/>
        <v>-169568.53714944003</v>
      </c>
      <c r="O864" s="639">
        <f t="shared" si="1201"/>
        <v>-172959.90789242883</v>
      </c>
      <c r="P864" s="639">
        <f t="shared" si="1201"/>
        <v>-176419.10605027739</v>
      </c>
      <c r="Q864" s="639">
        <f t="shared" si="1201"/>
        <v>-179947.48817128292</v>
      </c>
      <c r="R864" s="639">
        <f t="shared" si="1201"/>
        <v>-183546.43793470861</v>
      </c>
      <c r="S864" s="639">
        <f t="shared" si="1201"/>
        <v>-187217.36669340279</v>
      </c>
      <c r="T864" s="639">
        <f t="shared" si="1201"/>
        <v>-190961.71402727079</v>
      </c>
      <c r="U864" s="639">
        <f t="shared" si="1201"/>
        <v>-194780.9483078162</v>
      </c>
      <c r="V864" s="639">
        <f t="shared" si="1201"/>
        <v>-198676.56727397256</v>
      </c>
      <c r="W864" s="639">
        <f t="shared" si="1201"/>
        <v>-202650.09861945201</v>
      </c>
      <c r="X864" s="639">
        <f t="shared" si="1201"/>
        <v>-206703.10059184101</v>
      </c>
      <c r="Y864" s="639">
        <f t="shared" si="1201"/>
        <v>-210837.16260367786</v>
      </c>
      <c r="Z864" s="639">
        <f t="shared" si="1201"/>
        <v>-215053.90585575142</v>
      </c>
      <c r="AA864" s="639">
        <f t="shared" si="1201"/>
        <v>-219354.98397286647</v>
      </c>
      <c r="AB864" s="639">
        <f t="shared" si="1201"/>
        <v>-223742.08365232372</v>
      </c>
      <c r="AC864" s="639">
        <f t="shared" si="1201"/>
        <v>-228216.92532537025</v>
      </c>
      <c r="AD864" s="639">
        <f t="shared" si="1201"/>
        <v>-232781.26383187764</v>
      </c>
      <c r="AE864" s="639">
        <f t="shared" si="1201"/>
        <v>-237436.88910851517</v>
      </c>
      <c r="AF864" s="639">
        <f t="shared" si="1201"/>
        <v>-242185.6268906855</v>
      </c>
      <c r="AG864" s="639">
        <f t="shared" si="1201"/>
        <v>-247029.3394284992</v>
      </c>
      <c r="AH864" s="639">
        <f t="shared" si="1201"/>
        <v>-251969.92621706918</v>
      </c>
      <c r="AI864" s="639">
        <f t="shared" si="1201"/>
        <v>-257009.32474141059</v>
      </c>
      <c r="AJ864" s="639">
        <f t="shared" si="1201"/>
        <v>-262149.51123623876</v>
      </c>
    </row>
    <row r="865" spans="1:36" s="299" customFormat="1" hidden="1" x14ac:dyDescent="0.25">
      <c r="A865" s="299" t="s">
        <v>695</v>
      </c>
      <c r="B865" s="299" t="s">
        <v>459</v>
      </c>
      <c r="H865" s="554" t="s">
        <v>167</v>
      </c>
      <c r="I865" s="555" t="str">
        <f t="shared" si="1199"/>
        <v>tr. VND</v>
      </c>
      <c r="K865" s="556"/>
      <c r="L865" s="556" cm="1">
        <f t="array" ref="L865">-SUMPRODUCT('W2'!$M$12:$R$112*('W2'!$M$7:$R$7=$A865)*('W2'!$A$12:$A$112=$B865))*L842*$H$10*POWER(1+INDEX('Cover Page'!$H$8:$W$8,MATCH($A865,'Cover Page'!$H$5:$W$5,0)),1+L$13)</f>
        <v>-77303.303700479999</v>
      </c>
      <c r="M865" s="556" cm="1">
        <f t="array" ref="M865">-SUMPRODUCT('W2'!$M$12:$R$112*('W2'!$M$7:$R$7=$A865)*('W2'!$A$12:$A$112=$B865))*M842*$H$10*POWER(1+INDEX('Cover Page'!$H$8:$W$8,MATCH($A842,'Cover Page'!$H$5:$W$5,0)),1+M$13)</f>
        <v>-108224.625180672</v>
      </c>
      <c r="N865" s="556" cm="1">
        <f t="array" ref="N865">-SUMPRODUCT('W2'!$M$12:$R$112*('W2'!$M$7:$R$7=$A865)*('W2'!$A$12:$A$112=$B865))*N842*$H$10*POWER(1+INDEX('Cover Page'!$H$8:$W$8,MATCH($A842,'Cover Page'!$H$5:$W$5,0)),1+N$13)</f>
        <v>-157698.73954897921</v>
      </c>
      <c r="O865" s="556" cm="1">
        <f t="array" ref="O865">-SUMPRODUCT('W2'!$M$12:$R$112*('W2'!$M$7:$R$7=$A865)*('W2'!$A$12:$A$112=$B865))*O842*$H$10*POWER(1+INDEX('Cover Page'!$H$8:$W$8,MATCH($A842,'Cover Page'!$H$5:$W$5,0)),1+O$13)</f>
        <v>-160852.71433995879</v>
      </c>
      <c r="P865" s="556" cm="1">
        <f t="array" ref="P865">-SUMPRODUCT('W2'!$M$12:$R$112*('W2'!$M$7:$R$7=$A865)*('W2'!$A$12:$A$112=$B865))*P842*$H$10*POWER(1+INDEX('Cover Page'!$H$8:$W$8,MATCH($A842,'Cover Page'!$H$5:$W$5,0)),1+P$13)</f>
        <v>-164069.76862675796</v>
      </c>
      <c r="Q865" s="556" cm="1">
        <f t="array" ref="Q865">-SUMPRODUCT('W2'!$M$12:$R$112*('W2'!$M$7:$R$7=$A865)*('W2'!$A$12:$A$112=$B865))*Q842*$H$10*POWER(1+INDEX('Cover Page'!$H$8:$W$8,MATCH($A842,'Cover Page'!$H$5:$W$5,0)),1+Q$13)</f>
        <v>-167351.16399929312</v>
      </c>
      <c r="R865" s="556" cm="1">
        <f t="array" ref="R865">-SUMPRODUCT('W2'!$M$12:$R$112*('W2'!$M$7:$R$7=$A865)*('W2'!$A$12:$A$112=$B865))*R842*$H$10*POWER(1+INDEX('Cover Page'!$H$8:$W$8,MATCH($A842,'Cover Page'!$H$5:$W$5,0)),1+R$13)</f>
        <v>-170698.18727927899</v>
      </c>
      <c r="S865" s="556" cm="1">
        <f t="array" ref="S865">-SUMPRODUCT('W2'!$M$12:$R$112*('W2'!$M$7:$R$7=$A865)*('W2'!$A$12:$A$112=$B865))*S842*$H$10*POWER(1+INDEX('Cover Page'!$H$8:$W$8,MATCH($A842,'Cover Page'!$H$5:$W$5,0)),1+S$13)</f>
        <v>-174112.15102486458</v>
      </c>
      <c r="T865" s="556" cm="1">
        <f t="array" ref="T865">-SUMPRODUCT('W2'!$M$12:$R$112*('W2'!$M$7:$R$7=$A865)*('W2'!$A$12:$A$112=$B865))*T842*$H$10*POWER(1+INDEX('Cover Page'!$H$8:$W$8,MATCH($A842,'Cover Page'!$H$5:$W$5,0)),1+T$13)</f>
        <v>-177594.39404536181</v>
      </c>
      <c r="U865" s="556" cm="1">
        <f t="array" ref="U865">-SUMPRODUCT('W2'!$M$12:$R$112*('W2'!$M$7:$R$7=$A865)*('W2'!$A$12:$A$112=$B865))*U842*$H$10*POWER(1+INDEX('Cover Page'!$H$8:$W$8,MATCH($A842,'Cover Page'!$H$5:$W$5,0)),1+U$13)</f>
        <v>-181146.28192626906</v>
      </c>
      <c r="V865" s="556" cm="1">
        <f t="array" ref="V865">-SUMPRODUCT('W2'!$M$12:$R$112*('W2'!$M$7:$R$7=$A865)*('W2'!$A$12:$A$112=$B865))*V842*$H$10*POWER(1+INDEX('Cover Page'!$H$8:$W$8,MATCH($A842,'Cover Page'!$H$5:$W$5,0)),1+V$13)</f>
        <v>-184769.20756479446</v>
      </c>
      <c r="W865" s="556" cm="1">
        <f t="array" ref="W865">-SUMPRODUCT('W2'!$M$12:$R$112*('W2'!$M$7:$R$7=$A865)*('W2'!$A$12:$A$112=$B865))*W842*$H$10*POWER(1+INDEX('Cover Page'!$H$8:$W$8,MATCH($A842,'Cover Page'!$H$5:$W$5,0)),1+W$13)</f>
        <v>-188464.59171609036</v>
      </c>
      <c r="X865" s="556" cm="1">
        <f t="array" ref="X865">-SUMPRODUCT('W2'!$M$12:$R$112*('W2'!$M$7:$R$7=$A865)*('W2'!$A$12:$A$112=$B865))*X842*$H$10*POWER(1+INDEX('Cover Page'!$H$8:$W$8,MATCH($A842,'Cover Page'!$H$5:$W$5,0)),1+X$13)</f>
        <v>-192233.88355041214</v>
      </c>
      <c r="Y865" s="556" cm="1">
        <f t="array" ref="Y865">-SUMPRODUCT('W2'!$M$12:$R$112*('W2'!$M$7:$R$7=$A865)*('W2'!$A$12:$A$112=$B865))*Y842*$H$10*POWER(1+INDEX('Cover Page'!$H$8:$W$8,MATCH($A842,'Cover Page'!$H$5:$W$5,0)),1+Y$13)</f>
        <v>-196078.56122142039</v>
      </c>
      <c r="Z865" s="556" cm="1">
        <f t="array" ref="Z865">-SUMPRODUCT('W2'!$M$12:$R$112*('W2'!$M$7:$R$7=$A865)*('W2'!$A$12:$A$112=$B865))*Z842*$H$10*POWER(1+INDEX('Cover Page'!$H$8:$W$8,MATCH($A842,'Cover Page'!$H$5:$W$5,0)),1+Z$13)</f>
        <v>-200000.13244584881</v>
      </c>
      <c r="AA865" s="556" cm="1">
        <f t="array" ref="AA865">-SUMPRODUCT('W2'!$M$12:$R$112*('W2'!$M$7:$R$7=$A865)*('W2'!$A$12:$A$112=$B865))*AA842*$H$10*POWER(1+INDEX('Cover Page'!$H$8:$W$8,MATCH($A842,'Cover Page'!$H$5:$W$5,0)),1+AA$13)</f>
        <v>-204000.13509476581</v>
      </c>
      <c r="AB865" s="556" cm="1">
        <f t="array" ref="AB865">-SUMPRODUCT('W2'!$M$12:$R$112*('W2'!$M$7:$R$7=$A865)*('W2'!$A$12:$A$112=$B865))*AB842*$H$10*POWER(1+INDEX('Cover Page'!$H$8:$W$8,MATCH($A842,'Cover Page'!$H$5:$W$5,0)),1+AB$13)</f>
        <v>-208080.13779666106</v>
      </c>
      <c r="AC865" s="556" cm="1">
        <f t="array" ref="AC865">-SUMPRODUCT('W2'!$M$12:$R$112*('W2'!$M$7:$R$7=$A865)*('W2'!$A$12:$A$112=$B865))*AC842*$H$10*POWER(1+INDEX('Cover Page'!$H$8:$W$8,MATCH($A842,'Cover Page'!$H$5:$W$5,0)),1+AC$13)</f>
        <v>-212241.7405525943</v>
      </c>
      <c r="AD865" s="556" cm="1">
        <f t="array" ref="AD865">-SUMPRODUCT('W2'!$M$12:$R$112*('W2'!$M$7:$R$7=$A865)*('W2'!$A$12:$A$112=$B865))*AD842*$H$10*POWER(1+INDEX('Cover Page'!$H$8:$W$8,MATCH($A842,'Cover Page'!$H$5:$W$5,0)),1+AD$13)</f>
        <v>-216486.5753636462</v>
      </c>
      <c r="AE865" s="556" cm="1">
        <f t="array" ref="AE865">-SUMPRODUCT('W2'!$M$12:$R$112*('W2'!$M$7:$R$7=$A865)*('W2'!$A$12:$A$112=$B865))*AE842*$H$10*POWER(1+INDEX('Cover Page'!$H$8:$W$8,MATCH($A842,'Cover Page'!$H$5:$W$5,0)),1+AE$13)</f>
        <v>-220816.3068709191</v>
      </c>
      <c r="AF865" s="556" cm="1">
        <f t="array" ref="AF865">-SUMPRODUCT('W2'!$M$12:$R$112*('W2'!$M$7:$R$7=$A865)*('W2'!$A$12:$A$112=$B865))*AF842*$H$10*POWER(1+INDEX('Cover Page'!$H$8:$W$8,MATCH($A842,'Cover Page'!$H$5:$W$5,0)),1+AF$13)</f>
        <v>-225232.63300833749</v>
      </c>
      <c r="AG865" s="556" cm="1">
        <f t="array" ref="AG865">-SUMPRODUCT('W2'!$M$12:$R$112*('W2'!$M$7:$R$7=$A865)*('W2'!$A$12:$A$112=$B865))*AG842*$H$10*POWER(1+INDEX('Cover Page'!$H$8:$W$8,MATCH($A842,'Cover Page'!$H$5:$W$5,0)),1+AG$13)</f>
        <v>-229737.28566850425</v>
      </c>
      <c r="AH865" s="556" cm="1">
        <f t="array" ref="AH865">-SUMPRODUCT('W2'!$M$12:$R$112*('W2'!$M$7:$R$7=$A865)*('W2'!$A$12:$A$112=$B865))*AH842*$H$10*POWER(1+INDEX('Cover Page'!$H$8:$W$8,MATCH($A842,'Cover Page'!$H$5:$W$5,0)),1+AH$13)</f>
        <v>-234332.03138187432</v>
      </c>
      <c r="AI865" s="556" cm="1">
        <f t="array" ref="AI865">-SUMPRODUCT('W2'!$M$12:$R$112*('W2'!$M$7:$R$7=$A865)*('W2'!$A$12:$A$112=$B865))*AI842*$H$10*POWER(1+INDEX('Cover Page'!$H$8:$W$8,MATCH($A842,'Cover Page'!$H$5:$W$5,0)),1+AI$13)</f>
        <v>-239018.67200951182</v>
      </c>
      <c r="AJ865" s="556" cm="1">
        <f t="array" ref="AJ865">-SUMPRODUCT('W2'!$M$12:$R$112*('W2'!$M$7:$R$7=$A865)*('W2'!$A$12:$A$112=$B865))*AJ842*$H$10*POWER(1+INDEX('Cover Page'!$H$8:$W$8,MATCH($A842,'Cover Page'!$H$5:$W$5,0)),1+AJ$13)</f>
        <v>-243799.04544970201</v>
      </c>
    </row>
    <row r="866" spans="1:36" s="299" customFormat="1" hidden="1" x14ac:dyDescent="0.25">
      <c r="A866" s="299" t="s">
        <v>695</v>
      </c>
      <c r="H866" s="554" t="s">
        <v>203</v>
      </c>
      <c r="I866" s="555" t="str">
        <f t="shared" si="1199"/>
        <v>tr. VND</v>
      </c>
      <c r="K866" s="640"/>
      <c r="L866" s="640">
        <f>L865/(1-L840)-L865</f>
        <v>-5818.5282355200034</v>
      </c>
      <c r="M866" s="640">
        <f t="shared" ref="M866:AJ866" si="1202">M865/(1-M840)-M865</f>
        <v>-8145.9395297280134</v>
      </c>
      <c r="N866" s="640">
        <f t="shared" si="1202"/>
        <v>-11869.797600460821</v>
      </c>
      <c r="O866" s="640">
        <f t="shared" si="1202"/>
        <v>-12107.193552470038</v>
      </c>
      <c r="P866" s="640">
        <f t="shared" si="1202"/>
        <v>-12349.337423519435</v>
      </c>
      <c r="Q866" s="640">
        <f t="shared" si="1202"/>
        <v>-12596.324171989807</v>
      </c>
      <c r="R866" s="640">
        <f t="shared" si="1202"/>
        <v>-12848.250655429612</v>
      </c>
      <c r="S866" s="640">
        <f t="shared" si="1202"/>
        <v>-13105.215668538207</v>
      </c>
      <c r="T866" s="640">
        <f t="shared" si="1202"/>
        <v>-13367.319981908979</v>
      </c>
      <c r="U866" s="640">
        <f t="shared" si="1202"/>
        <v>-13634.66638154714</v>
      </c>
      <c r="V866" s="640">
        <f t="shared" si="1202"/>
        <v>-13907.359709178098</v>
      </c>
      <c r="W866" s="640">
        <f t="shared" si="1202"/>
        <v>-14185.506903361646</v>
      </c>
      <c r="X866" s="640">
        <f t="shared" si="1202"/>
        <v>-14469.21704142887</v>
      </c>
      <c r="Y866" s="640">
        <f t="shared" si="1202"/>
        <v>-14758.601382257475</v>
      </c>
      <c r="Z866" s="640">
        <f t="shared" si="1202"/>
        <v>-15053.773409902613</v>
      </c>
      <c r="AA866" s="640">
        <f t="shared" si="1202"/>
        <v>-15354.84887810066</v>
      </c>
      <c r="AB866" s="640">
        <f t="shared" si="1202"/>
        <v>-15661.945855662663</v>
      </c>
      <c r="AC866" s="640">
        <f t="shared" si="1202"/>
        <v>-15975.184772775945</v>
      </c>
      <c r="AD866" s="640">
        <f t="shared" si="1202"/>
        <v>-16294.688468231441</v>
      </c>
      <c r="AE866" s="640">
        <f t="shared" si="1202"/>
        <v>-16620.582237596071</v>
      </c>
      <c r="AF866" s="640">
        <f t="shared" si="1202"/>
        <v>-16952.993882348004</v>
      </c>
      <c r="AG866" s="640">
        <f t="shared" si="1202"/>
        <v>-17292.053759994946</v>
      </c>
      <c r="AH866" s="640">
        <f t="shared" si="1202"/>
        <v>-17637.894835194864</v>
      </c>
      <c r="AI866" s="640">
        <f t="shared" si="1202"/>
        <v>-17990.652731898765</v>
      </c>
      <c r="AJ866" s="640">
        <f t="shared" si="1202"/>
        <v>-18350.465786536748</v>
      </c>
    </row>
    <row r="867" spans="1:36" hidden="1" x14ac:dyDescent="0.25">
      <c r="A867" t="s">
        <v>695</v>
      </c>
      <c r="H867" s="454" t="s">
        <v>676</v>
      </c>
      <c r="I867" s="497" t="s">
        <v>672</v>
      </c>
      <c r="K867" s="617">
        <f t="shared" ref="K867" si="1203">SUM(K868:K869)</f>
        <v>0</v>
      </c>
      <c r="L867" s="617">
        <f t="shared" ref="L867:AJ867" si="1204">SUM(L868:L869)</f>
        <v>-632.43325753344004</v>
      </c>
      <c r="M867" s="617">
        <f t="shared" si="1204"/>
        <v>-885.40656054681608</v>
      </c>
      <c r="N867" s="617">
        <f t="shared" si="1204"/>
        <v>-1328.1098408202242</v>
      </c>
      <c r="O867" s="617">
        <f t="shared" si="1204"/>
        <v>-1394.5153328612353</v>
      </c>
      <c r="P867" s="617">
        <f t="shared" si="1204"/>
        <v>-1464.2410995042972</v>
      </c>
      <c r="Q867" s="617">
        <f t="shared" si="1204"/>
        <v>-1537.453154479512</v>
      </c>
      <c r="R867" s="617">
        <f t="shared" si="1204"/>
        <v>-1614.3258122034877</v>
      </c>
      <c r="S867" s="617">
        <f t="shared" si="1204"/>
        <v>-1695.0421028136618</v>
      </c>
      <c r="T867" s="617">
        <f t="shared" si="1204"/>
        <v>-1779.7942079543452</v>
      </c>
      <c r="U867" s="617">
        <f t="shared" si="1204"/>
        <v>-1868.7839183520623</v>
      </c>
      <c r="V867" s="617">
        <f t="shared" si="1204"/>
        <v>-1962.2231142696655</v>
      </c>
      <c r="W867" s="617">
        <f t="shared" si="1204"/>
        <v>-2060.3342699831487</v>
      </c>
      <c r="X867" s="617">
        <f t="shared" si="1204"/>
        <v>-2163.3509834823062</v>
      </c>
      <c r="Y867" s="617">
        <f t="shared" si="1204"/>
        <v>-2271.5185326564215</v>
      </c>
      <c r="Z867" s="617">
        <f t="shared" si="1204"/>
        <v>-2385.0944592892429</v>
      </c>
      <c r="AA867" s="617">
        <f t="shared" si="1204"/>
        <v>-2504.3491822537044</v>
      </c>
      <c r="AB867" s="617">
        <f t="shared" si="1204"/>
        <v>-2629.5666413663907</v>
      </c>
      <c r="AC867" s="617">
        <f t="shared" si="1204"/>
        <v>-2761.0449734347098</v>
      </c>
      <c r="AD867" s="617">
        <f t="shared" si="1204"/>
        <v>-2899.0972221064458</v>
      </c>
      <c r="AE867" s="617">
        <f t="shared" si="1204"/>
        <v>-3044.0520832117677</v>
      </c>
      <c r="AF867" s="617">
        <f t="shared" si="1204"/>
        <v>-3196.2546873723563</v>
      </c>
      <c r="AG867" s="617">
        <f t="shared" si="1204"/>
        <v>-3356.0674217409742</v>
      </c>
      <c r="AH867" s="617">
        <f t="shared" si="1204"/>
        <v>-3523.8707928280228</v>
      </c>
      <c r="AI867" s="617">
        <f t="shared" si="1204"/>
        <v>-3700.0643324694233</v>
      </c>
      <c r="AJ867" s="617">
        <f t="shared" si="1204"/>
        <v>-3885.0675490928957</v>
      </c>
    </row>
    <row r="868" spans="1:36" s="299" customFormat="1" hidden="1" x14ac:dyDescent="0.25">
      <c r="A868" s="299" t="s">
        <v>695</v>
      </c>
      <c r="B868" s="299" t="s">
        <v>667</v>
      </c>
      <c r="H868" s="554" t="s">
        <v>673</v>
      </c>
      <c r="I868" s="555" t="s">
        <v>672</v>
      </c>
      <c r="K868" s="556"/>
      <c r="L868" s="556" cm="1">
        <f t="array" ref="L868">-SUMPRODUCT('W2'!$M$12:$R$112*('W2'!$M$7:$R$7=$A868)*('W2'!$A$12:$A$112=$B868))*L848*$H$10*POWER(1+Inflation,L$11+1)</f>
        <v>-632.43325753344004</v>
      </c>
      <c r="M868" s="556" cm="1">
        <f t="array" ref="M868">-SUMPRODUCT('W2'!$M$12:$R$112*('W2'!$M$7:$R$7=$A868)*('W2'!$A$12:$A$112=$B868))*M848*$H$10*POWER(1+Inflation,M$11+1)</f>
        <v>-885.40656054681608</v>
      </c>
      <c r="N868" s="556" cm="1">
        <f t="array" ref="N868">-SUMPRODUCT('W2'!$M$12:$R$112*('W2'!$M$7:$R$7=$A868)*('W2'!$A$12:$A$112=$B868))*N848*$H$10*POWER(1+Inflation,N$11+1)</f>
        <v>-1328.1098408202242</v>
      </c>
      <c r="O868" s="556" cm="1">
        <f t="array" ref="O868">-SUMPRODUCT('W2'!$M$12:$R$112*('W2'!$M$7:$R$7=$A868)*('W2'!$A$12:$A$112=$B868))*O848*$H$10*POWER(1+Inflation,O$11+1)</f>
        <v>-1394.5153328612353</v>
      </c>
      <c r="P868" s="556" cm="1">
        <f t="array" ref="P868">-SUMPRODUCT('W2'!$M$12:$R$112*('W2'!$M$7:$R$7=$A868)*('W2'!$A$12:$A$112=$B868))*P848*$H$10*POWER(1+Inflation,P$11+1)</f>
        <v>-1464.2410995042972</v>
      </c>
      <c r="Q868" s="556" cm="1">
        <f t="array" ref="Q868">-SUMPRODUCT('W2'!$M$12:$R$112*('W2'!$M$7:$R$7=$A868)*('W2'!$A$12:$A$112=$B868))*Q848*$H$10*POWER(1+Inflation,Q$11+1)</f>
        <v>-1537.453154479512</v>
      </c>
      <c r="R868" s="556" cm="1">
        <f t="array" ref="R868">-SUMPRODUCT('W2'!$M$12:$R$112*('W2'!$M$7:$R$7=$A868)*('W2'!$A$12:$A$112=$B868))*R848*$H$10*POWER(1+Inflation,R$11+1)</f>
        <v>-1614.3258122034877</v>
      </c>
      <c r="S868" s="556" cm="1">
        <f t="array" ref="S868">-SUMPRODUCT('W2'!$M$12:$R$112*('W2'!$M$7:$R$7=$A868)*('W2'!$A$12:$A$112=$B868))*S848*$H$10*POWER(1+Inflation,S$11+1)</f>
        <v>-1695.0421028136618</v>
      </c>
      <c r="T868" s="556" cm="1">
        <f t="array" ref="T868">-SUMPRODUCT('W2'!$M$12:$R$112*('W2'!$M$7:$R$7=$A868)*('W2'!$A$12:$A$112=$B868))*T848*$H$10*POWER(1+Inflation,T$11+1)</f>
        <v>-1779.7942079543452</v>
      </c>
      <c r="U868" s="556" cm="1">
        <f t="array" ref="U868">-SUMPRODUCT('W2'!$M$12:$R$112*('W2'!$M$7:$R$7=$A868)*('W2'!$A$12:$A$112=$B868))*U848*$H$10*POWER(1+Inflation,U$11+1)</f>
        <v>-1868.7839183520623</v>
      </c>
      <c r="V868" s="556" cm="1">
        <f t="array" ref="V868">-SUMPRODUCT('W2'!$M$12:$R$112*('W2'!$M$7:$R$7=$A868)*('W2'!$A$12:$A$112=$B868))*V848*$H$10*POWER(1+Inflation,V$11+1)</f>
        <v>-1962.2231142696655</v>
      </c>
      <c r="W868" s="556" cm="1">
        <f t="array" ref="W868">-SUMPRODUCT('W2'!$M$12:$R$112*('W2'!$M$7:$R$7=$A868)*('W2'!$A$12:$A$112=$B868))*W848*$H$10*POWER(1+Inflation,W$11+1)</f>
        <v>-2060.3342699831487</v>
      </c>
      <c r="X868" s="556" cm="1">
        <f t="array" ref="X868">-SUMPRODUCT('W2'!$M$12:$R$112*('W2'!$M$7:$R$7=$A868)*('W2'!$A$12:$A$112=$B868))*X848*$H$10*POWER(1+Inflation,X$11+1)</f>
        <v>-2163.3509834823062</v>
      </c>
      <c r="Y868" s="556" cm="1">
        <f t="array" ref="Y868">-SUMPRODUCT('W2'!$M$12:$R$112*('W2'!$M$7:$R$7=$A868)*('W2'!$A$12:$A$112=$B868))*Y848*$H$10*POWER(1+Inflation,Y$11+1)</f>
        <v>-2271.5185326564215</v>
      </c>
      <c r="Z868" s="556" cm="1">
        <f t="array" ref="Z868">-SUMPRODUCT('W2'!$M$12:$R$112*('W2'!$M$7:$R$7=$A868)*('W2'!$A$12:$A$112=$B868))*Z848*$H$10*POWER(1+Inflation,Z$11+1)</f>
        <v>-2385.0944592892429</v>
      </c>
      <c r="AA868" s="556" cm="1">
        <f t="array" ref="AA868">-SUMPRODUCT('W2'!$M$12:$R$112*('W2'!$M$7:$R$7=$A868)*('W2'!$A$12:$A$112=$B868))*AA848*$H$10*POWER(1+Inflation,AA$11+1)</f>
        <v>-2504.3491822537044</v>
      </c>
      <c r="AB868" s="556" cm="1">
        <f t="array" ref="AB868">-SUMPRODUCT('W2'!$M$12:$R$112*('W2'!$M$7:$R$7=$A868)*('W2'!$A$12:$A$112=$B868))*AB848*$H$10*POWER(1+Inflation,AB$11+1)</f>
        <v>-2629.5666413663907</v>
      </c>
      <c r="AC868" s="556" cm="1">
        <f t="array" ref="AC868">-SUMPRODUCT('W2'!$M$12:$R$112*('W2'!$M$7:$R$7=$A868)*('W2'!$A$12:$A$112=$B868))*AC848*$H$10*POWER(1+Inflation,AC$11+1)</f>
        <v>-2761.0449734347098</v>
      </c>
      <c r="AD868" s="556" cm="1">
        <f t="array" ref="AD868">-SUMPRODUCT('W2'!$M$12:$R$112*('W2'!$M$7:$R$7=$A868)*('W2'!$A$12:$A$112=$B868))*AD848*$H$10*POWER(1+Inflation,AD$11+1)</f>
        <v>-2899.0972221064458</v>
      </c>
      <c r="AE868" s="556" cm="1">
        <f t="array" ref="AE868">-SUMPRODUCT('W2'!$M$12:$R$112*('W2'!$M$7:$R$7=$A868)*('W2'!$A$12:$A$112=$B868))*AE848*$H$10*POWER(1+Inflation,AE$11+1)</f>
        <v>-3044.0520832117677</v>
      </c>
      <c r="AF868" s="556" cm="1">
        <f t="array" ref="AF868">-SUMPRODUCT('W2'!$M$12:$R$112*('W2'!$M$7:$R$7=$A868)*('W2'!$A$12:$A$112=$B868))*AF848*$H$10*POWER(1+Inflation,AF$11+1)</f>
        <v>-3196.2546873723563</v>
      </c>
      <c r="AG868" s="556" cm="1">
        <f t="array" ref="AG868">-SUMPRODUCT('W2'!$M$12:$R$112*('W2'!$M$7:$R$7=$A868)*('W2'!$A$12:$A$112=$B868))*AG848*$H$10*POWER(1+Inflation,AG$11+1)</f>
        <v>-3356.0674217409742</v>
      </c>
      <c r="AH868" s="556" cm="1">
        <f t="array" ref="AH868">-SUMPRODUCT('W2'!$M$12:$R$112*('W2'!$M$7:$R$7=$A868)*('W2'!$A$12:$A$112=$B868))*AH848*$H$10*POWER(1+Inflation,AH$11+1)</f>
        <v>-3523.8707928280228</v>
      </c>
      <c r="AI868" s="556" cm="1">
        <f t="array" ref="AI868">-SUMPRODUCT('W2'!$M$12:$R$112*('W2'!$M$7:$R$7=$A868)*('W2'!$A$12:$A$112=$B868))*AI848*$H$10*POWER(1+Inflation,AI$11+1)</f>
        <v>-3700.0643324694233</v>
      </c>
      <c r="AJ868" s="556" cm="1">
        <f t="array" ref="AJ868">-SUMPRODUCT('W2'!$M$12:$R$112*('W2'!$M$7:$R$7=$A868)*('W2'!$A$12:$A$112=$B868))*AJ848*$H$10*POWER(1+Inflation,AJ$11+1)</f>
        <v>-3885.0675490928957</v>
      </c>
    </row>
    <row r="869" spans="1:36" s="299" customFormat="1" hidden="1" x14ac:dyDescent="0.25">
      <c r="A869" s="299" t="s">
        <v>695</v>
      </c>
      <c r="B869" s="299" t="s">
        <v>668</v>
      </c>
      <c r="H869" s="554" t="s">
        <v>674</v>
      </c>
      <c r="I869" s="555" t="s">
        <v>672</v>
      </c>
      <c r="K869" s="556"/>
      <c r="L869" s="556" cm="1">
        <f t="array" ref="L869">-SUMPRODUCT('W2'!$M$12:$R$112*('W2'!$M$7:$R$7=$A869)*('W2'!$A$12:$A$112=$B869))*L849*$H$10*POWER(1+Inflation,L$11+1)</f>
        <v>0</v>
      </c>
      <c r="M869" s="556" cm="1">
        <f t="array" ref="M869">-SUMPRODUCT('W2'!$M$12:$R$112*('W2'!$M$7:$R$7=$A869)*('W2'!$A$12:$A$112=$B869))*M849*$H$10*POWER(1+Inflation,M$11+1)</f>
        <v>0</v>
      </c>
      <c r="N869" s="556" cm="1">
        <f t="array" ref="N869">-SUMPRODUCT('W2'!$M$12:$R$112*('W2'!$M$7:$R$7=$A869)*('W2'!$A$12:$A$112=$B869))*N849*$H$10*POWER(1+Inflation,N$11+1)</f>
        <v>0</v>
      </c>
      <c r="O869" s="556" cm="1">
        <f t="array" ref="O869">-SUMPRODUCT('W2'!$M$12:$R$112*('W2'!$M$7:$R$7=$A869)*('W2'!$A$12:$A$112=$B869))*O849*$H$10*POWER(1+Inflation,O$11+1)</f>
        <v>0</v>
      </c>
      <c r="P869" s="556" cm="1">
        <f t="array" ref="P869">-SUMPRODUCT('W2'!$M$12:$R$112*('W2'!$M$7:$R$7=$A869)*('W2'!$A$12:$A$112=$B869))*P849*$H$10*POWER(1+Inflation,P$11+1)</f>
        <v>0</v>
      </c>
      <c r="Q869" s="556" cm="1">
        <f t="array" ref="Q869">-SUMPRODUCT('W2'!$M$12:$R$112*('W2'!$M$7:$R$7=$A869)*('W2'!$A$12:$A$112=$B869))*Q849*$H$10*POWER(1+Inflation,Q$11+1)</f>
        <v>0</v>
      </c>
      <c r="R869" s="556" cm="1">
        <f t="array" ref="R869">-SUMPRODUCT('W2'!$M$12:$R$112*('W2'!$M$7:$R$7=$A869)*('W2'!$A$12:$A$112=$B869))*R849*$H$10*POWER(1+Inflation,R$11+1)</f>
        <v>0</v>
      </c>
      <c r="S869" s="556" cm="1">
        <f t="array" ref="S869">-SUMPRODUCT('W2'!$M$12:$R$112*('W2'!$M$7:$R$7=$A869)*('W2'!$A$12:$A$112=$B869))*S849*$H$10*POWER(1+Inflation,S$11+1)</f>
        <v>0</v>
      </c>
      <c r="T869" s="556" cm="1">
        <f t="array" ref="T869">-SUMPRODUCT('W2'!$M$12:$R$112*('W2'!$M$7:$R$7=$A869)*('W2'!$A$12:$A$112=$B869))*T849*$H$10*POWER(1+Inflation,T$11+1)</f>
        <v>0</v>
      </c>
      <c r="U869" s="556" cm="1">
        <f t="array" ref="U869">-SUMPRODUCT('W2'!$M$12:$R$112*('W2'!$M$7:$R$7=$A869)*('W2'!$A$12:$A$112=$B869))*U849*$H$10*POWER(1+Inflation,U$11+1)</f>
        <v>0</v>
      </c>
      <c r="V869" s="556" cm="1">
        <f t="array" ref="V869">-SUMPRODUCT('W2'!$M$12:$R$112*('W2'!$M$7:$R$7=$A869)*('W2'!$A$12:$A$112=$B869))*V849*$H$10*POWER(1+Inflation,V$11+1)</f>
        <v>0</v>
      </c>
      <c r="W869" s="556" cm="1">
        <f t="array" ref="W869">-SUMPRODUCT('W2'!$M$12:$R$112*('W2'!$M$7:$R$7=$A869)*('W2'!$A$12:$A$112=$B869))*W849*$H$10*POWER(1+Inflation,W$11+1)</f>
        <v>0</v>
      </c>
      <c r="X869" s="556" cm="1">
        <f t="array" ref="X869">-SUMPRODUCT('W2'!$M$12:$R$112*('W2'!$M$7:$R$7=$A869)*('W2'!$A$12:$A$112=$B869))*X849*$H$10*POWER(1+Inflation,X$11+1)</f>
        <v>0</v>
      </c>
      <c r="Y869" s="556" cm="1">
        <f t="array" ref="Y869">-SUMPRODUCT('W2'!$M$12:$R$112*('W2'!$M$7:$R$7=$A869)*('W2'!$A$12:$A$112=$B869))*Y849*$H$10*POWER(1+Inflation,Y$11+1)</f>
        <v>0</v>
      </c>
      <c r="Z869" s="556" cm="1">
        <f t="array" ref="Z869">-SUMPRODUCT('W2'!$M$12:$R$112*('W2'!$M$7:$R$7=$A869)*('W2'!$A$12:$A$112=$B869))*Z849*$H$10*POWER(1+Inflation,Z$11+1)</f>
        <v>0</v>
      </c>
      <c r="AA869" s="556" cm="1">
        <f t="array" ref="AA869">-SUMPRODUCT('W2'!$M$12:$R$112*('W2'!$M$7:$R$7=$A869)*('W2'!$A$12:$A$112=$B869))*AA849*$H$10*POWER(1+Inflation,AA$11+1)</f>
        <v>0</v>
      </c>
      <c r="AB869" s="556" cm="1">
        <f t="array" ref="AB869">-SUMPRODUCT('W2'!$M$12:$R$112*('W2'!$M$7:$R$7=$A869)*('W2'!$A$12:$A$112=$B869))*AB849*$H$10*POWER(1+Inflation,AB$11+1)</f>
        <v>0</v>
      </c>
      <c r="AC869" s="556" cm="1">
        <f t="array" ref="AC869">-SUMPRODUCT('W2'!$M$12:$R$112*('W2'!$M$7:$R$7=$A869)*('W2'!$A$12:$A$112=$B869))*AC849*$H$10*POWER(1+Inflation,AC$11+1)</f>
        <v>0</v>
      </c>
      <c r="AD869" s="556" cm="1">
        <f t="array" ref="AD869">-SUMPRODUCT('W2'!$M$12:$R$112*('W2'!$M$7:$R$7=$A869)*('W2'!$A$12:$A$112=$B869))*AD849*$H$10*POWER(1+Inflation,AD$11+1)</f>
        <v>0</v>
      </c>
      <c r="AE869" s="556" cm="1">
        <f t="array" ref="AE869">-SUMPRODUCT('W2'!$M$12:$R$112*('W2'!$M$7:$R$7=$A869)*('W2'!$A$12:$A$112=$B869))*AE849*$H$10*POWER(1+Inflation,AE$11+1)</f>
        <v>0</v>
      </c>
      <c r="AF869" s="556" cm="1">
        <f t="array" ref="AF869">-SUMPRODUCT('W2'!$M$12:$R$112*('W2'!$M$7:$R$7=$A869)*('W2'!$A$12:$A$112=$B869))*AF849*$H$10*POWER(1+Inflation,AF$11+1)</f>
        <v>0</v>
      </c>
      <c r="AG869" s="556" cm="1">
        <f t="array" ref="AG869">-SUMPRODUCT('W2'!$M$12:$R$112*('W2'!$M$7:$R$7=$A869)*('W2'!$A$12:$A$112=$B869))*AG849*$H$10*POWER(1+Inflation,AG$11+1)</f>
        <v>0</v>
      </c>
      <c r="AH869" s="556" cm="1">
        <f t="array" ref="AH869">-SUMPRODUCT('W2'!$M$12:$R$112*('W2'!$M$7:$R$7=$A869)*('W2'!$A$12:$A$112=$B869))*AH849*$H$10*POWER(1+Inflation,AH$11+1)</f>
        <v>0</v>
      </c>
      <c r="AI869" s="556" cm="1">
        <f t="array" ref="AI869">-SUMPRODUCT('W2'!$M$12:$R$112*('W2'!$M$7:$R$7=$A869)*('W2'!$A$12:$A$112=$B869))*AI849*$H$10*POWER(1+Inflation,AI$11+1)</f>
        <v>0</v>
      </c>
      <c r="AJ869" s="556" cm="1">
        <f t="array" ref="AJ869">-SUMPRODUCT('W2'!$M$12:$R$112*('W2'!$M$7:$R$7=$A869)*('W2'!$A$12:$A$112=$B869))*AJ849*$H$10*POWER(1+Inflation,AJ$11+1)</f>
        <v>0</v>
      </c>
    </row>
    <row r="870" spans="1:36" hidden="1" x14ac:dyDescent="0.25">
      <c r="A870" t="s">
        <v>695</v>
      </c>
      <c r="H870" s="454" t="s">
        <v>180</v>
      </c>
      <c r="I870" s="497" t="str">
        <f t="shared" ref="I870:I873" si="1205">IF($H$9="USD","USD","tr. VND")</f>
        <v>tr. VND</v>
      </c>
      <c r="K870" s="617">
        <f>SUM(K871:K873)</f>
        <v>0</v>
      </c>
      <c r="L870" s="617">
        <f>SUM(L871:L873)</f>
        <v>-8943.2534101546662</v>
      </c>
      <c r="M870" s="617">
        <f t="shared" ref="M870:AJ870" si="1206">SUM(M871:M873)</f>
        <v>-11763.507899549866</v>
      </c>
      <c r="N870" s="617">
        <f t="shared" si="1206"/>
        <v>-16739.825821991468</v>
      </c>
      <c r="O870" s="617">
        <f t="shared" si="1206"/>
        <v>-17523.058819757709</v>
      </c>
      <c r="P870" s="617">
        <f t="shared" si="1206"/>
        <v>-18345.453467412262</v>
      </c>
      <c r="Q870" s="617">
        <f t="shared" si="1206"/>
        <v>-19208.967847449538</v>
      </c>
      <c r="R870" s="617">
        <f t="shared" si="1206"/>
        <v>-20115.657946488682</v>
      </c>
      <c r="S870" s="617">
        <f t="shared" si="1206"/>
        <v>-21067.682550479785</v>
      </c>
      <c r="T870" s="617">
        <f t="shared" si="1206"/>
        <v>-22067.308384670443</v>
      </c>
      <c r="U870" s="617">
        <f t="shared" si="1206"/>
        <v>-23116.915510570627</v>
      </c>
      <c r="V870" s="617">
        <f t="shared" si="1206"/>
        <v>-24219.002992765825</v>
      </c>
      <c r="W870" s="617">
        <f t="shared" si="1206"/>
        <v>-25376.194849070787</v>
      </c>
      <c r="X870" s="617">
        <f t="shared" si="1206"/>
        <v>-25541.279631524329</v>
      </c>
      <c r="Y870" s="617">
        <f t="shared" si="1206"/>
        <v>-26817.083653100541</v>
      </c>
      <c r="Z870" s="617">
        <f t="shared" si="1206"/>
        <v>-28156.677875755569</v>
      </c>
      <c r="AA870" s="617">
        <f t="shared" si="1206"/>
        <v>-29563.251809543344</v>
      </c>
      <c r="AB870" s="617">
        <f t="shared" si="1206"/>
        <v>-31040.15444002052</v>
      </c>
      <c r="AC870" s="617">
        <f t="shared" si="1206"/>
        <v>-32590.902202021545</v>
      </c>
      <c r="AD870" s="617">
        <f t="shared" si="1206"/>
        <v>-34219.187352122623</v>
      </c>
      <c r="AE870" s="617">
        <f t="shared" si="1206"/>
        <v>-35928.886759728761</v>
      </c>
      <c r="AF870" s="617">
        <f t="shared" si="1206"/>
        <v>-37724.071137715197</v>
      </c>
      <c r="AG870" s="617">
        <f t="shared" si="1206"/>
        <v>-39609.014734600954</v>
      </c>
      <c r="AH870" s="617">
        <f t="shared" si="1206"/>
        <v>-41588.205511330998</v>
      </c>
      <c r="AI870" s="617">
        <f t="shared" si="1206"/>
        <v>-43666.355826897547</v>
      </c>
      <c r="AJ870" s="617">
        <f t="shared" si="1206"/>
        <v>-45848.41365824244</v>
      </c>
    </row>
    <row r="871" spans="1:36" s="299" customFormat="1" hidden="1" x14ac:dyDescent="0.25">
      <c r="A871" s="299" t="s">
        <v>695</v>
      </c>
      <c r="B871" s="299" t="s">
        <v>174</v>
      </c>
      <c r="H871" s="554" t="s">
        <v>73</v>
      </c>
      <c r="I871" s="555" t="str">
        <f t="shared" si="1205"/>
        <v>tr. VND</v>
      </c>
      <c r="K871" s="556"/>
      <c r="L871" s="556" cm="1">
        <f t="array" ref="L871">-SUMPRODUCT('W2'!$M$12:$R$112*('W2'!$M$7:$R$7=$A871)*('W2'!$A$12:$A$112=$B871))*L841*24*$H$10*POWER(1+Inflation,L$11+1)</f>
        <v>-5755.6984320000001</v>
      </c>
      <c r="M871" s="556" cm="1">
        <f t="array" ref="M871">-SUMPRODUCT('W2'!$M$12:$R$112*('W2'!$M$7:$R$7=$A871)*('W2'!$A$12:$A$112=$B871))*M841*24*$H$10*POWER(1+Inflation,M$11+1)</f>
        <v>-8057.9778047999989</v>
      </c>
      <c r="N871" s="556" cm="1">
        <f t="array" ref="N871">-SUMPRODUCT('W2'!$M$12:$R$112*('W2'!$M$7:$R$7=$A871)*('W2'!$A$12:$A$112=$B871))*N841*24*$H$10*POWER(1+Inflation,N$11+1)</f>
        <v>-12086.966707200001</v>
      </c>
      <c r="O871" s="556" cm="1">
        <f t="array" ref="O871">-SUMPRODUCT('W2'!$M$12:$R$112*('W2'!$M$7:$R$7=$A871)*('W2'!$A$12:$A$112=$B871))*O841*24*$H$10*POWER(1+Inflation,O$11+1)</f>
        <v>-12691.315042560002</v>
      </c>
      <c r="P871" s="556" cm="1">
        <f t="array" ref="P871">-SUMPRODUCT('W2'!$M$12:$R$112*('W2'!$M$7:$R$7=$A871)*('W2'!$A$12:$A$112=$B871))*P841*24*$H$10*POWER(1+Inflation,P$11+1)</f>
        <v>-13325.880794688002</v>
      </c>
      <c r="Q871" s="556" cm="1">
        <f t="array" ref="Q871">-SUMPRODUCT('W2'!$M$12:$R$112*('W2'!$M$7:$R$7=$A871)*('W2'!$A$12:$A$112=$B871))*Q841*24*$H$10*POWER(1+Inflation,Q$11+1)</f>
        <v>-13992.1748344224</v>
      </c>
      <c r="R871" s="556" cm="1">
        <f t="array" ref="R871">-SUMPRODUCT('W2'!$M$12:$R$112*('W2'!$M$7:$R$7=$A871)*('W2'!$A$12:$A$112=$B871))*R841*24*$H$10*POWER(1+Inflation,R$11+1)</f>
        <v>-14691.783576143522</v>
      </c>
      <c r="S871" s="556" cm="1">
        <f t="array" ref="S871">-SUMPRODUCT('W2'!$M$12:$R$112*('W2'!$M$7:$R$7=$A871)*('W2'!$A$12:$A$112=$B871))*S841*24*$H$10*POWER(1+Inflation,S$11+1)</f>
        <v>-15426.372754950697</v>
      </c>
      <c r="T871" s="556" cm="1">
        <f t="array" ref="T871">-SUMPRODUCT('W2'!$M$12:$R$112*('W2'!$M$7:$R$7=$A871)*('W2'!$A$12:$A$112=$B871))*T841*24*$H$10*POWER(1+Inflation,T$11+1)</f>
        <v>-16197.691392698234</v>
      </c>
      <c r="U871" s="556" cm="1">
        <f t="array" ref="U871">-SUMPRODUCT('W2'!$M$12:$R$112*('W2'!$M$7:$R$7=$A871)*('W2'!$A$12:$A$112=$B871))*U841*24*$H$10*POWER(1+Inflation,U$11+1)</f>
        <v>-17007.575962333143</v>
      </c>
      <c r="V871" s="556" cm="1">
        <f t="array" ref="V871">-SUMPRODUCT('W2'!$M$12:$R$112*('W2'!$M$7:$R$7=$A871)*('W2'!$A$12:$A$112=$B871))*V841*24*$H$10*POWER(1+Inflation,V$11+1)</f>
        <v>-17857.9547604498</v>
      </c>
      <c r="W871" s="556" cm="1">
        <f t="array" ref="W871">-SUMPRODUCT('W2'!$M$12:$R$112*('W2'!$M$7:$R$7=$A871)*('W2'!$A$12:$A$112=$B871))*W841*24*$H$10*POWER(1+Inflation,W$11+1)</f>
        <v>-18750.852498472294</v>
      </c>
      <c r="X871" s="556" cm="1">
        <f t="array" ref="X871">-SUMPRODUCT('W2'!$M$12:$R$112*('W2'!$M$7:$R$7=$A871)*('W2'!$A$12:$A$112=$B871))*X841*24*$H$10*POWER(1+Inflation,X$11+1)</f>
        <v>-19688.395123395909</v>
      </c>
      <c r="Y871" s="556" cm="1">
        <f t="array" ref="Y871">-SUMPRODUCT('W2'!$M$12:$R$112*('W2'!$M$7:$R$7=$A871)*('W2'!$A$12:$A$112=$B871))*Y841*24*$H$10*POWER(1+Inflation,Y$11+1)</f>
        <v>-20672.8148795657</v>
      </c>
      <c r="Z871" s="556" cm="1">
        <f t="array" ref="Z871">-SUMPRODUCT('W2'!$M$12:$R$112*('W2'!$M$7:$R$7=$A871)*('W2'!$A$12:$A$112=$B871))*Z841*24*$H$10*POWER(1+Inflation,Z$11+1)</f>
        <v>-21706.455623543989</v>
      </c>
      <c r="AA871" s="556" cm="1">
        <f t="array" ref="AA871">-SUMPRODUCT('W2'!$M$12:$R$112*('W2'!$M$7:$R$7=$A871)*('W2'!$A$12:$A$112=$B871))*AA841*24*$H$10*POWER(1+Inflation,AA$11+1)</f>
        <v>-22791.778404721183</v>
      </c>
      <c r="AB871" s="556" cm="1">
        <f t="array" ref="AB871">-SUMPRODUCT('W2'!$M$12:$R$112*('W2'!$M$7:$R$7=$A871)*('W2'!$A$12:$A$112=$B871))*AB841*24*$H$10*POWER(1+Inflation,AB$11+1)</f>
        <v>-23931.367324957249</v>
      </c>
      <c r="AC871" s="556" cm="1">
        <f t="array" ref="AC871">-SUMPRODUCT('W2'!$M$12:$R$112*('W2'!$M$7:$R$7=$A871)*('W2'!$A$12:$A$112=$B871))*AC841*24*$H$10*POWER(1+Inflation,AC$11+1)</f>
        <v>-25127.935691205112</v>
      </c>
      <c r="AD871" s="556" cm="1">
        <f t="array" ref="AD871">-SUMPRODUCT('W2'!$M$12:$R$112*('W2'!$M$7:$R$7=$A871)*('W2'!$A$12:$A$112=$B871))*AD841*24*$H$10*POWER(1+Inflation,AD$11+1)</f>
        <v>-26384.332475765368</v>
      </c>
      <c r="AE871" s="556" cm="1">
        <f t="array" ref="AE871">-SUMPRODUCT('W2'!$M$12:$R$112*('W2'!$M$7:$R$7=$A871)*('W2'!$A$12:$A$112=$B871))*AE841*24*$H$10*POWER(1+Inflation,AE$11+1)</f>
        <v>-27703.549099553638</v>
      </c>
      <c r="AF871" s="556" cm="1">
        <f t="array" ref="AF871">-SUMPRODUCT('W2'!$M$12:$R$112*('W2'!$M$7:$R$7=$A871)*('W2'!$A$12:$A$112=$B871))*AF841*24*$H$10*POWER(1+Inflation,AF$11+1)</f>
        <v>-29088.72655453132</v>
      </c>
      <c r="AG871" s="556" cm="1">
        <f t="array" ref="AG871">-SUMPRODUCT('W2'!$M$12:$R$112*('W2'!$M$7:$R$7=$A871)*('W2'!$A$12:$A$112=$B871))*AG841*24*$H$10*POWER(1+Inflation,AG$11+1)</f>
        <v>-30543.162882257882</v>
      </c>
      <c r="AH871" s="556" cm="1">
        <f t="array" ref="AH871">-SUMPRODUCT('W2'!$M$12:$R$112*('W2'!$M$7:$R$7=$A871)*('W2'!$A$12:$A$112=$B871))*AH841*24*$H$10*POWER(1+Inflation,AH$11+1)</f>
        <v>-32070.321026370777</v>
      </c>
      <c r="AI871" s="556" cm="1">
        <f t="array" ref="AI871">-SUMPRODUCT('W2'!$M$12:$R$112*('W2'!$M$7:$R$7=$A871)*('W2'!$A$12:$A$112=$B871))*AI841*24*$H$10*POWER(1+Inflation,AI$11+1)</f>
        <v>-33673.837077689313</v>
      </c>
      <c r="AJ871" s="556" cm="1">
        <f t="array" ref="AJ871">-SUMPRODUCT('W2'!$M$12:$R$112*('W2'!$M$7:$R$7=$A871)*('W2'!$A$12:$A$112=$B871))*AJ841*24*$H$10*POWER(1+Inflation,AJ$11+1)</f>
        <v>-35357.52893157379</v>
      </c>
    </row>
    <row r="872" spans="1:36" s="299" customFormat="1" hidden="1" x14ac:dyDescent="0.25">
      <c r="A872" s="299" t="s">
        <v>695</v>
      </c>
      <c r="B872" s="299" t="s">
        <v>462</v>
      </c>
      <c r="H872" s="554" t="s">
        <v>192</v>
      </c>
      <c r="I872" s="555" t="str">
        <f t="shared" si="1205"/>
        <v>tr. VND</v>
      </c>
      <c r="K872" s="556"/>
      <c r="L872" s="556" cm="1">
        <f t="array" ref="L872">-SUMPRODUCT('W2'!$M$12:$R$112*('W2'!$M$7:$R$7=$A872)*('W2'!$A$12:$A$112=$B872))*L842*$H$10*POWER(1+Inflation,L$11+1)</f>
        <v>-1023.7594752</v>
      </c>
      <c r="M872" s="556" cm="1">
        <f t="array" ref="M872">-SUMPRODUCT('W2'!$M$12:$R$112*('W2'!$M$7:$R$7=$A872)*('W2'!$A$12:$A$112=$B872))*M842*$H$10*POWER(1+Inflation,M$11+1)</f>
        <v>-1433.2632652799998</v>
      </c>
      <c r="N872" s="556" cm="1">
        <f t="array" ref="N872">-SUMPRODUCT('W2'!$M$12:$R$112*('W2'!$M$7:$R$7=$A872)*('W2'!$A$12:$A$112=$B872))*N842*$H$10*POWER(1+Inflation,N$11+1)</f>
        <v>-2149.8948979199999</v>
      </c>
      <c r="O872" s="556" cm="1">
        <f t="array" ref="O872">-SUMPRODUCT('W2'!$M$12:$R$112*('W2'!$M$7:$R$7=$A872)*('W2'!$A$12:$A$112=$B872))*O842*$H$10*POWER(1+Inflation,O$11+1)</f>
        <v>-2257.3896428160001</v>
      </c>
      <c r="P872" s="556" cm="1">
        <f t="array" ref="P872">-SUMPRODUCT('W2'!$M$12:$R$112*('W2'!$M$7:$R$7=$A872)*('W2'!$A$12:$A$112=$B872))*P842*$H$10*POWER(1+Inflation,P$11+1)</f>
        <v>-2370.2591249568004</v>
      </c>
      <c r="Q872" s="556" cm="1">
        <f t="array" ref="Q872">-SUMPRODUCT('W2'!$M$12:$R$112*('W2'!$M$7:$R$7=$A872)*('W2'!$A$12:$A$112=$B872))*Q842*$H$10*POWER(1+Inflation,Q$11+1)</f>
        <v>-2488.77208120464</v>
      </c>
      <c r="R872" s="556" cm="1">
        <f t="array" ref="R872">-SUMPRODUCT('W2'!$M$12:$R$112*('W2'!$M$7:$R$7=$A872)*('W2'!$A$12:$A$112=$B872))*R842*$H$10*POWER(1+Inflation,R$11+1)</f>
        <v>-2613.2106852648722</v>
      </c>
      <c r="S872" s="556" cm="1">
        <f t="array" ref="S872">-SUMPRODUCT('W2'!$M$12:$R$112*('W2'!$M$7:$R$7=$A872)*('W2'!$A$12:$A$112=$B872))*S842*$H$10*POWER(1+Inflation,S$11+1)</f>
        <v>-2743.8712195281155</v>
      </c>
      <c r="T872" s="556" cm="1">
        <f t="array" ref="T872">-SUMPRODUCT('W2'!$M$12:$R$112*('W2'!$M$7:$R$7=$A872)*('W2'!$A$12:$A$112=$B872))*T842*$H$10*POWER(1+Inflation,T$11+1)</f>
        <v>-2881.0647805045219</v>
      </c>
      <c r="U872" s="556" cm="1">
        <f t="array" ref="U872">-SUMPRODUCT('W2'!$M$12:$R$112*('W2'!$M$7:$R$7=$A872)*('W2'!$A$12:$A$112=$B872))*U842*$H$10*POWER(1+Inflation,U$11+1)</f>
        <v>-3025.1180195297475</v>
      </c>
      <c r="V872" s="556" cm="1">
        <f t="array" ref="V872">-SUMPRODUCT('W2'!$M$12:$R$112*('W2'!$M$7:$R$7=$A872)*('W2'!$A$12:$A$112=$B872))*V842*$H$10*POWER(1+Inflation,V$11+1)</f>
        <v>-3176.3739205062352</v>
      </c>
      <c r="W872" s="556" cm="1">
        <f t="array" ref="W872">-SUMPRODUCT('W2'!$M$12:$R$112*('W2'!$M$7:$R$7=$A872)*('W2'!$A$12:$A$112=$B872))*W842*$H$10*POWER(1+Inflation,W$11+1)</f>
        <v>-3335.1926165315467</v>
      </c>
      <c r="X872" s="556" cm="1">
        <f t="array" ref="X872">-SUMPRODUCT('W2'!$M$12:$R$112*('W2'!$M$7:$R$7=$A872)*('W2'!$A$12:$A$112=$B872))*X842*$H$10*POWER(1+Inflation,X$11+1)</f>
        <v>-3501.9522473581246</v>
      </c>
      <c r="Y872" s="556" cm="1">
        <f t="array" ref="Y872">-SUMPRODUCT('W2'!$M$12:$R$112*('W2'!$M$7:$R$7=$A872)*('W2'!$A$12:$A$112=$B872))*Y842*$H$10*POWER(1+Inflation,Y$11+1)</f>
        <v>-3677.0498597260303</v>
      </c>
      <c r="Z872" s="556" cm="1">
        <f t="array" ref="Z872">-SUMPRODUCT('W2'!$M$12:$R$112*('W2'!$M$7:$R$7=$A872)*('W2'!$A$12:$A$112=$B872))*Z842*$H$10*POWER(1+Inflation,Z$11+1)</f>
        <v>-3860.9023527123322</v>
      </c>
      <c r="AA872" s="556" cm="1">
        <f t="array" ref="AA872">-SUMPRODUCT('W2'!$M$12:$R$112*('W2'!$M$7:$R$7=$A872)*('W2'!$A$12:$A$112=$B872))*AA842*$H$10*POWER(1+Inflation,AA$11+1)</f>
        <v>-4053.9474703479482</v>
      </c>
      <c r="AB872" s="556" cm="1">
        <f t="array" ref="AB872">-SUMPRODUCT('W2'!$M$12:$R$112*('W2'!$M$7:$R$7=$A872)*('W2'!$A$12:$A$112=$B872))*AB842*$H$10*POWER(1+Inflation,AB$11+1)</f>
        <v>-4256.644843865347</v>
      </c>
      <c r="AC872" s="556" cm="1">
        <f t="array" ref="AC872">-SUMPRODUCT('W2'!$M$12:$R$112*('W2'!$M$7:$R$7=$A872)*('W2'!$A$12:$A$112=$B872))*AC842*$H$10*POWER(1+Inflation,AC$11+1)</f>
        <v>-4469.4770860586141</v>
      </c>
      <c r="AD872" s="556" cm="1">
        <f t="array" ref="AD872">-SUMPRODUCT('W2'!$M$12:$R$112*('W2'!$M$7:$R$7=$A872)*('W2'!$A$12:$A$112=$B872))*AD842*$H$10*POWER(1+Inflation,AD$11+1)</f>
        <v>-4692.9509403615448</v>
      </c>
      <c r="AE872" s="556" cm="1">
        <f t="array" ref="AE872">-SUMPRODUCT('W2'!$M$12:$R$112*('W2'!$M$7:$R$7=$A872)*('W2'!$A$12:$A$112=$B872))*AE842*$H$10*POWER(1+Inflation,AE$11+1)</f>
        <v>-4927.5984873796224</v>
      </c>
      <c r="AF872" s="556" cm="1">
        <f t="array" ref="AF872">-SUMPRODUCT('W2'!$M$12:$R$112*('W2'!$M$7:$R$7=$A872)*('W2'!$A$12:$A$112=$B872))*AF842*$H$10*POWER(1+Inflation,AF$11+1)</f>
        <v>-5173.9784117486033</v>
      </c>
      <c r="AG872" s="556" cm="1">
        <f t="array" ref="AG872">-SUMPRODUCT('W2'!$M$12:$R$112*('W2'!$M$7:$R$7=$A872)*('W2'!$A$12:$A$112=$B872))*AG842*$H$10*POWER(1+Inflation,AG$11+1)</f>
        <v>-5432.677332336033</v>
      </c>
      <c r="AH872" s="556" cm="1">
        <f t="array" ref="AH872">-SUMPRODUCT('W2'!$M$12:$R$112*('W2'!$M$7:$R$7=$A872)*('W2'!$A$12:$A$112=$B872))*AH842*$H$10*POWER(1+Inflation,AH$11+1)</f>
        <v>-5704.3111989528352</v>
      </c>
      <c r="AI872" s="556" cm="1">
        <f t="array" ref="AI872">-SUMPRODUCT('W2'!$M$12:$R$112*('W2'!$M$7:$R$7=$A872)*('W2'!$A$12:$A$112=$B872))*AI842*$H$10*POWER(1+Inflation,AI$11+1)</f>
        <v>-5989.5267589004761</v>
      </c>
      <c r="AJ872" s="556" cm="1">
        <f t="array" ref="AJ872">-SUMPRODUCT('W2'!$M$12:$R$112*('W2'!$M$7:$R$7=$A872)*('W2'!$A$12:$A$112=$B872))*AJ842*$H$10*POWER(1+Inflation,AJ$11+1)</f>
        <v>-6289.0030968455012</v>
      </c>
    </row>
    <row r="873" spans="1:36" s="299" customFormat="1" hidden="1" x14ac:dyDescent="0.25">
      <c r="A873" s="299" t="s">
        <v>695</v>
      </c>
      <c r="B873" s="299" t="s">
        <v>140</v>
      </c>
      <c r="H873" s="554" t="s">
        <v>175</v>
      </c>
      <c r="I873" s="555" t="str">
        <f t="shared" si="1205"/>
        <v>tr. VND</v>
      </c>
      <c r="K873" s="556"/>
      <c r="L873" s="556" cm="1">
        <f t="array" ref="L873">SUMPRODUCT('W2'!$M$12:$R$112*('W2'!$M$7:$R$7=$A873)*('W2'!$A$12:$A$112=$B873))*(SUM(L853,L871:L872))</f>
        <v>-2163.795502954667</v>
      </c>
      <c r="M873" s="556" cm="1">
        <f t="array" ref="M873">SUMPRODUCT('W2'!$M$12:$R$112*('W2'!$M$7:$R$7=$A873)*('W2'!$A$12:$A$112=$B873))*(SUM(M853,M871:M872))</f>
        <v>-2272.2668294698669</v>
      </c>
      <c r="N873" s="556" cm="1">
        <f t="array" ref="N873">SUMPRODUCT('W2'!$M$12:$R$112*('W2'!$M$7:$R$7=$A873)*('W2'!$A$12:$A$112=$B873))*(SUM(N853,N871:N872))</f>
        <v>-2502.9642168714668</v>
      </c>
      <c r="O873" s="556" cm="1">
        <f t="array" ref="O873">SUMPRODUCT('W2'!$M$12:$R$112*('W2'!$M$7:$R$7=$A873)*('W2'!$A$12:$A$112=$B873))*(SUM(O853,O871:O872))</f>
        <v>-2574.3541343817069</v>
      </c>
      <c r="P873" s="556" cm="1">
        <f t="array" ref="P873">SUMPRODUCT('W2'!$M$12:$R$112*('W2'!$M$7:$R$7=$A873)*('W2'!$A$12:$A$112=$B873))*(SUM(P853,P871:P872))</f>
        <v>-2649.3135477674591</v>
      </c>
      <c r="Q873" s="556" cm="1">
        <f t="array" ref="Q873">SUMPRODUCT('W2'!$M$12:$R$112*('W2'!$M$7:$R$7=$A873)*('W2'!$A$12:$A$112=$B873))*(SUM(Q853,Q871:Q872))</f>
        <v>-2728.0209318224988</v>
      </c>
      <c r="R873" s="556" cm="1">
        <f t="array" ref="R873">SUMPRODUCT('W2'!$M$12:$R$112*('W2'!$M$7:$R$7=$A873)*('W2'!$A$12:$A$112=$B873))*(SUM(R853,R871:R872))</f>
        <v>-2810.6636850802902</v>
      </c>
      <c r="S873" s="556" cm="1">
        <f t="array" ref="S873">SUMPRODUCT('W2'!$M$12:$R$112*('W2'!$M$7:$R$7=$A873)*('W2'!$A$12:$A$112=$B873))*(SUM(S853,S871:S872))</f>
        <v>-2897.4385760009709</v>
      </c>
      <c r="T873" s="556" cm="1">
        <f t="array" ref="T873">SUMPRODUCT('W2'!$M$12:$R$112*('W2'!$M$7:$R$7=$A873)*('W2'!$A$12:$A$112=$B873))*(SUM(T853,T871:T872))</f>
        <v>-2988.552211467686</v>
      </c>
      <c r="U873" s="556" cm="1">
        <f t="array" ref="U873">SUMPRODUCT('W2'!$M$12:$R$112*('W2'!$M$7:$R$7=$A873)*('W2'!$A$12:$A$112=$B873))*(SUM(U853,U871:U872))</f>
        <v>-3084.2215287077374</v>
      </c>
      <c r="V873" s="556" cm="1">
        <f t="array" ref="V873">SUMPRODUCT('W2'!$M$12:$R$112*('W2'!$M$7:$R$7=$A873)*('W2'!$A$12:$A$112=$B873))*(SUM(V853,V871:V872))</f>
        <v>-3184.6743118097907</v>
      </c>
      <c r="W873" s="556" cm="1">
        <f t="array" ref="W873">SUMPRODUCT('W2'!$M$12:$R$112*('W2'!$M$7:$R$7=$A873)*('W2'!$A$12:$A$112=$B873))*(SUM(W853,W871:W872))</f>
        <v>-3290.149734066948</v>
      </c>
      <c r="X873" s="556" cm="1">
        <f t="array" ref="X873">SUMPRODUCT('W2'!$M$12:$R$112*('W2'!$M$7:$R$7=$A873)*('W2'!$A$12:$A$112=$B873))*(SUM(X853,X871:X872))</f>
        <v>-2350.9322607702948</v>
      </c>
      <c r="Y873" s="556" cm="1">
        <f t="array" ref="Y873">SUMPRODUCT('W2'!$M$12:$R$112*('W2'!$M$7:$R$7=$A873)*('W2'!$A$12:$A$112=$B873))*(SUM(Y853,Y871:Y872))</f>
        <v>-2467.2189138088092</v>
      </c>
      <c r="Z873" s="556" cm="1">
        <f t="array" ref="Z873">SUMPRODUCT('W2'!$M$12:$R$112*('W2'!$M$7:$R$7=$A873)*('W2'!$A$12:$A$112=$B873))*(SUM(Z853,Z871:Z872))</f>
        <v>-2589.3198994992504</v>
      </c>
      <c r="AA873" s="556" cm="1">
        <f t="array" ref="AA873">SUMPRODUCT('W2'!$M$12:$R$112*('W2'!$M$7:$R$7=$A873)*('W2'!$A$12:$A$112=$B873))*(SUM(AA853,AA871:AA872))</f>
        <v>-2717.5259344742117</v>
      </c>
      <c r="AB873" s="556" cm="1">
        <f t="array" ref="AB873">SUMPRODUCT('W2'!$M$12:$R$112*('W2'!$M$7:$R$7=$A873)*('W2'!$A$12:$A$112=$B873))*(SUM(AB853,AB871:AB872))</f>
        <v>-2852.1422711979239</v>
      </c>
      <c r="AC873" s="556" cm="1">
        <f t="array" ref="AC873">SUMPRODUCT('W2'!$M$12:$R$112*('W2'!$M$7:$R$7=$A873)*('W2'!$A$12:$A$112=$B873))*(SUM(AC853,AC871:AC872))</f>
        <v>-2993.4894247578195</v>
      </c>
      <c r="AD873" s="556" cm="1">
        <f t="array" ref="AD873">SUMPRODUCT('W2'!$M$12:$R$112*('W2'!$M$7:$R$7=$A873)*('W2'!$A$12:$A$112=$B873))*(SUM(AD853,AD871:AD872))</f>
        <v>-3141.903935995711</v>
      </c>
      <c r="AE873" s="556" cm="1">
        <f t="array" ref="AE873">SUMPRODUCT('W2'!$M$12:$R$112*('W2'!$M$7:$R$7=$A873)*('W2'!$A$12:$A$112=$B873))*(SUM(AE853,AE871:AE872))</f>
        <v>-3297.7391727954964</v>
      </c>
      <c r="AF873" s="556" cm="1">
        <f t="array" ref="AF873">SUMPRODUCT('W2'!$M$12:$R$112*('W2'!$M$7:$R$7=$A873)*('W2'!$A$12:$A$112=$B873))*(SUM(AF853,AF871:AF872))</f>
        <v>-3461.3661714352702</v>
      </c>
      <c r="AG873" s="556" cm="1">
        <f t="array" ref="AG873">SUMPRODUCT('W2'!$M$12:$R$112*('W2'!$M$7:$R$7=$A873)*('W2'!$A$12:$A$112=$B873))*(SUM(AG853,AG871:AG872))</f>
        <v>-3633.1745200070345</v>
      </c>
      <c r="AH873" s="556" cm="1">
        <f t="array" ref="AH873">SUMPRODUCT('W2'!$M$12:$R$112*('W2'!$M$7:$R$7=$A873)*('W2'!$A$12:$A$112=$B873))*(SUM(AH853,AH871:AH872))</f>
        <v>-3813.5732860073863</v>
      </c>
      <c r="AI873" s="556" cm="1">
        <f t="array" ref="AI873">SUMPRODUCT('W2'!$M$12:$R$112*('W2'!$M$7:$R$7=$A873)*('W2'!$A$12:$A$112=$B873))*(SUM(AI853,AI871:AI872))</f>
        <v>-4002.9919903077553</v>
      </c>
      <c r="AJ873" s="556" cm="1">
        <f t="array" ref="AJ873">SUMPRODUCT('W2'!$M$12:$R$112*('W2'!$M$7:$R$7=$A873)*('W2'!$A$12:$A$112=$B873))*(SUM(AJ853,AJ871:AJ872))</f>
        <v>-4201.8816298231441</v>
      </c>
    </row>
    <row r="874" spans="1:36" hidden="1" x14ac:dyDescent="0.25">
      <c r="A874" t="s">
        <v>695</v>
      </c>
      <c r="K874" s="15"/>
      <c r="L874" s="263"/>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row>
    <row r="875" spans="1:36" s="300" customFormat="1" hidden="1" x14ac:dyDescent="0.25">
      <c r="A875" s="300" t="s">
        <v>695</v>
      </c>
      <c r="H875" s="301" t="s">
        <v>464</v>
      </c>
      <c r="I875" s="302" t="str">
        <f>IF($H$9="USD","USD","tr. VND")</f>
        <v>tr. VND</v>
      </c>
      <c r="K875" s="303">
        <f>K853+K863</f>
        <v>0</v>
      </c>
      <c r="L875" s="303">
        <f t="shared" ref="L875:AJ875" si="1207">L853+L863</f>
        <v>-140012.94827035477</v>
      </c>
      <c r="M875" s="303">
        <f t="shared" si="1207"/>
        <v>-176334.90883716336</v>
      </c>
      <c r="N875" s="303">
        <f t="shared" si="1207"/>
        <v>-235973.71662891837</v>
      </c>
      <c r="O875" s="303">
        <f t="shared" si="1207"/>
        <v>-241287.63071921444</v>
      </c>
      <c r="P875" s="303">
        <f t="shared" si="1207"/>
        <v>-246765.49939173562</v>
      </c>
      <c r="Q875" s="303">
        <f t="shared" si="1207"/>
        <v>-252413.48555314739</v>
      </c>
      <c r="R875" s="303">
        <f t="shared" si="1207"/>
        <v>-258238.01955899963</v>
      </c>
      <c r="S875" s="303">
        <f t="shared" si="1207"/>
        <v>-264245.81177224166</v>
      </c>
      <c r="T875" s="303">
        <f t="shared" si="1207"/>
        <v>-270443.86573338497</v>
      </c>
      <c r="U875" s="303">
        <f t="shared" si="1207"/>
        <v>-276839.49197256943</v>
      </c>
      <c r="V875" s="303">
        <f t="shared" si="1207"/>
        <v>-283440.32249529677</v>
      </c>
      <c r="W875" s="303">
        <f t="shared" si="1207"/>
        <v>-290254.32597517577</v>
      </c>
      <c r="X875" s="303">
        <f t="shared" si="1207"/>
        <v>-269990.69035535096</v>
      </c>
      <c r="Y875" s="303">
        <f t="shared" si="1207"/>
        <v>-277256.37289536331</v>
      </c>
      <c r="Z875" s="303">
        <f t="shared" si="1207"/>
        <v>-284761.31770202116</v>
      </c>
      <c r="AA875" s="303">
        <f t="shared" si="1207"/>
        <v>-292515.0074514497</v>
      </c>
      <c r="AB875" s="303">
        <f t="shared" si="1207"/>
        <v>-300527.34934483614</v>
      </c>
      <c r="AC875" s="303">
        <f t="shared" si="1207"/>
        <v>-308808.69534250826</v>
      </c>
      <c r="AD875" s="303">
        <f t="shared" si="1207"/>
        <v>-317369.8633898726</v>
      </c>
      <c r="AE875" s="303">
        <f t="shared" si="1207"/>
        <v>-326222.15968440985</v>
      </c>
      <c r="AF875" s="303">
        <f t="shared" si="1207"/>
        <v>-335377.40203537489</v>
      </c>
      <c r="AG875" s="303">
        <f t="shared" si="1207"/>
        <v>-344847.94437042304</v>
      </c>
      <c r="AH875" s="303">
        <f t="shared" si="1207"/>
        <v>-354646.70244608924</v>
      </c>
      <c r="AI875" s="303">
        <f t="shared" si="1207"/>
        <v>-364787.18082188169</v>
      </c>
      <c r="AJ875" s="303">
        <f t="shared" si="1207"/>
        <v>-375283.5011607334</v>
      </c>
    </row>
    <row r="876" spans="1:36" hidden="1" x14ac:dyDescent="0.25">
      <c r="A876" t="s">
        <v>695</v>
      </c>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row>
    <row r="877" spans="1:36" hidden="1" x14ac:dyDescent="0.25">
      <c r="A877" t="s">
        <v>695</v>
      </c>
      <c r="B877" t="s">
        <v>622</v>
      </c>
      <c r="H877" s="459" t="s">
        <v>166</v>
      </c>
      <c r="I877" s="494" t="str">
        <f>IF($H$9="USD","USD","tr. VND")</f>
        <v>tr. VND</v>
      </c>
      <c r="K877" s="461"/>
      <c r="L877" s="461" cm="1">
        <f t="array" ref="L877">-SUMPRODUCT('W2'!$M$12:$R$112*('W2'!$M$7:$R$7=$A877)*('W2'!$A$12:$A$112=$B877))*L842*$H$10*POWER(1+Inflation,L$11+1)</f>
        <v>-2890.6149888</v>
      </c>
      <c r="M877" s="461" cm="1">
        <f t="array" ref="M877">-SUMPRODUCT('W2'!$M$12:$R$112*('W2'!$M$7:$R$7=$A877)*('W2'!$A$12:$A$112=$B877))*M842*$H$10*POWER(1+Inflation,M$11+1)</f>
        <v>-4046.8609843199997</v>
      </c>
      <c r="N877" s="461" cm="1">
        <f t="array" ref="N877">-SUMPRODUCT('W2'!$M$12:$R$112*('W2'!$M$7:$R$7=$A877)*('W2'!$A$12:$A$112=$B877))*N842*$H$10*POWER(1+Inflation,N$11+1)</f>
        <v>-6070.2914764799998</v>
      </c>
      <c r="O877" s="461" cm="1">
        <f t="array" ref="O877">-SUMPRODUCT('W2'!$M$12:$R$112*('W2'!$M$7:$R$7=$A877)*('W2'!$A$12:$A$112=$B877))*O842*$H$10*POWER(1+Inflation,O$11+1)</f>
        <v>-6373.8060503040006</v>
      </c>
      <c r="P877" s="461" cm="1">
        <f t="array" ref="P877">-SUMPRODUCT('W2'!$M$12:$R$112*('W2'!$M$7:$R$7=$A877)*('W2'!$A$12:$A$112=$B877))*P842*$H$10*POWER(1+Inflation,P$11+1)</f>
        <v>-6692.4963528192011</v>
      </c>
      <c r="Q877" s="461" cm="1">
        <f t="array" ref="Q877">-SUMPRODUCT('W2'!$M$12:$R$112*('W2'!$M$7:$R$7=$A877)*('W2'!$A$12:$A$112=$B877))*Q842*$H$10*POWER(1+Inflation,Q$11+1)</f>
        <v>-7027.1211704601601</v>
      </c>
      <c r="R877" s="461" cm="1">
        <f t="array" ref="R877">-SUMPRODUCT('W2'!$M$12:$R$112*('W2'!$M$7:$R$7=$A877)*('W2'!$A$12:$A$112=$B877))*R842*$H$10*POWER(1+Inflation,R$11+1)</f>
        <v>-7378.477228983169</v>
      </c>
      <c r="S877" s="461" cm="1">
        <f t="array" ref="S877">-SUMPRODUCT('W2'!$M$12:$R$112*('W2'!$M$7:$R$7=$A877)*('W2'!$A$12:$A$112=$B877))*S842*$H$10*POWER(1+Inflation,S$11+1)</f>
        <v>-7747.4010904323259</v>
      </c>
      <c r="T877" s="461" cm="1">
        <f t="array" ref="T877">-SUMPRODUCT('W2'!$M$12:$R$112*('W2'!$M$7:$R$7=$A877)*('W2'!$A$12:$A$112=$B877))*T842*$H$10*POWER(1+Inflation,T$11+1)</f>
        <v>-8134.7711449539438</v>
      </c>
      <c r="U877" s="461" cm="1">
        <f t="array" ref="U877">-SUMPRODUCT('W2'!$M$12:$R$112*('W2'!$M$7:$R$7=$A877)*('W2'!$A$12:$A$112=$B877))*U842*$H$10*POWER(1+Inflation,U$11+1)</f>
        <v>-8541.5097022016398</v>
      </c>
      <c r="V877" s="461" cm="1">
        <f t="array" ref="V877">-SUMPRODUCT('W2'!$M$12:$R$112*('W2'!$M$7:$R$7=$A877)*('W2'!$A$12:$A$112=$B877))*V842*$H$10*POWER(1+Inflation,V$11+1)</f>
        <v>-8968.5851873117226</v>
      </c>
      <c r="W877" s="461" cm="1">
        <f t="array" ref="W877">-SUMPRODUCT('W2'!$M$12:$R$112*('W2'!$M$7:$R$7=$A877)*('W2'!$A$12:$A$112=$B877))*W842*$H$10*POWER(1+Inflation,W$11+1)</f>
        <v>-9417.014446677309</v>
      </c>
      <c r="X877" s="461" cm="1">
        <f t="array" ref="X877">-SUMPRODUCT('W2'!$M$12:$R$112*('W2'!$M$7:$R$7=$A877)*('W2'!$A$12:$A$112=$B877))*X842*$H$10*POWER(1+Inflation,X$11+1)</f>
        <v>-9887.8651690111747</v>
      </c>
      <c r="Y877" s="461" cm="1">
        <f t="array" ref="Y877">-SUMPRODUCT('W2'!$M$12:$R$112*('W2'!$M$7:$R$7=$A877)*('W2'!$A$12:$A$112=$B877))*Y842*$H$10*POWER(1+Inflation,Y$11+1)</f>
        <v>-10382.258427461733</v>
      </c>
      <c r="Z877" s="461" cm="1">
        <f t="array" ref="Z877">-SUMPRODUCT('W2'!$M$12:$R$112*('W2'!$M$7:$R$7=$A877)*('W2'!$A$12:$A$112=$B877))*Z842*$H$10*POWER(1+Inflation,Z$11+1)</f>
        <v>-10901.37134883482</v>
      </c>
      <c r="AA877" s="461" cm="1">
        <f t="array" ref="AA877">-SUMPRODUCT('W2'!$M$12:$R$112*('W2'!$M$7:$R$7=$A877)*('W2'!$A$12:$A$112=$B877))*AA842*$H$10*POWER(1+Inflation,AA$11+1)</f>
        <v>-11446.439916276559</v>
      </c>
      <c r="AB877" s="461" cm="1">
        <f t="array" ref="AB877">-SUMPRODUCT('W2'!$M$12:$R$112*('W2'!$M$7:$R$7=$A877)*('W2'!$A$12:$A$112=$B877))*AB842*$H$10*POWER(1+Inflation,AB$11+1)</f>
        <v>-12018.761912090391</v>
      </c>
      <c r="AC877" s="461" cm="1">
        <f t="array" ref="AC877">-SUMPRODUCT('W2'!$M$12:$R$112*('W2'!$M$7:$R$7=$A877)*('W2'!$A$12:$A$112=$B877))*AC842*$H$10*POWER(1+Inflation,AC$11+1)</f>
        <v>-12619.70000769491</v>
      </c>
      <c r="AD877" s="461" cm="1">
        <f t="array" ref="AD877">-SUMPRODUCT('W2'!$M$12:$R$112*('W2'!$M$7:$R$7=$A877)*('W2'!$A$12:$A$112=$B877))*AD842*$H$10*POWER(1+Inflation,AD$11+1)</f>
        <v>-13250.685008079656</v>
      </c>
      <c r="AE877" s="461" cm="1">
        <f t="array" ref="AE877">-SUMPRODUCT('W2'!$M$12:$R$112*('W2'!$M$7:$R$7=$A877)*('W2'!$A$12:$A$112=$B877))*AE842*$H$10*POWER(1+Inflation,AE$11+1)</f>
        <v>-13913.219258483639</v>
      </c>
      <c r="AF877" s="461" cm="1">
        <f t="array" ref="AF877">-SUMPRODUCT('W2'!$M$12:$R$112*('W2'!$M$7:$R$7=$A877)*('W2'!$A$12:$A$112=$B877))*AF842*$H$10*POWER(1+Inflation,AF$11+1)</f>
        <v>-14608.88022140782</v>
      </c>
      <c r="AG877" s="461" cm="1">
        <f t="array" ref="AG877">-SUMPRODUCT('W2'!$M$12:$R$112*('W2'!$M$7:$R$7=$A877)*('W2'!$A$12:$A$112=$B877))*AG842*$H$10*POWER(1+Inflation,AG$11+1)</f>
        <v>-15339.324232478211</v>
      </c>
      <c r="AH877" s="461" cm="1">
        <f t="array" ref="AH877">-SUMPRODUCT('W2'!$M$12:$R$112*('W2'!$M$7:$R$7=$A877)*('W2'!$A$12:$A$112=$B877))*AH842*$H$10*POWER(1+Inflation,AH$11+1)</f>
        <v>-16106.290444102122</v>
      </c>
      <c r="AI877" s="461" cm="1">
        <f t="array" ref="AI877">-SUMPRODUCT('W2'!$M$12:$R$112*('W2'!$M$7:$R$7=$A877)*('W2'!$A$12:$A$112=$B877))*AI842*$H$10*POWER(1+Inflation,AI$11+1)</f>
        <v>-16911.604966307226</v>
      </c>
      <c r="AJ877" s="461" cm="1">
        <f t="array" ref="AJ877">-SUMPRODUCT('W2'!$M$12:$R$112*('W2'!$M$7:$R$7=$A877)*('W2'!$A$12:$A$112=$B877))*AJ842*$H$10*POWER(1+Inflation,AJ$11+1)</f>
        <v>-17757.18521462259</v>
      </c>
    </row>
    <row r="878" spans="1:36" hidden="1" x14ac:dyDescent="0.25">
      <c r="A878" t="s">
        <v>695</v>
      </c>
      <c r="B878" t="s">
        <v>527</v>
      </c>
      <c r="H878" s="454" t="s">
        <v>469</v>
      </c>
      <c r="I878" s="497" t="str">
        <f>IF($H$9="USD","USD","tr. VND")</f>
        <v>tr. VND</v>
      </c>
      <c r="K878" s="457"/>
      <c r="L878" s="457" cm="1">
        <f t="array" ref="L878">-SUMPRODUCT('W2'!$M$12:$R$112*('W2'!$M$7:$R$7=$A878)*('W2'!$A$12:$A$112=$B878))*L842*$H$10*POWER(1+Inflation,L$11+1)</f>
        <v>-1148.6237265875268</v>
      </c>
      <c r="M878" s="457" cm="1">
        <f t="array" ref="M878">-SUMPRODUCT('W2'!$M$12:$R$112*('W2'!$M$7:$R$7=$A878)*('W2'!$A$12:$A$112=$B878))*M842*$H$10*POWER(1+Inflation,M$11+1)</f>
        <v>-1608.0732172225376</v>
      </c>
      <c r="N878" s="457" cm="1">
        <f t="array" ref="N878">-SUMPRODUCT('W2'!$M$12:$R$112*('W2'!$M$7:$R$7=$A878)*('W2'!$A$12:$A$112=$B878))*N842*$H$10*POWER(1+Inflation,N$11+1)</f>
        <v>-2412.1098258338066</v>
      </c>
      <c r="O878" s="457" cm="1">
        <f t="array" ref="O878">-SUMPRODUCT('W2'!$M$12:$R$112*('W2'!$M$7:$R$7=$A878)*('W2'!$A$12:$A$112=$B878))*O842*$H$10*POWER(1+Inflation,O$11+1)</f>
        <v>-2532.7153171254968</v>
      </c>
      <c r="P878" s="457" cm="1">
        <f t="array" ref="P878">-SUMPRODUCT('W2'!$M$12:$R$112*('W2'!$M$7:$R$7=$A878)*('W2'!$A$12:$A$112=$B878))*P842*$H$10*POWER(1+Inflation,P$11+1)</f>
        <v>-2659.3510829817715</v>
      </c>
      <c r="Q878" s="457" cm="1">
        <f t="array" ref="Q878">-SUMPRODUCT('W2'!$M$12:$R$112*('W2'!$M$7:$R$7=$A878)*('W2'!$A$12:$A$112=$B878))*Q842*$H$10*POWER(1+Inflation,Q$11+1)</f>
        <v>-2792.3186371308598</v>
      </c>
      <c r="R878" s="457" cm="1">
        <f t="array" ref="R878">-SUMPRODUCT('W2'!$M$12:$R$112*('W2'!$M$7:$R$7=$A878)*('W2'!$A$12:$A$112=$B878))*R842*$H$10*POWER(1+Inflation,R$11+1)</f>
        <v>-2931.9345689874031</v>
      </c>
      <c r="S878" s="457" cm="1">
        <f t="array" ref="S878">-SUMPRODUCT('W2'!$M$12:$R$112*('W2'!$M$7:$R$7=$A878)*('W2'!$A$12:$A$112=$B878))*S842*$H$10*POWER(1+Inflation,S$11+1)</f>
        <v>-3078.531297436773</v>
      </c>
      <c r="T878" s="457" cm="1">
        <f t="array" ref="T878">-SUMPRODUCT('W2'!$M$12:$R$112*('W2'!$M$7:$R$7=$A878)*('W2'!$A$12:$A$112=$B878))*T842*$H$10*POWER(1+Inflation,T$11+1)</f>
        <v>-3232.4578623086122</v>
      </c>
      <c r="U878" s="457" cm="1">
        <f t="array" ref="U878">-SUMPRODUCT('W2'!$M$12:$R$112*('W2'!$M$7:$R$7=$A878)*('W2'!$A$12:$A$112=$B878))*U842*$H$10*POWER(1+Inflation,U$11+1)</f>
        <v>-3394.0807554240423</v>
      </c>
      <c r="V878" s="457" cm="1">
        <f t="array" ref="V878">-SUMPRODUCT('W2'!$M$12:$R$112*('W2'!$M$7:$R$7=$A878)*('W2'!$A$12:$A$112=$B878))*V842*$H$10*POWER(1+Inflation,V$11+1)</f>
        <v>-3563.7847931952447</v>
      </c>
      <c r="W878" s="457" cm="1">
        <f t="array" ref="W878">-SUMPRODUCT('W2'!$M$12:$R$112*('W2'!$M$7:$R$7=$A878)*('W2'!$A$12:$A$112=$B878))*W842*$H$10*POWER(1+Inflation,W$11+1)</f>
        <v>-3741.974032855007</v>
      </c>
      <c r="X878" s="457" cm="1">
        <f t="array" ref="X878">-SUMPRODUCT('W2'!$M$12:$R$112*('W2'!$M$7:$R$7=$A878)*('W2'!$A$12:$A$112=$B878))*X842*$H$10*POWER(1+Inflation,X$11+1)</f>
        <v>-3929.0727344977577</v>
      </c>
      <c r="Y878" s="457" cm="1">
        <f t="array" ref="Y878">-SUMPRODUCT('W2'!$M$12:$R$112*('W2'!$M$7:$R$7=$A878)*('W2'!$A$12:$A$112=$B878))*Y842*$H$10*POWER(1+Inflation,Y$11+1)</f>
        <v>-4125.5263712226451</v>
      </c>
      <c r="Z878" s="457" cm="1">
        <f t="array" ref="Z878">-SUMPRODUCT('W2'!$M$12:$R$112*('W2'!$M$7:$R$7=$A878)*('W2'!$A$12:$A$112=$B878))*Z842*$H$10*POWER(1+Inflation,Z$11+1)</f>
        <v>-4331.8026897837781</v>
      </c>
      <c r="AA878" s="457" cm="1">
        <f t="array" ref="AA878">-SUMPRODUCT('W2'!$M$12:$R$112*('W2'!$M$7:$R$7=$A878)*('W2'!$A$12:$A$112=$B878))*AA842*$H$10*POWER(1+Inflation,AA$11+1)</f>
        <v>-4548.3928242729662</v>
      </c>
      <c r="AB878" s="457" cm="1">
        <f t="array" ref="AB878">-SUMPRODUCT('W2'!$M$12:$R$112*('W2'!$M$7:$R$7=$A878)*('W2'!$A$12:$A$112=$B878))*AB842*$H$10*POWER(1+Inflation,AB$11+1)</f>
        <v>-4775.812465486616</v>
      </c>
      <c r="AC878" s="457" cm="1">
        <f t="array" ref="AC878">-SUMPRODUCT('W2'!$M$12:$R$112*('W2'!$M$7:$R$7=$A878)*('W2'!$A$12:$A$112=$B878))*AC842*$H$10*POWER(1+Inflation,AC$11+1)</f>
        <v>-5014.6030887609459</v>
      </c>
      <c r="AD878" s="457" cm="1">
        <f t="array" ref="AD878">-SUMPRODUCT('W2'!$M$12:$R$112*('W2'!$M$7:$R$7=$A878)*('W2'!$A$12:$A$112=$B878))*AD842*$H$10*POWER(1+Inflation,AD$11+1)</f>
        <v>-5265.3332431989938</v>
      </c>
      <c r="AE878" s="457" cm="1">
        <f t="array" ref="AE878">-SUMPRODUCT('W2'!$M$12:$R$112*('W2'!$M$7:$R$7=$A878)*('W2'!$A$12:$A$112=$B878))*AE842*$H$10*POWER(1+Inflation,AE$11+1)</f>
        <v>-5528.5999053589439</v>
      </c>
      <c r="AF878" s="457" cm="1">
        <f t="array" ref="AF878">-SUMPRODUCT('W2'!$M$12:$R$112*('W2'!$M$7:$R$7=$A878)*('W2'!$A$12:$A$112=$B878))*AF842*$H$10*POWER(1+Inflation,AF$11+1)</f>
        <v>-5805.0299006268906</v>
      </c>
      <c r="AG878" s="457" cm="1">
        <f t="array" ref="AG878">-SUMPRODUCT('W2'!$M$12:$R$112*('W2'!$M$7:$R$7=$A878)*('W2'!$A$12:$A$112=$B878))*AG842*$H$10*POWER(1+Inflation,AG$11+1)</f>
        <v>-6095.2813956582349</v>
      </c>
      <c r="AH878" s="457" cm="1">
        <f t="array" ref="AH878">-SUMPRODUCT('W2'!$M$12:$R$112*('W2'!$M$7:$R$7=$A878)*('W2'!$A$12:$A$112=$B878))*AH842*$H$10*POWER(1+Inflation,AH$11+1)</f>
        <v>-6400.0454654411469</v>
      </c>
      <c r="AI878" s="457" cm="1">
        <f t="array" ref="AI878">-SUMPRODUCT('W2'!$M$12:$R$112*('W2'!$M$7:$R$7=$A878)*('W2'!$A$12:$A$112=$B878))*AI842*$H$10*POWER(1+Inflation,AI$11+1)</f>
        <v>-6720.0477387132032</v>
      </c>
      <c r="AJ878" s="457" cm="1">
        <f t="array" ref="AJ878">-SUMPRODUCT('W2'!$M$12:$R$112*('W2'!$M$7:$R$7=$A878)*('W2'!$A$12:$A$112=$B878))*AJ842*$H$10*POWER(1+Inflation,AJ$11+1)</f>
        <v>-7056.0501256488651</v>
      </c>
    </row>
    <row r="879" spans="1:36" hidden="1" x14ac:dyDescent="0.25">
      <c r="A879" t="s">
        <v>695</v>
      </c>
      <c r="B879" t="s">
        <v>522</v>
      </c>
      <c r="H879" s="454" t="s">
        <v>468</v>
      </c>
      <c r="I879" s="497" t="str">
        <f>IF($H$9="USD","USD","tr. VND")</f>
        <v>tr. VND</v>
      </c>
      <c r="K879" s="454"/>
      <c r="L879" s="457" cm="1">
        <f t="array" ref="L879">-SUMPRODUCT('W2'!$M$12:$R$112*('W2'!$M$7:$R$7=$A879)*('W2'!$A$12:$A$112=$B879))*L842*$H$10*POWER(1+Inflation,L$11+1)</f>
        <v>-384.72221097128374</v>
      </c>
      <c r="M879" s="457" cm="1">
        <f t="array" ref="M879">-SUMPRODUCT('W2'!$M$12:$R$112*('W2'!$M$7:$R$7=$A879)*('W2'!$A$12:$A$112=$B879))*M842*$H$10*POWER(1+Inflation,M$11+1)</f>
        <v>-538.6110953597971</v>
      </c>
      <c r="N879" s="457" cm="1">
        <f t="array" ref="N879">-SUMPRODUCT('W2'!$M$12:$R$112*('W2'!$M$7:$R$7=$A879)*('W2'!$A$12:$A$112=$B879))*N842*$H$10*POWER(1+Inflation,N$11+1)</f>
        <v>-807.91664303969594</v>
      </c>
      <c r="O879" s="457" cm="1">
        <f t="array" ref="O879">-SUMPRODUCT('W2'!$M$12:$R$112*('W2'!$M$7:$R$7=$A879)*('W2'!$A$12:$A$112=$B879))*O842*$H$10*POWER(1+Inflation,O$11+1)</f>
        <v>-848.31247519168073</v>
      </c>
      <c r="P879" s="457" cm="1">
        <f t="array" ref="P879">-SUMPRODUCT('W2'!$M$12:$R$112*('W2'!$M$7:$R$7=$A879)*('W2'!$A$12:$A$112=$B879))*P842*$H$10*POWER(1+Inflation,P$11+1)</f>
        <v>-890.72809895126477</v>
      </c>
      <c r="Q879" s="457" cm="1">
        <f t="array" ref="Q879">-SUMPRODUCT('W2'!$M$12:$R$112*('W2'!$M$7:$R$7=$A879)*('W2'!$A$12:$A$112=$B879))*Q842*$H$10*POWER(1+Inflation,Q$11+1)</f>
        <v>-935.26450389882791</v>
      </c>
      <c r="R879" s="457" cm="1">
        <f t="array" ref="R879">-SUMPRODUCT('W2'!$M$12:$R$112*('W2'!$M$7:$R$7=$A879)*('W2'!$A$12:$A$112=$B879))*R842*$H$10*POWER(1+Inflation,R$11+1)</f>
        <v>-982.02772909376938</v>
      </c>
      <c r="S879" s="457" cm="1">
        <f t="array" ref="S879">-SUMPRODUCT('W2'!$M$12:$R$112*('W2'!$M$7:$R$7=$A879)*('W2'!$A$12:$A$112=$B879))*S842*$H$10*POWER(1+Inflation,S$11+1)</f>
        <v>-1031.1291155484578</v>
      </c>
      <c r="T879" s="457" cm="1">
        <f t="array" ref="T879">-SUMPRODUCT('W2'!$M$12:$R$112*('W2'!$M$7:$R$7=$A879)*('W2'!$A$12:$A$112=$B879))*T842*$H$10*POWER(1+Inflation,T$11+1)</f>
        <v>-1082.6855713258808</v>
      </c>
      <c r="U879" s="457" cm="1">
        <f t="array" ref="U879">-SUMPRODUCT('W2'!$M$12:$R$112*('W2'!$M$7:$R$7=$A879)*('W2'!$A$12:$A$112=$B879))*U842*$H$10*POWER(1+Inflation,U$11+1)</f>
        <v>-1136.8198498921747</v>
      </c>
      <c r="V879" s="457" cm="1">
        <f t="array" ref="V879">-SUMPRODUCT('W2'!$M$12:$R$112*('W2'!$M$7:$R$7=$A879)*('W2'!$A$12:$A$112=$B879))*V842*$H$10*POWER(1+Inflation,V$11+1)</f>
        <v>-1193.6608423867835</v>
      </c>
      <c r="W879" s="457" cm="1">
        <f t="array" ref="W879">-SUMPRODUCT('W2'!$M$12:$R$112*('W2'!$M$7:$R$7=$A879)*('W2'!$A$12:$A$112=$B879))*W842*$H$10*POWER(1+Inflation,W$11+1)</f>
        <v>-1253.3438845061228</v>
      </c>
      <c r="X879" s="457" cm="1">
        <f t="array" ref="X879">-SUMPRODUCT('W2'!$M$12:$R$112*('W2'!$M$7:$R$7=$A879)*('W2'!$A$12:$A$112=$B879))*X842*$H$10*POWER(1+Inflation,X$11+1)</f>
        <v>-1316.0110787314291</v>
      </c>
      <c r="Y879" s="457" cm="1">
        <f t="array" ref="Y879">-SUMPRODUCT('W2'!$M$12:$R$112*('W2'!$M$7:$R$7=$A879)*('W2'!$A$12:$A$112=$B879))*Y842*$H$10*POWER(1+Inflation,Y$11+1)</f>
        <v>-1381.8116326680001</v>
      </c>
      <c r="Z879" s="457" cm="1">
        <f t="array" ref="Z879">-SUMPRODUCT('W2'!$M$12:$R$112*('W2'!$M$7:$R$7=$A879)*('W2'!$A$12:$A$112=$B879))*Z842*$H$10*POWER(1+Inflation,Z$11+1)</f>
        <v>-1450.9022143014006</v>
      </c>
      <c r="AA879" s="457" cm="1">
        <f t="array" ref="AA879">-SUMPRODUCT('W2'!$M$12:$R$112*('W2'!$M$7:$R$7=$A879)*('W2'!$A$12:$A$112=$B879))*AA842*$H$10*POWER(1+Inflation,AA$11+1)</f>
        <v>-1523.4473250164701</v>
      </c>
      <c r="AB879" s="457" cm="1">
        <f t="array" ref="AB879">-SUMPRODUCT('W2'!$M$12:$R$112*('W2'!$M$7:$R$7=$A879)*('W2'!$A$12:$A$112=$B879))*AB842*$H$10*POWER(1+Inflation,AB$11+1)</f>
        <v>-1599.6196912672942</v>
      </c>
      <c r="AC879" s="457" cm="1">
        <f t="array" ref="AC879">-SUMPRODUCT('W2'!$M$12:$R$112*('W2'!$M$7:$R$7=$A879)*('W2'!$A$12:$A$112=$B879))*AC842*$H$10*POWER(1+Inflation,AC$11+1)</f>
        <v>-1679.6006758306587</v>
      </c>
      <c r="AD879" s="457" cm="1">
        <f t="array" ref="AD879">-SUMPRODUCT('W2'!$M$12:$R$112*('W2'!$M$7:$R$7=$A879)*('W2'!$A$12:$A$112=$B879))*AD842*$H$10*POWER(1+Inflation,AD$11+1)</f>
        <v>-1763.580709622192</v>
      </c>
      <c r="AE879" s="457" cm="1">
        <f t="array" ref="AE879">-SUMPRODUCT('W2'!$M$12:$R$112*('W2'!$M$7:$R$7=$A879)*('W2'!$A$12:$A$112=$B879))*AE842*$H$10*POWER(1+Inflation,AE$11+1)</f>
        <v>-1851.7597451033014</v>
      </c>
      <c r="AF879" s="457" cm="1">
        <f t="array" ref="AF879">-SUMPRODUCT('W2'!$M$12:$R$112*('W2'!$M$7:$R$7=$A879)*('W2'!$A$12:$A$112=$B879))*AF842*$H$10*POWER(1+Inflation,AF$11+1)</f>
        <v>-1944.3477323584666</v>
      </c>
      <c r="AG879" s="457" cm="1">
        <f t="array" ref="AG879">-SUMPRODUCT('W2'!$M$12:$R$112*('W2'!$M$7:$R$7=$A879)*('W2'!$A$12:$A$112=$B879))*AG842*$H$10*POWER(1+Inflation,AG$11+1)</f>
        <v>-2041.5651189763898</v>
      </c>
      <c r="AH879" s="457" cm="1">
        <f t="array" ref="AH879">-SUMPRODUCT('W2'!$M$12:$R$112*('W2'!$M$7:$R$7=$A879)*('W2'!$A$12:$A$112=$B879))*AH842*$H$10*POWER(1+Inflation,AH$11+1)</f>
        <v>-2143.6433749252092</v>
      </c>
      <c r="AI879" s="457" cm="1">
        <f t="array" ref="AI879">-SUMPRODUCT('W2'!$M$12:$R$112*('W2'!$M$7:$R$7=$A879)*('W2'!$A$12:$A$112=$B879))*AI842*$H$10*POWER(1+Inflation,AI$11+1)</f>
        <v>-2250.8255436714694</v>
      </c>
      <c r="AJ879" s="457" cm="1">
        <f t="array" ref="AJ879">-SUMPRODUCT('W2'!$M$12:$R$112*('W2'!$M$7:$R$7=$A879)*('W2'!$A$12:$A$112=$B879))*AJ842*$H$10*POWER(1+Inflation,AJ$11+1)</f>
        <v>-2363.3668208550434</v>
      </c>
    </row>
    <row r="880" spans="1:36" hidden="1" x14ac:dyDescent="0.25">
      <c r="A880" t="s">
        <v>695</v>
      </c>
      <c r="H880" s="454" t="s">
        <v>470</v>
      </c>
      <c r="I880" s="497" t="str">
        <f>IF($H$9="USD","USD","tr. VND")</f>
        <v>tr. VND</v>
      </c>
      <c r="K880" s="454"/>
      <c r="L880" s="457" cm="1">
        <f t="array" ref="L880">-SUMPRODUCT('Lãi vay'!$E$5:$AI$34*('Lãi vay'!$A$5:$A$34=$A880)*('Lãi vay'!$B$5:$B$34="Lãi vay")*('Lãi vay'!$E$3:$AI$3=L$14))*$H$10</f>
        <v>-17639.439999999999</v>
      </c>
      <c r="M880" s="457" cm="1">
        <f t="array" ref="M880">-SUMPRODUCT('Lãi vay'!$E$5:$AI$34*('Lãi vay'!$A$5:$A$34=$A880)*('Lãi vay'!$B$5:$B$34="Lãi vay")*('Lãi vay'!$E$3:$AI$3=M$14))*$H$10</f>
        <v>-17483.729018411213</v>
      </c>
      <c r="N880" s="457" cm="1">
        <f t="array" ref="N880">-SUMPRODUCT('Lãi vay'!$E$5:$AI$34*('Lãi vay'!$A$5:$A$34=$A880)*('Lãi vay'!$B$5:$B$34="Lãi vay")*('Lãi vay'!$E$3:$AI$3=N$14))*$H$10</f>
        <v>-17315.561158295324</v>
      </c>
      <c r="O880" s="457" cm="1">
        <f t="array" ref="O880">-SUMPRODUCT('Lãi vay'!$E$5:$AI$34*('Lãi vay'!$A$5:$A$34=$A880)*('Lãi vay'!$B$5:$B$34="Lãi vay")*('Lãi vay'!$E$3:$AI$3=O$14))*$H$10</f>
        <v>-17133.939869370162</v>
      </c>
      <c r="P880" s="457" cm="1">
        <f t="array" ref="P880">-SUMPRODUCT('Lãi vay'!$E$5:$AI$34*('Lãi vay'!$A$5:$A$34=$A880)*('Lãi vay'!$B$5:$B$34="Lãi vay")*('Lãi vay'!$E$3:$AI$3=P$14))*$H$10</f>
        <v>-16937.78887733099</v>
      </c>
      <c r="Q880" s="457" cm="1">
        <f t="array" ref="Q880">-SUMPRODUCT('Lãi vay'!$E$5:$AI$34*('Lãi vay'!$A$5:$A$34=$A880)*('Lãi vay'!$B$5:$B$34="Lãi vay")*('Lãi vay'!$E$3:$AI$3=Q$14))*$H$10</f>
        <v>-16725.945805928684</v>
      </c>
      <c r="R880" s="457" cm="1">
        <f t="array" ref="R880">-SUMPRODUCT('Lãi vay'!$E$5:$AI$34*('Lãi vay'!$A$5:$A$34=$A880)*('Lãi vay'!$B$5:$B$34="Lãi vay")*('Lãi vay'!$E$3:$AI$3=R$14))*$H$10</f>
        <v>-16497.155288814192</v>
      </c>
      <c r="S880" s="457" cm="1">
        <f t="array" ref="S880">-SUMPRODUCT('Lãi vay'!$E$5:$AI$34*('Lãi vay'!$A$5:$A$34=$A880)*('Lãi vay'!$B$5:$B$34="Lãi vay")*('Lãi vay'!$E$3:$AI$3=S$14))*$H$10</f>
        <v>-16250.061530330539</v>
      </c>
      <c r="T880" s="457" cm="1">
        <f t="array" ref="T880">-SUMPRODUCT('Lãi vay'!$E$5:$AI$34*('Lãi vay'!$A$5:$A$34=$A880)*('Lãi vay'!$B$5:$B$34="Lãi vay")*('Lãi vay'!$E$3:$AI$3=T$14))*$H$10</f>
        <v>-15983.200271168194</v>
      </c>
      <c r="U880" s="457" cm="1">
        <f t="array" ref="U880">-SUMPRODUCT('Lãi vay'!$E$5:$AI$34*('Lãi vay'!$A$5:$A$34=$A880)*('Lãi vay'!$B$5:$B$34="Lãi vay")*('Lãi vay'!$E$3:$AI$3=U$14))*$H$10</f>
        <v>-15694.990111272862</v>
      </c>
      <c r="V880" s="457" cm="1">
        <f t="array" ref="V880">-SUMPRODUCT('Lãi vay'!$E$5:$AI$34*('Lãi vay'!$A$5:$A$34=$A880)*('Lãi vay'!$B$5:$B$34="Lãi vay")*('Lãi vay'!$E$3:$AI$3=V$14))*$H$10</f>
        <v>-15383.723138585907</v>
      </c>
      <c r="W880" s="457" cm="1">
        <f t="array" ref="W880">-SUMPRODUCT('Lãi vay'!$E$5:$AI$34*('Lãi vay'!$A$5:$A$34=$A880)*('Lãi vay'!$B$5:$B$34="Lãi vay")*('Lãi vay'!$E$3:$AI$3=W$14))*$H$10</f>
        <v>-15047.554808083991</v>
      </c>
      <c r="X880" s="457" cm="1">
        <f t="array" ref="X880">-SUMPRODUCT('Lãi vay'!$E$5:$AI$34*('Lãi vay'!$A$5:$A$34=$A880)*('Lãi vay'!$B$5:$B$34="Lãi vay")*('Lãi vay'!$E$3:$AI$3=X$14))*$H$10</f>
        <v>-14684.493011141923</v>
      </c>
      <c r="Y880" s="457" cm="1">
        <f t="array" ref="Y880">-SUMPRODUCT('Lãi vay'!$E$5:$AI$34*('Lãi vay'!$A$5:$A$34=$A880)*('Lãi vay'!$B$5:$B$34="Lãi vay")*('Lãi vay'!$E$3:$AI$3=Y$14))*$H$10</f>
        <v>-14292.386270444491</v>
      </c>
      <c r="Z880" s="457" cm="1">
        <f t="array" ref="Z880">-SUMPRODUCT('Lãi vay'!$E$5:$AI$34*('Lãi vay'!$A$5:$A$34=$A880)*('Lãi vay'!$B$5:$B$34="Lãi vay")*('Lãi vay'!$E$3:$AI$3=Z$14))*$H$10</f>
        <v>-13868.910990491264</v>
      </c>
      <c r="AA880" s="457" cm="1">
        <f t="array" ref="AA880">-SUMPRODUCT('Lãi vay'!$E$5:$AI$34*('Lãi vay'!$A$5:$A$34=$A880)*('Lãi vay'!$B$5:$B$34="Lãi vay")*('Lãi vay'!$E$3:$AI$3=AA$14))*$H$10</f>
        <v>-13411.55768814178</v>
      </c>
      <c r="AB880" s="457" cm="1">
        <f t="array" ref="AB880">-SUMPRODUCT('Lãi vay'!$E$5:$AI$34*('Lãi vay'!$A$5:$A$34=$A880)*('Lãi vay'!$B$5:$B$34="Lãi vay")*('Lãi vay'!$E$3:$AI$3=AB$14))*$H$10</f>
        <v>-12917.616121604335</v>
      </c>
      <c r="AC880" s="457" cm="1">
        <f t="array" ref="AC880">-SUMPRODUCT('Lãi vay'!$E$5:$AI$34*('Lãi vay'!$A$5:$A$34=$A880)*('Lãi vay'!$B$5:$B$34="Lãi vay")*('Lãi vay'!$E$3:$AI$3=AC$14))*$H$10</f>
        <v>-12384.159229743897</v>
      </c>
      <c r="AD880" s="457" cm="1">
        <f t="array" ref="AD880">-SUMPRODUCT('Lãi vay'!$E$5:$AI$34*('Lãi vay'!$A$5:$A$34=$A880)*('Lãi vay'!$B$5:$B$34="Lãi vay")*('Lãi vay'!$E$3:$AI$3=AD$14))*$H$10</f>
        <v>-11808.025786534621</v>
      </c>
      <c r="AE880" s="457" cm="1">
        <f t="array" ref="AE880">-SUMPRODUCT('Lãi vay'!$E$5:$AI$34*('Lãi vay'!$A$5:$A$34=$A880)*('Lãi vay'!$B$5:$B$34="Lãi vay")*('Lãi vay'!$E$3:$AI$3=AE$14))*$H$10</f>
        <v>-11185.801667868605</v>
      </c>
      <c r="AF880" s="457" cm="1">
        <f t="array" ref="AF880">-SUMPRODUCT('Lãi vay'!$E$5:$AI$34*('Lãi vay'!$A$5:$A$34=$A880)*('Lãi vay'!$B$5:$B$34="Lãi vay")*('Lãi vay'!$E$3:$AI$3=AF$14))*$H$10</f>
        <v>-10513.799619709309</v>
      </c>
      <c r="AG880" s="457" cm="1">
        <f t="array" ref="AG880">-SUMPRODUCT('Lãi vay'!$E$5:$AI$34*('Lãi vay'!$A$5:$A$34=$A880)*('Lãi vay'!$B$5:$B$34="Lãi vay")*('Lãi vay'!$E$3:$AI$3=AG$14))*$H$10</f>
        <v>-9788.0374076972676</v>
      </c>
      <c r="AH880" s="457" cm="1">
        <f t="array" ref="AH880">-SUMPRODUCT('Lãi vay'!$E$5:$AI$34*('Lãi vay'!$A$5:$A$34=$A880)*('Lãi vay'!$B$5:$B$34="Lãi vay")*('Lãi vay'!$E$3:$AI$3=AH$14))*$H$10</f>
        <v>-9004.2142187242625</v>
      </c>
      <c r="AI880" s="457" cm="1">
        <f t="array" ref="AI880">-SUMPRODUCT('Lãi vay'!$E$5:$AI$34*('Lãi vay'!$A$5:$A$34=$A880)*('Lãi vay'!$B$5:$B$34="Lãi vay")*('Lãi vay'!$E$3:$AI$3=AI$14))*$H$10</f>
        <v>-8157.6851746334169</v>
      </c>
      <c r="AJ880" s="457" cm="1">
        <f t="array" ref="AJ880">-SUMPRODUCT('Lãi vay'!$E$5:$AI$34*('Lãi vay'!$A$5:$A$34=$A880)*('Lãi vay'!$B$5:$B$34="Lãi vay")*('Lãi vay'!$E$3:$AI$3=AJ$14))*$H$10</f>
        <v>-7243.4338070153044</v>
      </c>
    </row>
    <row r="881" spans="1:39" hidden="1" x14ac:dyDescent="0.25">
      <c r="A881" t="s">
        <v>695</v>
      </c>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row>
    <row r="882" spans="1:39" s="16" customFormat="1" hidden="1" x14ac:dyDescent="0.25">
      <c r="A882" s="16" t="s">
        <v>695</v>
      </c>
      <c r="H882" s="270" t="s">
        <v>472</v>
      </c>
      <c r="I882" s="271" t="str">
        <f>IF($H$9="USD","USD","tr. VND")</f>
        <v>tr. VND</v>
      </c>
      <c r="K882" s="272">
        <f t="shared" ref="K882" si="1208">K875+SUM(K877:K880)</f>
        <v>0</v>
      </c>
      <c r="L882" s="272">
        <f>L875+SUM(L877:L880)</f>
        <v>-162076.34919671359</v>
      </c>
      <c r="M882" s="272">
        <f t="shared" ref="M882:AJ882" si="1209">M875+SUM(M877:M880)</f>
        <v>-200012.18315247691</v>
      </c>
      <c r="N882" s="272">
        <f t="shared" si="1209"/>
        <v>-262579.59573256719</v>
      </c>
      <c r="O882" s="272">
        <f t="shared" si="1209"/>
        <v>-268176.40443120577</v>
      </c>
      <c r="P882" s="272">
        <f t="shared" si="1209"/>
        <v>-273945.86380381882</v>
      </c>
      <c r="Q882" s="272">
        <f t="shared" si="1209"/>
        <v>-279894.13567056594</v>
      </c>
      <c r="R882" s="272">
        <f t="shared" si="1209"/>
        <v>-286027.61437487818</v>
      </c>
      <c r="S882" s="272">
        <f t="shared" si="1209"/>
        <v>-292352.93480598973</v>
      </c>
      <c r="T882" s="272">
        <f t="shared" si="1209"/>
        <v>-298876.98058314162</v>
      </c>
      <c r="U882" s="272">
        <f t="shared" si="1209"/>
        <v>-305606.89239136013</v>
      </c>
      <c r="V882" s="272">
        <f t="shared" si="1209"/>
        <v>-312550.07645677641</v>
      </c>
      <c r="W882" s="272">
        <f t="shared" si="1209"/>
        <v>-319714.2131472982</v>
      </c>
      <c r="X882" s="272">
        <f t="shared" si="1209"/>
        <v>-299808.13234873326</v>
      </c>
      <c r="Y882" s="272">
        <f t="shared" si="1209"/>
        <v>-307438.35559716017</v>
      </c>
      <c r="Z882" s="272">
        <f t="shared" si="1209"/>
        <v>-315314.30494543241</v>
      </c>
      <c r="AA882" s="272">
        <f t="shared" si="1209"/>
        <v>-323444.84520515747</v>
      </c>
      <c r="AB882" s="272">
        <f t="shared" si="1209"/>
        <v>-331839.15953528479</v>
      </c>
      <c r="AC882" s="272">
        <f t="shared" si="1209"/>
        <v>-340506.75834453868</v>
      </c>
      <c r="AD882" s="272">
        <f t="shared" si="1209"/>
        <v>-349457.48813730804</v>
      </c>
      <c r="AE882" s="272">
        <f t="shared" si="1209"/>
        <v>-358701.54026122432</v>
      </c>
      <c r="AF882" s="272">
        <f t="shared" si="1209"/>
        <v>-368249.45950947737</v>
      </c>
      <c r="AG882" s="272">
        <f t="shared" si="1209"/>
        <v>-378112.15252523316</v>
      </c>
      <c r="AH882" s="272">
        <f t="shared" si="1209"/>
        <v>-388300.89594928198</v>
      </c>
      <c r="AI882" s="272">
        <f t="shared" si="1209"/>
        <v>-398827.34424520703</v>
      </c>
      <c r="AJ882" s="272">
        <f t="shared" si="1209"/>
        <v>-409703.53712887521</v>
      </c>
    </row>
    <row r="883" spans="1:39" hidden="1" x14ac:dyDescent="0.25">
      <c r="A883" t="s">
        <v>695</v>
      </c>
    </row>
    <row r="884" spans="1:39" s="24" customFormat="1" ht="17.25" hidden="1" x14ac:dyDescent="0.3">
      <c r="A884" s="24" t="s">
        <v>695</v>
      </c>
      <c r="H884" s="644" t="s">
        <v>473</v>
      </c>
      <c r="I884" s="644"/>
      <c r="K884" s="644"/>
      <c r="L884" s="644"/>
      <c r="M884" s="644"/>
      <c r="N884" s="644"/>
      <c r="O884" s="644"/>
      <c r="P884" s="644"/>
      <c r="Q884" s="644"/>
      <c r="R884" s="644"/>
      <c r="S884" s="644"/>
      <c r="T884" s="644"/>
      <c r="U884" s="644"/>
      <c r="V884" s="644"/>
      <c r="W884" s="644"/>
      <c r="X884" s="644"/>
      <c r="Y884" s="644"/>
      <c r="Z884" s="644"/>
      <c r="AA884" s="644"/>
      <c r="AB884" s="644"/>
      <c r="AC884" s="644"/>
      <c r="AD884" s="644"/>
      <c r="AE884" s="644"/>
      <c r="AF884" s="644"/>
      <c r="AG884" s="644"/>
      <c r="AH884" s="644"/>
      <c r="AI884" s="644"/>
      <c r="AJ884" s="644"/>
    </row>
    <row r="885" spans="1:39" s="1" customFormat="1" hidden="1" x14ac:dyDescent="0.25">
      <c r="A885" s="1" t="s">
        <v>695</v>
      </c>
      <c r="H885" s="273" t="s">
        <v>434</v>
      </c>
      <c r="I885" s="274" t="str">
        <f>IF($H$9="USD","USD/tấn","tr. VND/tấn")</f>
        <v>tr. VND/tấn</v>
      </c>
      <c r="K885" s="278">
        <f t="shared" ref="K885" si="1210">SUM(K886:K887,K890:K893,)</f>
        <v>0</v>
      </c>
      <c r="L885" s="278">
        <f>SUM(L886:L887,L890:L893,)</f>
        <v>15.277395246338827</v>
      </c>
      <c r="M885" s="278">
        <f t="shared" ref="M885:AJ885" si="1211">SUM(M886:M887,M890:M893,)</f>
        <v>10.912425175956308</v>
      </c>
      <c r="N885" s="278">
        <f t="shared" si="1211"/>
        <v>7.8036613437551479</v>
      </c>
      <c r="O885" s="278">
        <f t="shared" si="1211"/>
        <v>7.9768732503701676</v>
      </c>
      <c r="P885" s="278">
        <f t="shared" si="1211"/>
        <v>8.1587457523159372</v>
      </c>
      <c r="Q885" s="278">
        <f t="shared" si="1211"/>
        <v>8.3497118793589955</v>
      </c>
      <c r="R885" s="278">
        <f t="shared" si="1211"/>
        <v>8.5502263127542069</v>
      </c>
      <c r="S885" s="278">
        <f t="shared" si="1211"/>
        <v>8.760766467819181</v>
      </c>
      <c r="T885" s="278">
        <f t="shared" si="1211"/>
        <v>8.9818336306374</v>
      </c>
      <c r="U885" s="278">
        <f t="shared" si="1211"/>
        <v>9.2139541515965302</v>
      </c>
      <c r="V885" s="278">
        <f t="shared" si="1211"/>
        <v>9.4576806986036193</v>
      </c>
      <c r="W885" s="278">
        <f t="shared" si="1211"/>
        <v>9.713593572961063</v>
      </c>
      <c r="X885" s="278">
        <f t="shared" si="1211"/>
        <v>5.7445841111000826</v>
      </c>
      <c r="Y885" s="278">
        <f t="shared" si="1211"/>
        <v>6.0267280550791629</v>
      </c>
      <c r="Z885" s="278">
        <f t="shared" si="1211"/>
        <v>6.3229791962571982</v>
      </c>
      <c r="AA885" s="278">
        <f t="shared" si="1211"/>
        <v>6.634042894494133</v>
      </c>
      <c r="AB885" s="278">
        <f t="shared" si="1211"/>
        <v>6.9606597776429178</v>
      </c>
      <c r="AC885" s="278">
        <f t="shared" si="1211"/>
        <v>7.3036075049491398</v>
      </c>
      <c r="AD885" s="278">
        <f t="shared" si="1211"/>
        <v>7.6637026186206745</v>
      </c>
      <c r="AE885" s="278">
        <f t="shared" si="1211"/>
        <v>8.0418024879757848</v>
      </c>
      <c r="AF885" s="278">
        <f t="shared" si="1211"/>
        <v>8.4388073507986494</v>
      </c>
      <c r="AG885" s="278">
        <f t="shared" si="1211"/>
        <v>8.8556624567626603</v>
      </c>
      <c r="AH885" s="278">
        <f t="shared" si="1211"/>
        <v>9.2933603180248685</v>
      </c>
      <c r="AI885" s="278">
        <f t="shared" si="1211"/>
        <v>9.7529430723501864</v>
      </c>
      <c r="AJ885" s="278">
        <f t="shared" si="1211"/>
        <v>10.235504964391776</v>
      </c>
      <c r="AL885" s="39"/>
      <c r="AM885" s="39"/>
    </row>
    <row r="886" spans="1:39" hidden="1" x14ac:dyDescent="0.25">
      <c r="A886" t="s">
        <v>695</v>
      </c>
      <c r="C886" t="s">
        <v>367</v>
      </c>
      <c r="H886" s="557" t="s">
        <v>190</v>
      </c>
      <c r="I886" s="558" t="str">
        <f t="shared" ref="I886:I919" si="1212">IF($H$9="USD","USD/tấn","tr. VND/tấn")</f>
        <v>tr. VND/tấn</v>
      </c>
      <c r="K886" s="563"/>
      <c r="L886" s="564">
        <f t="shared" ref="L886:AJ886" si="1213">-IF($H$9="VND",L854/L842/$H$10/10^3,L854/L842/$H$10*10^3)</f>
        <v>8.4754359598725895</v>
      </c>
      <c r="M886" s="564">
        <f t="shared" si="1213"/>
        <v>6.0538828284804209</v>
      </c>
      <c r="N886" s="564">
        <f t="shared" si="1213"/>
        <v>4.2377179799362947</v>
      </c>
      <c r="O886" s="564">
        <f t="shared" si="1213"/>
        <v>4.2377179799362947</v>
      </c>
      <c r="P886" s="564">
        <f t="shared" si="1213"/>
        <v>4.2377179799362947</v>
      </c>
      <c r="Q886" s="564">
        <f t="shared" si="1213"/>
        <v>4.2377179799362947</v>
      </c>
      <c r="R886" s="564">
        <f t="shared" si="1213"/>
        <v>4.2377179799362947</v>
      </c>
      <c r="S886" s="564">
        <f t="shared" si="1213"/>
        <v>4.2377179799362947</v>
      </c>
      <c r="T886" s="564">
        <f t="shared" si="1213"/>
        <v>4.2377179799362947</v>
      </c>
      <c r="U886" s="564">
        <f t="shared" si="1213"/>
        <v>4.2377179799362947</v>
      </c>
      <c r="V886" s="564">
        <f t="shared" si="1213"/>
        <v>4.2377179799362947</v>
      </c>
      <c r="W886" s="564">
        <f t="shared" si="1213"/>
        <v>4.2377179799362947</v>
      </c>
      <c r="X886" s="564">
        <f t="shared" si="1213"/>
        <v>0</v>
      </c>
      <c r="Y886" s="564">
        <f t="shared" si="1213"/>
        <v>0</v>
      </c>
      <c r="Z886" s="564">
        <f t="shared" si="1213"/>
        <v>0</v>
      </c>
      <c r="AA886" s="564">
        <f t="shared" si="1213"/>
        <v>0</v>
      </c>
      <c r="AB886" s="564">
        <f t="shared" si="1213"/>
        <v>0</v>
      </c>
      <c r="AC886" s="564">
        <f t="shared" si="1213"/>
        <v>0</v>
      </c>
      <c r="AD886" s="564">
        <f t="shared" si="1213"/>
        <v>0</v>
      </c>
      <c r="AE886" s="564">
        <f t="shared" si="1213"/>
        <v>0</v>
      </c>
      <c r="AF886" s="564">
        <f t="shared" si="1213"/>
        <v>0</v>
      </c>
      <c r="AG886" s="564">
        <f t="shared" si="1213"/>
        <v>0</v>
      </c>
      <c r="AH886" s="564">
        <f t="shared" si="1213"/>
        <v>0</v>
      </c>
      <c r="AI886" s="564">
        <f t="shared" si="1213"/>
        <v>0</v>
      </c>
      <c r="AJ886" s="564">
        <f t="shared" si="1213"/>
        <v>0</v>
      </c>
      <c r="AL886" s="15"/>
      <c r="AM886" s="15"/>
    </row>
    <row r="887" spans="1:39" hidden="1" x14ac:dyDescent="0.25">
      <c r="A887" t="s">
        <v>695</v>
      </c>
      <c r="H887" s="559" t="s">
        <v>429</v>
      </c>
      <c r="I887" s="560" t="str">
        <f t="shared" si="1212"/>
        <v>tr. VND/tấn</v>
      </c>
      <c r="K887" s="565">
        <f>SUM(K888:K889)</f>
        <v>0</v>
      </c>
      <c r="L887" s="565">
        <f t="shared" ref="L887:AJ887" si="1214">SUM(L888:L889)</f>
        <v>2.0380544703553434</v>
      </c>
      <c r="M887" s="565">
        <f t="shared" si="1214"/>
        <v>1.4557531931109595</v>
      </c>
      <c r="N887" s="565">
        <f t="shared" si="1214"/>
        <v>1.0699785969365552</v>
      </c>
      <c r="O887" s="565">
        <f t="shared" si="1214"/>
        <v>1.123477526783383</v>
      </c>
      <c r="P887" s="565">
        <f t="shared" si="1214"/>
        <v>1.1796514031225522</v>
      </c>
      <c r="Q887" s="565">
        <f t="shared" si="1214"/>
        <v>1.2386339732786797</v>
      </c>
      <c r="R887" s="565">
        <f t="shared" si="1214"/>
        <v>1.300565671942614</v>
      </c>
      <c r="S887" s="565">
        <f t="shared" si="1214"/>
        <v>1.3655939555397445</v>
      </c>
      <c r="T887" s="565">
        <f t="shared" si="1214"/>
        <v>1.4338736533167316</v>
      </c>
      <c r="U887" s="565">
        <f t="shared" si="1214"/>
        <v>1.5055673359825681</v>
      </c>
      <c r="V887" s="565">
        <f t="shared" si="1214"/>
        <v>1.5808457027816969</v>
      </c>
      <c r="W887" s="565">
        <f t="shared" si="1214"/>
        <v>1.6598879879207815</v>
      </c>
      <c r="X887" s="565">
        <f t="shared" si="1214"/>
        <v>1.7428823873168207</v>
      </c>
      <c r="Y887" s="565">
        <f t="shared" si="1214"/>
        <v>1.8300265066826615</v>
      </c>
      <c r="Z887" s="565">
        <f t="shared" si="1214"/>
        <v>1.9215278320167948</v>
      </c>
      <c r="AA887" s="565">
        <f t="shared" si="1214"/>
        <v>2.0176042236176341</v>
      </c>
      <c r="AB887" s="565">
        <f t="shared" si="1214"/>
        <v>2.1184844347985163</v>
      </c>
      <c r="AC887" s="565">
        <f t="shared" si="1214"/>
        <v>2.2244086565384422</v>
      </c>
      <c r="AD887" s="565">
        <f t="shared" si="1214"/>
        <v>2.3356290893653648</v>
      </c>
      <c r="AE887" s="565">
        <f t="shared" si="1214"/>
        <v>2.4524105438336328</v>
      </c>
      <c r="AF887" s="565">
        <f t="shared" si="1214"/>
        <v>2.5750310710253146</v>
      </c>
      <c r="AG887" s="565">
        <f t="shared" si="1214"/>
        <v>2.7037826245765806</v>
      </c>
      <c r="AH887" s="565">
        <f t="shared" si="1214"/>
        <v>2.8389717558054088</v>
      </c>
      <c r="AI887" s="565">
        <f t="shared" si="1214"/>
        <v>2.9809203435956793</v>
      </c>
      <c r="AJ887" s="565">
        <f t="shared" si="1214"/>
        <v>3.1299663607754642</v>
      </c>
      <c r="AL887" s="15"/>
      <c r="AM887" s="15"/>
    </row>
    <row r="888" spans="1:39" s="299" customFormat="1" hidden="1" x14ac:dyDescent="0.25">
      <c r="A888" s="299" t="s">
        <v>695</v>
      </c>
      <c r="C888" s="299" t="s">
        <v>367</v>
      </c>
      <c r="H888" s="561" t="s">
        <v>430</v>
      </c>
      <c r="I888" s="562" t="str">
        <f t="shared" si="1212"/>
        <v>tr. VND/tấn</v>
      </c>
      <c r="K888" s="566"/>
      <c r="L888" s="566">
        <f t="shared" ref="L888:AJ888" si="1215">-IF($H$9="VND",L856/L842/$H$10/10^3,L856/L842/$H$10*10^3)</f>
        <v>0.33319691613438851</v>
      </c>
      <c r="M888" s="566">
        <f t="shared" si="1215"/>
        <v>0.23799779723884895</v>
      </c>
      <c r="N888" s="566">
        <f t="shared" si="1215"/>
        <v>0.17492838097055399</v>
      </c>
      <c r="O888" s="566">
        <f t="shared" si="1215"/>
        <v>0.18367480001908168</v>
      </c>
      <c r="P888" s="566">
        <f t="shared" si="1215"/>
        <v>0.1928585400200358</v>
      </c>
      <c r="Q888" s="566">
        <f t="shared" si="1215"/>
        <v>0.20250146702103758</v>
      </c>
      <c r="R888" s="566">
        <f t="shared" si="1215"/>
        <v>0.21262654037208947</v>
      </c>
      <c r="S888" s="566">
        <f t="shared" si="1215"/>
        <v>0.22325786739069389</v>
      </c>
      <c r="T888" s="566">
        <f t="shared" si="1215"/>
        <v>0.23442076076022864</v>
      </c>
      <c r="U888" s="566">
        <f t="shared" si="1215"/>
        <v>0.24614179879824005</v>
      </c>
      <c r="V888" s="566">
        <f t="shared" si="1215"/>
        <v>0.25844888873815208</v>
      </c>
      <c r="W888" s="566">
        <f t="shared" si="1215"/>
        <v>0.27137133317505963</v>
      </c>
      <c r="X888" s="566">
        <f t="shared" si="1215"/>
        <v>0.28493989983381268</v>
      </c>
      <c r="Y888" s="566">
        <f t="shared" si="1215"/>
        <v>0.29918689482550326</v>
      </c>
      <c r="Z888" s="566">
        <f t="shared" si="1215"/>
        <v>0.31414623956677851</v>
      </c>
      <c r="AA888" s="566">
        <f t="shared" si="1215"/>
        <v>0.32985355154511736</v>
      </c>
      <c r="AB888" s="566">
        <f t="shared" si="1215"/>
        <v>0.34634622912237328</v>
      </c>
      <c r="AC888" s="566">
        <f t="shared" si="1215"/>
        <v>0.36366354057849198</v>
      </c>
      <c r="AD888" s="566">
        <f t="shared" si="1215"/>
        <v>0.38184671760741662</v>
      </c>
      <c r="AE888" s="566">
        <f t="shared" si="1215"/>
        <v>0.40093905348778741</v>
      </c>
      <c r="AF888" s="566">
        <f t="shared" si="1215"/>
        <v>0.42098600616217685</v>
      </c>
      <c r="AG888" s="566">
        <f t="shared" si="1215"/>
        <v>0.4420353064702856</v>
      </c>
      <c r="AH888" s="566">
        <f t="shared" si="1215"/>
        <v>0.46413707179379993</v>
      </c>
      <c r="AI888" s="566">
        <f t="shared" si="1215"/>
        <v>0.48734392538348986</v>
      </c>
      <c r="AJ888" s="566">
        <f t="shared" si="1215"/>
        <v>0.51171112165266441</v>
      </c>
      <c r="AL888" s="880"/>
      <c r="AM888" s="880"/>
    </row>
    <row r="889" spans="1:39" s="299" customFormat="1" hidden="1" x14ac:dyDescent="0.25">
      <c r="A889" s="299" t="s">
        <v>695</v>
      </c>
      <c r="C889" s="299" t="s">
        <v>367</v>
      </c>
      <c r="H889" s="561" t="s">
        <v>431</v>
      </c>
      <c r="I889" s="562" t="str">
        <f t="shared" si="1212"/>
        <v>tr. VND/tấn</v>
      </c>
      <c r="K889" s="566"/>
      <c r="L889" s="566">
        <f t="shared" ref="L889:AJ889" si="1216">-IF($H$9="VND",L857/L842/$H$10/10^3,L857/L842/$H$10*10^3)</f>
        <v>1.7048575542209548</v>
      </c>
      <c r="M889" s="566">
        <f t="shared" si="1216"/>
        <v>1.2177553958721106</v>
      </c>
      <c r="N889" s="566">
        <f t="shared" si="1216"/>
        <v>0.89505021596600121</v>
      </c>
      <c r="O889" s="566">
        <f t="shared" si="1216"/>
        <v>0.93980272676430132</v>
      </c>
      <c r="P889" s="566">
        <f t="shared" si="1216"/>
        <v>0.98679286310251635</v>
      </c>
      <c r="Q889" s="566">
        <f t="shared" si="1216"/>
        <v>1.0361325062576421</v>
      </c>
      <c r="R889" s="566">
        <f t="shared" si="1216"/>
        <v>1.0879391315705245</v>
      </c>
      <c r="S889" s="566">
        <f t="shared" si="1216"/>
        <v>1.1423360881490505</v>
      </c>
      <c r="T889" s="566">
        <f t="shared" si="1216"/>
        <v>1.1994528925565029</v>
      </c>
      <c r="U889" s="566">
        <f t="shared" si="1216"/>
        <v>1.2594255371843281</v>
      </c>
      <c r="V889" s="566">
        <f t="shared" si="1216"/>
        <v>1.3223968140435447</v>
      </c>
      <c r="W889" s="566">
        <f t="shared" si="1216"/>
        <v>1.3885166547457219</v>
      </c>
      <c r="X889" s="566">
        <f t="shared" si="1216"/>
        <v>1.457942487483008</v>
      </c>
      <c r="Y889" s="566">
        <f t="shared" si="1216"/>
        <v>1.5308396118571583</v>
      </c>
      <c r="Z889" s="566">
        <f t="shared" si="1216"/>
        <v>1.6073815924500163</v>
      </c>
      <c r="AA889" s="566">
        <f t="shared" si="1216"/>
        <v>1.6877506720725168</v>
      </c>
      <c r="AB889" s="566">
        <f t="shared" si="1216"/>
        <v>1.7721382056761432</v>
      </c>
      <c r="AC889" s="566">
        <f t="shared" si="1216"/>
        <v>1.8607451159599502</v>
      </c>
      <c r="AD889" s="566">
        <f t="shared" si="1216"/>
        <v>1.9537823717579481</v>
      </c>
      <c r="AE889" s="566">
        <f t="shared" si="1216"/>
        <v>2.0514714903458455</v>
      </c>
      <c r="AF889" s="566">
        <f t="shared" si="1216"/>
        <v>2.1540450648631375</v>
      </c>
      <c r="AG889" s="566">
        <f t="shared" si="1216"/>
        <v>2.2617473181062948</v>
      </c>
      <c r="AH889" s="566">
        <f t="shared" si="1216"/>
        <v>2.374834684011609</v>
      </c>
      <c r="AI889" s="566">
        <f t="shared" si="1216"/>
        <v>2.4935764182121893</v>
      </c>
      <c r="AJ889" s="566">
        <f t="shared" si="1216"/>
        <v>2.6182552391227998</v>
      </c>
      <c r="AL889" s="880"/>
      <c r="AM889" s="880"/>
    </row>
    <row r="890" spans="1:39" hidden="1" x14ac:dyDescent="0.25">
      <c r="A890" t="s">
        <v>695</v>
      </c>
      <c r="C890" t="s">
        <v>367</v>
      </c>
      <c r="H890" s="559" t="s">
        <v>656</v>
      </c>
      <c r="I890" s="560" t="str">
        <f t="shared" si="1212"/>
        <v>tr. VND/tấn</v>
      </c>
      <c r="K890" s="565"/>
      <c r="L890" s="565">
        <f t="shared" ref="L890:AJ890" si="1217">-IF($H$9="VND",L858/L842/$H$10/10^3,L858/L842/$H$10*10^3)</f>
        <v>0.81366768286785962</v>
      </c>
      <c r="M890" s="565">
        <f t="shared" si="1217"/>
        <v>0.58119120204847119</v>
      </c>
      <c r="N890" s="565">
        <f t="shared" si="1217"/>
        <v>0.42717553350562631</v>
      </c>
      <c r="O890" s="565">
        <f t="shared" si="1217"/>
        <v>0.44853431018090767</v>
      </c>
      <c r="P890" s="565">
        <f t="shared" si="1217"/>
        <v>0.47096102568995302</v>
      </c>
      <c r="Q890" s="565">
        <f t="shared" si="1217"/>
        <v>0.49450907697445068</v>
      </c>
      <c r="R890" s="565">
        <f t="shared" si="1217"/>
        <v>0.51923453082317328</v>
      </c>
      <c r="S890" s="565">
        <f t="shared" si="1217"/>
        <v>0.54519625736433197</v>
      </c>
      <c r="T890" s="565">
        <f t="shared" si="1217"/>
        <v>0.57245607023254852</v>
      </c>
      <c r="U890" s="565">
        <f t="shared" si="1217"/>
        <v>0.6010788737441759</v>
      </c>
      <c r="V890" s="565">
        <f t="shared" si="1217"/>
        <v>0.63113281743138472</v>
      </c>
      <c r="W890" s="565">
        <f t="shared" si="1217"/>
        <v>0.662689458302954</v>
      </c>
      <c r="X890" s="565">
        <f t="shared" si="1217"/>
        <v>0.69582393121810171</v>
      </c>
      <c r="Y890" s="565">
        <f t="shared" si="1217"/>
        <v>0.73061512777900672</v>
      </c>
      <c r="Z890" s="565">
        <f t="shared" si="1217"/>
        <v>0.76714588416795737</v>
      </c>
      <c r="AA890" s="565">
        <f t="shared" si="1217"/>
        <v>0.80550317837635477</v>
      </c>
      <c r="AB890" s="565">
        <f t="shared" si="1217"/>
        <v>0.84577833729517282</v>
      </c>
      <c r="AC890" s="565">
        <f t="shared" si="1217"/>
        <v>0.88806725415993137</v>
      </c>
      <c r="AD890" s="565">
        <f t="shared" si="1217"/>
        <v>0.9324706168679282</v>
      </c>
      <c r="AE890" s="565">
        <f t="shared" si="1217"/>
        <v>0.97909414771132464</v>
      </c>
      <c r="AF890" s="565">
        <f t="shared" si="1217"/>
        <v>1.0280488550968905</v>
      </c>
      <c r="AG890" s="565">
        <f t="shared" si="1217"/>
        <v>1.0794512978517352</v>
      </c>
      <c r="AH890" s="565">
        <f t="shared" si="1217"/>
        <v>1.1334238627443218</v>
      </c>
      <c r="AI890" s="565">
        <f t="shared" si="1217"/>
        <v>1.1900950558815382</v>
      </c>
      <c r="AJ890" s="565">
        <f t="shared" si="1217"/>
        <v>1.249599808675615</v>
      </c>
      <c r="AL890" s="15"/>
      <c r="AM890" s="15"/>
    </row>
    <row r="891" spans="1:39" hidden="1" x14ac:dyDescent="0.25">
      <c r="A891" t="s">
        <v>695</v>
      </c>
      <c r="C891" t="s">
        <v>367</v>
      </c>
      <c r="H891" s="559" t="s">
        <v>432</v>
      </c>
      <c r="I891" s="560" t="str">
        <f t="shared" si="1212"/>
        <v>tr. VND/tấn</v>
      </c>
      <c r="K891" s="565"/>
      <c r="L891" s="565">
        <f t="shared" ref="L891:AJ891" si="1218">-IF($H$9="VND",L859/L842/$H$10/10^3,L859/L842/$H$10*10^3)</f>
        <v>3.5596831031464875</v>
      </c>
      <c r="M891" s="565">
        <f t="shared" si="1218"/>
        <v>2.5426307879617771</v>
      </c>
      <c r="N891" s="565">
        <f t="shared" si="1218"/>
        <v>1.8688336291519061</v>
      </c>
      <c r="O891" s="565">
        <f t="shared" si="1218"/>
        <v>1.9622753106095017</v>
      </c>
      <c r="P891" s="565">
        <f t="shared" si="1218"/>
        <v>2.0603890761399772</v>
      </c>
      <c r="Q891" s="565">
        <f t="shared" si="1218"/>
        <v>2.1634085299469752</v>
      </c>
      <c r="R891" s="565">
        <f t="shared" si="1218"/>
        <v>2.2715789564443245</v>
      </c>
      <c r="S891" s="565">
        <f t="shared" si="1218"/>
        <v>2.3851579042665403</v>
      </c>
      <c r="T891" s="565">
        <f t="shared" si="1218"/>
        <v>2.5044157994798675</v>
      </c>
      <c r="U891" s="565">
        <f t="shared" si="1218"/>
        <v>2.6296365894538609</v>
      </c>
      <c r="V891" s="565">
        <f t="shared" si="1218"/>
        <v>2.7611184189265536</v>
      </c>
      <c r="W891" s="565">
        <f t="shared" si="1218"/>
        <v>2.8991743398728813</v>
      </c>
      <c r="X891" s="565">
        <f t="shared" si="1218"/>
        <v>3.0441330568665257</v>
      </c>
      <c r="Y891" s="565">
        <f t="shared" si="1218"/>
        <v>3.1963397097098518</v>
      </c>
      <c r="Z891" s="565">
        <f t="shared" si="1218"/>
        <v>3.3561566951953452</v>
      </c>
      <c r="AA891" s="565">
        <f t="shared" si="1218"/>
        <v>3.5239645299551117</v>
      </c>
      <c r="AB891" s="565">
        <f t="shared" si="1218"/>
        <v>3.7001627564528681</v>
      </c>
      <c r="AC891" s="565">
        <f t="shared" si="1218"/>
        <v>3.885170894275511</v>
      </c>
      <c r="AD891" s="565">
        <f t="shared" si="1218"/>
        <v>4.0794294389892869</v>
      </c>
      <c r="AE891" s="565">
        <f t="shared" si="1218"/>
        <v>4.2834009109387514</v>
      </c>
      <c r="AF891" s="565">
        <f t="shared" si="1218"/>
        <v>4.4975709564856885</v>
      </c>
      <c r="AG891" s="565">
        <f t="shared" si="1218"/>
        <v>4.7224495043099735</v>
      </c>
      <c r="AH891" s="565">
        <f t="shared" si="1218"/>
        <v>4.9585719795254724</v>
      </c>
      <c r="AI891" s="565">
        <f t="shared" si="1218"/>
        <v>5.2065005785017453</v>
      </c>
      <c r="AJ891" s="565">
        <f t="shared" si="1218"/>
        <v>5.4668256074268342</v>
      </c>
      <c r="AL891" s="15"/>
      <c r="AM891" s="15"/>
    </row>
    <row r="892" spans="1:39" hidden="1" x14ac:dyDescent="0.25">
      <c r="A892" t="s">
        <v>695</v>
      </c>
      <c r="C892" t="s">
        <v>367</v>
      </c>
      <c r="H892" s="559" t="s">
        <v>433</v>
      </c>
      <c r="I892" s="560" t="str">
        <f t="shared" si="1212"/>
        <v>tr. VND/tấn</v>
      </c>
      <c r="K892" s="565"/>
      <c r="L892" s="565">
        <f t="shared" ref="L892:AJ892" si="1219">-IF($H$9="VND",L860/L842/$H$10/10^3,L860/L842/$H$10*10^3)</f>
        <v>0.18714356705960775</v>
      </c>
      <c r="M892" s="565">
        <f t="shared" si="1219"/>
        <v>0.1336739764711484</v>
      </c>
      <c r="N892" s="565">
        <f t="shared" si="1219"/>
        <v>9.8250372706294054E-2</v>
      </c>
      <c r="O892" s="565">
        <f t="shared" si="1219"/>
        <v>0.10316289134160876</v>
      </c>
      <c r="P892" s="565">
        <f t="shared" si="1219"/>
        <v>0.1083210359086892</v>
      </c>
      <c r="Q892" s="565">
        <f t="shared" si="1219"/>
        <v>0.11373708770412366</v>
      </c>
      <c r="R892" s="565">
        <f t="shared" si="1219"/>
        <v>0.11942394208932987</v>
      </c>
      <c r="S892" s="565">
        <f t="shared" si="1219"/>
        <v>0.12539513919379636</v>
      </c>
      <c r="T892" s="565">
        <f t="shared" si="1219"/>
        <v>0.13166489615348617</v>
      </c>
      <c r="U892" s="565">
        <f t="shared" si="1219"/>
        <v>0.13824814096116045</v>
      </c>
      <c r="V892" s="565">
        <f t="shared" si="1219"/>
        <v>0.14516054800921852</v>
      </c>
      <c r="W892" s="565">
        <f t="shared" si="1219"/>
        <v>0.15241857540967943</v>
      </c>
      <c r="X892" s="565">
        <f t="shared" si="1219"/>
        <v>0.16003950418016338</v>
      </c>
      <c r="Y892" s="565">
        <f t="shared" si="1219"/>
        <v>0.16804147938917155</v>
      </c>
      <c r="Z892" s="565">
        <f t="shared" si="1219"/>
        <v>0.17644355335863013</v>
      </c>
      <c r="AA892" s="565">
        <f t="shared" si="1219"/>
        <v>0.18526573102656163</v>
      </c>
      <c r="AB892" s="565">
        <f t="shared" si="1219"/>
        <v>0.19452901757788979</v>
      </c>
      <c r="AC892" s="565">
        <f t="shared" si="1219"/>
        <v>0.20425546845678422</v>
      </c>
      <c r="AD892" s="565">
        <f t="shared" si="1219"/>
        <v>0.21446824187962349</v>
      </c>
      <c r="AE892" s="565">
        <f t="shared" si="1219"/>
        <v>0.22519165397360463</v>
      </c>
      <c r="AF892" s="565">
        <f t="shared" si="1219"/>
        <v>0.2364512366722849</v>
      </c>
      <c r="AG892" s="565">
        <f t="shared" si="1219"/>
        <v>0.24827379850589912</v>
      </c>
      <c r="AH892" s="565">
        <f t="shared" si="1219"/>
        <v>0.26068748843119405</v>
      </c>
      <c r="AI892" s="565">
        <f t="shared" si="1219"/>
        <v>0.27372186285275374</v>
      </c>
      <c r="AJ892" s="565">
        <f t="shared" si="1219"/>
        <v>0.28740795599539148</v>
      </c>
      <c r="AL892" s="15"/>
      <c r="AM892" s="15"/>
    </row>
    <row r="893" spans="1:39" hidden="1" x14ac:dyDescent="0.25">
      <c r="A893" t="s">
        <v>695</v>
      </c>
      <c r="C893" t="s">
        <v>367</v>
      </c>
      <c r="H893" s="559" t="s">
        <v>520</v>
      </c>
      <c r="I893" s="560" t="str">
        <f t="shared" si="1212"/>
        <v>tr. VND/tấn</v>
      </c>
      <c r="K893" s="565"/>
      <c r="L893" s="565">
        <f t="shared" ref="L893:AJ893" si="1220">-IF($H$9="VND",L861/L842/$H$10/10^3,L861/L842/$H$10*10^3)</f>
        <v>0.20341046303694216</v>
      </c>
      <c r="M893" s="565">
        <f t="shared" si="1220"/>
        <v>0.14529318788353013</v>
      </c>
      <c r="N893" s="565">
        <f t="shared" si="1220"/>
        <v>0.10170523151847108</v>
      </c>
      <c r="O893" s="565">
        <f t="shared" si="1220"/>
        <v>0.10170523151847108</v>
      </c>
      <c r="P893" s="565">
        <f t="shared" si="1220"/>
        <v>0.10170523151847108</v>
      </c>
      <c r="Q893" s="565">
        <f t="shared" si="1220"/>
        <v>0.10170523151847108</v>
      </c>
      <c r="R893" s="565">
        <f t="shared" si="1220"/>
        <v>0.10170523151847108</v>
      </c>
      <c r="S893" s="565">
        <f t="shared" si="1220"/>
        <v>0.10170523151847108</v>
      </c>
      <c r="T893" s="565">
        <f t="shared" si="1220"/>
        <v>0.10170523151847108</v>
      </c>
      <c r="U893" s="565">
        <f t="shared" si="1220"/>
        <v>0.10170523151847108</v>
      </c>
      <c r="V893" s="565">
        <f t="shared" si="1220"/>
        <v>0.10170523151847108</v>
      </c>
      <c r="W893" s="565">
        <f t="shared" si="1220"/>
        <v>0.10170523151847108</v>
      </c>
      <c r="X893" s="565">
        <f t="shared" si="1220"/>
        <v>0.10170523151847108</v>
      </c>
      <c r="Y893" s="565">
        <f t="shared" si="1220"/>
        <v>0.10170523151847108</v>
      </c>
      <c r="Z893" s="565">
        <f t="shared" si="1220"/>
        <v>0.10170523151847108</v>
      </c>
      <c r="AA893" s="565">
        <f t="shared" si="1220"/>
        <v>0.10170523151847108</v>
      </c>
      <c r="AB893" s="565">
        <f t="shared" si="1220"/>
        <v>0.10170523151847108</v>
      </c>
      <c r="AC893" s="565">
        <f t="shared" si="1220"/>
        <v>0.10170523151847108</v>
      </c>
      <c r="AD893" s="565">
        <f t="shared" si="1220"/>
        <v>0.10170523151847108</v>
      </c>
      <c r="AE893" s="565">
        <f t="shared" si="1220"/>
        <v>0.10170523151847108</v>
      </c>
      <c r="AF893" s="565">
        <f t="shared" si="1220"/>
        <v>0.10170523151847108</v>
      </c>
      <c r="AG893" s="565">
        <f t="shared" si="1220"/>
        <v>0.10170523151847108</v>
      </c>
      <c r="AH893" s="565">
        <f t="shared" si="1220"/>
        <v>0.10170523151847108</v>
      </c>
      <c r="AI893" s="565">
        <f t="shared" si="1220"/>
        <v>0.10170523151847108</v>
      </c>
      <c r="AJ893" s="565">
        <f t="shared" si="1220"/>
        <v>0.10170523151847108</v>
      </c>
      <c r="AL893" s="15"/>
      <c r="AM893" s="15"/>
    </row>
    <row r="894" spans="1:39" hidden="1" x14ac:dyDescent="0.25">
      <c r="A894" t="s">
        <v>695</v>
      </c>
      <c r="H894" s="247"/>
      <c r="I894" s="275"/>
      <c r="K894" s="279"/>
      <c r="L894" s="279"/>
      <c r="M894" s="279"/>
      <c r="N894" s="279"/>
      <c r="O894" s="279"/>
      <c r="P894" s="279"/>
      <c r="Q894" s="279"/>
      <c r="R894" s="279"/>
      <c r="S894" s="279"/>
      <c r="T894" s="279"/>
      <c r="U894" s="279"/>
      <c r="V894" s="279"/>
      <c r="W894" s="279"/>
      <c r="X894" s="279"/>
      <c r="Y894" s="279"/>
      <c r="Z894" s="279"/>
      <c r="AA894" s="279"/>
      <c r="AB894" s="279"/>
      <c r="AC894" s="279"/>
      <c r="AD894" s="279"/>
      <c r="AE894" s="279"/>
      <c r="AF894" s="279"/>
      <c r="AG894" s="279"/>
      <c r="AH894" s="279"/>
      <c r="AI894" s="279"/>
      <c r="AJ894" s="279"/>
      <c r="AL894" s="15"/>
      <c r="AM894" s="15"/>
    </row>
    <row r="895" spans="1:39" s="1" customFormat="1" hidden="1" x14ac:dyDescent="0.25">
      <c r="A895" s="1" t="s">
        <v>695</v>
      </c>
      <c r="H895" s="273" t="s">
        <v>435</v>
      </c>
      <c r="I895" s="274" t="str">
        <f t="shared" si="1212"/>
        <v>tr. VND/tấn</v>
      </c>
      <c r="K895" s="280">
        <f>K896+K899+K902</f>
        <v>0</v>
      </c>
      <c r="L895" s="280">
        <f t="shared" ref="L895:AJ895" si="1221">L896+L899+L902</f>
        <v>29.930545702326675</v>
      </c>
      <c r="M895" s="280">
        <f t="shared" si="1221"/>
        <v>29.755946899511375</v>
      </c>
      <c r="N895" s="280">
        <f t="shared" si="1221"/>
        <v>30.292407550524402</v>
      </c>
      <c r="O895" s="280">
        <f t="shared" si="1221"/>
        <v>30.977084565498686</v>
      </c>
      <c r="P895" s="280">
        <f t="shared" si="1221"/>
        <v>31.679570140899095</v>
      </c>
      <c r="Q895" s="280">
        <f t="shared" si="1221"/>
        <v>32.400426198940494</v>
      </c>
      <c r="R895" s="280">
        <f t="shared" si="1221"/>
        <v>33.14023618783235</v>
      </c>
      <c r="S895" s="280">
        <f t="shared" si="1221"/>
        <v>33.899606026676153</v>
      </c>
      <c r="T895" s="280">
        <f t="shared" si="1221"/>
        <v>34.679165094979645</v>
      </c>
      <c r="U895" s="280">
        <f t="shared" si="1221"/>
        <v>35.479567268966171</v>
      </c>
      <c r="V895" s="280">
        <f t="shared" si="1221"/>
        <v>36.301492006965233</v>
      </c>
      <c r="W895" s="280">
        <f t="shared" si="1221"/>
        <v>37.145645486283726</v>
      </c>
      <c r="X895" s="280">
        <f t="shared" si="1221"/>
        <v>37.843253074878525</v>
      </c>
      <c r="Y895" s="280">
        <f t="shared" si="1221"/>
        <v>38.734095455658448</v>
      </c>
      <c r="Z895" s="280">
        <f t="shared" si="1221"/>
        <v>39.649457618227331</v>
      </c>
      <c r="AA895" s="280">
        <f t="shared" si="1221"/>
        <v>40.590165104929618</v>
      </c>
      <c r="AB895" s="280">
        <f t="shared" si="1221"/>
        <v>41.557076726292117</v>
      </c>
      <c r="AC895" s="280">
        <f t="shared" si="1221"/>
        <v>42.551086064254335</v>
      </c>
      <c r="AD895" s="280">
        <f t="shared" si="1221"/>
        <v>43.573123047356859</v>
      </c>
      <c r="AE895" s="280">
        <f t="shared" si="1221"/>
        <v>44.624155601421577</v>
      </c>
      <c r="AF895" s="280">
        <f t="shared" si="1221"/>
        <v>45.705191379432719</v>
      </c>
      <c r="AG895" s="280">
        <f t="shared" si="1221"/>
        <v>46.817279574512483</v>
      </c>
      <c r="AH895" s="280">
        <f t="shared" si="1221"/>
        <v>47.961512820077651</v>
      </c>
      <c r="AI895" s="280">
        <f t="shared" si="1221"/>
        <v>49.139029181467158</v>
      </c>
      <c r="AJ895" s="280">
        <f t="shared" si="1221"/>
        <v>50.351014243543084</v>
      </c>
      <c r="AL895" s="39"/>
      <c r="AM895" s="39"/>
    </row>
    <row r="896" spans="1:39" hidden="1" x14ac:dyDescent="0.25">
      <c r="A896" t="s">
        <v>695</v>
      </c>
      <c r="H896" s="557" t="s">
        <v>454</v>
      </c>
      <c r="I896" s="558" t="str">
        <f t="shared" si="1212"/>
        <v>tr. VND/tấn</v>
      </c>
      <c r="K896" s="567">
        <f>SUM(K897:K898)</f>
        <v>0</v>
      </c>
      <c r="L896" s="567">
        <f t="shared" ref="L896:AJ896" si="1222">SUM(L897:L898)</f>
        <v>26.838709677419356</v>
      </c>
      <c r="M896" s="567">
        <f t="shared" si="1222"/>
        <v>26.838709677419359</v>
      </c>
      <c r="N896" s="567">
        <f t="shared" si="1222"/>
        <v>27.375483870967745</v>
      </c>
      <c r="O896" s="567">
        <f t="shared" si="1222"/>
        <v>27.922993548387105</v>
      </c>
      <c r="P896" s="567">
        <f t="shared" si="1222"/>
        <v>28.481453419354843</v>
      </c>
      <c r="Q896" s="567">
        <f t="shared" si="1222"/>
        <v>29.05108248774194</v>
      </c>
      <c r="R896" s="567">
        <f t="shared" si="1222"/>
        <v>29.632104137496778</v>
      </c>
      <c r="S896" s="567">
        <f t="shared" si="1222"/>
        <v>30.224746220246715</v>
      </c>
      <c r="T896" s="567">
        <f t="shared" si="1222"/>
        <v>30.829241144651643</v>
      </c>
      <c r="U896" s="567">
        <f t="shared" si="1222"/>
        <v>31.445825967544675</v>
      </c>
      <c r="V896" s="567">
        <f t="shared" si="1222"/>
        <v>32.074742486895573</v>
      </c>
      <c r="W896" s="567">
        <f t="shared" si="1222"/>
        <v>32.71623733663349</v>
      </c>
      <c r="X896" s="567">
        <f t="shared" si="1222"/>
        <v>33.370562083366146</v>
      </c>
      <c r="Y896" s="567">
        <f t="shared" si="1222"/>
        <v>34.037973325033477</v>
      </c>
      <c r="Z896" s="567">
        <f t="shared" si="1222"/>
        <v>34.718732791534151</v>
      </c>
      <c r="AA896" s="567">
        <f t="shared" si="1222"/>
        <v>35.413107447364823</v>
      </c>
      <c r="AB896" s="567">
        <f t="shared" si="1222"/>
        <v>36.121369596312114</v>
      </c>
      <c r="AC896" s="567">
        <f t="shared" si="1222"/>
        <v>36.843796988238367</v>
      </c>
      <c r="AD896" s="567">
        <f t="shared" si="1222"/>
        <v>37.580672928003132</v>
      </c>
      <c r="AE896" s="567">
        <f t="shared" si="1222"/>
        <v>38.332286386563197</v>
      </c>
      <c r="AF896" s="567">
        <f t="shared" si="1222"/>
        <v>39.098932114294456</v>
      </c>
      <c r="AG896" s="567">
        <f t="shared" si="1222"/>
        <v>39.880910756580349</v>
      </c>
      <c r="AH896" s="567">
        <f t="shared" si="1222"/>
        <v>40.678528971711948</v>
      </c>
      <c r="AI896" s="567">
        <f t="shared" si="1222"/>
        <v>41.492099551146204</v>
      </c>
      <c r="AJ896" s="567">
        <f t="shared" si="1222"/>
        <v>42.321941542169114</v>
      </c>
      <c r="AL896" s="15"/>
      <c r="AM896" s="15"/>
    </row>
    <row r="897" spans="1:39" s="299" customFormat="1" hidden="1" x14ac:dyDescent="0.25">
      <c r="A897" s="299" t="s">
        <v>695</v>
      </c>
      <c r="C897" s="299" t="s">
        <v>504</v>
      </c>
      <c r="E897" s="331"/>
      <c r="F897" s="331"/>
      <c r="H897" s="561" t="s">
        <v>167</v>
      </c>
      <c r="I897" s="562" t="str">
        <f t="shared" si="1212"/>
        <v>tr. VND/tấn</v>
      </c>
      <c r="K897" s="566"/>
      <c r="L897" s="566">
        <f t="shared" ref="L897:AJ897" si="1223">-IF($H$9="VND",L865/L842/$H$10/10^3,L865/L842/$H$10*10^3)</f>
        <v>24.96</v>
      </c>
      <c r="M897" s="566">
        <f t="shared" si="1223"/>
        <v>24.96</v>
      </c>
      <c r="N897" s="566">
        <f t="shared" si="1223"/>
        <v>25.459199999999999</v>
      </c>
      <c r="O897" s="566">
        <f t="shared" si="1223"/>
        <v>25.968384000000004</v>
      </c>
      <c r="P897" s="566">
        <f t="shared" si="1223"/>
        <v>26.487751680000002</v>
      </c>
      <c r="Q897" s="566">
        <f t="shared" si="1223"/>
        <v>27.017506713600003</v>
      </c>
      <c r="R897" s="566">
        <f t="shared" si="1223"/>
        <v>27.557856847872003</v>
      </c>
      <c r="S897" s="566">
        <f t="shared" si="1223"/>
        <v>28.109013984829442</v>
      </c>
      <c r="T897" s="566">
        <f t="shared" si="1223"/>
        <v>28.671194264526026</v>
      </c>
      <c r="U897" s="566">
        <f t="shared" si="1223"/>
        <v>29.244618149816546</v>
      </c>
      <c r="V897" s="566">
        <f t="shared" si="1223"/>
        <v>29.829510512812881</v>
      </c>
      <c r="W897" s="566">
        <f t="shared" si="1223"/>
        <v>30.426100723069144</v>
      </c>
      <c r="X897" s="566">
        <f t="shared" si="1223"/>
        <v>31.034622737530515</v>
      </c>
      <c r="Y897" s="566">
        <f t="shared" si="1223"/>
        <v>31.655315192281126</v>
      </c>
      <c r="Z897" s="566">
        <f t="shared" si="1223"/>
        <v>32.288421496126759</v>
      </c>
      <c r="AA897" s="566">
        <f t="shared" si="1223"/>
        <v>32.934189926049285</v>
      </c>
      <c r="AB897" s="566">
        <f t="shared" si="1223"/>
        <v>33.592873724570268</v>
      </c>
      <c r="AC897" s="566">
        <f t="shared" si="1223"/>
        <v>34.264731199061679</v>
      </c>
      <c r="AD897" s="566">
        <f t="shared" si="1223"/>
        <v>34.950025823042914</v>
      </c>
      <c r="AE897" s="566">
        <f t="shared" si="1223"/>
        <v>35.64902633950377</v>
      </c>
      <c r="AF897" s="566">
        <f t="shared" si="1223"/>
        <v>36.362006866293839</v>
      </c>
      <c r="AG897" s="566">
        <f t="shared" si="1223"/>
        <v>37.089247003619725</v>
      </c>
      <c r="AH897" s="566">
        <f t="shared" si="1223"/>
        <v>37.831031943692111</v>
      </c>
      <c r="AI897" s="566">
        <f t="shared" si="1223"/>
        <v>38.587652582565966</v>
      </c>
      <c r="AJ897" s="566">
        <f t="shared" si="1223"/>
        <v>39.359405634217268</v>
      </c>
      <c r="AL897" s="880"/>
      <c r="AM897" s="880"/>
    </row>
    <row r="898" spans="1:39" s="299" customFormat="1" hidden="1" x14ac:dyDescent="0.25">
      <c r="A898" s="299" t="s">
        <v>695</v>
      </c>
      <c r="C898" s="299" t="s">
        <v>387</v>
      </c>
      <c r="E898" s="331"/>
      <c r="F898" s="331"/>
      <c r="H898" s="641" t="s">
        <v>203</v>
      </c>
      <c r="I898" s="642" t="str">
        <f t="shared" si="1212"/>
        <v>tr. VND/tấn</v>
      </c>
      <c r="K898" s="643"/>
      <c r="L898" s="643">
        <f t="shared" ref="L898:AJ898" si="1224">-IF($H$9="VND",L866/L842/$H$10/10^3,L866/L842/$H$10*10^3)</f>
        <v>1.8787096774193559</v>
      </c>
      <c r="M898" s="643">
        <f t="shared" si="1224"/>
        <v>1.8787096774193583</v>
      </c>
      <c r="N898" s="643">
        <f t="shared" si="1224"/>
        <v>1.9162838709677454</v>
      </c>
      <c r="O898" s="643">
        <f t="shared" si="1224"/>
        <v>1.9546095483871007</v>
      </c>
      <c r="P898" s="643">
        <f t="shared" si="1224"/>
        <v>1.9937017393548417</v>
      </c>
      <c r="Q898" s="643">
        <f t="shared" si="1224"/>
        <v>2.0335757741419362</v>
      </c>
      <c r="R898" s="643">
        <f t="shared" si="1224"/>
        <v>2.0742472896247759</v>
      </c>
      <c r="S898" s="643">
        <f t="shared" si="1224"/>
        <v>2.1157322354172718</v>
      </c>
      <c r="T898" s="643">
        <f t="shared" si="1224"/>
        <v>2.1580468801256183</v>
      </c>
      <c r="U898" s="643">
        <f t="shared" si="1224"/>
        <v>2.2012078177281285</v>
      </c>
      <c r="V898" s="643">
        <f t="shared" si="1224"/>
        <v>2.2452319740826931</v>
      </c>
      <c r="W898" s="643">
        <f t="shared" si="1224"/>
        <v>2.2901366135643446</v>
      </c>
      <c r="X898" s="643">
        <f t="shared" si="1224"/>
        <v>2.3359393458356301</v>
      </c>
      <c r="Y898" s="643">
        <f t="shared" si="1224"/>
        <v>2.3826581327523475</v>
      </c>
      <c r="Z898" s="643">
        <f t="shared" si="1224"/>
        <v>2.430311295407392</v>
      </c>
      <c r="AA898" s="643">
        <f t="shared" si="1224"/>
        <v>2.4789175213155397</v>
      </c>
      <c r="AB898" s="643">
        <f t="shared" si="1224"/>
        <v>2.5284958717418484</v>
      </c>
      <c r="AC898" s="643">
        <f t="shared" si="1224"/>
        <v>2.5790657891766906</v>
      </c>
      <c r="AD898" s="643">
        <f t="shared" si="1224"/>
        <v>2.6306471049602203</v>
      </c>
      <c r="AE898" s="643">
        <f t="shared" si="1224"/>
        <v>2.6832600470594246</v>
      </c>
      <c r="AF898" s="643">
        <f t="shared" si="1224"/>
        <v>2.7369252480006154</v>
      </c>
      <c r="AG898" s="643">
        <f t="shared" si="1224"/>
        <v>2.7916637529606247</v>
      </c>
      <c r="AH898" s="643">
        <f t="shared" si="1224"/>
        <v>2.8474970280198399</v>
      </c>
      <c r="AI898" s="643">
        <f t="shared" si="1224"/>
        <v>2.9044469685802379</v>
      </c>
      <c r="AJ898" s="643">
        <f t="shared" si="1224"/>
        <v>2.9625359079518438</v>
      </c>
      <c r="AL898" s="880"/>
      <c r="AM898" s="880"/>
    </row>
    <row r="899" spans="1:39" hidden="1" x14ac:dyDescent="0.25">
      <c r="A899" t="s">
        <v>695</v>
      </c>
      <c r="H899" s="559" t="s">
        <v>676</v>
      </c>
      <c r="I899" s="560" t="str">
        <f t="shared" si="1212"/>
        <v>tr. VND/tấn</v>
      </c>
      <c r="K899" s="568">
        <f>SUM(K900:K901)</f>
        <v>0</v>
      </c>
      <c r="L899" s="568">
        <f t="shared" ref="L899:AJ899" si="1225">SUM(L900:L901)</f>
        <v>0.20420258064516131</v>
      </c>
      <c r="M899" s="568">
        <f t="shared" si="1225"/>
        <v>0.20420258064516134</v>
      </c>
      <c r="N899" s="568">
        <f t="shared" si="1225"/>
        <v>0.21441270967741941</v>
      </c>
      <c r="O899" s="568">
        <f t="shared" si="1225"/>
        <v>0.22513334516129035</v>
      </c>
      <c r="P899" s="568">
        <f t="shared" si="1225"/>
        <v>0.23639001241935489</v>
      </c>
      <c r="Q899" s="568">
        <f t="shared" si="1225"/>
        <v>0.24820951304032263</v>
      </c>
      <c r="R899" s="568">
        <f t="shared" si="1225"/>
        <v>0.26061998869233877</v>
      </c>
      <c r="S899" s="568">
        <f t="shared" si="1225"/>
        <v>0.27365098812695565</v>
      </c>
      <c r="T899" s="568">
        <f t="shared" si="1225"/>
        <v>0.28733353753330354</v>
      </c>
      <c r="U899" s="568">
        <f t="shared" si="1225"/>
        <v>0.30170021440996864</v>
      </c>
      <c r="V899" s="568">
        <f t="shared" si="1225"/>
        <v>0.31678522513046709</v>
      </c>
      <c r="W899" s="568">
        <f t="shared" si="1225"/>
        <v>0.33262448638699044</v>
      </c>
      <c r="X899" s="568">
        <f t="shared" si="1225"/>
        <v>0.34925571070633998</v>
      </c>
      <c r="Y899" s="568">
        <f t="shared" si="1225"/>
        <v>0.36671849624165698</v>
      </c>
      <c r="Z899" s="568">
        <f t="shared" si="1225"/>
        <v>0.38505442105373988</v>
      </c>
      <c r="AA899" s="568">
        <f t="shared" si="1225"/>
        <v>0.40430714210642676</v>
      </c>
      <c r="AB899" s="568">
        <f t="shared" si="1225"/>
        <v>0.42452249921174823</v>
      </c>
      <c r="AC899" s="568">
        <f t="shared" si="1225"/>
        <v>0.44574862417233563</v>
      </c>
      <c r="AD899" s="568">
        <f t="shared" si="1225"/>
        <v>0.46803605538095244</v>
      </c>
      <c r="AE899" s="568">
        <f t="shared" si="1225"/>
        <v>0.49143785815000002</v>
      </c>
      <c r="AF899" s="568">
        <f t="shared" si="1225"/>
        <v>0.51600975105750013</v>
      </c>
      <c r="AG899" s="568">
        <f t="shared" si="1225"/>
        <v>0.54181023861037514</v>
      </c>
      <c r="AH899" s="568">
        <f t="shared" si="1225"/>
        <v>0.56890075054089384</v>
      </c>
      <c r="AI899" s="568">
        <f t="shared" si="1225"/>
        <v>0.59734578806793848</v>
      </c>
      <c r="AJ899" s="568">
        <f t="shared" si="1225"/>
        <v>0.62721307747133548</v>
      </c>
      <c r="AL899" s="15"/>
      <c r="AM899" s="15"/>
    </row>
    <row r="900" spans="1:39" s="299" customFormat="1" hidden="1" x14ac:dyDescent="0.25">
      <c r="A900" s="299" t="s">
        <v>695</v>
      </c>
      <c r="C900" s="299" t="s">
        <v>367</v>
      </c>
      <c r="E900" s="331"/>
      <c r="F900" s="331"/>
      <c r="H900" s="561" t="s">
        <v>673</v>
      </c>
      <c r="I900" s="562" t="str">
        <f t="shared" si="1212"/>
        <v>tr. VND/tấn</v>
      </c>
      <c r="K900" s="566"/>
      <c r="L900" s="566">
        <f>-IF($H$9="VND",L868/L842/$H$10/10^3,L868/L842/$H$10*10^3)</f>
        <v>0.20420258064516131</v>
      </c>
      <c r="M900" s="566">
        <f t="shared" ref="M900:AJ900" si="1226">-IF($H$9="VND",M868/M842/$H$10/10^3,M868/M842/$H$10*10^3)</f>
        <v>0.20420258064516134</v>
      </c>
      <c r="N900" s="566">
        <f t="shared" si="1226"/>
        <v>0.21441270967741941</v>
      </c>
      <c r="O900" s="566">
        <f t="shared" si="1226"/>
        <v>0.22513334516129035</v>
      </c>
      <c r="P900" s="566">
        <f t="shared" si="1226"/>
        <v>0.23639001241935489</v>
      </c>
      <c r="Q900" s="566">
        <f t="shared" si="1226"/>
        <v>0.24820951304032263</v>
      </c>
      <c r="R900" s="566">
        <f t="shared" si="1226"/>
        <v>0.26061998869233877</v>
      </c>
      <c r="S900" s="566">
        <f t="shared" si="1226"/>
        <v>0.27365098812695565</v>
      </c>
      <c r="T900" s="566">
        <f t="shared" si="1226"/>
        <v>0.28733353753330354</v>
      </c>
      <c r="U900" s="566">
        <f t="shared" si="1226"/>
        <v>0.30170021440996864</v>
      </c>
      <c r="V900" s="566">
        <f t="shared" si="1226"/>
        <v>0.31678522513046709</v>
      </c>
      <c r="W900" s="566">
        <f t="shared" si="1226"/>
        <v>0.33262448638699044</v>
      </c>
      <c r="X900" s="566">
        <f t="shared" si="1226"/>
        <v>0.34925571070633998</v>
      </c>
      <c r="Y900" s="566">
        <f t="shared" si="1226"/>
        <v>0.36671849624165698</v>
      </c>
      <c r="Z900" s="566">
        <f t="shared" si="1226"/>
        <v>0.38505442105373988</v>
      </c>
      <c r="AA900" s="566">
        <f t="shared" si="1226"/>
        <v>0.40430714210642676</v>
      </c>
      <c r="AB900" s="566">
        <f t="shared" si="1226"/>
        <v>0.42452249921174823</v>
      </c>
      <c r="AC900" s="566">
        <f t="shared" si="1226"/>
        <v>0.44574862417233563</v>
      </c>
      <c r="AD900" s="566">
        <f t="shared" si="1226"/>
        <v>0.46803605538095244</v>
      </c>
      <c r="AE900" s="566">
        <f t="shared" si="1226"/>
        <v>0.49143785815000002</v>
      </c>
      <c r="AF900" s="566">
        <f t="shared" si="1226"/>
        <v>0.51600975105750013</v>
      </c>
      <c r="AG900" s="566">
        <f t="shared" si="1226"/>
        <v>0.54181023861037514</v>
      </c>
      <c r="AH900" s="566">
        <f t="shared" si="1226"/>
        <v>0.56890075054089384</v>
      </c>
      <c r="AI900" s="566">
        <f t="shared" si="1226"/>
        <v>0.59734578806793848</v>
      </c>
      <c r="AJ900" s="566">
        <f t="shared" si="1226"/>
        <v>0.62721307747133548</v>
      </c>
      <c r="AL900" s="880"/>
      <c r="AM900" s="880"/>
    </row>
    <row r="901" spans="1:39" s="299" customFormat="1" hidden="1" x14ac:dyDescent="0.25">
      <c r="A901" s="299" t="s">
        <v>695</v>
      </c>
      <c r="C901" s="299" t="s">
        <v>367</v>
      </c>
      <c r="E901" s="331"/>
      <c r="F901" s="331"/>
      <c r="H901" s="561" t="s">
        <v>674</v>
      </c>
      <c r="I901" s="562" t="str">
        <f t="shared" si="1212"/>
        <v>tr. VND/tấn</v>
      </c>
      <c r="K901" s="566"/>
      <c r="L901" s="566">
        <f>-IF($H$9="VND",L869/L842/$H$10/10^3,L869/L842/$H$10*10^3)</f>
        <v>0</v>
      </c>
      <c r="M901" s="566">
        <f t="shared" ref="M901:AJ901" si="1227">-IF($H$9="VND",M869/M842/$H$10/10^3,M869/M842/$H$10*10^3)</f>
        <v>0</v>
      </c>
      <c r="N901" s="566">
        <f t="shared" si="1227"/>
        <v>0</v>
      </c>
      <c r="O901" s="566">
        <f t="shared" si="1227"/>
        <v>0</v>
      </c>
      <c r="P901" s="566">
        <f t="shared" si="1227"/>
        <v>0</v>
      </c>
      <c r="Q901" s="566">
        <f t="shared" si="1227"/>
        <v>0</v>
      </c>
      <c r="R901" s="566">
        <f t="shared" si="1227"/>
        <v>0</v>
      </c>
      <c r="S901" s="566">
        <f t="shared" si="1227"/>
        <v>0</v>
      </c>
      <c r="T901" s="566">
        <f t="shared" si="1227"/>
        <v>0</v>
      </c>
      <c r="U901" s="566">
        <f t="shared" si="1227"/>
        <v>0</v>
      </c>
      <c r="V901" s="566">
        <f t="shared" si="1227"/>
        <v>0</v>
      </c>
      <c r="W901" s="566">
        <f t="shared" si="1227"/>
        <v>0</v>
      </c>
      <c r="X901" s="566">
        <f t="shared" si="1227"/>
        <v>0</v>
      </c>
      <c r="Y901" s="566">
        <f t="shared" si="1227"/>
        <v>0</v>
      </c>
      <c r="Z901" s="566">
        <f t="shared" si="1227"/>
        <v>0</v>
      </c>
      <c r="AA901" s="566">
        <f t="shared" si="1227"/>
        <v>0</v>
      </c>
      <c r="AB901" s="566">
        <f t="shared" si="1227"/>
        <v>0</v>
      </c>
      <c r="AC901" s="566">
        <f t="shared" si="1227"/>
        <v>0</v>
      </c>
      <c r="AD901" s="566">
        <f t="shared" si="1227"/>
        <v>0</v>
      </c>
      <c r="AE901" s="566">
        <f t="shared" si="1227"/>
        <v>0</v>
      </c>
      <c r="AF901" s="566">
        <f t="shared" si="1227"/>
        <v>0</v>
      </c>
      <c r="AG901" s="566">
        <f t="shared" si="1227"/>
        <v>0</v>
      </c>
      <c r="AH901" s="566">
        <f t="shared" si="1227"/>
        <v>0</v>
      </c>
      <c r="AI901" s="566">
        <f t="shared" si="1227"/>
        <v>0</v>
      </c>
      <c r="AJ901" s="566">
        <f t="shared" si="1227"/>
        <v>0</v>
      </c>
      <c r="AL901" s="880"/>
      <c r="AM901" s="880"/>
    </row>
    <row r="902" spans="1:39" hidden="1" x14ac:dyDescent="0.25">
      <c r="A902" t="s">
        <v>695</v>
      </c>
      <c r="H902" s="559" t="s">
        <v>180</v>
      </c>
      <c r="I902" s="560" t="str">
        <f t="shared" si="1212"/>
        <v>tr. VND/tấn</v>
      </c>
      <c r="K902" s="568">
        <f>SUM(K903:K905)</f>
        <v>0</v>
      </c>
      <c r="L902" s="568">
        <f>SUM(L903:L905)</f>
        <v>2.8876334442621552</v>
      </c>
      <c r="M902" s="568">
        <f t="shared" ref="M902:AJ902" si="1228">SUM(M903:M905)</f>
        <v>2.7130346414468547</v>
      </c>
      <c r="N902" s="568">
        <f t="shared" si="1228"/>
        <v>2.7025109698792384</v>
      </c>
      <c r="O902" s="568">
        <f t="shared" si="1228"/>
        <v>2.8289576719502918</v>
      </c>
      <c r="P902" s="568">
        <f t="shared" si="1228"/>
        <v>2.9617267091248971</v>
      </c>
      <c r="Q902" s="568">
        <f t="shared" si="1228"/>
        <v>3.1011341981582308</v>
      </c>
      <c r="R902" s="568">
        <f t="shared" si="1228"/>
        <v>3.2475120616432336</v>
      </c>
      <c r="S902" s="568">
        <f t="shared" si="1228"/>
        <v>3.4012088183024849</v>
      </c>
      <c r="T902" s="568">
        <f t="shared" si="1228"/>
        <v>3.5625904127947003</v>
      </c>
      <c r="U902" s="568">
        <f t="shared" si="1228"/>
        <v>3.7320410870115257</v>
      </c>
      <c r="V902" s="568">
        <f t="shared" si="1228"/>
        <v>3.9099642949391926</v>
      </c>
      <c r="W902" s="568">
        <f t="shared" si="1228"/>
        <v>4.0967836632632428</v>
      </c>
      <c r="X902" s="568">
        <f t="shared" si="1228"/>
        <v>4.1234352808060439</v>
      </c>
      <c r="Y902" s="568">
        <f t="shared" si="1228"/>
        <v>4.3294036343833078</v>
      </c>
      <c r="Z902" s="568">
        <f t="shared" si="1228"/>
        <v>4.5456704056394379</v>
      </c>
      <c r="AA902" s="568">
        <f t="shared" si="1228"/>
        <v>4.7727505154583714</v>
      </c>
      <c r="AB902" s="568">
        <f t="shared" si="1228"/>
        <v>5.0111846307682555</v>
      </c>
      <c r="AC902" s="568">
        <f t="shared" si="1228"/>
        <v>5.2615404518436311</v>
      </c>
      <c r="AD902" s="568">
        <f t="shared" si="1228"/>
        <v>5.5244140639727757</v>
      </c>
      <c r="AE902" s="568">
        <f t="shared" si="1228"/>
        <v>5.8004313567083772</v>
      </c>
      <c r="AF902" s="568">
        <f t="shared" si="1228"/>
        <v>6.0902495140807584</v>
      </c>
      <c r="AG902" s="568">
        <f t="shared" si="1228"/>
        <v>6.3945585793217594</v>
      </c>
      <c r="AH902" s="568">
        <f t="shared" si="1228"/>
        <v>6.7140830978248101</v>
      </c>
      <c r="AI902" s="568">
        <f t="shared" si="1228"/>
        <v>7.0495838422530142</v>
      </c>
      <c r="AJ902" s="568">
        <f t="shared" si="1228"/>
        <v>7.4018596239026291</v>
      </c>
      <c r="AL902" s="15"/>
      <c r="AM902" s="15"/>
    </row>
    <row r="903" spans="1:39" s="299" customFormat="1" hidden="1" x14ac:dyDescent="0.25">
      <c r="A903" s="299" t="s">
        <v>695</v>
      </c>
      <c r="C903" s="299" t="s">
        <v>367</v>
      </c>
      <c r="H903" s="561" t="s">
        <v>73</v>
      </c>
      <c r="I903" s="562" t="str">
        <f t="shared" si="1212"/>
        <v>tr. VND/tấn</v>
      </c>
      <c r="K903" s="566"/>
      <c r="L903" s="566">
        <f t="shared" ref="L903:AJ903" si="1229">-IF($H$9="VND",L871/L842/$H$10/10^3,L871/L842/$H$10*10^3)</f>
        <v>1.8584229390681004</v>
      </c>
      <c r="M903" s="566">
        <f t="shared" si="1229"/>
        <v>1.8584229390681002</v>
      </c>
      <c r="N903" s="566">
        <f t="shared" si="1229"/>
        <v>1.9513440860215057</v>
      </c>
      <c r="O903" s="566">
        <f t="shared" si="1229"/>
        <v>2.0489112903225815</v>
      </c>
      <c r="P903" s="566">
        <f t="shared" si="1229"/>
        <v>2.1513568548387108</v>
      </c>
      <c r="Q903" s="566">
        <f t="shared" si="1229"/>
        <v>2.2589246975806452</v>
      </c>
      <c r="R903" s="566">
        <f t="shared" si="1229"/>
        <v>2.3718709324596778</v>
      </c>
      <c r="S903" s="566">
        <f t="shared" si="1229"/>
        <v>2.4904644790826613</v>
      </c>
      <c r="T903" s="566">
        <f t="shared" si="1229"/>
        <v>2.6149877030367952</v>
      </c>
      <c r="U903" s="566">
        <f t="shared" si="1229"/>
        <v>2.7457370881886347</v>
      </c>
      <c r="V903" s="566">
        <f t="shared" si="1229"/>
        <v>2.8830239425980664</v>
      </c>
      <c r="W903" s="566">
        <f t="shared" si="1229"/>
        <v>3.0271751397279698</v>
      </c>
      <c r="X903" s="566">
        <f t="shared" si="1229"/>
        <v>3.1785338967143684</v>
      </c>
      <c r="Y903" s="566">
        <f t="shared" si="1229"/>
        <v>3.3374605915500863</v>
      </c>
      <c r="Z903" s="566">
        <f t="shared" si="1229"/>
        <v>3.5043336211275911</v>
      </c>
      <c r="AA903" s="566">
        <f t="shared" si="1229"/>
        <v>3.6795503021839702</v>
      </c>
      <c r="AB903" s="566">
        <f t="shared" si="1229"/>
        <v>3.86352781729317</v>
      </c>
      <c r="AC903" s="566">
        <f t="shared" si="1229"/>
        <v>4.0567042081578286</v>
      </c>
      <c r="AD903" s="566">
        <f t="shared" si="1229"/>
        <v>4.25953941856572</v>
      </c>
      <c r="AE903" s="566">
        <f t="shared" si="1229"/>
        <v>4.4725163894940057</v>
      </c>
      <c r="AF903" s="566">
        <f t="shared" si="1229"/>
        <v>4.6961422089687055</v>
      </c>
      <c r="AG903" s="566">
        <f t="shared" si="1229"/>
        <v>4.9309493194171408</v>
      </c>
      <c r="AH903" s="566">
        <f t="shared" si="1229"/>
        <v>5.1774967853879978</v>
      </c>
      <c r="AI903" s="566">
        <f t="shared" si="1229"/>
        <v>5.4363716246573981</v>
      </c>
      <c r="AJ903" s="566">
        <f t="shared" si="1229"/>
        <v>5.7081902058902685</v>
      </c>
      <c r="AL903" s="880"/>
      <c r="AM903" s="880"/>
    </row>
    <row r="904" spans="1:39" s="299" customFormat="1" hidden="1" x14ac:dyDescent="0.25">
      <c r="A904" s="299" t="s">
        <v>695</v>
      </c>
      <c r="C904" s="299" t="s">
        <v>370</v>
      </c>
      <c r="H904" s="561" t="s">
        <v>192</v>
      </c>
      <c r="I904" s="562" t="str">
        <f t="shared" si="1212"/>
        <v>tr. VND/tấn</v>
      </c>
      <c r="K904" s="566"/>
      <c r="L904" s="566">
        <f t="shared" ref="L904:AJ904" si="1230">-IF($H$9="VND",L872/L842/$H$10/10^3,L872/L842/$H$10*10^3)</f>
        <v>0.3305555555555556</v>
      </c>
      <c r="M904" s="566">
        <f t="shared" si="1230"/>
        <v>0.3305555555555556</v>
      </c>
      <c r="N904" s="566">
        <f t="shared" si="1230"/>
        <v>0.34708333333333335</v>
      </c>
      <c r="O904" s="566">
        <f t="shared" si="1230"/>
        <v>0.36443750000000008</v>
      </c>
      <c r="P904" s="566">
        <f t="shared" si="1230"/>
        <v>0.38265937500000008</v>
      </c>
      <c r="Q904" s="566">
        <f t="shared" si="1230"/>
        <v>0.40179234375000006</v>
      </c>
      <c r="R904" s="566">
        <f t="shared" si="1230"/>
        <v>0.42188196093750002</v>
      </c>
      <c r="S904" s="566">
        <f t="shared" si="1230"/>
        <v>0.44297605898437503</v>
      </c>
      <c r="T904" s="566">
        <f t="shared" si="1230"/>
        <v>0.46512486193359387</v>
      </c>
      <c r="U904" s="566">
        <f t="shared" si="1230"/>
        <v>0.48838110503027343</v>
      </c>
      <c r="V904" s="566">
        <f t="shared" si="1230"/>
        <v>0.51280016028178721</v>
      </c>
      <c r="W904" s="566">
        <f t="shared" si="1230"/>
        <v>0.5384401682958766</v>
      </c>
      <c r="X904" s="566">
        <f t="shared" si="1230"/>
        <v>0.56536217671067046</v>
      </c>
      <c r="Y904" s="566">
        <f t="shared" si="1230"/>
        <v>0.59363028554620378</v>
      </c>
      <c r="Z904" s="566">
        <f t="shared" si="1230"/>
        <v>0.62331179982351426</v>
      </c>
      <c r="AA904" s="566">
        <f t="shared" si="1230"/>
        <v>0.65447738981468984</v>
      </c>
      <c r="AB904" s="566">
        <f t="shared" si="1230"/>
        <v>0.68720125930542442</v>
      </c>
      <c r="AC904" s="566">
        <f t="shared" si="1230"/>
        <v>0.72156132227069569</v>
      </c>
      <c r="AD904" s="566">
        <f t="shared" si="1230"/>
        <v>0.75763938838423039</v>
      </c>
      <c r="AE904" s="566">
        <f t="shared" si="1230"/>
        <v>0.79552135780344191</v>
      </c>
      <c r="AF904" s="566">
        <f t="shared" si="1230"/>
        <v>0.83529742569361409</v>
      </c>
      <c r="AG904" s="566">
        <f t="shared" si="1230"/>
        <v>0.87706229697829474</v>
      </c>
      <c r="AH904" s="566">
        <f t="shared" si="1230"/>
        <v>0.9209154118272096</v>
      </c>
      <c r="AI904" s="566">
        <f t="shared" si="1230"/>
        <v>0.96696118241856999</v>
      </c>
      <c r="AJ904" s="566">
        <f t="shared" si="1230"/>
        <v>1.0153092415394986</v>
      </c>
      <c r="AL904" s="880"/>
      <c r="AM904" s="880"/>
    </row>
    <row r="905" spans="1:39" s="299" customFormat="1" hidden="1" x14ac:dyDescent="0.25">
      <c r="A905" s="299" t="s">
        <v>695</v>
      </c>
      <c r="C905" s="299" t="s">
        <v>367</v>
      </c>
      <c r="H905" s="561" t="s">
        <v>175</v>
      </c>
      <c r="I905" s="562" t="str">
        <f t="shared" si="1212"/>
        <v>tr. VND/tấn</v>
      </c>
      <c r="K905" s="566"/>
      <c r="L905" s="566">
        <f>-IF($H$9="VND",L873/L842/$H$10/10^3,L873/L842/$H$10*10^3)</f>
        <v>0.6986549496384995</v>
      </c>
      <c r="M905" s="566">
        <f t="shared" ref="M905:AJ905" si="1231">-IF($H$9="VND",M873/M842/$H$10/10^3,M873/M842/$H$10*10^3)</f>
        <v>0.52405614682319868</v>
      </c>
      <c r="N905" s="566">
        <f t="shared" si="1231"/>
        <v>0.40408355052439948</v>
      </c>
      <c r="O905" s="566">
        <f t="shared" si="1231"/>
        <v>0.41560888162770998</v>
      </c>
      <c r="P905" s="566">
        <f t="shared" si="1231"/>
        <v>0.42771047928618594</v>
      </c>
      <c r="Q905" s="566">
        <f t="shared" si="1231"/>
        <v>0.44041715682758575</v>
      </c>
      <c r="R905" s="566">
        <f t="shared" si="1231"/>
        <v>0.45375916824605544</v>
      </c>
      <c r="S905" s="566">
        <f t="shared" si="1231"/>
        <v>0.46776828023544864</v>
      </c>
      <c r="T905" s="566">
        <f t="shared" si="1231"/>
        <v>0.48247784782431147</v>
      </c>
      <c r="U905" s="566">
        <f t="shared" si="1231"/>
        <v>0.49792289379261756</v>
      </c>
      <c r="V905" s="566">
        <f t="shared" si="1231"/>
        <v>0.51414019205933892</v>
      </c>
      <c r="W905" s="566">
        <f t="shared" si="1231"/>
        <v>0.53116835523939643</v>
      </c>
      <c r="X905" s="566">
        <f t="shared" si="1231"/>
        <v>0.37953920738100488</v>
      </c>
      <c r="Y905" s="566">
        <f t="shared" si="1231"/>
        <v>0.39831275728701815</v>
      </c>
      <c r="Z905" s="566">
        <f t="shared" si="1231"/>
        <v>0.41802498468833221</v>
      </c>
      <c r="AA905" s="566">
        <f t="shared" si="1231"/>
        <v>0.43872282345971164</v>
      </c>
      <c r="AB905" s="566">
        <f t="shared" si="1231"/>
        <v>0.46045555416966061</v>
      </c>
      <c r="AC905" s="566">
        <f t="shared" si="1231"/>
        <v>0.48327492141510658</v>
      </c>
      <c r="AD905" s="566">
        <f t="shared" si="1231"/>
        <v>0.50723525702282501</v>
      </c>
      <c r="AE905" s="566">
        <f t="shared" si="1231"/>
        <v>0.53239360941092939</v>
      </c>
      <c r="AF905" s="566">
        <f t="shared" si="1231"/>
        <v>0.55880987941843863</v>
      </c>
      <c r="AG905" s="566">
        <f t="shared" si="1231"/>
        <v>0.58654696292632391</v>
      </c>
      <c r="AH905" s="566">
        <f t="shared" si="1231"/>
        <v>0.61567090060960306</v>
      </c>
      <c r="AI905" s="566">
        <f t="shared" si="1231"/>
        <v>0.64625103517704618</v>
      </c>
      <c r="AJ905" s="566">
        <f t="shared" si="1231"/>
        <v>0.67836017647286173</v>
      </c>
      <c r="AL905" s="880"/>
      <c r="AM905" s="880"/>
    </row>
    <row r="906" spans="1:39" hidden="1" x14ac:dyDescent="0.25">
      <c r="A906" t="s">
        <v>695</v>
      </c>
      <c r="H906" s="247"/>
      <c r="I906" s="275"/>
      <c r="K906" s="281"/>
      <c r="L906" s="282"/>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L906" s="15"/>
      <c r="AM906" s="15"/>
    </row>
    <row r="907" spans="1:39" s="16" customFormat="1" hidden="1" x14ac:dyDescent="0.25">
      <c r="A907" s="16" t="s">
        <v>695</v>
      </c>
      <c r="H907" s="276" t="s">
        <v>464</v>
      </c>
      <c r="I907" s="277" t="str">
        <f t="shared" si="1212"/>
        <v>tr. VND/tấn</v>
      </c>
      <c r="K907" s="283">
        <f>K885+K895</f>
        <v>0</v>
      </c>
      <c r="L907" s="283">
        <f t="shared" ref="L907:AJ907" si="1232">L885+L895</f>
        <v>45.207940948665502</v>
      </c>
      <c r="M907" s="283">
        <f t="shared" si="1232"/>
        <v>40.668372075467687</v>
      </c>
      <c r="N907" s="283">
        <f t="shared" si="1232"/>
        <v>38.096068894279547</v>
      </c>
      <c r="O907" s="283">
        <f t="shared" si="1232"/>
        <v>38.953957815868854</v>
      </c>
      <c r="P907" s="283">
        <f t="shared" si="1232"/>
        <v>39.838315893215032</v>
      </c>
      <c r="Q907" s="283">
        <f t="shared" si="1232"/>
        <v>40.750138078299486</v>
      </c>
      <c r="R907" s="283">
        <f t="shared" si="1232"/>
        <v>41.690462500586555</v>
      </c>
      <c r="S907" s="283">
        <f t="shared" si="1232"/>
        <v>42.660372494495334</v>
      </c>
      <c r="T907" s="283">
        <f t="shared" si="1232"/>
        <v>43.660998725617048</v>
      </c>
      <c r="U907" s="283">
        <f t="shared" si="1232"/>
        <v>44.693521420562703</v>
      </c>
      <c r="V907" s="283">
        <f t="shared" si="1232"/>
        <v>45.759172705568851</v>
      </c>
      <c r="W907" s="283">
        <f t="shared" si="1232"/>
        <v>46.859239059244786</v>
      </c>
      <c r="X907" s="283">
        <f t="shared" si="1232"/>
        <v>43.587837185978607</v>
      </c>
      <c r="Y907" s="283">
        <f t="shared" si="1232"/>
        <v>44.760823510737609</v>
      </c>
      <c r="Z907" s="283">
        <f t="shared" si="1232"/>
        <v>45.972436814484531</v>
      </c>
      <c r="AA907" s="283">
        <f t="shared" si="1232"/>
        <v>47.224207999423754</v>
      </c>
      <c r="AB907" s="283">
        <f t="shared" si="1232"/>
        <v>48.517736503935033</v>
      </c>
      <c r="AC907" s="283">
        <f t="shared" si="1232"/>
        <v>49.854693569203476</v>
      </c>
      <c r="AD907" s="283">
        <f t="shared" si="1232"/>
        <v>51.236825665977534</v>
      </c>
      <c r="AE907" s="283">
        <f t="shared" si="1232"/>
        <v>52.665958089397364</v>
      </c>
      <c r="AF907" s="283">
        <f t="shared" si="1232"/>
        <v>54.143998730231367</v>
      </c>
      <c r="AG907" s="283">
        <f t="shared" si="1232"/>
        <v>55.672942031275142</v>
      </c>
      <c r="AH907" s="283">
        <f t="shared" si="1232"/>
        <v>57.254873138102518</v>
      </c>
      <c r="AI907" s="283">
        <f t="shared" si="1232"/>
        <v>58.891972253817343</v>
      </c>
      <c r="AJ907" s="283">
        <f t="shared" si="1232"/>
        <v>60.586519207934856</v>
      </c>
      <c r="AL907" s="29"/>
      <c r="AM907" s="29"/>
    </row>
    <row r="908" spans="1:39" hidden="1" x14ac:dyDescent="0.25">
      <c r="A908" t="s">
        <v>695</v>
      </c>
      <c r="H908" s="247"/>
      <c r="I908" s="275"/>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L908" s="15"/>
      <c r="AM908" s="15"/>
    </row>
    <row r="909" spans="1:39" hidden="1" x14ac:dyDescent="0.25">
      <c r="A909" t="s">
        <v>695</v>
      </c>
      <c r="C909" t="s">
        <v>367</v>
      </c>
      <c r="H909" s="569" t="s">
        <v>166</v>
      </c>
      <c r="I909" s="570" t="str">
        <f t="shared" si="1212"/>
        <v>tr. VND/tấn</v>
      </c>
      <c r="K909" s="571"/>
      <c r="L909" s="571">
        <f>-IF($H$9="VND",L877/L842/$H$10/10^3,L877/L842/$H$10*10^3)</f>
        <v>0.93333333333333335</v>
      </c>
      <c r="M909" s="571">
        <f t="shared" ref="M909:AJ909" si="1233">-IF($H$9="VND",M877/M842/$H$10/10^3,M877/M842/$H$10*10^3)</f>
        <v>0.93333333333333335</v>
      </c>
      <c r="N909" s="571">
        <f t="shared" si="1233"/>
        <v>0.98</v>
      </c>
      <c r="O909" s="571">
        <f t="shared" si="1233"/>
        <v>1.0290000000000001</v>
      </c>
      <c r="P909" s="571">
        <f t="shared" si="1233"/>
        <v>1.0804500000000004</v>
      </c>
      <c r="Q909" s="571">
        <f t="shared" si="1233"/>
        <v>1.1344725</v>
      </c>
      <c r="R909" s="571">
        <f t="shared" si="1233"/>
        <v>1.1911961250000003</v>
      </c>
      <c r="S909" s="571">
        <f t="shared" si="1233"/>
        <v>1.2507559312500001</v>
      </c>
      <c r="T909" s="571">
        <f t="shared" si="1233"/>
        <v>1.3132937278125003</v>
      </c>
      <c r="U909" s="571">
        <f t="shared" si="1233"/>
        <v>1.378958414203125</v>
      </c>
      <c r="V909" s="571">
        <f t="shared" si="1233"/>
        <v>1.4479063349132817</v>
      </c>
      <c r="W909" s="571">
        <f t="shared" si="1233"/>
        <v>1.5203016516589456</v>
      </c>
      <c r="X909" s="571">
        <f t="shared" si="1233"/>
        <v>1.5963167342418931</v>
      </c>
      <c r="Y909" s="571">
        <f t="shared" si="1233"/>
        <v>1.6761325709539874</v>
      </c>
      <c r="Z909" s="571">
        <f t="shared" si="1233"/>
        <v>1.7599391995016869</v>
      </c>
      <c r="AA909" s="571">
        <f t="shared" si="1233"/>
        <v>1.8479361594767709</v>
      </c>
      <c r="AB909" s="571">
        <f t="shared" si="1233"/>
        <v>1.94033296745061</v>
      </c>
      <c r="AC909" s="571">
        <f t="shared" si="1233"/>
        <v>2.0373496158231403</v>
      </c>
      <c r="AD909" s="571">
        <f t="shared" si="1233"/>
        <v>2.1392170966142974</v>
      </c>
      <c r="AE909" s="571">
        <f t="shared" si="1233"/>
        <v>2.2461779514450129</v>
      </c>
      <c r="AF909" s="571">
        <f t="shared" si="1233"/>
        <v>2.3584868490172628</v>
      </c>
      <c r="AG909" s="571">
        <f t="shared" si="1233"/>
        <v>2.4764111914681264</v>
      </c>
      <c r="AH909" s="571">
        <f t="shared" si="1233"/>
        <v>2.6002317510415329</v>
      </c>
      <c r="AI909" s="571">
        <f t="shared" si="1233"/>
        <v>2.7302433385936089</v>
      </c>
      <c r="AJ909" s="571">
        <f t="shared" si="1233"/>
        <v>2.8667555055232903</v>
      </c>
      <c r="AL909" s="15"/>
      <c r="AM909" s="15"/>
    </row>
    <row r="910" spans="1:39" hidden="1" x14ac:dyDescent="0.25">
      <c r="A910" t="s">
        <v>695</v>
      </c>
      <c r="C910" t="s">
        <v>367</v>
      </c>
      <c r="H910" s="559" t="s">
        <v>469</v>
      </c>
      <c r="I910" s="560" t="str">
        <f t="shared" si="1212"/>
        <v>tr. VND/tấn</v>
      </c>
      <c r="K910" s="572"/>
      <c r="L910" s="572">
        <f t="shared" ref="L910:AJ910" si="1234">-IF($H$9="VND",L878/L842/$H$10/10^3,L878/L842/$H$10*10^3)</f>
        <v>0.37087222464266623</v>
      </c>
      <c r="M910" s="572">
        <f t="shared" si="1234"/>
        <v>0.37087222464266623</v>
      </c>
      <c r="N910" s="572">
        <f t="shared" si="1234"/>
        <v>0.38941583587479961</v>
      </c>
      <c r="O910" s="572">
        <f t="shared" si="1234"/>
        <v>0.40888662766853956</v>
      </c>
      <c r="P910" s="572">
        <f t="shared" si="1234"/>
        <v>0.4293309590519665</v>
      </c>
      <c r="Q910" s="572">
        <f t="shared" si="1234"/>
        <v>0.45079750700456472</v>
      </c>
      <c r="R910" s="572">
        <f t="shared" si="1234"/>
        <v>0.47333738235479306</v>
      </c>
      <c r="S910" s="572">
        <f t="shared" si="1234"/>
        <v>0.49700425147253269</v>
      </c>
      <c r="T910" s="572">
        <f t="shared" si="1234"/>
        <v>0.52185446404615943</v>
      </c>
      <c r="U910" s="572">
        <f t="shared" si="1234"/>
        <v>0.54794718724846736</v>
      </c>
      <c r="V910" s="572">
        <f t="shared" si="1234"/>
        <v>0.57534454661089074</v>
      </c>
      <c r="W910" s="572">
        <f t="shared" si="1234"/>
        <v>0.60411177394143523</v>
      </c>
      <c r="X910" s="572">
        <f t="shared" si="1234"/>
        <v>0.63431736263850702</v>
      </c>
      <c r="Y910" s="572">
        <f t="shared" si="1234"/>
        <v>0.66603323077043242</v>
      </c>
      <c r="Z910" s="572">
        <f t="shared" si="1234"/>
        <v>0.69933489230895407</v>
      </c>
      <c r="AA910" s="572">
        <f t="shared" si="1234"/>
        <v>0.73430163692440165</v>
      </c>
      <c r="AB910" s="572">
        <f t="shared" si="1234"/>
        <v>0.77101671877062206</v>
      </c>
      <c r="AC910" s="572">
        <f t="shared" si="1234"/>
        <v>0.80956755470915298</v>
      </c>
      <c r="AD910" s="572">
        <f t="shared" si="1234"/>
        <v>0.85004593244461069</v>
      </c>
      <c r="AE910" s="572">
        <f t="shared" si="1234"/>
        <v>0.89254822906684139</v>
      </c>
      <c r="AF910" s="572">
        <f t="shared" si="1234"/>
        <v>0.93717564052018332</v>
      </c>
      <c r="AG910" s="572">
        <f t="shared" si="1234"/>
        <v>0.98403442254619244</v>
      </c>
      <c r="AH910" s="572">
        <f t="shared" si="1234"/>
        <v>1.033236143673502</v>
      </c>
      <c r="AI910" s="572">
        <f t="shared" si="1234"/>
        <v>1.084897950857177</v>
      </c>
      <c r="AJ910" s="572">
        <f t="shared" si="1234"/>
        <v>1.1391428484000361</v>
      </c>
      <c r="AL910" s="15"/>
      <c r="AM910" s="15"/>
    </row>
    <row r="911" spans="1:39" hidden="1" x14ac:dyDescent="0.25">
      <c r="A911" t="s">
        <v>695</v>
      </c>
      <c r="C911" t="s">
        <v>367</v>
      </c>
      <c r="H911" s="559" t="s">
        <v>468</v>
      </c>
      <c r="I911" s="560" t="str">
        <f t="shared" si="1212"/>
        <v>tr. VND/tấn</v>
      </c>
      <c r="K911" s="559"/>
      <c r="L911" s="572">
        <f t="shared" ref="L911:AJ911" si="1235">-IF($H$9="VND",L879/L842/$H$10/10^3,L879/L842/$H$10*10^3)</f>
        <v>0.12422064680508108</v>
      </c>
      <c r="M911" s="572">
        <f t="shared" si="1235"/>
        <v>0.12422064680508105</v>
      </c>
      <c r="N911" s="572">
        <f t="shared" si="1235"/>
        <v>0.13043167914533513</v>
      </c>
      <c r="O911" s="572">
        <f t="shared" si="1235"/>
        <v>0.13695326310260192</v>
      </c>
      <c r="P911" s="572">
        <f t="shared" si="1235"/>
        <v>0.14380092625773203</v>
      </c>
      <c r="Q911" s="572">
        <f t="shared" si="1235"/>
        <v>0.15099097257061855</v>
      </c>
      <c r="R911" s="572">
        <f t="shared" si="1235"/>
        <v>0.15854052119914955</v>
      </c>
      <c r="S911" s="572">
        <f t="shared" si="1235"/>
        <v>0.16646754725910701</v>
      </c>
      <c r="T911" s="572">
        <f t="shared" si="1235"/>
        <v>0.17479092462206236</v>
      </c>
      <c r="U911" s="572">
        <f t="shared" si="1235"/>
        <v>0.18353047085316543</v>
      </c>
      <c r="V911" s="572">
        <f t="shared" si="1235"/>
        <v>0.19270699439582373</v>
      </c>
      <c r="W911" s="572">
        <f t="shared" si="1235"/>
        <v>0.20234234411561494</v>
      </c>
      <c r="X911" s="572">
        <f t="shared" si="1235"/>
        <v>0.21245946132139568</v>
      </c>
      <c r="Y911" s="572">
        <f t="shared" si="1235"/>
        <v>0.22308243438746542</v>
      </c>
      <c r="Z911" s="572">
        <f t="shared" si="1235"/>
        <v>0.23423655610683877</v>
      </c>
      <c r="AA911" s="572">
        <f t="shared" si="1235"/>
        <v>0.24594838391218063</v>
      </c>
      <c r="AB911" s="572">
        <f t="shared" si="1235"/>
        <v>0.25824580310778977</v>
      </c>
      <c r="AC911" s="572">
        <f t="shared" si="1235"/>
        <v>0.27115809326317925</v>
      </c>
      <c r="AD911" s="572">
        <f t="shared" si="1235"/>
        <v>0.28471599792633823</v>
      </c>
      <c r="AE911" s="572">
        <f t="shared" si="1235"/>
        <v>0.29895179782265513</v>
      </c>
      <c r="AF911" s="572">
        <f t="shared" si="1235"/>
        <v>0.31389938771378784</v>
      </c>
      <c r="AG911" s="572">
        <f t="shared" si="1235"/>
        <v>0.32959435709947732</v>
      </c>
      <c r="AH911" s="572">
        <f t="shared" si="1235"/>
        <v>0.34607407495445114</v>
      </c>
      <c r="AI911" s="572">
        <f t="shared" si="1235"/>
        <v>0.36337777870217358</v>
      </c>
      <c r="AJ911" s="572">
        <f t="shared" si="1235"/>
        <v>0.38154666763728246</v>
      </c>
      <c r="AL911" s="15"/>
      <c r="AM911" s="15"/>
    </row>
    <row r="912" spans="1:39" hidden="1" x14ac:dyDescent="0.25">
      <c r="A912" t="s">
        <v>695</v>
      </c>
      <c r="C912" t="s">
        <v>367</v>
      </c>
      <c r="H912" s="559" t="s">
        <v>470</v>
      </c>
      <c r="I912" s="560" t="str">
        <f t="shared" si="1212"/>
        <v>tr. VND/tấn</v>
      </c>
      <c r="K912" s="559"/>
      <c r="L912" s="572">
        <f t="shared" ref="L912:AJ912" si="1236">-IF($H$9="VND",L880/L842/$H$10/10^3,L880/L842/$H$10*10^3)</f>
        <v>5.6954929650343802</v>
      </c>
      <c r="M912" s="572">
        <f t="shared" si="1236"/>
        <v>4.0322974144841872</v>
      </c>
      <c r="N912" s="572">
        <f t="shared" si="1236"/>
        <v>2.7954588343704105</v>
      </c>
      <c r="O912" s="572">
        <f t="shared" si="1236"/>
        <v>2.7661375301404081</v>
      </c>
      <c r="P912" s="572">
        <f t="shared" si="1236"/>
        <v>2.7344705215720064</v>
      </c>
      <c r="Q912" s="572">
        <f t="shared" si="1236"/>
        <v>2.7002701523181325</v>
      </c>
      <c r="R912" s="572">
        <f t="shared" si="1236"/>
        <v>2.6633337535239483</v>
      </c>
      <c r="S912" s="572">
        <f t="shared" si="1236"/>
        <v>2.6234424428262293</v>
      </c>
      <c r="T912" s="572">
        <f t="shared" si="1236"/>
        <v>2.5803598272726926</v>
      </c>
      <c r="U912" s="572">
        <f t="shared" si="1236"/>
        <v>2.5338306024748736</v>
      </c>
      <c r="V912" s="572">
        <f t="shared" si="1236"/>
        <v>2.4835790396932285</v>
      </c>
      <c r="W912" s="572">
        <f t="shared" si="1236"/>
        <v>2.4293073518890518</v>
      </c>
      <c r="X912" s="572">
        <f t="shared" si="1236"/>
        <v>2.3706939290605415</v>
      </c>
      <c r="Y912" s="572">
        <f t="shared" si="1236"/>
        <v>2.3073914324057498</v>
      </c>
      <c r="Z912" s="572">
        <f t="shared" si="1236"/>
        <v>2.2390247360185755</v>
      </c>
      <c r="AA912" s="572">
        <f t="shared" si="1236"/>
        <v>2.1651887039204269</v>
      </c>
      <c r="AB912" s="572">
        <f t="shared" si="1236"/>
        <v>2.0854457892544258</v>
      </c>
      <c r="AC912" s="572">
        <f t="shared" si="1236"/>
        <v>1.9993234414151457</v>
      </c>
      <c r="AD912" s="572">
        <f t="shared" si="1236"/>
        <v>1.9063113057487227</v>
      </c>
      <c r="AE912" s="572">
        <f t="shared" si="1236"/>
        <v>1.8058581992289857</v>
      </c>
      <c r="AF912" s="572">
        <f t="shared" si="1236"/>
        <v>1.6973688441876702</v>
      </c>
      <c r="AG912" s="572">
        <f t="shared" si="1236"/>
        <v>1.5802003407430494</v>
      </c>
      <c r="AH912" s="572">
        <f t="shared" si="1236"/>
        <v>1.4536583570228583</v>
      </c>
      <c r="AI912" s="572">
        <f t="shared" si="1236"/>
        <v>1.3169930146050521</v>
      </c>
      <c r="AJ912" s="572">
        <f t="shared" si="1236"/>
        <v>1.1693944447938218</v>
      </c>
      <c r="AL912" s="15"/>
      <c r="AM912" s="15"/>
    </row>
    <row r="913" spans="1:39" hidden="1" x14ac:dyDescent="0.25">
      <c r="A913" t="s">
        <v>695</v>
      </c>
      <c r="H913" s="247"/>
      <c r="I913" s="275"/>
      <c r="K913" s="247"/>
      <c r="L913" s="247"/>
      <c r="M913" s="247"/>
      <c r="N913" s="247"/>
      <c r="O913" s="247"/>
      <c r="P913" s="247"/>
      <c r="Q913" s="247"/>
      <c r="R913" s="247"/>
      <c r="S913" s="247"/>
      <c r="T913" s="247"/>
      <c r="U913" s="247"/>
      <c r="V913" s="247"/>
      <c r="W913" s="247"/>
      <c r="X913" s="247"/>
      <c r="Y913" s="247"/>
      <c r="Z913" s="247"/>
      <c r="AA913" s="247"/>
      <c r="AB913" s="247"/>
      <c r="AC913" s="247"/>
      <c r="AD913" s="247"/>
      <c r="AE913" s="247"/>
      <c r="AF913" s="247"/>
      <c r="AG913" s="247"/>
      <c r="AH913" s="247"/>
      <c r="AI913" s="247"/>
      <c r="AJ913" s="247"/>
      <c r="AL913" s="15"/>
      <c r="AM913" s="15"/>
    </row>
    <row r="914" spans="1:39" s="16" customFormat="1" hidden="1" x14ac:dyDescent="0.25">
      <c r="A914" s="16" t="s">
        <v>695</v>
      </c>
      <c r="H914" s="276" t="s">
        <v>474</v>
      </c>
      <c r="I914" s="277" t="str">
        <f t="shared" si="1212"/>
        <v>tr. VND/tấn</v>
      </c>
      <c r="K914" s="283">
        <f t="shared" ref="K914" si="1237">K907+SUM(K909:K912)</f>
        <v>0</v>
      </c>
      <c r="L914" s="283">
        <f>L907+SUM(L909:L912)</f>
        <v>52.331860118480961</v>
      </c>
      <c r="M914" s="283">
        <f t="shared" ref="M914:AJ914" si="1238">M907+SUM(M909:M912)</f>
        <v>46.129095694732953</v>
      </c>
      <c r="N914" s="283">
        <f t="shared" si="1238"/>
        <v>42.39137524367009</v>
      </c>
      <c r="O914" s="283">
        <f t="shared" si="1238"/>
        <v>43.294935236780404</v>
      </c>
      <c r="P914" s="283">
        <f t="shared" si="1238"/>
        <v>44.226368300096738</v>
      </c>
      <c r="Q914" s="283">
        <f t="shared" si="1238"/>
        <v>45.186669210192804</v>
      </c>
      <c r="R914" s="283">
        <f t="shared" si="1238"/>
        <v>46.176870282664446</v>
      </c>
      <c r="S914" s="283">
        <f t="shared" si="1238"/>
        <v>47.198042667303206</v>
      </c>
      <c r="T914" s="283">
        <f t="shared" si="1238"/>
        <v>48.251297669370466</v>
      </c>
      <c r="U914" s="283">
        <f t="shared" si="1238"/>
        <v>49.337788095342333</v>
      </c>
      <c r="V914" s="283">
        <f t="shared" si="1238"/>
        <v>50.458709621182074</v>
      </c>
      <c r="W914" s="283">
        <f t="shared" si="1238"/>
        <v>51.615302180849831</v>
      </c>
      <c r="X914" s="283">
        <f t="shared" si="1238"/>
        <v>48.401624673240946</v>
      </c>
      <c r="Y914" s="283">
        <f t="shared" si="1238"/>
        <v>49.633463179255244</v>
      </c>
      <c r="Z914" s="283">
        <f t="shared" si="1238"/>
        <v>50.904972198420587</v>
      </c>
      <c r="AA914" s="283">
        <f t="shared" si="1238"/>
        <v>52.217582883657535</v>
      </c>
      <c r="AB914" s="283">
        <f t="shared" si="1238"/>
        <v>53.572777782518479</v>
      </c>
      <c r="AC914" s="283">
        <f t="shared" si="1238"/>
        <v>54.972092274414095</v>
      </c>
      <c r="AD914" s="283">
        <f t="shared" si="1238"/>
        <v>56.417115998711502</v>
      </c>
      <c r="AE914" s="283">
        <f t="shared" si="1238"/>
        <v>57.909494266960863</v>
      </c>
      <c r="AF914" s="283">
        <f t="shared" si="1238"/>
        <v>59.45092945167027</v>
      </c>
      <c r="AG914" s="283">
        <f t="shared" si="1238"/>
        <v>61.043182343131988</v>
      </c>
      <c r="AH914" s="283">
        <f t="shared" si="1238"/>
        <v>62.688073464794861</v>
      </c>
      <c r="AI914" s="283">
        <f t="shared" si="1238"/>
        <v>64.387484336575355</v>
      </c>
      <c r="AJ914" s="283">
        <f t="shared" si="1238"/>
        <v>66.143358674289289</v>
      </c>
      <c r="AL914" s="29"/>
      <c r="AM914" s="29"/>
    </row>
    <row r="915" spans="1:39" hidden="1" x14ac:dyDescent="0.25">
      <c r="A915" t="s">
        <v>695</v>
      </c>
    </row>
    <row r="916" spans="1:39" hidden="1" x14ac:dyDescent="0.25">
      <c r="A916" t="s">
        <v>695</v>
      </c>
      <c r="H916" s="569" t="s">
        <v>361</v>
      </c>
      <c r="I916" s="570" t="str">
        <f t="shared" si="1212"/>
        <v>tr. VND/tấn</v>
      </c>
      <c r="K916" s="569"/>
      <c r="L916" s="590">
        <f>INDEX('Cover Page'!$H$12:$W$12,MATCH($A916,'Cover Page'!$H$5:$W$5,0))</f>
        <v>6.6666666666666666E-2</v>
      </c>
      <c r="M916" s="590">
        <f>INDEX('Cover Page'!$H$12:$W$12,MATCH($A916,'Cover Page'!$H$5:$W$5,0))</f>
        <v>6.6666666666666666E-2</v>
      </c>
      <c r="N916" s="590">
        <f>INDEX('Cover Page'!$H$12:$W$12,MATCH($A916,'Cover Page'!$H$5:$W$5,0))</f>
        <v>6.6666666666666666E-2</v>
      </c>
      <c r="O916" s="590">
        <f>INDEX('Cover Page'!$H$12:$W$12,MATCH($A916,'Cover Page'!$H$5:$W$5,0))</f>
        <v>6.6666666666666666E-2</v>
      </c>
      <c r="P916" s="590">
        <f>INDEX('Cover Page'!$H$12:$W$12,MATCH($A916,'Cover Page'!$H$5:$W$5,0))</f>
        <v>6.6666666666666666E-2</v>
      </c>
      <c r="Q916" s="590">
        <f>INDEX('Cover Page'!$H$12:$W$12,MATCH($A916,'Cover Page'!$H$5:$W$5,0))</f>
        <v>6.6666666666666666E-2</v>
      </c>
      <c r="R916" s="590">
        <f>INDEX('Cover Page'!$H$12:$W$12,MATCH($A916,'Cover Page'!$H$5:$W$5,0))</f>
        <v>6.6666666666666666E-2</v>
      </c>
      <c r="S916" s="590">
        <f>INDEX('Cover Page'!$H$12:$W$12,MATCH($A916,'Cover Page'!$H$5:$W$5,0))</f>
        <v>6.6666666666666666E-2</v>
      </c>
      <c r="T916" s="590">
        <f>INDEX('Cover Page'!$H$12:$W$12,MATCH($A916,'Cover Page'!$H$5:$W$5,0))</f>
        <v>6.6666666666666666E-2</v>
      </c>
      <c r="U916" s="590">
        <f>INDEX('Cover Page'!$H$12:$W$12,MATCH($A916,'Cover Page'!$H$5:$W$5,0))</f>
        <v>6.6666666666666666E-2</v>
      </c>
      <c r="V916" s="590">
        <f>INDEX('Cover Page'!$H$12:$W$12,MATCH($A916,'Cover Page'!$H$5:$W$5,0))</f>
        <v>6.6666666666666666E-2</v>
      </c>
      <c r="W916" s="590">
        <f>INDEX('Cover Page'!$H$12:$W$12,MATCH($A916,'Cover Page'!$H$5:$W$5,0))</f>
        <v>6.6666666666666666E-2</v>
      </c>
      <c r="X916" s="590">
        <f>INDEX('Cover Page'!$H$12:$W$12,MATCH($A916,'Cover Page'!$H$5:$W$5,0))</f>
        <v>6.6666666666666666E-2</v>
      </c>
      <c r="Y916" s="590">
        <f>INDEX('Cover Page'!$H$12:$W$12,MATCH($A916,'Cover Page'!$H$5:$W$5,0))</f>
        <v>6.6666666666666666E-2</v>
      </c>
      <c r="Z916" s="590">
        <f>INDEX('Cover Page'!$H$12:$W$12,MATCH($A916,'Cover Page'!$H$5:$W$5,0))</f>
        <v>6.6666666666666666E-2</v>
      </c>
      <c r="AA916" s="590">
        <f>INDEX('Cover Page'!$H$12:$W$12,MATCH($A916,'Cover Page'!$H$5:$W$5,0))</f>
        <v>6.6666666666666666E-2</v>
      </c>
      <c r="AB916" s="590">
        <f>INDEX('Cover Page'!$H$12:$W$12,MATCH($A916,'Cover Page'!$H$5:$W$5,0))</f>
        <v>6.6666666666666666E-2</v>
      </c>
      <c r="AC916" s="590">
        <f>INDEX('Cover Page'!$H$12:$W$12,MATCH($A916,'Cover Page'!$H$5:$W$5,0))</f>
        <v>6.6666666666666666E-2</v>
      </c>
      <c r="AD916" s="590">
        <f>INDEX('Cover Page'!$H$12:$W$12,MATCH($A916,'Cover Page'!$H$5:$W$5,0))</f>
        <v>6.6666666666666666E-2</v>
      </c>
      <c r="AE916" s="590">
        <f>INDEX('Cover Page'!$H$12:$W$12,MATCH($A916,'Cover Page'!$H$5:$W$5,0))</f>
        <v>6.6666666666666666E-2</v>
      </c>
      <c r="AF916" s="590">
        <f>INDEX('Cover Page'!$H$12:$W$12,MATCH($A916,'Cover Page'!$H$5:$W$5,0))</f>
        <v>6.6666666666666666E-2</v>
      </c>
      <c r="AG916" s="590">
        <f>INDEX('Cover Page'!$H$12:$W$12,MATCH($A916,'Cover Page'!$H$5:$W$5,0))</f>
        <v>6.6666666666666666E-2</v>
      </c>
      <c r="AH916" s="590">
        <f>INDEX('Cover Page'!$H$12:$W$12,MATCH($A916,'Cover Page'!$H$5:$W$5,0))</f>
        <v>6.6666666666666666E-2</v>
      </c>
      <c r="AI916" s="590">
        <f>INDEX('Cover Page'!$H$12:$W$12,MATCH($A916,'Cover Page'!$H$5:$W$5,0))</f>
        <v>6.6666666666666666E-2</v>
      </c>
      <c r="AJ916" s="590">
        <f>INDEX('Cover Page'!$H$12:$W$12,MATCH($A916,'Cover Page'!$H$5:$W$5,0))</f>
        <v>6.6666666666666666E-2</v>
      </c>
    </row>
    <row r="917" spans="1:39" s="1" customFormat="1" hidden="1" x14ac:dyDescent="0.25">
      <c r="A917" s="1" t="s">
        <v>695</v>
      </c>
      <c r="H917" s="586" t="s">
        <v>490</v>
      </c>
      <c r="I917" s="587" t="str">
        <f t="shared" si="1212"/>
        <v>tr. VND/tấn</v>
      </c>
      <c r="K917" s="586"/>
      <c r="L917" s="591">
        <f t="shared" ref="L917:AJ917" si="1239">L914*(1+L916)</f>
        <v>55.820650793046354</v>
      </c>
      <c r="M917" s="591">
        <f t="shared" si="1239"/>
        <v>49.204368741048484</v>
      </c>
      <c r="N917" s="591">
        <f t="shared" si="1239"/>
        <v>45.21746692658143</v>
      </c>
      <c r="O917" s="591">
        <f t="shared" si="1239"/>
        <v>46.181264252565761</v>
      </c>
      <c r="P917" s="591">
        <f t="shared" si="1239"/>
        <v>47.174792853436522</v>
      </c>
      <c r="Q917" s="591">
        <f t="shared" si="1239"/>
        <v>48.199113824205654</v>
      </c>
      <c r="R917" s="591">
        <f t="shared" si="1239"/>
        <v>49.25532830150874</v>
      </c>
      <c r="S917" s="591">
        <f t="shared" si="1239"/>
        <v>50.344578845123422</v>
      </c>
      <c r="T917" s="591">
        <f t="shared" si="1239"/>
        <v>51.468050847328499</v>
      </c>
      <c r="U917" s="591">
        <f t="shared" si="1239"/>
        <v>52.626973968365157</v>
      </c>
      <c r="V917" s="591">
        <f t="shared" si="1239"/>
        <v>53.822623595927546</v>
      </c>
      <c r="W917" s="591">
        <f t="shared" si="1239"/>
        <v>55.056322326239815</v>
      </c>
      <c r="X917" s="591">
        <f t="shared" si="1239"/>
        <v>51.628399651457009</v>
      </c>
      <c r="Y917" s="591">
        <f t="shared" si="1239"/>
        <v>52.942360724538929</v>
      </c>
      <c r="Z917" s="591">
        <f t="shared" si="1239"/>
        <v>54.298637011648623</v>
      </c>
      <c r="AA917" s="591">
        <f t="shared" si="1239"/>
        <v>55.698755075901367</v>
      </c>
      <c r="AB917" s="591">
        <f t="shared" si="1239"/>
        <v>57.144296301353044</v>
      </c>
      <c r="AC917" s="591">
        <f t="shared" si="1239"/>
        <v>58.636898426041704</v>
      </c>
      <c r="AD917" s="591">
        <f t="shared" si="1239"/>
        <v>60.178257065292264</v>
      </c>
      <c r="AE917" s="591">
        <f t="shared" si="1239"/>
        <v>61.770127218091588</v>
      </c>
      <c r="AF917" s="591">
        <f t="shared" si="1239"/>
        <v>63.414324748448287</v>
      </c>
      <c r="AG917" s="591">
        <f t="shared" si="1239"/>
        <v>65.112727832674125</v>
      </c>
      <c r="AH917" s="591">
        <f t="shared" si="1239"/>
        <v>66.867278362447848</v>
      </c>
      <c r="AI917" s="591">
        <f t="shared" si="1239"/>
        <v>68.679983292347046</v>
      </c>
      <c r="AJ917" s="591">
        <f t="shared" si="1239"/>
        <v>70.552915919241912</v>
      </c>
    </row>
    <row r="918" spans="1:39" hidden="1" x14ac:dyDescent="0.25">
      <c r="A918" t="s">
        <v>695</v>
      </c>
      <c r="H918" s="559" t="s">
        <v>292</v>
      </c>
      <c r="I918" s="560" t="str">
        <f t="shared" si="1212"/>
        <v>tr. VND/tấn</v>
      </c>
      <c r="K918" s="559"/>
      <c r="L918" s="592">
        <f t="shared" ref="L918:AJ918" si="1240">Tax_rate</f>
        <v>0.2</v>
      </c>
      <c r="M918" s="592">
        <f t="shared" si="1240"/>
        <v>0.2</v>
      </c>
      <c r="N918" s="592">
        <f t="shared" si="1240"/>
        <v>0.2</v>
      </c>
      <c r="O918" s="592">
        <f t="shared" si="1240"/>
        <v>0.2</v>
      </c>
      <c r="P918" s="592">
        <f t="shared" si="1240"/>
        <v>0.2</v>
      </c>
      <c r="Q918" s="592">
        <f t="shared" si="1240"/>
        <v>0.2</v>
      </c>
      <c r="R918" s="592">
        <f t="shared" si="1240"/>
        <v>0.2</v>
      </c>
      <c r="S918" s="592">
        <f t="shared" si="1240"/>
        <v>0.2</v>
      </c>
      <c r="T918" s="592">
        <f t="shared" si="1240"/>
        <v>0.2</v>
      </c>
      <c r="U918" s="592">
        <f t="shared" si="1240"/>
        <v>0.2</v>
      </c>
      <c r="V918" s="592">
        <f t="shared" si="1240"/>
        <v>0.2</v>
      </c>
      <c r="W918" s="592">
        <f t="shared" si="1240"/>
        <v>0.2</v>
      </c>
      <c r="X918" s="592">
        <f t="shared" si="1240"/>
        <v>0.2</v>
      </c>
      <c r="Y918" s="592">
        <f t="shared" si="1240"/>
        <v>0.2</v>
      </c>
      <c r="Z918" s="592">
        <f t="shared" si="1240"/>
        <v>0.2</v>
      </c>
      <c r="AA918" s="592">
        <f t="shared" si="1240"/>
        <v>0.2</v>
      </c>
      <c r="AB918" s="592">
        <f t="shared" si="1240"/>
        <v>0.2</v>
      </c>
      <c r="AC918" s="592">
        <f t="shared" si="1240"/>
        <v>0.2</v>
      </c>
      <c r="AD918" s="592">
        <f t="shared" si="1240"/>
        <v>0.2</v>
      </c>
      <c r="AE918" s="592">
        <f t="shared" si="1240"/>
        <v>0.2</v>
      </c>
      <c r="AF918" s="592">
        <f t="shared" si="1240"/>
        <v>0.2</v>
      </c>
      <c r="AG918" s="592">
        <f t="shared" si="1240"/>
        <v>0.2</v>
      </c>
      <c r="AH918" s="592">
        <f t="shared" si="1240"/>
        <v>0.2</v>
      </c>
      <c r="AI918" s="592">
        <f t="shared" si="1240"/>
        <v>0.2</v>
      </c>
      <c r="AJ918" s="592">
        <f t="shared" si="1240"/>
        <v>0.2</v>
      </c>
    </row>
    <row r="919" spans="1:39" s="1" customFormat="1" hidden="1" x14ac:dyDescent="0.25">
      <c r="A919" s="1" t="s">
        <v>695</v>
      </c>
      <c r="H919" s="586" t="s">
        <v>491</v>
      </c>
      <c r="I919" s="587" t="str">
        <f t="shared" si="1212"/>
        <v>tr. VND/tấn</v>
      </c>
      <c r="K919" s="586"/>
      <c r="L919" s="591">
        <f>(L917-L914)*(1-L918)</f>
        <v>2.7910325396523152</v>
      </c>
      <c r="M919" s="591">
        <f t="shared" ref="M919:AJ919" si="1241">(M917-M914)*(1-M918)</f>
        <v>2.4602184370524243</v>
      </c>
      <c r="N919" s="591">
        <f t="shared" si="1241"/>
        <v>2.2608733463290718</v>
      </c>
      <c r="O919" s="591">
        <f t="shared" si="1241"/>
        <v>2.3090632126282857</v>
      </c>
      <c r="P919" s="591">
        <f t="shared" si="1241"/>
        <v>2.3587396426718272</v>
      </c>
      <c r="Q919" s="591">
        <f t="shared" si="1241"/>
        <v>2.4099556912102802</v>
      </c>
      <c r="R919" s="591">
        <f t="shared" si="1241"/>
        <v>2.4627664150754356</v>
      </c>
      <c r="S919" s="591">
        <f t="shared" si="1241"/>
        <v>2.5172289422561733</v>
      </c>
      <c r="T919" s="591">
        <f t="shared" si="1241"/>
        <v>2.5734025423664266</v>
      </c>
      <c r="U919" s="591">
        <f t="shared" si="1241"/>
        <v>2.6313486984182592</v>
      </c>
      <c r="V919" s="591">
        <f t="shared" si="1241"/>
        <v>2.6911311797963777</v>
      </c>
      <c r="W919" s="591">
        <f t="shared" si="1241"/>
        <v>2.7528161163119877</v>
      </c>
      <c r="X919" s="591">
        <f t="shared" si="1241"/>
        <v>2.581419982572851</v>
      </c>
      <c r="Y919" s="591">
        <f t="shared" si="1241"/>
        <v>2.647118036226948</v>
      </c>
      <c r="Z919" s="591">
        <f t="shared" si="1241"/>
        <v>2.7149318505824285</v>
      </c>
      <c r="AA919" s="591">
        <f t="shared" si="1241"/>
        <v>2.7849377537950661</v>
      </c>
      <c r="AB919" s="591">
        <f t="shared" si="1241"/>
        <v>2.8572148150676528</v>
      </c>
      <c r="AC919" s="591">
        <f t="shared" si="1241"/>
        <v>2.931844921302087</v>
      </c>
      <c r="AD919" s="591">
        <f t="shared" si="1241"/>
        <v>3.0089128532646101</v>
      </c>
      <c r="AE919" s="591">
        <f t="shared" si="1241"/>
        <v>3.0885063609045802</v>
      </c>
      <c r="AF919" s="591">
        <f t="shared" si="1241"/>
        <v>3.1707162374224143</v>
      </c>
      <c r="AG919" s="591">
        <f t="shared" si="1241"/>
        <v>3.2556363916337094</v>
      </c>
      <c r="AH919" s="591">
        <f t="shared" si="1241"/>
        <v>3.3433639181223898</v>
      </c>
      <c r="AI919" s="591">
        <f t="shared" si="1241"/>
        <v>3.4339991646173531</v>
      </c>
      <c r="AJ919" s="591">
        <f t="shared" si="1241"/>
        <v>3.5276457959620986</v>
      </c>
    </row>
    <row r="920" spans="1:39" s="146" customFormat="1" hidden="1" x14ac:dyDescent="0.25">
      <c r="A920" s="146" t="s">
        <v>695</v>
      </c>
      <c r="H920" s="588" t="s">
        <v>492</v>
      </c>
      <c r="I920" s="589"/>
      <c r="K920" s="588"/>
      <c r="L920" s="593">
        <f>IFERROR(L919/L917,0)</f>
        <v>4.9999999999999954E-2</v>
      </c>
      <c r="M920" s="593">
        <f>IFERROR(M919/M917,0)</f>
        <v>0.05</v>
      </c>
      <c r="N920" s="593">
        <f t="shared" ref="N920:AJ920" si="1242">IFERROR(N919/N917,0)</f>
        <v>0.05</v>
      </c>
      <c r="O920" s="593">
        <f t="shared" si="1242"/>
        <v>4.9999999999999947E-2</v>
      </c>
      <c r="P920" s="593">
        <f t="shared" si="1242"/>
        <v>5.0000000000000024E-2</v>
      </c>
      <c r="Q920" s="593">
        <f t="shared" si="1242"/>
        <v>4.9999999999999947E-2</v>
      </c>
      <c r="R920" s="593">
        <f t="shared" si="1242"/>
        <v>4.9999999999999968E-2</v>
      </c>
      <c r="S920" s="593">
        <f t="shared" si="1242"/>
        <v>5.0000000000000044E-2</v>
      </c>
      <c r="T920" s="593">
        <f t="shared" si="1242"/>
        <v>5.0000000000000031E-2</v>
      </c>
      <c r="U920" s="593">
        <f t="shared" si="1242"/>
        <v>5.0000000000000024E-2</v>
      </c>
      <c r="V920" s="593">
        <f t="shared" si="1242"/>
        <v>5.000000000000001E-2</v>
      </c>
      <c r="W920" s="593">
        <f t="shared" si="1242"/>
        <v>4.9999999999999947E-2</v>
      </c>
      <c r="X920" s="593">
        <f t="shared" si="1242"/>
        <v>5.000000000000001E-2</v>
      </c>
      <c r="Y920" s="593">
        <f t="shared" si="1242"/>
        <v>5.0000000000000031E-2</v>
      </c>
      <c r="Z920" s="593">
        <f t="shared" si="1242"/>
        <v>4.9999999999999954E-2</v>
      </c>
      <c r="AA920" s="593">
        <f t="shared" si="1242"/>
        <v>4.9999999999999961E-2</v>
      </c>
      <c r="AB920" s="593">
        <f t="shared" si="1242"/>
        <v>5.000000000000001E-2</v>
      </c>
      <c r="AC920" s="593">
        <f t="shared" si="1242"/>
        <v>5.0000000000000031E-2</v>
      </c>
      <c r="AD920" s="593">
        <f t="shared" si="1242"/>
        <v>4.9999999999999947E-2</v>
      </c>
      <c r="AE920" s="593">
        <f t="shared" si="1242"/>
        <v>5.000000000000001E-2</v>
      </c>
      <c r="AF920" s="593">
        <f t="shared" si="1242"/>
        <v>4.9999999999999996E-2</v>
      </c>
      <c r="AG920" s="593">
        <f t="shared" si="1242"/>
        <v>5.0000000000000051E-2</v>
      </c>
      <c r="AH920" s="593">
        <f t="shared" si="1242"/>
        <v>4.9999999999999961E-2</v>
      </c>
      <c r="AI920" s="593">
        <f t="shared" si="1242"/>
        <v>5.000000000000001E-2</v>
      </c>
      <c r="AJ920" s="593">
        <f t="shared" si="1242"/>
        <v>5.0000000000000044E-2</v>
      </c>
    </row>
    <row r="921" spans="1:39" hidden="1" x14ac:dyDescent="0.25">
      <c r="A921" t="s">
        <v>695</v>
      </c>
    </row>
    <row r="922" spans="1:39" s="24" customFormat="1" ht="17.25" hidden="1" x14ac:dyDescent="0.3">
      <c r="A922" s="24" t="s">
        <v>695</v>
      </c>
      <c r="H922" s="645" t="s">
        <v>476</v>
      </c>
      <c r="I922" s="645"/>
      <c r="K922" s="645"/>
      <c r="L922" s="645"/>
      <c r="M922" s="645"/>
      <c r="N922" s="645"/>
      <c r="O922" s="645"/>
      <c r="P922" s="645"/>
      <c r="Q922" s="645"/>
      <c r="R922" s="645"/>
      <c r="S922" s="645"/>
      <c r="T922" s="645"/>
      <c r="U922" s="645"/>
      <c r="V922" s="645"/>
      <c r="W922" s="645"/>
      <c r="X922" s="645"/>
      <c r="Y922" s="645"/>
      <c r="Z922" s="645"/>
      <c r="AA922" s="645"/>
      <c r="AB922" s="645"/>
      <c r="AC922" s="645"/>
      <c r="AD922" s="645"/>
      <c r="AE922" s="645"/>
      <c r="AF922" s="645"/>
      <c r="AG922" s="645"/>
      <c r="AH922" s="645"/>
      <c r="AI922" s="645"/>
      <c r="AJ922" s="645"/>
    </row>
    <row r="923" spans="1:39" s="1" customFormat="1" hidden="1" x14ac:dyDescent="0.25">
      <c r="A923" s="1" t="s">
        <v>695</v>
      </c>
      <c r="H923" s="287" t="s">
        <v>434</v>
      </c>
      <c r="I923" s="288" t="str">
        <f>IF($H$9="USD","USD/1.000 phôi","VND/phôi")</f>
        <v>VND/phôi</v>
      </c>
      <c r="K923" s="293">
        <f t="shared" ref="K923" si="1243">SUM(K924:K925,K928:K931,)</f>
        <v>0</v>
      </c>
      <c r="L923" s="293">
        <f>SUM(L924:L925,L928:L931,)</f>
        <v>229.16092869508245</v>
      </c>
      <c r="M923" s="293">
        <f t="shared" ref="M923:AJ923" si="1244">SUM(M924:M925,M928:M931,)</f>
        <v>163.68637763934461</v>
      </c>
      <c r="N923" s="293">
        <f t="shared" si="1244"/>
        <v>117.0549201563272</v>
      </c>
      <c r="O923" s="293">
        <f t="shared" si="1244"/>
        <v>119.65309875555248</v>
      </c>
      <c r="P923" s="293">
        <f t="shared" si="1244"/>
        <v>122.38118628473904</v>
      </c>
      <c r="Q923" s="293">
        <f t="shared" si="1244"/>
        <v>125.24567819038491</v>
      </c>
      <c r="R923" s="293">
        <f t="shared" si="1244"/>
        <v>128.25339469131308</v>
      </c>
      <c r="S923" s="293">
        <f t="shared" si="1244"/>
        <v>131.41149701728764</v>
      </c>
      <c r="T923" s="293">
        <f t="shared" si="1244"/>
        <v>134.72750445956098</v>
      </c>
      <c r="U923" s="293">
        <f t="shared" si="1244"/>
        <v>138.20931227394792</v>
      </c>
      <c r="V923" s="293">
        <f t="shared" si="1244"/>
        <v>141.8652104790543</v>
      </c>
      <c r="W923" s="293">
        <f t="shared" si="1244"/>
        <v>145.70390359441592</v>
      </c>
      <c r="X923" s="293">
        <f t="shared" si="1244"/>
        <v>86.168761666501254</v>
      </c>
      <c r="Y923" s="293">
        <f t="shared" si="1244"/>
        <v>90.400920826187431</v>
      </c>
      <c r="Z923" s="293">
        <f t="shared" si="1244"/>
        <v>94.844687943857977</v>
      </c>
      <c r="AA923" s="293">
        <f t="shared" si="1244"/>
        <v>99.510643417411984</v>
      </c>
      <c r="AB923" s="293">
        <f t="shared" si="1244"/>
        <v>104.40989666464375</v>
      </c>
      <c r="AC923" s="293">
        <f t="shared" si="1244"/>
        <v>109.5541125742371</v>
      </c>
      <c r="AD923" s="293">
        <f t="shared" si="1244"/>
        <v>114.9555392793101</v>
      </c>
      <c r="AE923" s="293">
        <f t="shared" si="1244"/>
        <v>120.62703731963677</v>
      </c>
      <c r="AF923" s="293">
        <f t="shared" si="1244"/>
        <v>126.58211026197974</v>
      </c>
      <c r="AG923" s="293">
        <f t="shared" si="1244"/>
        <v>132.83493685143983</v>
      </c>
      <c r="AH923" s="293">
        <f t="shared" si="1244"/>
        <v>139.400404770373</v>
      </c>
      <c r="AI923" s="293">
        <f t="shared" si="1244"/>
        <v>146.29414608525278</v>
      </c>
      <c r="AJ923" s="293">
        <f t="shared" si="1244"/>
        <v>153.53257446587662</v>
      </c>
    </row>
    <row r="924" spans="1:39" hidden="1" x14ac:dyDescent="0.25">
      <c r="A924" t="s">
        <v>695</v>
      </c>
      <c r="E924" t="s">
        <v>173</v>
      </c>
      <c r="H924" s="573" t="s">
        <v>190</v>
      </c>
      <c r="I924" s="574" t="str">
        <f t="shared" ref="I924:I931" si="1245">IF($H$9="USD","USD/1.000 phôi","VND/phôi")</f>
        <v>VND/phôi</v>
      </c>
      <c r="K924" s="579"/>
      <c r="L924" s="580">
        <f t="shared" ref="L924:AJ924" si="1246">-IF($H$9="USD",L854/L843/$H$10*10^3,L854/L843/$H$10)</f>
        <v>127.13153939808883</v>
      </c>
      <c r="M924" s="580">
        <f t="shared" si="1246"/>
        <v>90.808242427206309</v>
      </c>
      <c r="N924" s="580">
        <f t="shared" si="1246"/>
        <v>63.565769699044417</v>
      </c>
      <c r="O924" s="580">
        <f t="shared" si="1246"/>
        <v>63.565769699044417</v>
      </c>
      <c r="P924" s="580">
        <f t="shared" si="1246"/>
        <v>63.565769699044417</v>
      </c>
      <c r="Q924" s="580">
        <f t="shared" si="1246"/>
        <v>63.565769699044417</v>
      </c>
      <c r="R924" s="580">
        <f t="shared" si="1246"/>
        <v>63.565769699044417</v>
      </c>
      <c r="S924" s="580">
        <f t="shared" si="1246"/>
        <v>63.565769699044417</v>
      </c>
      <c r="T924" s="580">
        <f t="shared" si="1246"/>
        <v>63.565769699044417</v>
      </c>
      <c r="U924" s="580">
        <f t="shared" si="1246"/>
        <v>63.565769699044417</v>
      </c>
      <c r="V924" s="580">
        <f t="shared" si="1246"/>
        <v>63.565769699044417</v>
      </c>
      <c r="W924" s="580">
        <f t="shared" si="1246"/>
        <v>63.565769699044417</v>
      </c>
      <c r="X924" s="580">
        <f t="shared" si="1246"/>
        <v>0</v>
      </c>
      <c r="Y924" s="580">
        <f t="shared" si="1246"/>
        <v>0</v>
      </c>
      <c r="Z924" s="580">
        <f t="shared" si="1246"/>
        <v>0</v>
      </c>
      <c r="AA924" s="580">
        <f t="shared" si="1246"/>
        <v>0</v>
      </c>
      <c r="AB924" s="580">
        <f t="shared" si="1246"/>
        <v>0</v>
      </c>
      <c r="AC924" s="580">
        <f t="shared" si="1246"/>
        <v>0</v>
      </c>
      <c r="AD924" s="580">
        <f t="shared" si="1246"/>
        <v>0</v>
      </c>
      <c r="AE924" s="580">
        <f t="shared" si="1246"/>
        <v>0</v>
      </c>
      <c r="AF924" s="580">
        <f t="shared" si="1246"/>
        <v>0</v>
      </c>
      <c r="AG924" s="580">
        <f t="shared" si="1246"/>
        <v>0</v>
      </c>
      <c r="AH924" s="580">
        <f t="shared" si="1246"/>
        <v>0</v>
      </c>
      <c r="AI924" s="580">
        <f t="shared" si="1246"/>
        <v>0</v>
      </c>
      <c r="AJ924" s="580">
        <f t="shared" si="1246"/>
        <v>0</v>
      </c>
    </row>
    <row r="925" spans="1:39" hidden="1" x14ac:dyDescent="0.25">
      <c r="A925" t="s">
        <v>695</v>
      </c>
      <c r="H925" s="575" t="s">
        <v>429</v>
      </c>
      <c r="I925" s="576" t="str">
        <f t="shared" si="1245"/>
        <v>VND/phôi</v>
      </c>
      <c r="K925" s="581">
        <f>SUM(K926:K927)</f>
        <v>0</v>
      </c>
      <c r="L925" s="581">
        <f t="shared" ref="L925:AJ925" si="1247">SUM(L926:L927)</f>
        <v>30.570817055330142</v>
      </c>
      <c r="M925" s="581">
        <f t="shared" si="1247"/>
        <v>21.836297896664394</v>
      </c>
      <c r="N925" s="581">
        <f t="shared" si="1247"/>
        <v>16.049678954048325</v>
      </c>
      <c r="O925" s="581">
        <f t="shared" si="1247"/>
        <v>16.852162901750741</v>
      </c>
      <c r="P925" s="581">
        <f t="shared" si="1247"/>
        <v>17.69477104683828</v>
      </c>
      <c r="Q925" s="581">
        <f t="shared" si="1247"/>
        <v>18.579509599180195</v>
      </c>
      <c r="R925" s="581">
        <f t="shared" si="1247"/>
        <v>19.508485079139206</v>
      </c>
      <c r="S925" s="581">
        <f t="shared" si="1247"/>
        <v>20.483909333096161</v>
      </c>
      <c r="T925" s="581">
        <f t="shared" si="1247"/>
        <v>21.508104799750974</v>
      </c>
      <c r="U925" s="581">
        <f t="shared" si="1247"/>
        <v>22.58351003973852</v>
      </c>
      <c r="V925" s="581">
        <f t="shared" si="1247"/>
        <v>23.712685541725449</v>
      </c>
      <c r="W925" s="581">
        <f t="shared" si="1247"/>
        <v>24.898319818811718</v>
      </c>
      <c r="X925" s="581">
        <f t="shared" si="1247"/>
        <v>26.143235809752309</v>
      </c>
      <c r="Y925" s="581">
        <f t="shared" si="1247"/>
        <v>27.450397600239921</v>
      </c>
      <c r="Z925" s="581">
        <f t="shared" si="1247"/>
        <v>28.82291748025192</v>
      </c>
      <c r="AA925" s="581">
        <f t="shared" si="1247"/>
        <v>30.264063354264511</v>
      </c>
      <c r="AB925" s="581">
        <f t="shared" si="1247"/>
        <v>31.777266521977747</v>
      </c>
      <c r="AC925" s="581">
        <f t="shared" si="1247"/>
        <v>33.366129848076632</v>
      </c>
      <c r="AD925" s="581">
        <f t="shared" si="1247"/>
        <v>35.034436340480468</v>
      </c>
      <c r="AE925" s="581">
        <f t="shared" si="1247"/>
        <v>36.786158157504495</v>
      </c>
      <c r="AF925" s="581">
        <f t="shared" si="1247"/>
        <v>38.625466065379712</v>
      </c>
      <c r="AG925" s="581">
        <f t="shared" si="1247"/>
        <v>40.556739368648692</v>
      </c>
      <c r="AH925" s="581">
        <f t="shared" si="1247"/>
        <v>42.584576337081131</v>
      </c>
      <c r="AI925" s="581">
        <f t="shared" si="1247"/>
        <v>44.713805153935184</v>
      </c>
      <c r="AJ925" s="581">
        <f t="shared" si="1247"/>
        <v>46.949495411631951</v>
      </c>
    </row>
    <row r="926" spans="1:39" s="299" customFormat="1" hidden="1" x14ac:dyDescent="0.25">
      <c r="A926" s="299" t="s">
        <v>695</v>
      </c>
      <c r="E926" s="299" t="s">
        <v>171</v>
      </c>
      <c r="H926" s="577" t="s">
        <v>430</v>
      </c>
      <c r="I926" s="578" t="str">
        <f t="shared" si="1245"/>
        <v>VND/phôi</v>
      </c>
      <c r="K926" s="582"/>
      <c r="L926" s="582">
        <f t="shared" ref="L926:AJ926" si="1248">-IF($H$9="USD",L856/L843/$H$10*10^3,L856/L843/$H$10)</f>
        <v>4.9979537420158273</v>
      </c>
      <c r="M926" s="582">
        <f t="shared" si="1248"/>
        <v>3.5699669585827345</v>
      </c>
      <c r="N926" s="582">
        <f t="shared" si="1248"/>
        <v>2.6239257145583097</v>
      </c>
      <c r="O926" s="582">
        <f t="shared" si="1248"/>
        <v>2.7551220002862253</v>
      </c>
      <c r="P926" s="582">
        <f t="shared" si="1248"/>
        <v>2.8928781003005364</v>
      </c>
      <c r="Q926" s="582">
        <f t="shared" si="1248"/>
        <v>3.0375220053155632</v>
      </c>
      <c r="R926" s="582">
        <f t="shared" si="1248"/>
        <v>3.1893981055813421</v>
      </c>
      <c r="S926" s="582">
        <f t="shared" si="1248"/>
        <v>3.3488680108604081</v>
      </c>
      <c r="T926" s="582">
        <f t="shared" si="1248"/>
        <v>3.5163114114034291</v>
      </c>
      <c r="U926" s="582">
        <f t="shared" si="1248"/>
        <v>3.6921269819736002</v>
      </c>
      <c r="V926" s="582">
        <f t="shared" si="1248"/>
        <v>3.8767333310722805</v>
      </c>
      <c r="W926" s="582">
        <f t="shared" si="1248"/>
        <v>4.0705699976258947</v>
      </c>
      <c r="X926" s="582">
        <f t="shared" si="1248"/>
        <v>4.2740984975071896</v>
      </c>
      <c r="Y926" s="582">
        <f t="shared" si="1248"/>
        <v>4.4878034223825489</v>
      </c>
      <c r="Z926" s="582">
        <f t="shared" si="1248"/>
        <v>4.7121935935016763</v>
      </c>
      <c r="AA926" s="582">
        <f t="shared" si="1248"/>
        <v>4.9478032731767598</v>
      </c>
      <c r="AB926" s="582">
        <f t="shared" si="1248"/>
        <v>5.1951934368355994</v>
      </c>
      <c r="AC926" s="582">
        <f t="shared" si="1248"/>
        <v>5.4549531086773788</v>
      </c>
      <c r="AD926" s="582">
        <f t="shared" si="1248"/>
        <v>5.7277007641112485</v>
      </c>
      <c r="AE926" s="582">
        <f t="shared" si="1248"/>
        <v>6.0140858023168109</v>
      </c>
      <c r="AF926" s="582">
        <f t="shared" si="1248"/>
        <v>6.3147900924326512</v>
      </c>
      <c r="AG926" s="582">
        <f t="shared" si="1248"/>
        <v>6.6305295970542835</v>
      </c>
      <c r="AH926" s="582">
        <f t="shared" si="1248"/>
        <v>6.9620560769069977</v>
      </c>
      <c r="AI926" s="582">
        <f t="shared" si="1248"/>
        <v>7.310158880752347</v>
      </c>
      <c r="AJ926" s="582">
        <f t="shared" si="1248"/>
        <v>7.6756668247899658</v>
      </c>
    </row>
    <row r="927" spans="1:39" s="299" customFormat="1" hidden="1" x14ac:dyDescent="0.25">
      <c r="A927" s="299" t="s">
        <v>695</v>
      </c>
      <c r="E927" s="299" t="s">
        <v>171</v>
      </c>
      <c r="H927" s="577" t="s">
        <v>431</v>
      </c>
      <c r="I927" s="578" t="str">
        <f t="shared" si="1245"/>
        <v>VND/phôi</v>
      </c>
      <c r="K927" s="582"/>
      <c r="L927" s="582">
        <f t="shared" ref="L927:AJ927" si="1249">-IF($H$9="USD",L857/L843/$H$10*10^3,L857/L843/$H$10)</f>
        <v>25.572863313314315</v>
      </c>
      <c r="M927" s="582">
        <f t="shared" si="1249"/>
        <v>18.266330938081659</v>
      </c>
      <c r="N927" s="582">
        <f t="shared" si="1249"/>
        <v>13.425753239490016</v>
      </c>
      <c r="O927" s="582">
        <f t="shared" si="1249"/>
        <v>14.097040901464517</v>
      </c>
      <c r="P927" s="582">
        <f t="shared" si="1249"/>
        <v>14.801892946537745</v>
      </c>
      <c r="Q927" s="582">
        <f t="shared" si="1249"/>
        <v>15.541987593864631</v>
      </c>
      <c r="R927" s="582">
        <f t="shared" si="1249"/>
        <v>16.319086973557862</v>
      </c>
      <c r="S927" s="582">
        <f t="shared" si="1249"/>
        <v>17.135041322235754</v>
      </c>
      <c r="T927" s="582">
        <f t="shared" si="1249"/>
        <v>17.991793388347546</v>
      </c>
      <c r="U927" s="582">
        <f t="shared" si="1249"/>
        <v>18.891383057764919</v>
      </c>
      <c r="V927" s="582">
        <f t="shared" si="1249"/>
        <v>19.835952210653168</v>
      </c>
      <c r="W927" s="582">
        <f t="shared" si="1249"/>
        <v>20.827749821185822</v>
      </c>
      <c r="X927" s="582">
        <f t="shared" si="1249"/>
        <v>21.869137312245119</v>
      </c>
      <c r="Y927" s="582">
        <f t="shared" si="1249"/>
        <v>22.962594177857373</v>
      </c>
      <c r="Z927" s="582">
        <f t="shared" si="1249"/>
        <v>24.110723886750243</v>
      </c>
      <c r="AA927" s="582">
        <f t="shared" si="1249"/>
        <v>25.316260081087751</v>
      </c>
      <c r="AB927" s="582">
        <f t="shared" si="1249"/>
        <v>26.582073085142149</v>
      </c>
      <c r="AC927" s="582">
        <f t="shared" si="1249"/>
        <v>27.911176739399252</v>
      </c>
      <c r="AD927" s="582">
        <f t="shared" si="1249"/>
        <v>29.306735576369221</v>
      </c>
      <c r="AE927" s="582">
        <f t="shared" si="1249"/>
        <v>30.772072355187682</v>
      </c>
      <c r="AF927" s="582">
        <f t="shared" si="1249"/>
        <v>32.31067597294706</v>
      </c>
      <c r="AG927" s="582">
        <f t="shared" si="1249"/>
        <v>33.926209771594408</v>
      </c>
      <c r="AH927" s="582">
        <f t="shared" si="1249"/>
        <v>35.622520260174134</v>
      </c>
      <c r="AI927" s="582">
        <f t="shared" si="1249"/>
        <v>37.403646273182837</v>
      </c>
      <c r="AJ927" s="582">
        <f t="shared" si="1249"/>
        <v>39.273828586841987</v>
      </c>
    </row>
    <row r="928" spans="1:39" hidden="1" x14ac:dyDescent="0.25">
      <c r="A928" t="s">
        <v>695</v>
      </c>
      <c r="E928" t="s">
        <v>172</v>
      </c>
      <c r="H928" s="575" t="s">
        <v>656</v>
      </c>
      <c r="I928" s="576" t="str">
        <f t="shared" si="1245"/>
        <v>VND/phôi</v>
      </c>
      <c r="K928" s="581"/>
      <c r="L928" s="581">
        <f t="shared" ref="L928:AJ928" si="1250">-IF($H$9="USD",L858/L843/$H$10*10^3,L858/L843/$H$10)</f>
        <v>12.205015243017893</v>
      </c>
      <c r="M928" s="581">
        <f t="shared" si="1250"/>
        <v>8.7178680307270682</v>
      </c>
      <c r="N928" s="581">
        <f t="shared" si="1250"/>
        <v>6.4076330025843937</v>
      </c>
      <c r="O928" s="581">
        <f t="shared" si="1250"/>
        <v>6.7280146527136147</v>
      </c>
      <c r="P928" s="581">
        <f t="shared" si="1250"/>
        <v>7.064415385349295</v>
      </c>
      <c r="Q928" s="581">
        <f t="shared" si="1250"/>
        <v>7.4176361546167593</v>
      </c>
      <c r="R928" s="581">
        <f t="shared" si="1250"/>
        <v>7.7885179623475977</v>
      </c>
      <c r="S928" s="581">
        <f t="shared" si="1250"/>
        <v>8.1779438604649766</v>
      </c>
      <c r="T928" s="581">
        <f t="shared" si="1250"/>
        <v>8.5868410534882287</v>
      </c>
      <c r="U928" s="581">
        <f t="shared" si="1250"/>
        <v>9.0161831061626376</v>
      </c>
      <c r="V928" s="581">
        <f t="shared" si="1250"/>
        <v>9.4669922614707716</v>
      </c>
      <c r="W928" s="581">
        <f t="shared" si="1250"/>
        <v>9.9403418745443091</v>
      </c>
      <c r="X928" s="581">
        <f t="shared" si="1250"/>
        <v>10.437358968271525</v>
      </c>
      <c r="Y928" s="581">
        <f t="shared" si="1250"/>
        <v>10.9592269166851</v>
      </c>
      <c r="Z928" s="581">
        <f t="shared" si="1250"/>
        <v>11.507188262519358</v>
      </c>
      <c r="AA928" s="581">
        <f t="shared" si="1250"/>
        <v>12.082547675645321</v>
      </c>
      <c r="AB928" s="581">
        <f t="shared" si="1250"/>
        <v>12.686675059427591</v>
      </c>
      <c r="AC928" s="581">
        <f t="shared" si="1250"/>
        <v>13.32100881239897</v>
      </c>
      <c r="AD928" s="581">
        <f t="shared" si="1250"/>
        <v>13.987059253018922</v>
      </c>
      <c r="AE928" s="581">
        <f t="shared" si="1250"/>
        <v>14.686412215669867</v>
      </c>
      <c r="AF928" s="581">
        <f t="shared" si="1250"/>
        <v>15.420732826453358</v>
      </c>
      <c r="AG928" s="581">
        <f t="shared" si="1250"/>
        <v>16.191769467776027</v>
      </c>
      <c r="AH928" s="581">
        <f t="shared" si="1250"/>
        <v>17.00135794116483</v>
      </c>
      <c r="AI928" s="581">
        <f t="shared" si="1250"/>
        <v>17.851425838223069</v>
      </c>
      <c r="AJ928" s="581">
        <f t="shared" si="1250"/>
        <v>18.743997130134225</v>
      </c>
    </row>
    <row r="929" spans="1:36" hidden="1" x14ac:dyDescent="0.25">
      <c r="A929" t="s">
        <v>695</v>
      </c>
      <c r="E929" t="s">
        <v>172</v>
      </c>
      <c r="H929" s="575" t="s">
        <v>432</v>
      </c>
      <c r="I929" s="576" t="str">
        <f t="shared" si="1245"/>
        <v>VND/phôi</v>
      </c>
      <c r="K929" s="581"/>
      <c r="L929" s="581">
        <f t="shared" ref="L929:AJ929" si="1251">-IF($H$9="USD",L859/L843/$H$10*10^3,L859/L843/$H$10)</f>
        <v>53.39524654719731</v>
      </c>
      <c r="M929" s="581">
        <f t="shared" si="1251"/>
        <v>38.13946181942665</v>
      </c>
      <c r="N929" s="581">
        <f t="shared" si="1251"/>
        <v>28.03250443727859</v>
      </c>
      <c r="O929" s="581">
        <f t="shared" si="1251"/>
        <v>29.434129659142517</v>
      </c>
      <c r="P929" s="581">
        <f t="shared" si="1251"/>
        <v>30.905836142099648</v>
      </c>
      <c r="Q929" s="581">
        <f t="shared" si="1251"/>
        <v>32.451127949204626</v>
      </c>
      <c r="R929" s="581">
        <f t="shared" si="1251"/>
        <v>34.073684346664862</v>
      </c>
      <c r="S929" s="581">
        <f t="shared" si="1251"/>
        <v>35.777368563998103</v>
      </c>
      <c r="T929" s="581">
        <f t="shared" si="1251"/>
        <v>37.566236992198007</v>
      </c>
      <c r="U929" s="581">
        <f t="shared" si="1251"/>
        <v>39.444548841807901</v>
      </c>
      <c r="V929" s="581">
        <f t="shared" si="1251"/>
        <v>41.416776283898301</v>
      </c>
      <c r="W929" s="581">
        <f t="shared" si="1251"/>
        <v>43.487615098093215</v>
      </c>
      <c r="X929" s="581">
        <f t="shared" si="1251"/>
        <v>45.661995852997883</v>
      </c>
      <c r="Y929" s="581">
        <f t="shared" si="1251"/>
        <v>47.945095645647768</v>
      </c>
      <c r="Z929" s="581">
        <f t="shared" si="1251"/>
        <v>50.342350427930164</v>
      </c>
      <c r="AA929" s="581">
        <f t="shared" si="1251"/>
        <v>52.859467949326664</v>
      </c>
      <c r="AB929" s="581">
        <f t="shared" si="1251"/>
        <v>55.502441346793006</v>
      </c>
      <c r="AC929" s="581">
        <f t="shared" si="1251"/>
        <v>58.277563414132658</v>
      </c>
      <c r="AD929" s="581">
        <f t="shared" si="1251"/>
        <v>61.191441584839296</v>
      </c>
      <c r="AE929" s="581">
        <f t="shared" si="1251"/>
        <v>64.25101366408127</v>
      </c>
      <c r="AF929" s="581">
        <f t="shared" si="1251"/>
        <v>67.463564347285327</v>
      </c>
      <c r="AG929" s="581">
        <f t="shared" si="1251"/>
        <v>70.836742564649583</v>
      </c>
      <c r="AH929" s="581">
        <f t="shared" si="1251"/>
        <v>74.378579692882084</v>
      </c>
      <c r="AI929" s="581">
        <f t="shared" si="1251"/>
        <v>78.097508677526164</v>
      </c>
      <c r="AJ929" s="581">
        <f t="shared" si="1251"/>
        <v>82.002384111402492</v>
      </c>
    </row>
    <row r="930" spans="1:36" hidden="1" x14ac:dyDescent="0.25">
      <c r="A930" t="s">
        <v>695</v>
      </c>
      <c r="E930" t="s">
        <v>172</v>
      </c>
      <c r="H930" s="575" t="s">
        <v>433</v>
      </c>
      <c r="I930" s="576" t="str">
        <f t="shared" si="1245"/>
        <v>VND/phôi</v>
      </c>
      <c r="K930" s="581"/>
      <c r="L930" s="581">
        <f t="shared" ref="L930:AJ930" si="1252">-IF($H$9="USD",L860/L843/$H$10*10^3,L860/L843/$H$10)</f>
        <v>2.8071535058941155</v>
      </c>
      <c r="M930" s="581">
        <f t="shared" si="1252"/>
        <v>2.0051096470672256</v>
      </c>
      <c r="N930" s="581">
        <f t="shared" si="1252"/>
        <v>1.4737555905944109</v>
      </c>
      <c r="O930" s="581">
        <f t="shared" si="1252"/>
        <v>1.5474433701241312</v>
      </c>
      <c r="P930" s="581">
        <f t="shared" si="1252"/>
        <v>1.624815538630338</v>
      </c>
      <c r="Q930" s="581">
        <f t="shared" si="1252"/>
        <v>1.7060563155618549</v>
      </c>
      <c r="R930" s="581">
        <f t="shared" si="1252"/>
        <v>1.7913591313399477</v>
      </c>
      <c r="S930" s="581">
        <f t="shared" si="1252"/>
        <v>1.8809270879069449</v>
      </c>
      <c r="T930" s="581">
        <f t="shared" si="1252"/>
        <v>1.9749734423022924</v>
      </c>
      <c r="U930" s="581">
        <f t="shared" si="1252"/>
        <v>2.0737221144174067</v>
      </c>
      <c r="V930" s="581">
        <f t="shared" si="1252"/>
        <v>2.1774082201382772</v>
      </c>
      <c r="W930" s="581">
        <f t="shared" si="1252"/>
        <v>2.286278631145191</v>
      </c>
      <c r="X930" s="581">
        <f t="shared" si="1252"/>
        <v>2.4005925627024509</v>
      </c>
      <c r="Y930" s="581">
        <f t="shared" si="1252"/>
        <v>2.5206221908375728</v>
      </c>
      <c r="Z930" s="581">
        <f t="shared" si="1252"/>
        <v>2.6466533003794517</v>
      </c>
      <c r="AA930" s="581">
        <f t="shared" si="1252"/>
        <v>2.7789859653984244</v>
      </c>
      <c r="AB930" s="581">
        <f t="shared" si="1252"/>
        <v>2.9179352636683462</v>
      </c>
      <c r="AC930" s="581">
        <f t="shared" si="1252"/>
        <v>3.0638320268517631</v>
      </c>
      <c r="AD930" s="581">
        <f t="shared" si="1252"/>
        <v>3.2170236281943518</v>
      </c>
      <c r="AE930" s="581">
        <f t="shared" si="1252"/>
        <v>3.3778748096040694</v>
      </c>
      <c r="AF930" s="581">
        <f t="shared" si="1252"/>
        <v>3.5467685500842729</v>
      </c>
      <c r="AG930" s="581">
        <f t="shared" si="1252"/>
        <v>3.7241069775884865</v>
      </c>
      <c r="AH930" s="581">
        <f t="shared" si="1252"/>
        <v>3.9103123264679103</v>
      </c>
      <c r="AI930" s="581">
        <f t="shared" si="1252"/>
        <v>4.105827942791306</v>
      </c>
      <c r="AJ930" s="581">
        <f t="shared" si="1252"/>
        <v>4.3111193399308716</v>
      </c>
    </row>
    <row r="931" spans="1:36" hidden="1" x14ac:dyDescent="0.25">
      <c r="A931" t="s">
        <v>695</v>
      </c>
      <c r="E931" t="s">
        <v>172</v>
      </c>
      <c r="H931" s="575" t="s">
        <v>520</v>
      </c>
      <c r="I931" s="576" t="str">
        <f t="shared" si="1245"/>
        <v>VND/phôi</v>
      </c>
      <c r="K931" s="581"/>
      <c r="L931" s="581">
        <f t="shared" ref="L931:AJ931" si="1253">-IF($H$9="USD",L861/L843/$H$10*10^3,L861/L843/$H$10)</f>
        <v>3.0511569455541321</v>
      </c>
      <c r="M931" s="581">
        <f t="shared" si="1253"/>
        <v>2.1793978182529519</v>
      </c>
      <c r="N931" s="581">
        <f t="shared" si="1253"/>
        <v>1.525578472777066</v>
      </c>
      <c r="O931" s="581">
        <f t="shared" si="1253"/>
        <v>1.525578472777066</v>
      </c>
      <c r="P931" s="581">
        <f t="shared" si="1253"/>
        <v>1.525578472777066</v>
      </c>
      <c r="Q931" s="581">
        <f t="shared" si="1253"/>
        <v>1.525578472777066</v>
      </c>
      <c r="R931" s="581">
        <f t="shared" si="1253"/>
        <v>1.525578472777066</v>
      </c>
      <c r="S931" s="581">
        <f t="shared" si="1253"/>
        <v>1.525578472777066</v>
      </c>
      <c r="T931" s="581">
        <f t="shared" si="1253"/>
        <v>1.525578472777066</v>
      </c>
      <c r="U931" s="581">
        <f t="shared" si="1253"/>
        <v>1.525578472777066</v>
      </c>
      <c r="V931" s="581">
        <f t="shared" si="1253"/>
        <v>1.525578472777066</v>
      </c>
      <c r="W931" s="581">
        <f t="shared" si="1253"/>
        <v>1.525578472777066</v>
      </c>
      <c r="X931" s="581">
        <f t="shared" si="1253"/>
        <v>1.525578472777066</v>
      </c>
      <c r="Y931" s="581">
        <f t="shared" si="1253"/>
        <v>1.525578472777066</v>
      </c>
      <c r="Z931" s="581">
        <f t="shared" si="1253"/>
        <v>1.525578472777066</v>
      </c>
      <c r="AA931" s="581">
        <f t="shared" si="1253"/>
        <v>1.525578472777066</v>
      </c>
      <c r="AB931" s="581">
        <f t="shared" si="1253"/>
        <v>1.525578472777066</v>
      </c>
      <c r="AC931" s="581">
        <f t="shared" si="1253"/>
        <v>1.525578472777066</v>
      </c>
      <c r="AD931" s="581">
        <f t="shared" si="1253"/>
        <v>1.525578472777066</v>
      </c>
      <c r="AE931" s="581">
        <f t="shared" si="1253"/>
        <v>1.525578472777066</v>
      </c>
      <c r="AF931" s="581">
        <f t="shared" si="1253"/>
        <v>1.525578472777066</v>
      </c>
      <c r="AG931" s="581">
        <f t="shared" si="1253"/>
        <v>1.525578472777066</v>
      </c>
      <c r="AH931" s="581">
        <f t="shared" si="1253"/>
        <v>1.525578472777066</v>
      </c>
      <c r="AI931" s="581">
        <f t="shared" si="1253"/>
        <v>1.525578472777066</v>
      </c>
      <c r="AJ931" s="581">
        <f t="shared" si="1253"/>
        <v>1.525578472777066</v>
      </c>
    </row>
    <row r="932" spans="1:36" hidden="1" x14ac:dyDescent="0.25">
      <c r="A932" t="s">
        <v>695</v>
      </c>
      <c r="H932" s="289"/>
      <c r="I932" s="290"/>
      <c r="K932" s="294"/>
      <c r="L932" s="294"/>
      <c r="M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c r="AJ932" s="294"/>
    </row>
    <row r="933" spans="1:36" s="1" customFormat="1" hidden="1" x14ac:dyDescent="0.25">
      <c r="A933" s="1" t="s">
        <v>695</v>
      </c>
      <c r="H933" s="287" t="s">
        <v>435</v>
      </c>
      <c r="I933" s="288" t="str">
        <f t="shared" ref="I933:I957" si="1254">IF($H$9="USD","USD/1.000 phôi","VND/phôi")</f>
        <v>VND/phôi</v>
      </c>
      <c r="K933" s="295">
        <f>K934+K937+K940</f>
        <v>0</v>
      </c>
      <c r="L933" s="295">
        <f t="shared" ref="L933:AJ933" si="1255">L934+L937+L940</f>
        <v>448.95818553490005</v>
      </c>
      <c r="M933" s="295">
        <f t="shared" si="1255"/>
        <v>446.33920349267066</v>
      </c>
      <c r="N933" s="295">
        <f t="shared" si="1255"/>
        <v>454.38611325786604</v>
      </c>
      <c r="O933" s="295">
        <f t="shared" si="1255"/>
        <v>464.65626848248019</v>
      </c>
      <c r="P933" s="295">
        <f t="shared" si="1255"/>
        <v>475.19355211348631</v>
      </c>
      <c r="Q933" s="295">
        <f t="shared" si="1255"/>
        <v>486.00639298410732</v>
      </c>
      <c r="R933" s="295">
        <f t="shared" si="1255"/>
        <v>497.10354281748522</v>
      </c>
      <c r="S933" s="295">
        <f t="shared" si="1255"/>
        <v>508.49409040014228</v>
      </c>
      <c r="T933" s="295">
        <f t="shared" si="1255"/>
        <v>520.18747642469464</v>
      </c>
      <c r="U933" s="295">
        <f t="shared" si="1255"/>
        <v>532.19350903449242</v>
      </c>
      <c r="V933" s="295">
        <f t="shared" si="1255"/>
        <v>544.52238010447843</v>
      </c>
      <c r="W933" s="295">
        <f t="shared" si="1255"/>
        <v>557.18468229425571</v>
      </c>
      <c r="X933" s="295">
        <f t="shared" si="1255"/>
        <v>567.64879612317793</v>
      </c>
      <c r="Y933" s="295">
        <f t="shared" si="1255"/>
        <v>581.0114318348767</v>
      </c>
      <c r="Z933" s="295">
        <f t="shared" si="1255"/>
        <v>594.74186427340976</v>
      </c>
      <c r="AA933" s="295">
        <f t="shared" si="1255"/>
        <v>608.85247657394439</v>
      </c>
      <c r="AB933" s="295">
        <f t="shared" si="1255"/>
        <v>623.3561508943817</v>
      </c>
      <c r="AC933" s="295">
        <f t="shared" si="1255"/>
        <v>638.26629096381498</v>
      </c>
      <c r="AD933" s="295">
        <f t="shared" si="1255"/>
        <v>653.5968457103528</v>
      </c>
      <c r="AE933" s="295">
        <f t="shared" si="1255"/>
        <v>669.36233402132348</v>
      </c>
      <c r="AF933" s="295">
        <f t="shared" si="1255"/>
        <v>685.5778706914906</v>
      </c>
      <c r="AG933" s="295">
        <f t="shared" si="1255"/>
        <v>702.25919361768717</v>
      </c>
      <c r="AH933" s="295">
        <f t="shared" si="1255"/>
        <v>719.42269230116472</v>
      </c>
      <c r="AI933" s="295">
        <f t="shared" si="1255"/>
        <v>737.08543772200721</v>
      </c>
      <c r="AJ933" s="295">
        <f t="shared" si="1255"/>
        <v>755.26521365314613</v>
      </c>
    </row>
    <row r="934" spans="1:36" hidden="1" x14ac:dyDescent="0.25">
      <c r="A934" t="s">
        <v>695</v>
      </c>
      <c r="H934" s="573" t="s">
        <v>454</v>
      </c>
      <c r="I934" s="574" t="str">
        <f t="shared" si="1254"/>
        <v>VND/phôi</v>
      </c>
      <c r="K934" s="583">
        <f>SUM(K935:K936)</f>
        <v>0</v>
      </c>
      <c r="L934" s="583">
        <f t="shared" ref="L934:AJ934" si="1256">SUM(L935:L936)</f>
        <v>402.58064516129031</v>
      </c>
      <c r="M934" s="583">
        <f t="shared" si="1256"/>
        <v>402.58064516129042</v>
      </c>
      <c r="N934" s="583">
        <f t="shared" si="1256"/>
        <v>410.63225806451618</v>
      </c>
      <c r="O934" s="583">
        <f t="shared" si="1256"/>
        <v>418.84490322580649</v>
      </c>
      <c r="P934" s="583">
        <f t="shared" si="1256"/>
        <v>427.22180129032256</v>
      </c>
      <c r="Q934" s="583">
        <f t="shared" si="1256"/>
        <v>435.76623731612904</v>
      </c>
      <c r="R934" s="583">
        <f t="shared" si="1256"/>
        <v>444.48156206245164</v>
      </c>
      <c r="S934" s="583">
        <f t="shared" si="1256"/>
        <v>453.37119330370069</v>
      </c>
      <c r="T934" s="583">
        <f t="shared" si="1256"/>
        <v>462.4386171697746</v>
      </c>
      <c r="U934" s="583">
        <f t="shared" si="1256"/>
        <v>471.68738951317005</v>
      </c>
      <c r="V934" s="583">
        <f t="shared" si="1256"/>
        <v>481.12113730343356</v>
      </c>
      <c r="W934" s="583">
        <f t="shared" si="1256"/>
        <v>490.74356004950221</v>
      </c>
      <c r="X934" s="583">
        <f t="shared" si="1256"/>
        <v>500.55843125049216</v>
      </c>
      <c r="Y934" s="583">
        <f t="shared" si="1256"/>
        <v>510.56959987550215</v>
      </c>
      <c r="Z934" s="583">
        <f t="shared" si="1256"/>
        <v>520.78099187301211</v>
      </c>
      <c r="AA934" s="583">
        <f t="shared" si="1256"/>
        <v>531.19661171047244</v>
      </c>
      <c r="AB934" s="583">
        <f t="shared" si="1256"/>
        <v>541.82054394468173</v>
      </c>
      <c r="AC934" s="583">
        <f t="shared" si="1256"/>
        <v>552.65695482357557</v>
      </c>
      <c r="AD934" s="583">
        <f t="shared" si="1256"/>
        <v>563.71009392004692</v>
      </c>
      <c r="AE934" s="583">
        <f t="shared" si="1256"/>
        <v>574.98429579844776</v>
      </c>
      <c r="AF934" s="583">
        <f t="shared" si="1256"/>
        <v>586.48398171441681</v>
      </c>
      <c r="AG934" s="583">
        <f t="shared" si="1256"/>
        <v>598.21366134870516</v>
      </c>
      <c r="AH934" s="583">
        <f t="shared" si="1256"/>
        <v>610.17793457567916</v>
      </c>
      <c r="AI934" s="583">
        <f t="shared" si="1256"/>
        <v>622.38149326719292</v>
      </c>
      <c r="AJ934" s="583">
        <f t="shared" si="1256"/>
        <v>634.82912313253667</v>
      </c>
    </row>
    <row r="935" spans="1:36" s="299" customFormat="1" hidden="1" x14ac:dyDescent="0.25">
      <c r="A935" s="299" t="s">
        <v>695</v>
      </c>
      <c r="E935" s="299" t="s">
        <v>536</v>
      </c>
      <c r="H935" s="577" t="s">
        <v>167</v>
      </c>
      <c r="I935" s="578" t="str">
        <f t="shared" si="1254"/>
        <v>VND/phôi</v>
      </c>
      <c r="K935" s="582"/>
      <c r="L935" s="582">
        <f>-IF($H$9="USD",L865/L843/$H$10*10^3,L865/L843/$H$10)</f>
        <v>374.4</v>
      </c>
      <c r="M935" s="582">
        <f t="shared" ref="M935:AJ935" si="1257">-IF($H$9="USD",M865/M843/$H$10*10^3,M865/M843/$H$10)</f>
        <v>374.40000000000003</v>
      </c>
      <c r="N935" s="582">
        <f t="shared" si="1257"/>
        <v>381.88799999999998</v>
      </c>
      <c r="O935" s="582">
        <f t="shared" si="1257"/>
        <v>389.52575999999999</v>
      </c>
      <c r="P935" s="582">
        <f t="shared" si="1257"/>
        <v>397.31627519999995</v>
      </c>
      <c r="Q935" s="582">
        <f t="shared" si="1257"/>
        <v>405.26260070400002</v>
      </c>
      <c r="R935" s="582">
        <f t="shared" si="1257"/>
        <v>413.36785271808003</v>
      </c>
      <c r="S935" s="582">
        <f t="shared" si="1257"/>
        <v>421.63520977244161</v>
      </c>
      <c r="T935" s="582">
        <f t="shared" si="1257"/>
        <v>430.06791396789032</v>
      </c>
      <c r="U935" s="582">
        <f t="shared" si="1257"/>
        <v>438.66927224724816</v>
      </c>
      <c r="V935" s="582">
        <f t="shared" si="1257"/>
        <v>447.44265769219317</v>
      </c>
      <c r="W935" s="582">
        <f t="shared" si="1257"/>
        <v>456.39151084603702</v>
      </c>
      <c r="X935" s="582">
        <f t="shared" si="1257"/>
        <v>465.51934106295772</v>
      </c>
      <c r="Y935" s="582">
        <f t="shared" si="1257"/>
        <v>474.82972788421694</v>
      </c>
      <c r="Z935" s="582">
        <f t="shared" si="1257"/>
        <v>484.32632244190125</v>
      </c>
      <c r="AA935" s="582">
        <f t="shared" si="1257"/>
        <v>494.01284889073935</v>
      </c>
      <c r="AB935" s="582">
        <f t="shared" si="1257"/>
        <v>503.89310586855402</v>
      </c>
      <c r="AC935" s="582">
        <f t="shared" si="1257"/>
        <v>513.9709679859252</v>
      </c>
      <c r="AD935" s="582">
        <f t="shared" si="1257"/>
        <v>524.25038734564362</v>
      </c>
      <c r="AE935" s="582">
        <f t="shared" si="1257"/>
        <v>534.73539509255636</v>
      </c>
      <c r="AF935" s="582">
        <f t="shared" si="1257"/>
        <v>545.43010299440755</v>
      </c>
      <c r="AG935" s="582">
        <f t="shared" si="1257"/>
        <v>556.33870505429581</v>
      </c>
      <c r="AH935" s="582">
        <f t="shared" si="1257"/>
        <v>567.46547915538156</v>
      </c>
      <c r="AI935" s="582">
        <f t="shared" si="1257"/>
        <v>578.81478873848937</v>
      </c>
      <c r="AJ935" s="582">
        <f t="shared" si="1257"/>
        <v>590.39108451325899</v>
      </c>
    </row>
    <row r="936" spans="1:36" s="299" customFormat="1" hidden="1" x14ac:dyDescent="0.25">
      <c r="A936" s="299" t="s">
        <v>695</v>
      </c>
      <c r="E936" s="299" t="s">
        <v>537</v>
      </c>
      <c r="H936" s="646" t="s">
        <v>203</v>
      </c>
      <c r="I936" s="647" t="str">
        <f t="shared" si="1254"/>
        <v>VND/phôi</v>
      </c>
      <c r="K936" s="648"/>
      <c r="L936" s="648">
        <f t="shared" ref="L936:AJ936" si="1258">-IF($H$9="USD",L866/L843/$H$10*10^3,L866/L843/$H$10)</f>
        <v>28.180645161290336</v>
      </c>
      <c r="M936" s="648">
        <f t="shared" si="1258"/>
        <v>28.180645161290371</v>
      </c>
      <c r="N936" s="648">
        <f t="shared" si="1258"/>
        <v>28.744258064516178</v>
      </c>
      <c r="O936" s="648">
        <f t="shared" si="1258"/>
        <v>29.319143225806506</v>
      </c>
      <c r="P936" s="648">
        <f t="shared" si="1258"/>
        <v>29.905526090322624</v>
      </c>
      <c r="Q936" s="648">
        <f t="shared" si="1258"/>
        <v>30.503636612129036</v>
      </c>
      <c r="R936" s="648">
        <f t="shared" si="1258"/>
        <v>31.113709344371639</v>
      </c>
      <c r="S936" s="648">
        <f t="shared" si="1258"/>
        <v>31.735983531259077</v>
      </c>
      <c r="T936" s="648">
        <f t="shared" si="1258"/>
        <v>32.370703201884282</v>
      </c>
      <c r="U936" s="648">
        <f t="shared" si="1258"/>
        <v>33.018117265921916</v>
      </c>
      <c r="V936" s="648">
        <f t="shared" si="1258"/>
        <v>33.678479611240391</v>
      </c>
      <c r="W936" s="648">
        <f t="shared" si="1258"/>
        <v>34.352049203465171</v>
      </c>
      <c r="X936" s="648">
        <f t="shared" si="1258"/>
        <v>35.039090187534455</v>
      </c>
      <c r="Y936" s="648">
        <f t="shared" si="1258"/>
        <v>35.739871991285206</v>
      </c>
      <c r="Z936" s="648">
        <f t="shared" si="1258"/>
        <v>36.454669431110879</v>
      </c>
      <c r="AA936" s="648">
        <f t="shared" si="1258"/>
        <v>37.18376281973309</v>
      </c>
      <c r="AB936" s="648">
        <f t="shared" si="1258"/>
        <v>37.927438076127729</v>
      </c>
      <c r="AC936" s="648">
        <f t="shared" si="1258"/>
        <v>38.685986837650347</v>
      </c>
      <c r="AD936" s="648">
        <f t="shared" si="1258"/>
        <v>39.459706574403299</v>
      </c>
      <c r="AE936" s="648">
        <f t="shared" si="1258"/>
        <v>40.248900705891366</v>
      </c>
      <c r="AF936" s="648">
        <f t="shared" si="1258"/>
        <v>41.05387872000923</v>
      </c>
      <c r="AG936" s="648">
        <f t="shared" si="1258"/>
        <v>41.874956294409365</v>
      </c>
      <c r="AH936" s="648">
        <f t="shared" si="1258"/>
        <v>42.712455420297601</v>
      </c>
      <c r="AI936" s="648">
        <f t="shared" si="1258"/>
        <v>43.566704528703553</v>
      </c>
      <c r="AJ936" s="648">
        <f t="shared" si="1258"/>
        <v>44.438038619277648</v>
      </c>
    </row>
    <row r="937" spans="1:36" hidden="1" x14ac:dyDescent="0.25">
      <c r="A937" t="s">
        <v>695</v>
      </c>
      <c r="E937" t="s">
        <v>177</v>
      </c>
      <c r="H937" s="575" t="s">
        <v>676</v>
      </c>
      <c r="I937" s="576" t="str">
        <f t="shared" si="1254"/>
        <v>VND/phôi</v>
      </c>
      <c r="K937" s="584">
        <f>SUM(K938:K939)</f>
        <v>0</v>
      </c>
      <c r="L937" s="584">
        <f t="shared" ref="L937:AJ937" si="1259">SUM(L938:L939)</f>
        <v>3.0630387096774192</v>
      </c>
      <c r="M937" s="584">
        <f t="shared" si="1259"/>
        <v>3.0630387096774196</v>
      </c>
      <c r="N937" s="584">
        <f t="shared" si="1259"/>
        <v>3.2161906451612912</v>
      </c>
      <c r="O937" s="584">
        <f t="shared" si="1259"/>
        <v>3.377000177419355</v>
      </c>
      <c r="P937" s="584">
        <f t="shared" si="1259"/>
        <v>3.5458501862903229</v>
      </c>
      <c r="Q937" s="584">
        <f t="shared" si="1259"/>
        <v>3.7231426956048392</v>
      </c>
      <c r="R937" s="584">
        <f t="shared" si="1259"/>
        <v>3.9092998303850814</v>
      </c>
      <c r="S937" s="584">
        <f t="shared" si="1259"/>
        <v>4.1047648219043342</v>
      </c>
      <c r="T937" s="584">
        <f t="shared" si="1259"/>
        <v>4.3100030629995523</v>
      </c>
      <c r="U937" s="584">
        <f t="shared" si="1259"/>
        <v>4.525503216149529</v>
      </c>
      <c r="V937" s="584">
        <f t="shared" si="1259"/>
        <v>4.7517783769570059</v>
      </c>
      <c r="W937" s="584">
        <f t="shared" si="1259"/>
        <v>4.9893672958048558</v>
      </c>
      <c r="X937" s="584">
        <f t="shared" si="1259"/>
        <v>5.2388356605950994</v>
      </c>
      <c r="Y937" s="584">
        <f t="shared" si="1259"/>
        <v>5.5007774436248544</v>
      </c>
      <c r="Z937" s="584">
        <f t="shared" si="1259"/>
        <v>5.7758163158060976</v>
      </c>
      <c r="AA937" s="584">
        <f t="shared" si="1259"/>
        <v>6.0646071315964001</v>
      </c>
      <c r="AB937" s="584">
        <f t="shared" si="1259"/>
        <v>6.3678374881762236</v>
      </c>
      <c r="AC937" s="584">
        <f t="shared" si="1259"/>
        <v>6.6862293625850331</v>
      </c>
      <c r="AD937" s="584">
        <f t="shared" si="1259"/>
        <v>7.0205408307142863</v>
      </c>
      <c r="AE937" s="584">
        <f t="shared" si="1259"/>
        <v>7.37156787225</v>
      </c>
      <c r="AF937" s="584">
        <f t="shared" si="1259"/>
        <v>7.7401462658625002</v>
      </c>
      <c r="AG937" s="584">
        <f t="shared" si="1259"/>
        <v>8.1271535791556264</v>
      </c>
      <c r="AH937" s="584">
        <f t="shared" si="1259"/>
        <v>8.5335112581134069</v>
      </c>
      <c r="AI937" s="584">
        <f t="shared" si="1259"/>
        <v>8.9601868210190769</v>
      </c>
      <c r="AJ937" s="584">
        <f t="shared" si="1259"/>
        <v>9.4081961620700323</v>
      </c>
    </row>
    <row r="938" spans="1:36" s="299" customFormat="1" hidden="1" x14ac:dyDescent="0.25">
      <c r="A938" s="299" t="s">
        <v>695</v>
      </c>
      <c r="H938" s="577" t="s">
        <v>673</v>
      </c>
      <c r="I938" s="578" t="str">
        <f t="shared" si="1254"/>
        <v>VND/phôi</v>
      </c>
      <c r="K938" s="582"/>
      <c r="L938" s="582">
        <f>-IF($H$9="USD",L868/L843/$H$10*10^3,L868/L843/$H$10)</f>
        <v>3.0630387096774192</v>
      </c>
      <c r="M938" s="582">
        <f t="shared" ref="M938:AJ938" si="1260">-IF($H$9="USD",M868/M843/$H$10*10^3,M868/M843/$H$10)</f>
        <v>3.0630387096774196</v>
      </c>
      <c r="N938" s="582">
        <f t="shared" si="1260"/>
        <v>3.2161906451612912</v>
      </c>
      <c r="O938" s="582">
        <f t="shared" si="1260"/>
        <v>3.377000177419355</v>
      </c>
      <c r="P938" s="582">
        <f t="shared" si="1260"/>
        <v>3.5458501862903229</v>
      </c>
      <c r="Q938" s="582">
        <f t="shared" si="1260"/>
        <v>3.7231426956048392</v>
      </c>
      <c r="R938" s="582">
        <f t="shared" si="1260"/>
        <v>3.9092998303850814</v>
      </c>
      <c r="S938" s="582">
        <f t="shared" si="1260"/>
        <v>4.1047648219043342</v>
      </c>
      <c r="T938" s="582">
        <f t="shared" si="1260"/>
        <v>4.3100030629995523</v>
      </c>
      <c r="U938" s="582">
        <f t="shared" si="1260"/>
        <v>4.525503216149529</v>
      </c>
      <c r="V938" s="582">
        <f t="shared" si="1260"/>
        <v>4.7517783769570059</v>
      </c>
      <c r="W938" s="582">
        <f t="shared" si="1260"/>
        <v>4.9893672958048558</v>
      </c>
      <c r="X938" s="582">
        <f t="shared" si="1260"/>
        <v>5.2388356605950994</v>
      </c>
      <c r="Y938" s="582">
        <f t="shared" si="1260"/>
        <v>5.5007774436248544</v>
      </c>
      <c r="Z938" s="582">
        <f t="shared" si="1260"/>
        <v>5.7758163158060976</v>
      </c>
      <c r="AA938" s="582">
        <f t="shared" si="1260"/>
        <v>6.0646071315964001</v>
      </c>
      <c r="AB938" s="582">
        <f t="shared" si="1260"/>
        <v>6.3678374881762236</v>
      </c>
      <c r="AC938" s="582">
        <f t="shared" si="1260"/>
        <v>6.6862293625850331</v>
      </c>
      <c r="AD938" s="582">
        <f t="shared" si="1260"/>
        <v>7.0205408307142863</v>
      </c>
      <c r="AE938" s="582">
        <f t="shared" si="1260"/>
        <v>7.37156787225</v>
      </c>
      <c r="AF938" s="582">
        <f t="shared" si="1260"/>
        <v>7.7401462658625002</v>
      </c>
      <c r="AG938" s="582">
        <f t="shared" si="1260"/>
        <v>8.1271535791556264</v>
      </c>
      <c r="AH938" s="582">
        <f t="shared" si="1260"/>
        <v>8.5335112581134069</v>
      </c>
      <c r="AI938" s="582">
        <f t="shared" si="1260"/>
        <v>8.9601868210190769</v>
      </c>
      <c r="AJ938" s="582">
        <f t="shared" si="1260"/>
        <v>9.4081961620700323</v>
      </c>
    </row>
    <row r="939" spans="1:36" s="299" customFormat="1" hidden="1" x14ac:dyDescent="0.25">
      <c r="A939" s="299" t="s">
        <v>695</v>
      </c>
      <c r="H939" s="577" t="s">
        <v>674</v>
      </c>
      <c r="I939" s="578" t="str">
        <f t="shared" si="1254"/>
        <v>VND/phôi</v>
      </c>
      <c r="K939" s="582"/>
      <c r="L939" s="582">
        <f>-IF($H$9="USD",L869/L843/$H$10*10^3,L869/L843/$H$10)</f>
        <v>0</v>
      </c>
      <c r="M939" s="582">
        <f t="shared" ref="M939:AJ939" si="1261">-IF($H$9="USD",M869/M843/$H$10*10^3,M869/M843/$H$10)</f>
        <v>0</v>
      </c>
      <c r="N939" s="582">
        <f t="shared" si="1261"/>
        <v>0</v>
      </c>
      <c r="O939" s="582">
        <f t="shared" si="1261"/>
        <v>0</v>
      </c>
      <c r="P939" s="582">
        <f t="shared" si="1261"/>
        <v>0</v>
      </c>
      <c r="Q939" s="582">
        <f t="shared" si="1261"/>
        <v>0</v>
      </c>
      <c r="R939" s="582">
        <f t="shared" si="1261"/>
        <v>0</v>
      </c>
      <c r="S939" s="582">
        <f t="shared" si="1261"/>
        <v>0</v>
      </c>
      <c r="T939" s="582">
        <f t="shared" si="1261"/>
        <v>0</v>
      </c>
      <c r="U939" s="582">
        <f t="shared" si="1261"/>
        <v>0</v>
      </c>
      <c r="V939" s="582">
        <f t="shared" si="1261"/>
        <v>0</v>
      </c>
      <c r="W939" s="582">
        <f t="shared" si="1261"/>
        <v>0</v>
      </c>
      <c r="X939" s="582">
        <f t="shared" si="1261"/>
        <v>0</v>
      </c>
      <c r="Y939" s="582">
        <f t="shared" si="1261"/>
        <v>0</v>
      </c>
      <c r="Z939" s="582">
        <f t="shared" si="1261"/>
        <v>0</v>
      </c>
      <c r="AA939" s="582">
        <f t="shared" si="1261"/>
        <v>0</v>
      </c>
      <c r="AB939" s="582">
        <f t="shared" si="1261"/>
        <v>0</v>
      </c>
      <c r="AC939" s="582">
        <f t="shared" si="1261"/>
        <v>0</v>
      </c>
      <c r="AD939" s="582">
        <f t="shared" si="1261"/>
        <v>0</v>
      </c>
      <c r="AE939" s="582">
        <f t="shared" si="1261"/>
        <v>0</v>
      </c>
      <c r="AF939" s="582">
        <f t="shared" si="1261"/>
        <v>0</v>
      </c>
      <c r="AG939" s="582">
        <f t="shared" si="1261"/>
        <v>0</v>
      </c>
      <c r="AH939" s="582">
        <f t="shared" si="1261"/>
        <v>0</v>
      </c>
      <c r="AI939" s="582">
        <f t="shared" si="1261"/>
        <v>0</v>
      </c>
      <c r="AJ939" s="582">
        <f t="shared" si="1261"/>
        <v>0</v>
      </c>
    </row>
    <row r="940" spans="1:36" hidden="1" x14ac:dyDescent="0.25">
      <c r="A940" t="s">
        <v>695</v>
      </c>
      <c r="H940" s="575" t="s">
        <v>180</v>
      </c>
      <c r="I940" s="576" t="str">
        <f t="shared" si="1254"/>
        <v>VND/phôi</v>
      </c>
      <c r="K940" s="584">
        <f>SUM(K941:K943)</f>
        <v>0</v>
      </c>
      <c r="L940" s="584">
        <f>SUM(L941:L943)</f>
        <v>43.314501663932333</v>
      </c>
      <c r="M940" s="584">
        <f t="shared" ref="M940:AJ940" si="1262">SUM(M941:M943)</f>
        <v>40.695519621702815</v>
      </c>
      <c r="N940" s="584">
        <f t="shared" si="1262"/>
        <v>40.537664548188573</v>
      </c>
      <c r="O940" s="584">
        <f t="shared" si="1262"/>
        <v>42.434365079254363</v>
      </c>
      <c r="P940" s="584">
        <f t="shared" si="1262"/>
        <v>44.425900636873436</v>
      </c>
      <c r="Q940" s="584">
        <f t="shared" si="1262"/>
        <v>46.517012972373458</v>
      </c>
      <c r="R940" s="584">
        <f t="shared" si="1262"/>
        <v>48.712680924648488</v>
      </c>
      <c r="S940" s="584">
        <f t="shared" si="1262"/>
        <v>51.018132274537273</v>
      </c>
      <c r="T940" s="584">
        <f t="shared" si="1262"/>
        <v>53.438856191920493</v>
      </c>
      <c r="U940" s="584">
        <f t="shared" si="1262"/>
        <v>55.98061630517288</v>
      </c>
      <c r="V940" s="584">
        <f t="shared" si="1262"/>
        <v>58.649464424087874</v>
      </c>
      <c r="W940" s="584">
        <f t="shared" si="1262"/>
        <v>61.45175494894864</v>
      </c>
      <c r="X940" s="584">
        <f t="shared" si="1262"/>
        <v>61.851529212090654</v>
      </c>
      <c r="Y940" s="584">
        <f t="shared" si="1262"/>
        <v>64.941054515749613</v>
      </c>
      <c r="Z940" s="584">
        <f t="shared" si="1262"/>
        <v>68.185056084591551</v>
      </c>
      <c r="AA940" s="584">
        <f t="shared" si="1262"/>
        <v>71.591257731875558</v>
      </c>
      <c r="AB940" s="584">
        <f t="shared" si="1262"/>
        <v>75.167769461523804</v>
      </c>
      <c r="AC940" s="584">
        <f t="shared" si="1262"/>
        <v>78.923106777654453</v>
      </c>
      <c r="AD940" s="584">
        <f t="shared" si="1262"/>
        <v>82.866210959591612</v>
      </c>
      <c r="AE940" s="584">
        <f t="shared" si="1262"/>
        <v>87.006470350625662</v>
      </c>
      <c r="AF940" s="584">
        <f t="shared" si="1262"/>
        <v>91.353742711211368</v>
      </c>
      <c r="AG940" s="584">
        <f t="shared" si="1262"/>
        <v>95.918378689826383</v>
      </c>
      <c r="AH940" s="584">
        <f t="shared" si="1262"/>
        <v>100.71124646737213</v>
      </c>
      <c r="AI940" s="584">
        <f t="shared" si="1262"/>
        <v>105.74375763379518</v>
      </c>
      <c r="AJ940" s="584">
        <f t="shared" si="1262"/>
        <v>111.02789435853943</v>
      </c>
    </row>
    <row r="941" spans="1:36" s="299" customFormat="1" hidden="1" x14ac:dyDescent="0.25">
      <c r="A941" s="299" t="s">
        <v>695</v>
      </c>
      <c r="E941" s="299" t="s">
        <v>174</v>
      </c>
      <c r="H941" s="577" t="s">
        <v>73</v>
      </c>
      <c r="I941" s="578" t="str">
        <f t="shared" si="1254"/>
        <v>VND/phôi</v>
      </c>
      <c r="K941" s="582"/>
      <c r="L941" s="582">
        <f t="shared" ref="L941:AJ941" si="1263">-IF($H$9="USD",L871/L843/$H$10*10^3,L871/L843/$H$10)</f>
        <v>27.876344086021508</v>
      </c>
      <c r="M941" s="582">
        <f t="shared" si="1263"/>
        <v>27.876344086021504</v>
      </c>
      <c r="N941" s="582">
        <f t="shared" si="1263"/>
        <v>29.270161290322584</v>
      </c>
      <c r="O941" s="582">
        <f t="shared" si="1263"/>
        <v>30.733669354838714</v>
      </c>
      <c r="P941" s="582">
        <f t="shared" si="1263"/>
        <v>32.270352822580648</v>
      </c>
      <c r="Q941" s="582">
        <f t="shared" si="1263"/>
        <v>33.88387046370967</v>
      </c>
      <c r="R941" s="582">
        <f t="shared" si="1263"/>
        <v>35.57806398689516</v>
      </c>
      <c r="S941" s="582">
        <f t="shared" si="1263"/>
        <v>37.35696718623992</v>
      </c>
      <c r="T941" s="582">
        <f t="shared" si="1263"/>
        <v>39.22481554555192</v>
      </c>
      <c r="U941" s="582">
        <f t="shared" si="1263"/>
        <v>41.186056322829515</v>
      </c>
      <c r="V941" s="582">
        <f t="shared" si="1263"/>
        <v>43.24535913897099</v>
      </c>
      <c r="W941" s="582">
        <f t="shared" si="1263"/>
        <v>45.407627095919544</v>
      </c>
      <c r="X941" s="582">
        <f t="shared" si="1263"/>
        <v>47.678008450715524</v>
      </c>
      <c r="Y941" s="582">
        <f t="shared" si="1263"/>
        <v>50.061908873251284</v>
      </c>
      <c r="Z941" s="582">
        <f t="shared" si="1263"/>
        <v>52.565004316913864</v>
      </c>
      <c r="AA941" s="582">
        <f t="shared" si="1263"/>
        <v>55.193254532759539</v>
      </c>
      <c r="AB941" s="582">
        <f t="shared" si="1263"/>
        <v>57.952917259397537</v>
      </c>
      <c r="AC941" s="582">
        <f t="shared" si="1263"/>
        <v>60.850563122367411</v>
      </c>
      <c r="AD941" s="582">
        <f t="shared" si="1263"/>
        <v>63.893091278485784</v>
      </c>
      <c r="AE941" s="582">
        <f t="shared" si="1263"/>
        <v>67.087745842410087</v>
      </c>
      <c r="AF941" s="582">
        <f t="shared" si="1263"/>
        <v>70.442133134530579</v>
      </c>
      <c r="AG941" s="582">
        <f t="shared" si="1263"/>
        <v>73.9642397912571</v>
      </c>
      <c r="AH941" s="582">
        <f t="shared" si="1263"/>
        <v>77.66245178081995</v>
      </c>
      <c r="AI941" s="582">
        <f t="shared" si="1263"/>
        <v>81.545574369860958</v>
      </c>
      <c r="AJ941" s="582">
        <f t="shared" si="1263"/>
        <v>85.622853088354034</v>
      </c>
    </row>
    <row r="942" spans="1:36" s="299" customFormat="1" hidden="1" x14ac:dyDescent="0.25">
      <c r="A942" s="299" t="s">
        <v>695</v>
      </c>
      <c r="E942" s="299" t="s">
        <v>306</v>
      </c>
      <c r="H942" s="577" t="s">
        <v>192</v>
      </c>
      <c r="I942" s="578" t="str">
        <f t="shared" si="1254"/>
        <v>VND/phôi</v>
      </c>
      <c r="K942" s="582"/>
      <c r="L942" s="582">
        <f t="shared" ref="L942:AJ942" si="1264">-IF($H$9="USD",L872/L843/$H$10*10^3,L872/L843/$H$10)</f>
        <v>4.958333333333333</v>
      </c>
      <c r="M942" s="582">
        <f t="shared" si="1264"/>
        <v>4.958333333333333</v>
      </c>
      <c r="N942" s="582">
        <f t="shared" si="1264"/>
        <v>5.2062499999999998</v>
      </c>
      <c r="O942" s="582">
        <f t="shared" si="1264"/>
        <v>5.4665624999999993</v>
      </c>
      <c r="P942" s="582">
        <f t="shared" si="1264"/>
        <v>5.7398906250000001</v>
      </c>
      <c r="Q942" s="582">
        <f t="shared" si="1264"/>
        <v>6.0268851562500005</v>
      </c>
      <c r="R942" s="582">
        <f t="shared" si="1264"/>
        <v>6.3282294140625002</v>
      </c>
      <c r="S942" s="582">
        <f t="shared" si="1264"/>
        <v>6.6446408847656242</v>
      </c>
      <c r="T942" s="582">
        <f t="shared" si="1264"/>
        <v>6.9768729290039069</v>
      </c>
      <c r="U942" s="582">
        <f t="shared" si="1264"/>
        <v>7.3257165754541012</v>
      </c>
      <c r="V942" s="582">
        <f t="shared" si="1264"/>
        <v>7.6920024042268071</v>
      </c>
      <c r="W942" s="582">
        <f t="shared" si="1264"/>
        <v>8.0766025244381474</v>
      </c>
      <c r="X942" s="582">
        <f t="shared" si="1264"/>
        <v>8.480432650660056</v>
      </c>
      <c r="Y942" s="582">
        <f t="shared" si="1264"/>
        <v>8.9044542831930578</v>
      </c>
      <c r="Z942" s="582">
        <f t="shared" si="1264"/>
        <v>9.3496769973527112</v>
      </c>
      <c r="AA942" s="582">
        <f t="shared" si="1264"/>
        <v>9.8171608472203449</v>
      </c>
      <c r="AB942" s="582">
        <f t="shared" si="1264"/>
        <v>10.308018889581366</v>
      </c>
      <c r="AC942" s="582">
        <f t="shared" si="1264"/>
        <v>10.823419834060434</v>
      </c>
      <c r="AD942" s="582">
        <f t="shared" si="1264"/>
        <v>11.364590825763454</v>
      </c>
      <c r="AE942" s="582">
        <f t="shared" si="1264"/>
        <v>11.932820367051628</v>
      </c>
      <c r="AF942" s="582">
        <f t="shared" si="1264"/>
        <v>12.529461385404209</v>
      </c>
      <c r="AG942" s="582">
        <f t="shared" si="1264"/>
        <v>13.155934454674419</v>
      </c>
      <c r="AH942" s="582">
        <f t="shared" si="1264"/>
        <v>13.81373117740814</v>
      </c>
      <c r="AI942" s="582">
        <f t="shared" si="1264"/>
        <v>14.504417736278546</v>
      </c>
      <c r="AJ942" s="582">
        <f t="shared" si="1264"/>
        <v>15.229638623092477</v>
      </c>
    </row>
    <row r="943" spans="1:36" s="299" customFormat="1" hidden="1" x14ac:dyDescent="0.25">
      <c r="A943" s="299" t="s">
        <v>695</v>
      </c>
      <c r="E943" s="299" t="s">
        <v>172</v>
      </c>
      <c r="H943" s="577" t="s">
        <v>175</v>
      </c>
      <c r="I943" s="578" t="str">
        <f t="shared" si="1254"/>
        <v>VND/phôi</v>
      </c>
      <c r="K943" s="582"/>
      <c r="L943" s="582">
        <f t="shared" ref="L943:AJ943" si="1265">-IF($H$9="USD",L873/L843/$H$10*10^3,L873/L843/$H$10)</f>
        <v>10.479824244577493</v>
      </c>
      <c r="M943" s="582">
        <f t="shared" si="1265"/>
        <v>7.8608422023479783</v>
      </c>
      <c r="N943" s="582">
        <f t="shared" si="1265"/>
        <v>6.0612532578659915</v>
      </c>
      <c r="O943" s="582">
        <f t="shared" si="1265"/>
        <v>6.2341332244156487</v>
      </c>
      <c r="P943" s="582">
        <f t="shared" si="1265"/>
        <v>6.4156571892927881</v>
      </c>
      <c r="Q943" s="582">
        <f t="shared" si="1265"/>
        <v>6.6062573524137855</v>
      </c>
      <c r="R943" s="582">
        <f t="shared" si="1265"/>
        <v>6.8063875236908302</v>
      </c>
      <c r="S943" s="582">
        <f t="shared" si="1265"/>
        <v>7.0165242035317279</v>
      </c>
      <c r="T943" s="582">
        <f t="shared" si="1265"/>
        <v>7.2371677173646711</v>
      </c>
      <c r="U943" s="582">
        <f t="shared" si="1265"/>
        <v>7.4688434068892633</v>
      </c>
      <c r="V943" s="582">
        <f t="shared" si="1265"/>
        <v>7.7121028808900816</v>
      </c>
      <c r="W943" s="582">
        <f t="shared" si="1265"/>
        <v>7.9675253285909466</v>
      </c>
      <c r="X943" s="582">
        <f t="shared" si="1265"/>
        <v>5.6930881107150721</v>
      </c>
      <c r="Y943" s="582">
        <f t="shared" si="1265"/>
        <v>5.9746913593052708</v>
      </c>
      <c r="Z943" s="582">
        <f t="shared" si="1265"/>
        <v>6.2703747703249819</v>
      </c>
      <c r="AA943" s="582">
        <f t="shared" si="1265"/>
        <v>6.5808423518956749</v>
      </c>
      <c r="AB943" s="582">
        <f t="shared" si="1265"/>
        <v>6.906833312544908</v>
      </c>
      <c r="AC943" s="582">
        <f t="shared" si="1265"/>
        <v>7.2491238212265978</v>
      </c>
      <c r="AD943" s="582">
        <f t="shared" si="1265"/>
        <v>7.6085288553423744</v>
      </c>
      <c r="AE943" s="582">
        <f t="shared" si="1265"/>
        <v>7.9859041411639398</v>
      </c>
      <c r="AF943" s="582">
        <f t="shared" si="1265"/>
        <v>8.3821481912765794</v>
      </c>
      <c r="AG943" s="582">
        <f t="shared" si="1265"/>
        <v>8.7982044438948552</v>
      </c>
      <c r="AH943" s="582">
        <f t="shared" si="1265"/>
        <v>9.2350635091440463</v>
      </c>
      <c r="AI943" s="582">
        <f t="shared" si="1265"/>
        <v>9.6937655276556924</v>
      </c>
      <c r="AJ943" s="582">
        <f t="shared" si="1265"/>
        <v>10.175402647092925</v>
      </c>
    </row>
    <row r="944" spans="1:36" hidden="1" x14ac:dyDescent="0.25">
      <c r="A944" t="s">
        <v>695</v>
      </c>
      <c r="H944" s="289"/>
      <c r="I944" s="290"/>
      <c r="K944" s="296"/>
      <c r="L944" s="297"/>
      <c r="M944" s="296"/>
      <c r="N944" s="296"/>
      <c r="O944" s="296"/>
      <c r="P944" s="296"/>
      <c r="Q944" s="296"/>
      <c r="R944" s="296"/>
      <c r="S944" s="296"/>
      <c r="T944" s="296"/>
      <c r="U944" s="296"/>
      <c r="V944" s="296"/>
      <c r="W944" s="296"/>
      <c r="X944" s="296"/>
      <c r="Y944" s="296"/>
      <c r="Z944" s="296"/>
      <c r="AA944" s="296"/>
      <c r="AB944" s="296"/>
      <c r="AC944" s="296"/>
      <c r="AD944" s="296"/>
      <c r="AE944" s="296"/>
      <c r="AF944" s="296"/>
      <c r="AG944" s="296"/>
      <c r="AH944" s="296"/>
      <c r="AI944" s="296"/>
      <c r="AJ944" s="296"/>
    </row>
    <row r="945" spans="1:36" s="16" customFormat="1" hidden="1" x14ac:dyDescent="0.25">
      <c r="A945" s="16" t="s">
        <v>695</v>
      </c>
      <c r="H945" s="291" t="s">
        <v>464</v>
      </c>
      <c r="I945" s="292" t="str">
        <f t="shared" si="1254"/>
        <v>VND/phôi</v>
      </c>
      <c r="K945" s="298">
        <f>K923+K933</f>
        <v>0</v>
      </c>
      <c r="L945" s="298">
        <f t="shared" ref="L945:AJ945" si="1266">L923+L933</f>
        <v>678.11911422998253</v>
      </c>
      <c r="M945" s="298">
        <f t="shared" si="1266"/>
        <v>610.0255811320153</v>
      </c>
      <c r="N945" s="298">
        <f t="shared" si="1266"/>
        <v>571.44103341419327</v>
      </c>
      <c r="O945" s="298">
        <f t="shared" si="1266"/>
        <v>584.30936723803268</v>
      </c>
      <c r="P945" s="298">
        <f t="shared" si="1266"/>
        <v>597.57473839822535</v>
      </c>
      <c r="Q945" s="298">
        <f t="shared" si="1266"/>
        <v>611.25207117449224</v>
      </c>
      <c r="R945" s="298">
        <f t="shared" si="1266"/>
        <v>625.3569375087983</v>
      </c>
      <c r="S945" s="298">
        <f t="shared" si="1266"/>
        <v>639.90558741742996</v>
      </c>
      <c r="T945" s="298">
        <f t="shared" si="1266"/>
        <v>654.91498088425556</v>
      </c>
      <c r="U945" s="298">
        <f t="shared" si="1266"/>
        <v>670.40282130844037</v>
      </c>
      <c r="V945" s="298">
        <f t="shared" si="1266"/>
        <v>686.38759058353276</v>
      </c>
      <c r="W945" s="298">
        <f t="shared" si="1266"/>
        <v>702.88858588867163</v>
      </c>
      <c r="X945" s="298">
        <f t="shared" si="1266"/>
        <v>653.8175577896792</v>
      </c>
      <c r="Y945" s="298">
        <f t="shared" si="1266"/>
        <v>671.41235266106412</v>
      </c>
      <c r="Z945" s="298">
        <f t="shared" si="1266"/>
        <v>689.58655221726769</v>
      </c>
      <c r="AA945" s="298">
        <f t="shared" si="1266"/>
        <v>708.36311999135637</v>
      </c>
      <c r="AB945" s="298">
        <f t="shared" si="1266"/>
        <v>727.76604755902542</v>
      </c>
      <c r="AC945" s="298">
        <f t="shared" si="1266"/>
        <v>747.82040353805212</v>
      </c>
      <c r="AD945" s="298">
        <f t="shared" si="1266"/>
        <v>768.55238498966287</v>
      </c>
      <c r="AE945" s="298">
        <f t="shared" si="1266"/>
        <v>789.98937134096025</v>
      </c>
      <c r="AF945" s="298">
        <f t="shared" si="1266"/>
        <v>812.15998095347038</v>
      </c>
      <c r="AG945" s="298">
        <f t="shared" si="1266"/>
        <v>835.09413046912698</v>
      </c>
      <c r="AH945" s="298">
        <f t="shared" si="1266"/>
        <v>858.82309707153775</v>
      </c>
      <c r="AI945" s="298">
        <f t="shared" si="1266"/>
        <v>883.37958380726002</v>
      </c>
      <c r="AJ945" s="298">
        <f t="shared" si="1266"/>
        <v>908.7977881190227</v>
      </c>
    </row>
    <row r="946" spans="1:36" hidden="1" x14ac:dyDescent="0.25">
      <c r="A946" t="s">
        <v>695</v>
      </c>
      <c r="H946" s="289"/>
      <c r="I946" s="290"/>
      <c r="K946" s="296"/>
      <c r="L946" s="296"/>
      <c r="M946" s="296"/>
      <c r="N946" s="296"/>
      <c r="O946" s="296"/>
      <c r="P946" s="296"/>
      <c r="Q946" s="296"/>
      <c r="R946" s="296"/>
      <c r="S946" s="296"/>
      <c r="T946" s="296"/>
      <c r="U946" s="296"/>
      <c r="V946" s="296"/>
      <c r="W946" s="296"/>
      <c r="X946" s="296"/>
      <c r="Y946" s="296"/>
      <c r="Z946" s="296"/>
      <c r="AA946" s="296"/>
      <c r="AB946" s="296"/>
      <c r="AC946" s="296"/>
      <c r="AD946" s="296"/>
      <c r="AE946" s="296"/>
      <c r="AF946" s="296"/>
      <c r="AG946" s="296"/>
      <c r="AH946" s="296"/>
      <c r="AI946" s="296"/>
      <c r="AJ946" s="296"/>
    </row>
    <row r="947" spans="1:36" hidden="1" x14ac:dyDescent="0.25">
      <c r="A947" t="s">
        <v>695</v>
      </c>
      <c r="E947" t="s">
        <v>172</v>
      </c>
      <c r="H947" s="594" t="s">
        <v>166</v>
      </c>
      <c r="I947" s="595" t="str">
        <f t="shared" si="1254"/>
        <v>VND/phôi</v>
      </c>
      <c r="K947" s="605"/>
      <c r="L947" s="605">
        <f>-IF($H$9="USD",L877/L843/$H$10*10^3,L877/L843/$H$10)</f>
        <v>13.999999999999998</v>
      </c>
      <c r="M947" s="605">
        <f t="shared" ref="M947:AJ947" si="1267">-IF($H$9="USD",M877/M843/$H$10*10^3,M877/M843/$H$10)</f>
        <v>14</v>
      </c>
      <c r="N947" s="605">
        <f t="shared" si="1267"/>
        <v>14.7</v>
      </c>
      <c r="O947" s="605">
        <f t="shared" si="1267"/>
        <v>15.435</v>
      </c>
      <c r="P947" s="605">
        <f t="shared" si="1267"/>
        <v>16.206750000000003</v>
      </c>
      <c r="Q947" s="605">
        <f t="shared" si="1267"/>
        <v>17.017087499999999</v>
      </c>
      <c r="R947" s="605">
        <f t="shared" si="1267"/>
        <v>17.867941875000003</v>
      </c>
      <c r="S947" s="605">
        <f t="shared" si="1267"/>
        <v>18.761338968749996</v>
      </c>
      <c r="T947" s="605">
        <f t="shared" si="1267"/>
        <v>19.699405917187505</v>
      </c>
      <c r="U947" s="605">
        <f t="shared" si="1267"/>
        <v>20.684376213046875</v>
      </c>
      <c r="V947" s="605">
        <f t="shared" si="1267"/>
        <v>21.718595023699219</v>
      </c>
      <c r="W947" s="605">
        <f t="shared" si="1267"/>
        <v>22.804524774884179</v>
      </c>
      <c r="X947" s="605">
        <f t="shared" si="1267"/>
        <v>23.944751013628391</v>
      </c>
      <c r="Y947" s="605">
        <f t="shared" si="1267"/>
        <v>25.141988564309809</v>
      </c>
      <c r="Z947" s="605">
        <f t="shared" si="1267"/>
        <v>26.399087992525303</v>
      </c>
      <c r="AA947" s="605">
        <f t="shared" si="1267"/>
        <v>27.719042392151561</v>
      </c>
      <c r="AB947" s="605">
        <f t="shared" si="1267"/>
        <v>29.104994511759148</v>
      </c>
      <c r="AC947" s="605">
        <f t="shared" si="1267"/>
        <v>30.560244237347103</v>
      </c>
      <c r="AD947" s="605">
        <f t="shared" si="1267"/>
        <v>32.088256449214462</v>
      </c>
      <c r="AE947" s="605">
        <f t="shared" si="1267"/>
        <v>33.692669271675186</v>
      </c>
      <c r="AF947" s="605">
        <f t="shared" si="1267"/>
        <v>35.377302735258944</v>
      </c>
      <c r="AG947" s="605">
        <f t="shared" si="1267"/>
        <v>37.146167872021891</v>
      </c>
      <c r="AH947" s="605">
        <f t="shared" si="1267"/>
        <v>39.003476265622986</v>
      </c>
      <c r="AI947" s="605">
        <f t="shared" si="1267"/>
        <v>40.953650078904126</v>
      </c>
      <c r="AJ947" s="605">
        <f t="shared" si="1267"/>
        <v>43.001332582849344</v>
      </c>
    </row>
    <row r="948" spans="1:36" hidden="1" x14ac:dyDescent="0.25">
      <c r="A948" t="s">
        <v>695</v>
      </c>
      <c r="E948" t="s">
        <v>171</v>
      </c>
      <c r="H948" s="575" t="s">
        <v>469</v>
      </c>
      <c r="I948" s="576" t="str">
        <f t="shared" si="1254"/>
        <v>VND/phôi</v>
      </c>
      <c r="K948" s="585"/>
      <c r="L948" s="585">
        <f t="shared" ref="L948:AJ948" si="1268">-IF($H$9="USD",L878/L843/$H$10*10^3,L878/L843/$H$10)</f>
        <v>5.5630833696399931</v>
      </c>
      <c r="M948" s="585">
        <f t="shared" si="1268"/>
        <v>5.5630833696399939</v>
      </c>
      <c r="N948" s="585">
        <f t="shared" si="1268"/>
        <v>5.8412375381219928</v>
      </c>
      <c r="O948" s="585">
        <f t="shared" si="1268"/>
        <v>6.1332994150280928</v>
      </c>
      <c r="P948" s="585">
        <f t="shared" si="1268"/>
        <v>6.439964385779497</v>
      </c>
      <c r="Q948" s="585">
        <f t="shared" si="1268"/>
        <v>6.7619626050684714</v>
      </c>
      <c r="R948" s="585">
        <f t="shared" si="1268"/>
        <v>7.100060735321895</v>
      </c>
      <c r="S948" s="585">
        <f t="shared" si="1268"/>
        <v>7.45506377208799</v>
      </c>
      <c r="T948" s="585">
        <f t="shared" si="1268"/>
        <v>7.8278169606923909</v>
      </c>
      <c r="U948" s="585">
        <f t="shared" si="1268"/>
        <v>8.2192078087270097</v>
      </c>
      <c r="V948" s="585">
        <f t="shared" si="1268"/>
        <v>8.6301681991633608</v>
      </c>
      <c r="W948" s="585">
        <f t="shared" si="1268"/>
        <v>9.0616766091215286</v>
      </c>
      <c r="X948" s="585">
        <f t="shared" si="1268"/>
        <v>9.5147604395776053</v>
      </c>
      <c r="Y948" s="585">
        <f t="shared" si="1268"/>
        <v>9.9904984615564842</v>
      </c>
      <c r="Z948" s="585">
        <f t="shared" si="1268"/>
        <v>10.490023384634309</v>
      </c>
      <c r="AA948" s="585">
        <f t="shared" si="1268"/>
        <v>11.014524553866023</v>
      </c>
      <c r="AB948" s="585">
        <f t="shared" si="1268"/>
        <v>11.56525078155933</v>
      </c>
      <c r="AC948" s="585">
        <f t="shared" si="1268"/>
        <v>12.143513320637293</v>
      </c>
      <c r="AD948" s="585">
        <f t="shared" si="1268"/>
        <v>12.750688986669159</v>
      </c>
      <c r="AE948" s="585">
        <f t="shared" si="1268"/>
        <v>13.388223436002619</v>
      </c>
      <c r="AF948" s="585">
        <f t="shared" si="1268"/>
        <v>14.057634607802749</v>
      </c>
      <c r="AG948" s="585">
        <f t="shared" si="1268"/>
        <v>14.760516338192884</v>
      </c>
      <c r="AH948" s="585">
        <f t="shared" si="1268"/>
        <v>15.49854215510253</v>
      </c>
      <c r="AI948" s="585">
        <f t="shared" si="1268"/>
        <v>16.273469262857652</v>
      </c>
      <c r="AJ948" s="585">
        <f t="shared" si="1268"/>
        <v>17.087142726000543</v>
      </c>
    </row>
    <row r="949" spans="1:36" hidden="1" x14ac:dyDescent="0.25">
      <c r="A949" t="s">
        <v>695</v>
      </c>
      <c r="E949" t="s">
        <v>182</v>
      </c>
      <c r="H949" s="575" t="s">
        <v>468</v>
      </c>
      <c r="I949" s="576" t="str">
        <f t="shared" si="1254"/>
        <v>VND/phôi</v>
      </c>
      <c r="K949" s="575"/>
      <c r="L949" s="585">
        <f t="shared" ref="L949:AJ949" si="1269">-IF($H$9="USD",L879/L843/$H$10*10^3,L879/L843/$H$10)</f>
        <v>1.8633097020762159</v>
      </c>
      <c r="M949" s="585">
        <f t="shared" si="1269"/>
        <v>1.8633097020762155</v>
      </c>
      <c r="N949" s="585">
        <f t="shared" si="1269"/>
        <v>1.956475187180027</v>
      </c>
      <c r="O949" s="585">
        <f t="shared" si="1269"/>
        <v>2.0542989465390282</v>
      </c>
      <c r="P949" s="585">
        <f t="shared" si="1269"/>
        <v>2.1570138938659795</v>
      </c>
      <c r="Q949" s="585">
        <f t="shared" si="1269"/>
        <v>2.2648645885592784</v>
      </c>
      <c r="R949" s="585">
        <f t="shared" si="1269"/>
        <v>2.3781078179872424</v>
      </c>
      <c r="S949" s="585">
        <f t="shared" si="1269"/>
        <v>2.4970132088866044</v>
      </c>
      <c r="T949" s="585">
        <f t="shared" si="1269"/>
        <v>2.6218638693309351</v>
      </c>
      <c r="U949" s="585">
        <f t="shared" si="1269"/>
        <v>2.7529570627974813</v>
      </c>
      <c r="V949" s="585">
        <f t="shared" si="1269"/>
        <v>2.8906049159373555</v>
      </c>
      <c r="W949" s="585">
        <f t="shared" si="1269"/>
        <v>3.0351351617342233</v>
      </c>
      <c r="X949" s="585">
        <f t="shared" si="1269"/>
        <v>3.1868919198209351</v>
      </c>
      <c r="Y949" s="585">
        <f t="shared" si="1269"/>
        <v>3.3462365158119809</v>
      </c>
      <c r="Z949" s="585">
        <f t="shared" si="1269"/>
        <v>3.5135483416025814</v>
      </c>
      <c r="AA949" s="585">
        <f t="shared" si="1269"/>
        <v>3.6892257586827091</v>
      </c>
      <c r="AB949" s="585">
        <f t="shared" si="1269"/>
        <v>3.8736870466168458</v>
      </c>
      <c r="AC949" s="585">
        <f t="shared" si="1269"/>
        <v>4.0673713989476878</v>
      </c>
      <c r="AD949" s="585">
        <f t="shared" si="1269"/>
        <v>4.2707399688950733</v>
      </c>
      <c r="AE949" s="585">
        <f t="shared" si="1269"/>
        <v>4.4842769673398264</v>
      </c>
      <c r="AF949" s="585">
        <f t="shared" si="1269"/>
        <v>4.7084908157068179</v>
      </c>
      <c r="AG949" s="585">
        <f t="shared" si="1269"/>
        <v>4.9439153564921581</v>
      </c>
      <c r="AH949" s="585">
        <f t="shared" si="1269"/>
        <v>5.191111124316766</v>
      </c>
      <c r="AI949" s="585">
        <f t="shared" si="1269"/>
        <v>5.4506666805326036</v>
      </c>
      <c r="AJ949" s="585">
        <f t="shared" si="1269"/>
        <v>5.723200014559235</v>
      </c>
    </row>
    <row r="950" spans="1:36" hidden="1" x14ac:dyDescent="0.25">
      <c r="A950" t="s">
        <v>695</v>
      </c>
      <c r="E950" t="s">
        <v>182</v>
      </c>
      <c r="H950" s="575" t="s">
        <v>470</v>
      </c>
      <c r="I950" s="576" t="str">
        <f t="shared" si="1254"/>
        <v>VND/phôi</v>
      </c>
      <c r="K950" s="575"/>
      <c r="L950" s="585">
        <f t="shared" ref="L950:AJ950" si="1270">-IF($H$9="USD",L880/L843/$H$10*10^3,L880/L843/$H$10)</f>
        <v>85.432394475515693</v>
      </c>
      <c r="M950" s="585">
        <f t="shared" si="1270"/>
        <v>60.484461217262805</v>
      </c>
      <c r="N950" s="585">
        <f t="shared" si="1270"/>
        <v>41.931882515556154</v>
      </c>
      <c r="O950" s="585">
        <f t="shared" si="1270"/>
        <v>41.492062952106124</v>
      </c>
      <c r="P950" s="585">
        <f t="shared" si="1270"/>
        <v>41.017057823580089</v>
      </c>
      <c r="Q950" s="585">
        <f t="shared" si="1270"/>
        <v>40.50405228477198</v>
      </c>
      <c r="R950" s="585">
        <f t="shared" si="1270"/>
        <v>39.950006302859222</v>
      </c>
      <c r="S950" s="585">
        <f t="shared" si="1270"/>
        <v>39.35163664239343</v>
      </c>
      <c r="T950" s="585">
        <f t="shared" si="1270"/>
        <v>38.705397409090388</v>
      </c>
      <c r="U950" s="585">
        <f t="shared" si="1270"/>
        <v>38.007459037123098</v>
      </c>
      <c r="V950" s="585">
        <f t="shared" si="1270"/>
        <v>37.253685595398423</v>
      </c>
      <c r="W950" s="585">
        <f t="shared" si="1270"/>
        <v>36.439610278335778</v>
      </c>
      <c r="X950" s="585">
        <f t="shared" si="1270"/>
        <v>35.560408935908121</v>
      </c>
      <c r="Y950" s="585">
        <f t="shared" si="1270"/>
        <v>34.610871486086246</v>
      </c>
      <c r="Z950" s="585">
        <f t="shared" si="1270"/>
        <v>33.585371040278623</v>
      </c>
      <c r="AA950" s="585">
        <f t="shared" si="1270"/>
        <v>32.477830558806396</v>
      </c>
      <c r="AB950" s="585">
        <f t="shared" si="1270"/>
        <v>31.281686838816388</v>
      </c>
      <c r="AC950" s="585">
        <f t="shared" si="1270"/>
        <v>29.989851621227182</v>
      </c>
      <c r="AD950" s="585">
        <f t="shared" si="1270"/>
        <v>28.594669586230836</v>
      </c>
      <c r="AE950" s="585">
        <f t="shared" si="1270"/>
        <v>27.087872988434786</v>
      </c>
      <c r="AF950" s="585">
        <f t="shared" si="1270"/>
        <v>25.460532662815048</v>
      </c>
      <c r="AG950" s="585">
        <f t="shared" si="1270"/>
        <v>23.703005111145732</v>
      </c>
      <c r="AH950" s="585">
        <f t="shared" si="1270"/>
        <v>21.804875355342872</v>
      </c>
      <c r="AI950" s="585">
        <f t="shared" si="1270"/>
        <v>19.754895219075781</v>
      </c>
      <c r="AJ950" s="585">
        <f t="shared" si="1270"/>
        <v>17.540916671907326</v>
      </c>
    </row>
    <row r="951" spans="1:36" hidden="1" x14ac:dyDescent="0.25">
      <c r="A951" t="s">
        <v>695</v>
      </c>
      <c r="H951" s="289"/>
      <c r="I951" s="290"/>
      <c r="K951" s="289"/>
      <c r="L951" s="289"/>
      <c r="M951" s="289"/>
      <c r="N951" s="289"/>
      <c r="O951" s="289"/>
      <c r="P951" s="289"/>
      <c r="Q951" s="289"/>
      <c r="R951" s="289"/>
      <c r="S951" s="289"/>
      <c r="T951" s="289"/>
      <c r="U951" s="289"/>
      <c r="V951" s="289"/>
      <c r="W951" s="289"/>
      <c r="X951" s="289"/>
      <c r="Y951" s="289"/>
      <c r="Z951" s="289"/>
      <c r="AA951" s="289"/>
      <c r="AB951" s="289"/>
      <c r="AC951" s="289"/>
      <c r="AD951" s="289"/>
      <c r="AE951" s="289"/>
      <c r="AF951" s="289"/>
      <c r="AG951" s="289"/>
      <c r="AH951" s="289"/>
      <c r="AI951" s="289"/>
      <c r="AJ951" s="289"/>
    </row>
    <row r="952" spans="1:36" s="16" customFormat="1" hidden="1" x14ac:dyDescent="0.25">
      <c r="A952" s="16" t="s">
        <v>695</v>
      </c>
      <c r="H952" s="291" t="s">
        <v>487</v>
      </c>
      <c r="I952" s="292" t="str">
        <f t="shared" si="1254"/>
        <v>VND/phôi</v>
      </c>
      <c r="K952" s="298">
        <f>K945+SUM(K947:K950)</f>
        <v>0</v>
      </c>
      <c r="L952" s="298">
        <f t="shared" ref="L952:AJ952" si="1271">L945+SUM(L947:L950)</f>
        <v>784.97790177721447</v>
      </c>
      <c r="M952" s="298">
        <f t="shared" si="1271"/>
        <v>691.93643542099426</v>
      </c>
      <c r="N952" s="298">
        <f t="shared" si="1271"/>
        <v>635.87062865505141</v>
      </c>
      <c r="O952" s="298">
        <f t="shared" si="1271"/>
        <v>649.42402855170599</v>
      </c>
      <c r="P952" s="298">
        <f t="shared" si="1271"/>
        <v>663.39552450145095</v>
      </c>
      <c r="Q952" s="298">
        <f t="shared" si="1271"/>
        <v>677.80003815289194</v>
      </c>
      <c r="R952" s="298">
        <f t="shared" si="1271"/>
        <v>692.65305423996665</v>
      </c>
      <c r="S952" s="298">
        <f t="shared" si="1271"/>
        <v>707.97064000954799</v>
      </c>
      <c r="T952" s="298">
        <f t="shared" si="1271"/>
        <v>723.76946504055672</v>
      </c>
      <c r="U952" s="298">
        <f t="shared" si="1271"/>
        <v>740.06682143013484</v>
      </c>
      <c r="V952" s="298">
        <f t="shared" si="1271"/>
        <v>756.88064431773114</v>
      </c>
      <c r="W952" s="298">
        <f t="shared" si="1271"/>
        <v>774.2295327127473</v>
      </c>
      <c r="X952" s="298">
        <f t="shared" si="1271"/>
        <v>726.02437009861421</v>
      </c>
      <c r="Y952" s="298">
        <f t="shared" si="1271"/>
        <v>744.50194768882864</v>
      </c>
      <c r="Z952" s="298">
        <f t="shared" si="1271"/>
        <v>763.57458297630853</v>
      </c>
      <c r="AA952" s="298">
        <f t="shared" si="1271"/>
        <v>783.26374325486302</v>
      </c>
      <c r="AB952" s="298">
        <f t="shared" si="1271"/>
        <v>803.59166673777713</v>
      </c>
      <c r="AC952" s="298">
        <f t="shared" si="1271"/>
        <v>824.58138411621144</v>
      </c>
      <c r="AD952" s="298">
        <f t="shared" si="1271"/>
        <v>846.25673998067236</v>
      </c>
      <c r="AE952" s="298">
        <f t="shared" si="1271"/>
        <v>868.64241400441267</v>
      </c>
      <c r="AF952" s="298">
        <f t="shared" si="1271"/>
        <v>891.76394177505392</v>
      </c>
      <c r="AG952" s="298">
        <f t="shared" si="1271"/>
        <v>915.64773514697958</v>
      </c>
      <c r="AH952" s="298">
        <f t="shared" si="1271"/>
        <v>940.32110197192287</v>
      </c>
      <c r="AI952" s="298">
        <f t="shared" si="1271"/>
        <v>965.81226504863014</v>
      </c>
      <c r="AJ952" s="298">
        <f t="shared" si="1271"/>
        <v>992.1503801143391</v>
      </c>
    </row>
    <row r="953" spans="1:36" hidden="1" x14ac:dyDescent="0.25">
      <c r="A953" t="s">
        <v>695</v>
      </c>
    </row>
    <row r="954" spans="1:36" hidden="1" x14ac:dyDescent="0.25">
      <c r="A954" t="s">
        <v>695</v>
      </c>
      <c r="H954" s="594" t="s">
        <v>361</v>
      </c>
      <c r="I954" s="595" t="str">
        <f t="shared" si="1254"/>
        <v>VND/phôi</v>
      </c>
      <c r="K954" s="594"/>
      <c r="L954" s="600">
        <f>INDEX('Cover Page'!$H$12:$W$12,MATCH($A954,'Cover Page'!$H$5:$W$5,0))</f>
        <v>6.6666666666666666E-2</v>
      </c>
      <c r="M954" s="600">
        <f>INDEX('Cover Page'!$H$12:$W$12,MATCH($A954,'Cover Page'!$H$5:$W$5,0))</f>
        <v>6.6666666666666666E-2</v>
      </c>
      <c r="N954" s="600">
        <f>INDEX('Cover Page'!$H$12:$W$12,MATCH($A954,'Cover Page'!$H$5:$W$5,0))</f>
        <v>6.6666666666666666E-2</v>
      </c>
      <c r="O954" s="600">
        <f>INDEX('Cover Page'!$H$12:$W$12,MATCH($A954,'Cover Page'!$H$5:$W$5,0))</f>
        <v>6.6666666666666666E-2</v>
      </c>
      <c r="P954" s="600">
        <f>INDEX('Cover Page'!$H$12:$W$12,MATCH($A954,'Cover Page'!$H$5:$W$5,0))</f>
        <v>6.6666666666666666E-2</v>
      </c>
      <c r="Q954" s="600">
        <f>INDEX('Cover Page'!$H$12:$W$12,MATCH($A954,'Cover Page'!$H$5:$W$5,0))</f>
        <v>6.6666666666666666E-2</v>
      </c>
      <c r="R954" s="600">
        <f>INDEX('Cover Page'!$H$12:$W$12,MATCH($A954,'Cover Page'!$H$5:$W$5,0))</f>
        <v>6.6666666666666666E-2</v>
      </c>
      <c r="S954" s="600">
        <f>INDEX('Cover Page'!$H$12:$W$12,MATCH($A954,'Cover Page'!$H$5:$W$5,0))</f>
        <v>6.6666666666666666E-2</v>
      </c>
      <c r="T954" s="600">
        <f>INDEX('Cover Page'!$H$12:$W$12,MATCH($A954,'Cover Page'!$H$5:$W$5,0))</f>
        <v>6.6666666666666666E-2</v>
      </c>
      <c r="U954" s="600">
        <f>INDEX('Cover Page'!$H$12:$W$12,MATCH($A954,'Cover Page'!$H$5:$W$5,0))</f>
        <v>6.6666666666666666E-2</v>
      </c>
      <c r="V954" s="600">
        <f>INDEX('Cover Page'!$H$12:$W$12,MATCH($A954,'Cover Page'!$H$5:$W$5,0))</f>
        <v>6.6666666666666666E-2</v>
      </c>
      <c r="W954" s="600">
        <f>INDEX('Cover Page'!$H$12:$W$12,MATCH($A954,'Cover Page'!$H$5:$W$5,0))</f>
        <v>6.6666666666666666E-2</v>
      </c>
      <c r="X954" s="600">
        <f>INDEX('Cover Page'!$H$12:$W$12,MATCH($A954,'Cover Page'!$H$5:$W$5,0))</f>
        <v>6.6666666666666666E-2</v>
      </c>
      <c r="Y954" s="600">
        <f>INDEX('Cover Page'!$H$12:$W$12,MATCH($A954,'Cover Page'!$H$5:$W$5,0))</f>
        <v>6.6666666666666666E-2</v>
      </c>
      <c r="Z954" s="600">
        <f>INDEX('Cover Page'!$H$12:$W$12,MATCH($A954,'Cover Page'!$H$5:$W$5,0))</f>
        <v>6.6666666666666666E-2</v>
      </c>
      <c r="AA954" s="600">
        <f>INDEX('Cover Page'!$H$12:$W$12,MATCH($A954,'Cover Page'!$H$5:$W$5,0))</f>
        <v>6.6666666666666666E-2</v>
      </c>
      <c r="AB954" s="600">
        <f>INDEX('Cover Page'!$H$12:$W$12,MATCH($A954,'Cover Page'!$H$5:$W$5,0))</f>
        <v>6.6666666666666666E-2</v>
      </c>
      <c r="AC954" s="600">
        <f>INDEX('Cover Page'!$H$12:$W$12,MATCH($A954,'Cover Page'!$H$5:$W$5,0))</f>
        <v>6.6666666666666666E-2</v>
      </c>
      <c r="AD954" s="600">
        <f>INDEX('Cover Page'!$H$12:$W$12,MATCH($A954,'Cover Page'!$H$5:$W$5,0))</f>
        <v>6.6666666666666666E-2</v>
      </c>
      <c r="AE954" s="600">
        <f>INDEX('Cover Page'!$H$12:$W$12,MATCH($A954,'Cover Page'!$H$5:$W$5,0))</f>
        <v>6.6666666666666666E-2</v>
      </c>
      <c r="AF954" s="600">
        <f>INDEX('Cover Page'!$H$12:$W$12,MATCH($A954,'Cover Page'!$H$5:$W$5,0))</f>
        <v>6.6666666666666666E-2</v>
      </c>
      <c r="AG954" s="600">
        <f>INDEX('Cover Page'!$H$12:$W$12,MATCH($A954,'Cover Page'!$H$5:$W$5,0))</f>
        <v>6.6666666666666666E-2</v>
      </c>
      <c r="AH954" s="600">
        <f>INDEX('Cover Page'!$H$12:$W$12,MATCH($A954,'Cover Page'!$H$5:$W$5,0))</f>
        <v>6.6666666666666666E-2</v>
      </c>
      <c r="AI954" s="600">
        <f>INDEX('Cover Page'!$H$12:$W$12,MATCH($A954,'Cover Page'!$H$5:$W$5,0))</f>
        <v>6.6666666666666666E-2</v>
      </c>
      <c r="AJ954" s="600">
        <f>INDEX('Cover Page'!$H$12:$W$12,MATCH($A954,'Cover Page'!$H$5:$W$5,0))</f>
        <v>6.6666666666666666E-2</v>
      </c>
    </row>
    <row r="955" spans="1:36" s="1" customFormat="1" hidden="1" x14ac:dyDescent="0.25">
      <c r="A955" s="1" t="s">
        <v>695</v>
      </c>
      <c r="H955" s="596" t="s">
        <v>490</v>
      </c>
      <c r="I955" s="597" t="str">
        <f t="shared" si="1254"/>
        <v>VND/phôi</v>
      </c>
      <c r="K955" s="596"/>
      <c r="L955" s="601">
        <f>L952*(1+L954)</f>
        <v>837.30976189569537</v>
      </c>
      <c r="M955" s="601">
        <f t="shared" ref="M955:AI955" si="1272">M952*(1+M954)</f>
        <v>738.06553111572725</v>
      </c>
      <c r="N955" s="601">
        <f t="shared" si="1272"/>
        <v>678.26200389872145</v>
      </c>
      <c r="O955" s="601">
        <f t="shared" si="1272"/>
        <v>692.71896378848635</v>
      </c>
      <c r="P955" s="601">
        <f t="shared" si="1272"/>
        <v>707.62189280154769</v>
      </c>
      <c r="Q955" s="601">
        <f t="shared" si="1272"/>
        <v>722.98670736308475</v>
      </c>
      <c r="R955" s="601">
        <f t="shared" si="1272"/>
        <v>738.82992452263113</v>
      </c>
      <c r="S955" s="601">
        <f t="shared" si="1272"/>
        <v>755.16868267685118</v>
      </c>
      <c r="T955" s="601">
        <f t="shared" si="1272"/>
        <v>772.02076270992711</v>
      </c>
      <c r="U955" s="601">
        <f t="shared" si="1272"/>
        <v>789.4046095254771</v>
      </c>
      <c r="V955" s="601">
        <f t="shared" si="1272"/>
        <v>807.33935393891318</v>
      </c>
      <c r="W955" s="601">
        <f t="shared" si="1272"/>
        <v>825.84483489359707</v>
      </c>
      <c r="X955" s="601">
        <f t="shared" si="1272"/>
        <v>774.42599477185513</v>
      </c>
      <c r="Y955" s="601">
        <f t="shared" si="1272"/>
        <v>794.13541086808391</v>
      </c>
      <c r="Z955" s="601">
        <f t="shared" si="1272"/>
        <v>814.47955517472906</v>
      </c>
      <c r="AA955" s="601">
        <f t="shared" si="1272"/>
        <v>835.48132613852056</v>
      </c>
      <c r="AB955" s="601">
        <f t="shared" si="1272"/>
        <v>857.16444452029555</v>
      </c>
      <c r="AC955" s="601">
        <f t="shared" si="1272"/>
        <v>879.55347639062552</v>
      </c>
      <c r="AD955" s="601">
        <f t="shared" si="1272"/>
        <v>902.6738559793838</v>
      </c>
      <c r="AE955" s="601">
        <f t="shared" si="1272"/>
        <v>926.55190827137346</v>
      </c>
      <c r="AF955" s="601">
        <f t="shared" si="1272"/>
        <v>951.2148712267242</v>
      </c>
      <c r="AG955" s="601">
        <f t="shared" si="1272"/>
        <v>976.69091749011159</v>
      </c>
      <c r="AH955" s="601">
        <f t="shared" si="1272"/>
        <v>1003.0091754367177</v>
      </c>
      <c r="AI955" s="601">
        <f t="shared" si="1272"/>
        <v>1030.1997493852055</v>
      </c>
      <c r="AJ955" s="601">
        <f>AJ952*(1+AJ954)</f>
        <v>1058.2937387886284</v>
      </c>
    </row>
    <row r="956" spans="1:36" hidden="1" x14ac:dyDescent="0.25">
      <c r="A956" t="s">
        <v>695</v>
      </c>
      <c r="H956" s="575" t="s">
        <v>292</v>
      </c>
      <c r="I956" s="576" t="str">
        <f t="shared" si="1254"/>
        <v>VND/phôi</v>
      </c>
      <c r="K956" s="575"/>
      <c r="L956" s="602">
        <f t="shared" ref="L956:AJ956" si="1273">Tax_rate</f>
        <v>0.2</v>
      </c>
      <c r="M956" s="602">
        <f t="shared" si="1273"/>
        <v>0.2</v>
      </c>
      <c r="N956" s="602">
        <f t="shared" si="1273"/>
        <v>0.2</v>
      </c>
      <c r="O956" s="602">
        <f t="shared" si="1273"/>
        <v>0.2</v>
      </c>
      <c r="P956" s="602">
        <f t="shared" si="1273"/>
        <v>0.2</v>
      </c>
      <c r="Q956" s="602">
        <f t="shared" si="1273"/>
        <v>0.2</v>
      </c>
      <c r="R956" s="602">
        <f t="shared" si="1273"/>
        <v>0.2</v>
      </c>
      <c r="S956" s="602">
        <f t="shared" si="1273"/>
        <v>0.2</v>
      </c>
      <c r="T956" s="602">
        <f t="shared" si="1273"/>
        <v>0.2</v>
      </c>
      <c r="U956" s="602">
        <f t="shared" si="1273"/>
        <v>0.2</v>
      </c>
      <c r="V956" s="602">
        <f t="shared" si="1273"/>
        <v>0.2</v>
      </c>
      <c r="W956" s="602">
        <f t="shared" si="1273"/>
        <v>0.2</v>
      </c>
      <c r="X956" s="602">
        <f t="shared" si="1273"/>
        <v>0.2</v>
      </c>
      <c r="Y956" s="602">
        <f t="shared" si="1273"/>
        <v>0.2</v>
      </c>
      <c r="Z956" s="602">
        <f t="shared" si="1273"/>
        <v>0.2</v>
      </c>
      <c r="AA956" s="602">
        <f t="shared" si="1273"/>
        <v>0.2</v>
      </c>
      <c r="AB956" s="602">
        <f t="shared" si="1273"/>
        <v>0.2</v>
      </c>
      <c r="AC956" s="602">
        <f t="shared" si="1273"/>
        <v>0.2</v>
      </c>
      <c r="AD956" s="602">
        <f t="shared" si="1273"/>
        <v>0.2</v>
      </c>
      <c r="AE956" s="602">
        <f t="shared" si="1273"/>
        <v>0.2</v>
      </c>
      <c r="AF956" s="602">
        <f t="shared" si="1273"/>
        <v>0.2</v>
      </c>
      <c r="AG956" s="602">
        <f t="shared" si="1273"/>
        <v>0.2</v>
      </c>
      <c r="AH956" s="602">
        <f t="shared" si="1273"/>
        <v>0.2</v>
      </c>
      <c r="AI956" s="602">
        <f t="shared" si="1273"/>
        <v>0.2</v>
      </c>
      <c r="AJ956" s="602">
        <f t="shared" si="1273"/>
        <v>0.2</v>
      </c>
    </row>
    <row r="957" spans="1:36" s="1" customFormat="1" hidden="1" x14ac:dyDescent="0.25">
      <c r="A957" s="1" t="s">
        <v>695</v>
      </c>
      <c r="H957" s="596" t="s">
        <v>491</v>
      </c>
      <c r="I957" s="597" t="str">
        <f t="shared" si="1254"/>
        <v>VND/phôi</v>
      </c>
      <c r="K957" s="596"/>
      <c r="L957" s="601">
        <f>(L955-L952)*(1-L956)</f>
        <v>41.865488094784723</v>
      </c>
      <c r="M957" s="601">
        <f t="shared" ref="M957:AJ957" si="1274">(M955-M952)*(1-M956)</f>
        <v>36.903276555786398</v>
      </c>
      <c r="N957" s="601">
        <f t="shared" si="1274"/>
        <v>33.913100194936035</v>
      </c>
      <c r="O957" s="601">
        <f t="shared" si="1274"/>
        <v>34.63594818942429</v>
      </c>
      <c r="P957" s="601">
        <f t="shared" si="1274"/>
        <v>35.381094640077393</v>
      </c>
      <c r="Q957" s="601">
        <f t="shared" si="1274"/>
        <v>36.149335368154247</v>
      </c>
      <c r="R957" s="601">
        <f t="shared" si="1274"/>
        <v>36.941496226131584</v>
      </c>
      <c r="S957" s="601">
        <f t="shared" si="1274"/>
        <v>37.758434133842549</v>
      </c>
      <c r="T957" s="601">
        <f t="shared" si="1274"/>
        <v>38.60103813549631</v>
      </c>
      <c r="U957" s="601">
        <f t="shared" si="1274"/>
        <v>39.470230476273812</v>
      </c>
      <c r="V957" s="601">
        <f t="shared" si="1274"/>
        <v>40.366967696945636</v>
      </c>
      <c r="W957" s="601">
        <f t="shared" si="1274"/>
        <v>41.292241744679814</v>
      </c>
      <c r="X957" s="601">
        <f t="shared" si="1274"/>
        <v>38.721299738592734</v>
      </c>
      <c r="Y957" s="601">
        <f t="shared" si="1274"/>
        <v>39.706770543404218</v>
      </c>
      <c r="Z957" s="601">
        <f t="shared" si="1274"/>
        <v>40.723977758736424</v>
      </c>
      <c r="AA957" s="601">
        <f t="shared" si="1274"/>
        <v>41.774066306926038</v>
      </c>
      <c r="AB957" s="601">
        <f t="shared" si="1274"/>
        <v>42.858222226014732</v>
      </c>
      <c r="AC957" s="601">
        <f t="shared" si="1274"/>
        <v>43.977673819531269</v>
      </c>
      <c r="AD957" s="601">
        <f t="shared" si="1274"/>
        <v>45.13369279896915</v>
      </c>
      <c r="AE957" s="601">
        <f t="shared" si="1274"/>
        <v>46.327595413568638</v>
      </c>
      <c r="AF957" s="601">
        <f t="shared" si="1274"/>
        <v>47.560743561336224</v>
      </c>
      <c r="AG957" s="601">
        <f t="shared" si="1274"/>
        <v>48.834545874505608</v>
      </c>
      <c r="AH957" s="601">
        <f t="shared" si="1274"/>
        <v>50.150458771835844</v>
      </c>
      <c r="AI957" s="601">
        <f t="shared" si="1274"/>
        <v>51.509987469260253</v>
      </c>
      <c r="AJ957" s="601">
        <f t="shared" si="1274"/>
        <v>52.914686939431434</v>
      </c>
    </row>
    <row r="958" spans="1:36" s="146" customFormat="1" hidden="1" x14ac:dyDescent="0.25">
      <c r="A958" s="146" t="s">
        <v>695</v>
      </c>
      <c r="H958" s="598" t="s">
        <v>492</v>
      </c>
      <c r="I958" s="599"/>
      <c r="K958" s="598"/>
      <c r="L958" s="603">
        <f>IFERROR(L957/L955,0)</f>
        <v>4.9999999999999947E-2</v>
      </c>
      <c r="M958" s="603">
        <f>IFERROR(M957/M955,0)</f>
        <v>5.0000000000000051E-2</v>
      </c>
      <c r="N958" s="603">
        <f t="shared" ref="N958:AJ958" si="1275">IFERROR(N957/N955,0)</f>
        <v>4.9999999999999947E-2</v>
      </c>
      <c r="O958" s="603">
        <f t="shared" si="1275"/>
        <v>4.9999999999999961E-2</v>
      </c>
      <c r="P958" s="603">
        <f t="shared" si="1275"/>
        <v>5.000000000000001E-2</v>
      </c>
      <c r="Q958" s="603">
        <f t="shared" si="1275"/>
        <v>5.0000000000000017E-2</v>
      </c>
      <c r="R958" s="603">
        <f t="shared" si="1275"/>
        <v>5.0000000000000037E-2</v>
      </c>
      <c r="S958" s="603">
        <f t="shared" si="1275"/>
        <v>4.9999999999999989E-2</v>
      </c>
      <c r="T958" s="603">
        <f t="shared" si="1275"/>
        <v>4.999999999999994E-2</v>
      </c>
      <c r="U958" s="603">
        <f t="shared" si="1275"/>
        <v>4.9999999999999947E-2</v>
      </c>
      <c r="V958" s="603">
        <f t="shared" si="1275"/>
        <v>4.9999999999999975E-2</v>
      </c>
      <c r="W958" s="603">
        <f t="shared" si="1275"/>
        <v>4.9999999999999954E-2</v>
      </c>
      <c r="X958" s="603">
        <f t="shared" si="1275"/>
        <v>4.9999999999999968E-2</v>
      </c>
      <c r="Y958" s="603">
        <f t="shared" si="1275"/>
        <v>5.0000000000000031E-2</v>
      </c>
      <c r="Z958" s="603">
        <f t="shared" si="1275"/>
        <v>4.9999999999999968E-2</v>
      </c>
      <c r="AA958" s="603">
        <f t="shared" si="1275"/>
        <v>5.000000000000001E-2</v>
      </c>
      <c r="AB958" s="603">
        <f t="shared" si="1275"/>
        <v>4.9999999999999947E-2</v>
      </c>
      <c r="AC958" s="603">
        <f t="shared" si="1275"/>
        <v>4.9999999999999989E-2</v>
      </c>
      <c r="AD958" s="603">
        <f t="shared" si="1275"/>
        <v>4.9999999999999954E-2</v>
      </c>
      <c r="AE958" s="603">
        <f t="shared" si="1275"/>
        <v>4.9999999999999961E-2</v>
      </c>
      <c r="AF958" s="603">
        <f t="shared" si="1275"/>
        <v>5.0000000000000017E-2</v>
      </c>
      <c r="AG958" s="603">
        <f t="shared" si="1275"/>
        <v>5.0000000000000031E-2</v>
      </c>
      <c r="AH958" s="603">
        <f t="shared" si="1275"/>
        <v>4.9999999999999961E-2</v>
      </c>
      <c r="AI958" s="603">
        <f t="shared" si="1275"/>
        <v>4.9999999999999982E-2</v>
      </c>
      <c r="AJ958" s="603">
        <f t="shared" si="1275"/>
        <v>5.0000000000000017E-2</v>
      </c>
    </row>
    <row r="959" spans="1:36" hidden="1" x14ac:dyDescent="0.25">
      <c r="A959" t="s">
        <v>695</v>
      </c>
      <c r="L959" s="64"/>
    </row>
    <row r="960" spans="1:36" hidden="1" x14ac:dyDescent="0.25">
      <c r="A960" t="s">
        <v>695</v>
      </c>
      <c r="H960" s="1" t="s">
        <v>493</v>
      </c>
    </row>
    <row r="961" spans="1:36" hidden="1" x14ac:dyDescent="0.25">
      <c r="A961" t="s">
        <v>695</v>
      </c>
      <c r="H961" t="s">
        <v>493</v>
      </c>
      <c r="I961" s="65" t="s">
        <v>475</v>
      </c>
      <c r="K961" s="15"/>
      <c r="L961" s="15">
        <f t="shared" ref="L961:AJ961" si="1276">L962*PHOI_KG*10^3/10^6</f>
        <v>45.333333333333336</v>
      </c>
      <c r="M961" s="15">
        <f t="shared" si="1276"/>
        <v>46.240000000000009</v>
      </c>
      <c r="N961" s="15">
        <f t="shared" si="1276"/>
        <v>47.1648</v>
      </c>
      <c r="O961" s="15">
        <f t="shared" si="1276"/>
        <v>48.10809600000001</v>
      </c>
      <c r="P961" s="15">
        <f t="shared" si="1276"/>
        <v>49.070257920000003</v>
      </c>
      <c r="Q961" s="15">
        <f t="shared" si="1276"/>
        <v>50.051663078400004</v>
      </c>
      <c r="R961" s="15">
        <f t="shared" si="1276"/>
        <v>51.052696339968008</v>
      </c>
      <c r="S961" s="15">
        <f t="shared" si="1276"/>
        <v>52.073750266767355</v>
      </c>
      <c r="T961" s="15">
        <f t="shared" si="1276"/>
        <v>53.115225272102705</v>
      </c>
      <c r="U961" s="15">
        <f t="shared" si="1276"/>
        <v>54.177529777544763</v>
      </c>
      <c r="V961" s="15">
        <f t="shared" si="1276"/>
        <v>55.261080373095652</v>
      </c>
      <c r="W961" s="15">
        <f t="shared" si="1276"/>
        <v>56.366301980557566</v>
      </c>
      <c r="X961" s="15">
        <f t="shared" si="1276"/>
        <v>57.493628020168721</v>
      </c>
      <c r="Y961" s="15">
        <f t="shared" si="1276"/>
        <v>58.643500580572088</v>
      </c>
      <c r="Z961" s="15">
        <f t="shared" si="1276"/>
        <v>59.816370592183539</v>
      </c>
      <c r="AA961" s="15">
        <f t="shared" si="1276"/>
        <v>61.012698004027193</v>
      </c>
      <c r="AB961" s="15">
        <f t="shared" si="1276"/>
        <v>62.232951964107755</v>
      </c>
      <c r="AC961" s="15">
        <f t="shared" si="1276"/>
        <v>63.47761100338991</v>
      </c>
      <c r="AD961" s="15">
        <f t="shared" si="1276"/>
        <v>64.74716322345769</v>
      </c>
      <c r="AE961" s="15">
        <f t="shared" si="1276"/>
        <v>66.042106487926858</v>
      </c>
      <c r="AF961" s="15">
        <f t="shared" si="1276"/>
        <v>67.36294861768539</v>
      </c>
      <c r="AG961" s="15">
        <f t="shared" si="1276"/>
        <v>68.71020759003909</v>
      </c>
      <c r="AH961" s="15">
        <f t="shared" si="1276"/>
        <v>70.084411741839887</v>
      </c>
      <c r="AI961" s="15">
        <f t="shared" si="1276"/>
        <v>71.486099976676655</v>
      </c>
      <c r="AJ961" s="15">
        <f t="shared" si="1276"/>
        <v>72.915821976210211</v>
      </c>
    </row>
    <row r="962" spans="1:36" hidden="1" x14ac:dyDescent="0.25">
      <c r="A962" t="s">
        <v>695</v>
      </c>
      <c r="F962" t="s">
        <v>570</v>
      </c>
      <c r="H962" t="s">
        <v>493</v>
      </c>
      <c r="I962" s="65" t="s">
        <v>368</v>
      </c>
      <c r="K962" s="27"/>
      <c r="L962" s="27">
        <f>INDEX('Cover Page'!$H$14:$W$14,MATCH($A962,'Cover Page'!$H$5:$W$5,0))</f>
        <v>680</v>
      </c>
      <c r="M962" s="27">
        <f>$L962*POWER(1+INDEX('Cover Page'!$H$17:$W$17,MATCH($A962,'Cover Page'!$H$5:$W$5,0)),M$12+1)</f>
        <v>693.6</v>
      </c>
      <c r="N962" s="27">
        <f>$L962*POWER(1+INDEX('Cover Page'!$H$17:$W$17,MATCH($A962,'Cover Page'!$H$5:$W$5,0)),N$12+1)</f>
        <v>707.47199999999998</v>
      </c>
      <c r="O962" s="27">
        <f>$L962*POWER(1+INDEX('Cover Page'!$H$17:$W$17,MATCH($A962,'Cover Page'!$H$5:$W$5,0)),O$12+1)</f>
        <v>721.62144000000001</v>
      </c>
      <c r="P962" s="27">
        <f>$L962*POWER(1+INDEX('Cover Page'!$H$17:$W$17,MATCH($A962,'Cover Page'!$H$5:$W$5,0)),P$12+1)</f>
        <v>736.05386880000003</v>
      </c>
      <c r="Q962" s="27">
        <f>$L962*POWER(1+INDEX('Cover Page'!$H$17:$W$17,MATCH($A962,'Cover Page'!$H$5:$W$5,0)),Q$12+1)</f>
        <v>750.77494617599996</v>
      </c>
      <c r="R962" s="27">
        <f>$L962*POWER(1+INDEX('Cover Page'!$H$17:$W$17,MATCH($A962,'Cover Page'!$H$5:$W$5,0)),R$12+1)</f>
        <v>765.79044509952007</v>
      </c>
      <c r="S962" s="27">
        <f>$L962*POWER(1+INDEX('Cover Page'!$H$17:$W$17,MATCH($A962,'Cover Page'!$H$5:$W$5,0)),S$12+1)</f>
        <v>781.10625400151025</v>
      </c>
      <c r="T962" s="27">
        <f>$L962*POWER(1+INDEX('Cover Page'!$H$17:$W$17,MATCH($A962,'Cover Page'!$H$5:$W$5,0)),T$12+1)</f>
        <v>796.72837908154054</v>
      </c>
      <c r="U962" s="27">
        <f>$L962*POWER(1+INDEX('Cover Page'!$H$17:$W$17,MATCH($A962,'Cover Page'!$H$5:$W$5,0)),U$12+1)</f>
        <v>812.6629466631714</v>
      </c>
      <c r="V962" s="27">
        <f>$L962*POWER(1+INDEX('Cover Page'!$H$17:$W$17,MATCH($A962,'Cover Page'!$H$5:$W$5,0)),V$12+1)</f>
        <v>828.91620559643479</v>
      </c>
      <c r="W962" s="27">
        <f>$L962*POWER(1+INDEX('Cover Page'!$H$17:$W$17,MATCH($A962,'Cover Page'!$H$5:$W$5,0)),W$12+1)</f>
        <v>845.49452970836342</v>
      </c>
      <c r="X962" s="27">
        <f>$L962*POWER(1+INDEX('Cover Page'!$H$17:$W$17,MATCH($A962,'Cover Page'!$H$5:$W$5,0)),X$12+1)</f>
        <v>862.40442030253075</v>
      </c>
      <c r="Y962" s="27">
        <f>$L962*POWER(1+INDEX('Cover Page'!$H$17:$W$17,MATCH($A962,'Cover Page'!$H$5:$W$5,0)),Y$12+1)</f>
        <v>879.65250870858131</v>
      </c>
      <c r="Z962" s="27">
        <f>$L962*POWER(1+INDEX('Cover Page'!$H$17:$W$17,MATCH($A962,'Cover Page'!$H$5:$W$5,0)),Z$12+1)</f>
        <v>897.24555888275302</v>
      </c>
      <c r="AA962" s="27">
        <f>$L962*POWER(1+INDEX('Cover Page'!$H$17:$W$17,MATCH($A962,'Cover Page'!$H$5:$W$5,0)),AA$12+1)</f>
        <v>915.19047006040785</v>
      </c>
      <c r="AB962" s="27">
        <f>$L962*POWER(1+INDEX('Cover Page'!$H$17:$W$17,MATCH($A962,'Cover Page'!$H$5:$W$5,0)),AB$12+1)</f>
        <v>933.4942794616162</v>
      </c>
      <c r="AC962" s="27">
        <f>$L962*POWER(1+INDEX('Cover Page'!$H$17:$W$17,MATCH($A962,'Cover Page'!$H$5:$W$5,0)),AC$12+1)</f>
        <v>952.16416505084862</v>
      </c>
      <c r="AD962" s="27">
        <f>$L962*POWER(1+INDEX('Cover Page'!$H$17:$W$17,MATCH($A962,'Cover Page'!$H$5:$W$5,0)),AD$12+1)</f>
        <v>971.20744835186542</v>
      </c>
      <c r="AE962" s="27">
        <f>$L962*POWER(1+INDEX('Cover Page'!$H$17:$W$17,MATCH($A962,'Cover Page'!$H$5:$W$5,0)),AE$12+1)</f>
        <v>990.63159731890278</v>
      </c>
      <c r="AF962" s="27">
        <f>$L962*POWER(1+INDEX('Cover Page'!$H$17:$W$17,MATCH($A962,'Cover Page'!$H$5:$W$5,0)),AF$12+1)</f>
        <v>1010.4442292652809</v>
      </c>
      <c r="AG962" s="27">
        <f>$L962*POWER(1+INDEX('Cover Page'!$H$17:$W$17,MATCH($A962,'Cover Page'!$H$5:$W$5,0)),AG$12+1)</f>
        <v>1030.6531138505864</v>
      </c>
      <c r="AH962" s="27">
        <f>$L962*POWER(1+INDEX('Cover Page'!$H$17:$W$17,MATCH($A962,'Cover Page'!$H$5:$W$5,0)),AH$12+1)</f>
        <v>1051.2661761275981</v>
      </c>
      <c r="AI962" s="27">
        <f>$L962*POWER(1+INDEX('Cover Page'!$H$17:$W$17,MATCH($A962,'Cover Page'!$H$5:$W$5,0)),AI$12+1)</f>
        <v>1072.2914996501499</v>
      </c>
      <c r="AJ962" s="27">
        <f>$L962*POWER(1+INDEX('Cover Page'!$H$17:$W$17,MATCH($A962,'Cover Page'!$H$5:$W$5,0)),AJ$12+1)</f>
        <v>1093.7373296431531</v>
      </c>
    </row>
    <row r="963" spans="1:36" hidden="1" x14ac:dyDescent="0.25">
      <c r="A963" t="s">
        <v>695</v>
      </c>
      <c r="H963" t="s">
        <v>493</v>
      </c>
      <c r="I963" s="65" t="s">
        <v>369</v>
      </c>
      <c r="K963" s="15"/>
      <c r="L963" s="15">
        <f t="shared" ref="L963:AJ963" si="1277">L961/EXR*10^6</f>
        <v>1743.5897435897436</v>
      </c>
      <c r="M963" s="15">
        <f t="shared" si="1277"/>
        <v>1778.4615384615388</v>
      </c>
      <c r="N963" s="15">
        <f t="shared" si="1277"/>
        <v>1814.0307692307692</v>
      </c>
      <c r="O963" s="15">
        <f t="shared" si="1277"/>
        <v>1850.3113846153849</v>
      </c>
      <c r="P963" s="15">
        <f t="shared" si="1277"/>
        <v>1887.3176123076926</v>
      </c>
      <c r="Q963" s="15">
        <f t="shared" si="1277"/>
        <v>1925.0639645538463</v>
      </c>
      <c r="R963" s="15">
        <f t="shared" si="1277"/>
        <v>1963.5652438449235</v>
      </c>
      <c r="S963" s="15">
        <f t="shared" si="1277"/>
        <v>2002.8365487218214</v>
      </c>
      <c r="T963" s="15">
        <f t="shared" si="1277"/>
        <v>2042.8932796962579</v>
      </c>
      <c r="U963" s="15">
        <f t="shared" si="1277"/>
        <v>2083.7511452901831</v>
      </c>
      <c r="V963" s="15">
        <f t="shared" si="1277"/>
        <v>2125.426168195987</v>
      </c>
      <c r="W963" s="15">
        <f t="shared" si="1277"/>
        <v>2167.9346915599062</v>
      </c>
      <c r="X963" s="15">
        <f t="shared" si="1277"/>
        <v>2211.2933853911045</v>
      </c>
      <c r="Y963" s="15">
        <f t="shared" si="1277"/>
        <v>2255.5192530989266</v>
      </c>
      <c r="Z963" s="15">
        <f t="shared" si="1277"/>
        <v>2300.6296381609054</v>
      </c>
      <c r="AA963" s="15">
        <f t="shared" si="1277"/>
        <v>2346.6422309241225</v>
      </c>
      <c r="AB963" s="15">
        <f t="shared" si="1277"/>
        <v>2393.5750755426056</v>
      </c>
      <c r="AC963" s="15">
        <f t="shared" si="1277"/>
        <v>2441.4465770534584</v>
      </c>
      <c r="AD963" s="15">
        <f t="shared" si="1277"/>
        <v>2490.2755085945264</v>
      </c>
      <c r="AE963" s="15">
        <f t="shared" si="1277"/>
        <v>2540.0810187664179</v>
      </c>
      <c r="AF963" s="15">
        <f t="shared" si="1277"/>
        <v>2590.8826391417456</v>
      </c>
      <c r="AG963" s="15">
        <f t="shared" si="1277"/>
        <v>2642.7002919245806</v>
      </c>
      <c r="AH963" s="15">
        <f t="shared" si="1277"/>
        <v>2695.5542977630726</v>
      </c>
      <c r="AI963" s="15">
        <f t="shared" si="1277"/>
        <v>2749.4653837183328</v>
      </c>
      <c r="AJ963" s="15">
        <f t="shared" si="1277"/>
        <v>2804.4546913927006</v>
      </c>
    </row>
    <row r="964" spans="1:36" hidden="1" x14ac:dyDescent="0.25">
      <c r="A964" t="s">
        <v>695</v>
      </c>
      <c r="H964" t="s">
        <v>493</v>
      </c>
      <c r="I964" s="65" t="s">
        <v>494</v>
      </c>
      <c r="K964" s="15"/>
      <c r="L964" s="15">
        <f t="shared" ref="L964:AJ964" si="1278">L962*1000/EXR</f>
        <v>26.153846153846153</v>
      </c>
      <c r="M964" s="15">
        <f t="shared" si="1278"/>
        <v>26.676923076923078</v>
      </c>
      <c r="N964" s="15">
        <f t="shared" si="1278"/>
        <v>27.210461538461537</v>
      </c>
      <c r="O964" s="15">
        <f t="shared" si="1278"/>
        <v>27.754670769230771</v>
      </c>
      <c r="P964" s="15">
        <f t="shared" si="1278"/>
        <v>28.309764184615386</v>
      </c>
      <c r="Q964" s="15">
        <f t="shared" si="1278"/>
        <v>28.875959468307691</v>
      </c>
      <c r="R964" s="15">
        <f t="shared" si="1278"/>
        <v>29.453478657673848</v>
      </c>
      <c r="S964" s="15">
        <f t="shared" si="1278"/>
        <v>30.042548230827315</v>
      </c>
      <c r="T964" s="15">
        <f t="shared" si="1278"/>
        <v>30.643399195443866</v>
      </c>
      <c r="U964" s="15">
        <f t="shared" si="1278"/>
        <v>31.256267179352747</v>
      </c>
      <c r="V964" s="15">
        <f t="shared" si="1278"/>
        <v>31.881392522939798</v>
      </c>
      <c r="W964" s="15">
        <f t="shared" si="1278"/>
        <v>32.519020373398597</v>
      </c>
      <c r="X964" s="15">
        <f t="shared" si="1278"/>
        <v>33.169400780866567</v>
      </c>
      <c r="Y964" s="15">
        <f t="shared" si="1278"/>
        <v>33.832788796483896</v>
      </c>
      <c r="Z964" s="15">
        <f t="shared" si="1278"/>
        <v>34.509444572413578</v>
      </c>
      <c r="AA964" s="15">
        <f t="shared" si="1278"/>
        <v>35.199633463861844</v>
      </c>
      <c r="AB964" s="15">
        <f t="shared" si="1278"/>
        <v>35.903626133139085</v>
      </c>
      <c r="AC964" s="15">
        <f t="shared" si="1278"/>
        <v>36.621698655801872</v>
      </c>
      <c r="AD964" s="15">
        <f t="shared" si="1278"/>
        <v>37.354132628917903</v>
      </c>
      <c r="AE964" s="15">
        <f t="shared" si="1278"/>
        <v>38.101215281496259</v>
      </c>
      <c r="AF964" s="15">
        <f t="shared" si="1278"/>
        <v>38.863239587126188</v>
      </c>
      <c r="AG964" s="15">
        <f t="shared" si="1278"/>
        <v>39.640504378868705</v>
      </c>
      <c r="AH964" s="15">
        <f t="shared" si="1278"/>
        <v>40.433314466446085</v>
      </c>
      <c r="AI964" s="15">
        <f t="shared" si="1278"/>
        <v>41.241980755774996</v>
      </c>
      <c r="AJ964" s="15">
        <f t="shared" si="1278"/>
        <v>42.066820370890504</v>
      </c>
    </row>
    <row r="965" spans="1:36" hidden="1" x14ac:dyDescent="0.25">
      <c r="A965" t="s">
        <v>695</v>
      </c>
    </row>
    <row r="966" spans="1:36" s="16" customFormat="1" hidden="1" x14ac:dyDescent="0.25">
      <c r="A966" s="16" t="s">
        <v>695</v>
      </c>
      <c r="D966" s="16" t="s">
        <v>723</v>
      </c>
      <c r="H966" s="270" t="s">
        <v>497</v>
      </c>
      <c r="I966" s="271" t="str">
        <f>IF($H$9="USD","USD","tr. VND")</f>
        <v>tr. VND</v>
      </c>
      <c r="K966" s="270"/>
      <c r="L966" s="272">
        <f t="shared" ref="L966:AJ966" si="1279">IF($H$9="USD",L963*L842/10^3,L961*L842/10^3)</f>
        <v>140401.29945600001</v>
      </c>
      <c r="M966" s="272">
        <f t="shared" si="1279"/>
        <v>200493.05562316801</v>
      </c>
      <c r="N966" s="272">
        <f t="shared" si="1279"/>
        <v>292147.02390804479</v>
      </c>
      <c r="O966" s="272">
        <f t="shared" si="1279"/>
        <v>297989.96438620571</v>
      </c>
      <c r="P966" s="272">
        <f t="shared" si="1279"/>
        <v>303949.76367392979</v>
      </c>
      <c r="Q966" s="272">
        <f t="shared" si="1279"/>
        <v>310028.75894740841</v>
      </c>
      <c r="R966" s="272">
        <f t="shared" si="1279"/>
        <v>316229.33412635658</v>
      </c>
      <c r="S966" s="272">
        <f t="shared" si="1279"/>
        <v>322553.92080888367</v>
      </c>
      <c r="T966" s="272">
        <f t="shared" si="1279"/>
        <v>329004.99922506133</v>
      </c>
      <c r="U966" s="272">
        <f t="shared" si="1279"/>
        <v>335585.09920956258</v>
      </c>
      <c r="V966" s="272">
        <f t="shared" si="1279"/>
        <v>342296.80119375384</v>
      </c>
      <c r="W966" s="272">
        <f t="shared" si="1279"/>
        <v>349142.73721762892</v>
      </c>
      <c r="X966" s="272">
        <f t="shared" si="1279"/>
        <v>356125.5919619815</v>
      </c>
      <c r="Y966" s="272">
        <f t="shared" si="1279"/>
        <v>363248.10380122106</v>
      </c>
      <c r="Z966" s="272">
        <f t="shared" si="1279"/>
        <v>370513.06587724556</v>
      </c>
      <c r="AA966" s="272">
        <f t="shared" si="1279"/>
        <v>377923.32719479036</v>
      </c>
      <c r="AB966" s="272">
        <f t="shared" si="1279"/>
        <v>385481.79373868631</v>
      </c>
      <c r="AC966" s="272">
        <f t="shared" si="1279"/>
        <v>393191.42961346003</v>
      </c>
      <c r="AD966" s="272">
        <f t="shared" si="1279"/>
        <v>401055.25820572913</v>
      </c>
      <c r="AE966" s="272">
        <f t="shared" si="1279"/>
        <v>409076.36336984381</v>
      </c>
      <c r="AF966" s="272">
        <f t="shared" si="1279"/>
        <v>417257.89063724066</v>
      </c>
      <c r="AG966" s="272">
        <f t="shared" si="1279"/>
        <v>425603.04844998539</v>
      </c>
      <c r="AH966" s="272">
        <f t="shared" si="1279"/>
        <v>434115.1094189852</v>
      </c>
      <c r="AI966" s="272">
        <f t="shared" si="1279"/>
        <v>442797.41160736472</v>
      </c>
      <c r="AJ966" s="272">
        <f t="shared" si="1279"/>
        <v>451653.35983951209</v>
      </c>
    </row>
    <row r="967" spans="1:36" hidden="1" x14ac:dyDescent="0.25">
      <c r="A967" t="s">
        <v>695</v>
      </c>
    </row>
    <row r="968" spans="1:36" s="1" customFormat="1" hidden="1" x14ac:dyDescent="0.25">
      <c r="A968" s="1" t="s">
        <v>695</v>
      </c>
      <c r="H968" s="266" t="s">
        <v>495</v>
      </c>
      <c r="I968" s="267" t="str">
        <f>IF($H$9="USD","USD","tr. VND")</f>
        <v>tr. VND</v>
      </c>
      <c r="K968" s="266"/>
      <c r="L968" s="269">
        <f>L966+L882</f>
        <v>-21675.049740713584</v>
      </c>
      <c r="M968" s="269">
        <f t="shared" ref="M968:AJ968" si="1280">M966+M882</f>
        <v>480.87247069110163</v>
      </c>
      <c r="N968" s="269">
        <f t="shared" si="1280"/>
        <v>29567.428175477602</v>
      </c>
      <c r="O968" s="269">
        <f t="shared" si="1280"/>
        <v>29813.559954999946</v>
      </c>
      <c r="P968" s="269">
        <f t="shared" si="1280"/>
        <v>30003.899870110967</v>
      </c>
      <c r="Q968" s="269">
        <f t="shared" si="1280"/>
        <v>30134.623276842467</v>
      </c>
      <c r="R968" s="269">
        <f t="shared" si="1280"/>
        <v>30201.719751478406</v>
      </c>
      <c r="S968" s="269">
        <f t="shared" si="1280"/>
        <v>30200.986002893944</v>
      </c>
      <c r="T968" s="269">
        <f t="shared" si="1280"/>
        <v>30128.018641919713</v>
      </c>
      <c r="U968" s="269">
        <f t="shared" si="1280"/>
        <v>29978.206818202452</v>
      </c>
      <c r="V968" s="269">
        <f t="shared" si="1280"/>
        <v>29746.724736977427</v>
      </c>
      <c r="W968" s="269">
        <f t="shared" si="1280"/>
        <v>29428.524070330721</v>
      </c>
      <c r="X968" s="269">
        <f t="shared" si="1280"/>
        <v>56317.45961324824</v>
      </c>
      <c r="Y968" s="269">
        <f t="shared" si="1280"/>
        <v>55809.748204060888</v>
      </c>
      <c r="Z968" s="269">
        <f t="shared" si="1280"/>
        <v>55198.760931813158</v>
      </c>
      <c r="AA968" s="269">
        <f t="shared" si="1280"/>
        <v>54478.481989632885</v>
      </c>
      <c r="AB968" s="269">
        <f t="shared" si="1280"/>
        <v>53642.634203401511</v>
      </c>
      <c r="AC968" s="269">
        <f t="shared" si="1280"/>
        <v>52684.671268921345</v>
      </c>
      <c r="AD968" s="269">
        <f t="shared" si="1280"/>
        <v>51597.770068421087</v>
      </c>
      <c r="AE968" s="269">
        <f t="shared" si="1280"/>
        <v>50374.823108619486</v>
      </c>
      <c r="AF968" s="269">
        <f t="shared" si="1280"/>
        <v>49008.431127763295</v>
      </c>
      <c r="AG968" s="269">
        <f t="shared" si="1280"/>
        <v>47490.895924752229</v>
      </c>
      <c r="AH968" s="269">
        <f t="shared" si="1280"/>
        <v>45814.213469703216</v>
      </c>
      <c r="AI968" s="269">
        <f t="shared" si="1280"/>
        <v>43970.067362157686</v>
      </c>
      <c r="AJ968" s="269">
        <f t="shared" si="1280"/>
        <v>41949.822710636887</v>
      </c>
    </row>
    <row r="969" spans="1:36" s="146" customFormat="1" hidden="1" x14ac:dyDescent="0.25">
      <c r="A969" s="146" t="s">
        <v>695</v>
      </c>
      <c r="H969" s="146" t="s">
        <v>496</v>
      </c>
      <c r="I969" s="144"/>
      <c r="L969" s="147">
        <f>IFERROR(L968/L966,0)</f>
        <v>-0.15437926731943297</v>
      </c>
      <c r="M969" s="147">
        <f t="shared" ref="M969:AJ969" si="1281">IFERROR(M968/M966,0)</f>
        <v>2.3984495083705748E-3</v>
      </c>
      <c r="N969" s="147">
        <f t="shared" si="1281"/>
        <v>0.10120735710381272</v>
      </c>
      <c r="O969" s="147">
        <f t="shared" si="1281"/>
        <v>0.10004887250619118</v>
      </c>
      <c r="P969" s="147">
        <f t="shared" si="1281"/>
        <v>9.8713351533638471E-2</v>
      </c>
      <c r="Q969" s="147">
        <f t="shared" si="1281"/>
        <v>9.7199444913284125E-2</v>
      </c>
      <c r="R969" s="147">
        <f t="shared" si="1281"/>
        <v>9.550575007507249E-2</v>
      </c>
      <c r="S969" s="147">
        <f t="shared" si="1281"/>
        <v>9.3630813499825105E-2</v>
      </c>
      <c r="T969" s="147">
        <f t="shared" si="1281"/>
        <v>9.1573133274215512E-2</v>
      </c>
      <c r="U969" s="147">
        <f t="shared" si="1281"/>
        <v>8.9331161868668019E-2</v>
      </c>
      <c r="V969" s="147">
        <f t="shared" si="1281"/>
        <v>8.6903309155201766E-2</v>
      </c>
      <c r="W969" s="147">
        <f t="shared" si="1281"/>
        <v>8.4287945683335891E-2</v>
      </c>
      <c r="X969" s="147">
        <f t="shared" si="1281"/>
        <v>0.15813932186951749</v>
      </c>
      <c r="Y969" s="147">
        <f t="shared" si="1281"/>
        <v>0.15364085213394935</v>
      </c>
      <c r="Z969" s="147">
        <f t="shared" si="1281"/>
        <v>0.14897925610564303</v>
      </c>
      <c r="AA969" s="147">
        <f t="shared" si="1281"/>
        <v>0.14415220778778079</v>
      </c>
      <c r="AB969" s="147">
        <f t="shared" si="1281"/>
        <v>0.13915737416062052</v>
      </c>
      <c r="AC969" s="147">
        <f t="shared" si="1281"/>
        <v>0.1339924202333575</v>
      </c>
      <c r="AD969" s="147">
        <f t="shared" si="1281"/>
        <v>0.12865501452159742</v>
      </c>
      <c r="AE969" s="147">
        <f t="shared" si="1281"/>
        <v>0.12314283497987361</v>
      </c>
      <c r="AF969" s="147">
        <f t="shared" si="1281"/>
        <v>0.11745357542050817</v>
      </c>
      <c r="AG969" s="147">
        <f t="shared" si="1281"/>
        <v>0.11158495245208072</v>
      </c>
      <c r="AH969" s="147">
        <f t="shared" si="1281"/>
        <v>0.10553471297283443</v>
      </c>
      <c r="AI969" s="147">
        <f t="shared" si="1281"/>
        <v>9.9300642256569066E-2</v>
      </c>
      <c r="AJ969" s="147">
        <f t="shared" si="1281"/>
        <v>9.288057267091536E-2</v>
      </c>
    </row>
    <row r="970" spans="1:36" hidden="1" x14ac:dyDescent="0.25">
      <c r="A970" t="s">
        <v>695</v>
      </c>
    </row>
    <row r="971" spans="1:36" s="16" customFormat="1" hidden="1" x14ac:dyDescent="0.25">
      <c r="A971" s="16" t="s">
        <v>695</v>
      </c>
      <c r="D971" s="16" t="s">
        <v>488</v>
      </c>
      <c r="H971" s="270" t="s">
        <v>488</v>
      </c>
      <c r="I971" s="271" t="str">
        <f>IF($H$9="USD","USD","tr. VND")</f>
        <v>tr. VND</v>
      </c>
      <c r="K971" s="270"/>
      <c r="L971" s="272">
        <f t="shared" ref="L971:AJ971" si="1282">L968*(1-Tax_rate)</f>
        <v>-17340.039792570868</v>
      </c>
      <c r="M971" s="272">
        <f t="shared" si="1282"/>
        <v>384.6979765528813</v>
      </c>
      <c r="N971" s="272">
        <f t="shared" si="1282"/>
        <v>23653.942540382082</v>
      </c>
      <c r="O971" s="272">
        <f t="shared" si="1282"/>
        <v>23850.847963999957</v>
      </c>
      <c r="P971" s="272">
        <f t="shared" si="1282"/>
        <v>24003.119896088774</v>
      </c>
      <c r="Q971" s="272">
        <f t="shared" si="1282"/>
        <v>24107.698621473974</v>
      </c>
      <c r="R971" s="272">
        <f t="shared" si="1282"/>
        <v>24161.375801182727</v>
      </c>
      <c r="S971" s="272">
        <f t="shared" si="1282"/>
        <v>24160.788802315157</v>
      </c>
      <c r="T971" s="272">
        <f t="shared" si="1282"/>
        <v>24102.414913535773</v>
      </c>
      <c r="U971" s="272">
        <f t="shared" si="1282"/>
        <v>23982.565454561962</v>
      </c>
      <c r="V971" s="272">
        <f t="shared" si="1282"/>
        <v>23797.379789581944</v>
      </c>
      <c r="W971" s="272">
        <f t="shared" si="1282"/>
        <v>23542.819256264578</v>
      </c>
      <c r="X971" s="272">
        <f t="shared" si="1282"/>
        <v>45053.967690598598</v>
      </c>
      <c r="Y971" s="272">
        <f t="shared" si="1282"/>
        <v>44647.798563248711</v>
      </c>
      <c r="Z971" s="272">
        <f t="shared" si="1282"/>
        <v>44159.008745450526</v>
      </c>
      <c r="AA971" s="272">
        <f t="shared" si="1282"/>
        <v>43582.785591706313</v>
      </c>
      <c r="AB971" s="272">
        <f t="shared" si="1282"/>
        <v>42914.10736272121</v>
      </c>
      <c r="AC971" s="272">
        <f t="shared" si="1282"/>
        <v>42147.737015137078</v>
      </c>
      <c r="AD971" s="272">
        <f t="shared" si="1282"/>
        <v>41278.216054736869</v>
      </c>
      <c r="AE971" s="272">
        <f t="shared" si="1282"/>
        <v>40299.858486895595</v>
      </c>
      <c r="AF971" s="272">
        <f t="shared" si="1282"/>
        <v>39206.744902210638</v>
      </c>
      <c r="AG971" s="272">
        <f t="shared" si="1282"/>
        <v>37992.716739801785</v>
      </c>
      <c r="AH971" s="272">
        <f t="shared" si="1282"/>
        <v>36651.370775762574</v>
      </c>
      <c r="AI971" s="272">
        <f t="shared" si="1282"/>
        <v>35176.05388972615</v>
      </c>
      <c r="AJ971" s="272">
        <f t="shared" si="1282"/>
        <v>33559.858168509512</v>
      </c>
    </row>
    <row r="972" spans="1:36" s="146" customFormat="1" hidden="1" x14ac:dyDescent="0.25">
      <c r="A972" s="146" t="s">
        <v>695</v>
      </c>
      <c r="H972" s="146" t="s">
        <v>489</v>
      </c>
      <c r="I972" s="144"/>
      <c r="L972" s="147">
        <f>IFERROR(L971/L966,0)</f>
        <v>-0.12350341385554638</v>
      </c>
      <c r="M972" s="147">
        <f t="shared" ref="M972:AJ972" si="1283">IFERROR(M971/M966,0)</f>
        <v>1.9187596066964599E-3</v>
      </c>
      <c r="N972" s="147">
        <f t="shared" si="1283"/>
        <v>8.0965885683050173E-2</v>
      </c>
      <c r="O972" s="147">
        <f t="shared" si="1283"/>
        <v>8.0039098004952944E-2</v>
      </c>
      <c r="P972" s="147">
        <f t="shared" si="1283"/>
        <v>7.8970681226910783E-2</v>
      </c>
      <c r="Q972" s="147">
        <f t="shared" si="1283"/>
        <v>7.7759555930627305E-2</v>
      </c>
      <c r="R972" s="147">
        <f t="shared" si="1283"/>
        <v>7.6404600060058003E-2</v>
      </c>
      <c r="S972" s="147">
        <f t="shared" si="1283"/>
        <v>7.4904650799860098E-2</v>
      </c>
      <c r="T972" s="147">
        <f t="shared" si="1283"/>
        <v>7.3258506619372415E-2</v>
      </c>
      <c r="U972" s="147">
        <f t="shared" si="1283"/>
        <v>7.1464929494934423E-2</v>
      </c>
      <c r="V972" s="147">
        <f t="shared" si="1283"/>
        <v>6.9522647324161427E-2</v>
      </c>
      <c r="W972" s="147">
        <f t="shared" si="1283"/>
        <v>6.7430356546668707E-2</v>
      </c>
      <c r="X972" s="147">
        <f t="shared" si="1283"/>
        <v>0.12651145749561402</v>
      </c>
      <c r="Y972" s="147">
        <f t="shared" si="1283"/>
        <v>0.12291268170715948</v>
      </c>
      <c r="Z972" s="147">
        <f t="shared" si="1283"/>
        <v>0.11918340488451443</v>
      </c>
      <c r="AA972" s="147">
        <f t="shared" si="1283"/>
        <v>0.11532176623022465</v>
      </c>
      <c r="AB972" s="147">
        <f t="shared" si="1283"/>
        <v>0.11132589932849642</v>
      </c>
      <c r="AC972" s="147">
        <f t="shared" si="1283"/>
        <v>0.107193936186686</v>
      </c>
      <c r="AD972" s="147">
        <f t="shared" si="1283"/>
        <v>0.10292401161727795</v>
      </c>
      <c r="AE972" s="147">
        <f t="shared" si="1283"/>
        <v>9.8514267983898895E-2</v>
      </c>
      <c r="AF972" s="147">
        <f t="shared" si="1283"/>
        <v>9.3962860336406537E-2</v>
      </c>
      <c r="AG972" s="147">
        <f t="shared" si="1283"/>
        <v>8.9267961961664588E-2</v>
      </c>
      <c r="AH972" s="147">
        <f t="shared" si="1283"/>
        <v>8.4427770378267541E-2</v>
      </c>
      <c r="AI972" s="147">
        <f t="shared" si="1283"/>
        <v>7.9440513805255256E-2</v>
      </c>
      <c r="AJ972" s="147">
        <f t="shared" si="1283"/>
        <v>7.4304458136732296E-2</v>
      </c>
    </row>
    <row r="973" spans="1:36" hidden="1" x14ac:dyDescent="0.25">
      <c r="A973" t="s">
        <v>695</v>
      </c>
    </row>
    <row r="974" spans="1:36" s="16" customFormat="1" hidden="1" x14ac:dyDescent="0.25">
      <c r="A974" s="16" t="s">
        <v>695</v>
      </c>
      <c r="H974" s="270" t="s">
        <v>477</v>
      </c>
      <c r="I974" s="271" t="str">
        <f>IF($H$9="USD","USD","tr. VND")</f>
        <v>tr. VND</v>
      </c>
      <c r="K974" s="272">
        <f>SUM(K976:K979)</f>
        <v>-314990</v>
      </c>
      <c r="L974" s="272">
        <f t="shared" ref="L974:AJ974" si="1284">SUM(L976:L979)</f>
        <v>0</v>
      </c>
      <c r="M974" s="272">
        <f t="shared" si="1284"/>
        <v>0</v>
      </c>
      <c r="N974" s="272">
        <f t="shared" si="1284"/>
        <v>0</v>
      </c>
      <c r="O974" s="272">
        <f t="shared" si="1284"/>
        <v>0</v>
      </c>
      <c r="P974" s="272">
        <f t="shared" si="1284"/>
        <v>0</v>
      </c>
      <c r="Q974" s="272">
        <f t="shared" si="1284"/>
        <v>0</v>
      </c>
      <c r="R974" s="272">
        <f t="shared" si="1284"/>
        <v>0</v>
      </c>
      <c r="S974" s="272">
        <f t="shared" si="1284"/>
        <v>0</v>
      </c>
      <c r="T974" s="272">
        <f t="shared" si="1284"/>
        <v>0</v>
      </c>
      <c r="U974" s="272">
        <f t="shared" si="1284"/>
        <v>0</v>
      </c>
      <c r="V974" s="272">
        <f t="shared" si="1284"/>
        <v>0</v>
      </c>
      <c r="W974" s="272">
        <f t="shared" si="1284"/>
        <v>0</v>
      </c>
      <c r="X974" s="272">
        <f t="shared" si="1284"/>
        <v>0</v>
      </c>
      <c r="Y974" s="272">
        <f t="shared" si="1284"/>
        <v>0</v>
      </c>
      <c r="Z974" s="272">
        <f t="shared" si="1284"/>
        <v>0</v>
      </c>
      <c r="AA974" s="272">
        <f t="shared" si="1284"/>
        <v>0</v>
      </c>
      <c r="AB974" s="272">
        <f t="shared" si="1284"/>
        <v>0</v>
      </c>
      <c r="AC974" s="272">
        <f t="shared" si="1284"/>
        <v>0</v>
      </c>
      <c r="AD974" s="272">
        <f t="shared" si="1284"/>
        <v>0</v>
      </c>
      <c r="AE974" s="272">
        <f t="shared" si="1284"/>
        <v>0</v>
      </c>
      <c r="AF974" s="272">
        <f t="shared" si="1284"/>
        <v>0</v>
      </c>
      <c r="AG974" s="272">
        <f t="shared" si="1284"/>
        <v>0</v>
      </c>
      <c r="AH974" s="272">
        <f t="shared" si="1284"/>
        <v>0</v>
      </c>
      <c r="AI974" s="272">
        <f t="shared" si="1284"/>
        <v>0</v>
      </c>
      <c r="AJ974" s="272">
        <f t="shared" si="1284"/>
        <v>0</v>
      </c>
    </row>
    <row r="975" spans="1:36" hidden="1" x14ac:dyDescent="0.25">
      <c r="A975" t="s">
        <v>695</v>
      </c>
    </row>
    <row r="976" spans="1:36" hidden="1" x14ac:dyDescent="0.25">
      <c r="A976" t="s">
        <v>695</v>
      </c>
      <c r="B976" t="s">
        <v>480</v>
      </c>
      <c r="H976" s="459" t="s">
        <v>30</v>
      </c>
      <c r="I976" s="494" t="str">
        <f t="shared" ref="I976:I979" si="1285">IF($H$9="USD","USD","tr. VND")</f>
        <v>tr. VND</v>
      </c>
      <c r="K976" s="461" cm="1">
        <f t="array" ref="K976">-SUMPRODUCT('W1'!$H$10:$AI$60*('W1'!$A$10:$A$60=$B976)*('W1'!$H$7:$AI$7="Giá trị đầu tư")*('W1'!$H$6:$AI$6=$A976))*$H$10</f>
        <v>-260598</v>
      </c>
      <c r="L976" s="461"/>
      <c r="M976" s="461"/>
      <c r="N976" s="461"/>
      <c r="O976" s="461"/>
      <c r="P976" s="461"/>
      <c r="Q976" s="461"/>
      <c r="R976" s="461"/>
      <c r="S976" s="461"/>
      <c r="T976" s="461"/>
      <c r="U976" s="461"/>
      <c r="V976" s="461"/>
      <c r="W976" s="461"/>
      <c r="X976" s="461"/>
      <c r="Y976" s="461"/>
      <c r="Z976" s="461"/>
      <c r="AA976" s="461"/>
      <c r="AB976" s="461"/>
      <c r="AC976" s="461"/>
      <c r="AD976" s="461"/>
      <c r="AE976" s="461"/>
      <c r="AF976" s="461"/>
      <c r="AG976" s="461"/>
      <c r="AH976" s="461"/>
      <c r="AI976" s="461"/>
      <c r="AJ976" s="461"/>
    </row>
    <row r="977" spans="1:36" hidden="1" x14ac:dyDescent="0.25">
      <c r="A977" t="s">
        <v>695</v>
      </c>
      <c r="B977" t="s">
        <v>481</v>
      </c>
      <c r="H977" s="454" t="s">
        <v>32</v>
      </c>
      <c r="I977" s="497" t="str">
        <f t="shared" si="1285"/>
        <v>tr. VND</v>
      </c>
      <c r="K977" s="457" cm="1">
        <f t="array" ref="K977">-SUMPRODUCT('W1'!$H$10:$AI$60*('W1'!$A$10:$A$60=$B977)*('W1'!$H$7:$AI$7="Giá trị đầu tư")*('W1'!$H$6:$AI$6=$A977))*$H$10</f>
        <v>-38116</v>
      </c>
      <c r="L977" s="457"/>
      <c r="M977" s="457"/>
      <c r="N977" s="457"/>
      <c r="O977" s="457"/>
      <c r="P977" s="457"/>
      <c r="Q977" s="457"/>
      <c r="R977" s="457"/>
      <c r="S977" s="457"/>
      <c r="T977" s="457"/>
      <c r="U977" s="457"/>
      <c r="V977" s="457"/>
      <c r="W977" s="457"/>
      <c r="X977" s="457"/>
      <c r="Y977" s="457"/>
      <c r="Z977" s="457"/>
      <c r="AA977" s="457"/>
      <c r="AB977" s="457"/>
      <c r="AC977" s="457"/>
      <c r="AD977" s="457"/>
      <c r="AE977" s="457"/>
      <c r="AF977" s="457"/>
      <c r="AG977" s="457"/>
      <c r="AH977" s="457"/>
      <c r="AI977" s="457"/>
      <c r="AJ977" s="457"/>
    </row>
    <row r="978" spans="1:36" hidden="1" x14ac:dyDescent="0.25">
      <c r="A978" t="s">
        <v>695</v>
      </c>
      <c r="B978" t="s">
        <v>482</v>
      </c>
      <c r="H978" s="454" t="s">
        <v>478</v>
      </c>
      <c r="I978" s="497" t="str">
        <f t="shared" si="1285"/>
        <v>tr. VND</v>
      </c>
      <c r="K978" s="457" cm="1">
        <f t="array" ref="K978">-SUMPRODUCT('W1'!$H$10:$AI$60*('W1'!$A$10:$A$60=$B978)*('W1'!$H$7:$AI$7="Giá trị đầu tư")*('W1'!$H$6:$AI$6=$A978))*$H$10</f>
        <v>0</v>
      </c>
      <c r="L978" s="457"/>
      <c r="M978" s="457"/>
      <c r="N978" s="457"/>
      <c r="O978" s="457"/>
      <c r="P978" s="457"/>
      <c r="Q978" s="457"/>
      <c r="R978" s="457"/>
      <c r="S978" s="457"/>
      <c r="T978" s="457"/>
      <c r="U978" s="457"/>
      <c r="V978" s="457"/>
      <c r="W978" s="457"/>
      <c r="X978" s="457"/>
      <c r="Y978" s="457"/>
      <c r="Z978" s="457"/>
      <c r="AA978" s="457"/>
      <c r="AB978" s="457"/>
      <c r="AC978" s="457"/>
      <c r="AD978" s="457"/>
      <c r="AE978" s="457"/>
      <c r="AF978" s="457"/>
      <c r="AG978" s="457"/>
      <c r="AH978" s="457"/>
      <c r="AI978" s="457"/>
      <c r="AJ978" s="457"/>
    </row>
    <row r="979" spans="1:36" hidden="1" x14ac:dyDescent="0.25">
      <c r="A979" t="s">
        <v>695</v>
      </c>
      <c r="B979" t="s">
        <v>483</v>
      </c>
      <c r="H979" s="454" t="s">
        <v>479</v>
      </c>
      <c r="I979" s="497" t="str">
        <f t="shared" si="1285"/>
        <v>tr. VND</v>
      </c>
      <c r="K979" s="457" cm="1">
        <f t="array" ref="K979">-SUMPRODUCT('W1'!$H$10:$AI$60*('W1'!$A$10:$A$60=$B979)*('W1'!$H$7:$AI$7="Giá trị đầu tư")*('W1'!$H$6:$AI$6=$A979))*$H$10</f>
        <v>-16276</v>
      </c>
      <c r="L979" s="457"/>
      <c r="M979" s="457"/>
      <c r="N979" s="457"/>
      <c r="O979" s="457"/>
      <c r="P979" s="457"/>
      <c r="Q979" s="457"/>
      <c r="R979" s="457"/>
      <c r="S979" s="457"/>
      <c r="T979" s="457"/>
      <c r="U979" s="457"/>
      <c r="V979" s="457"/>
      <c r="W979" s="457"/>
      <c r="X979" s="457"/>
      <c r="Y979" s="457"/>
      <c r="Z979" s="457"/>
      <c r="AA979" s="457"/>
      <c r="AB979" s="457"/>
      <c r="AC979" s="457"/>
      <c r="AD979" s="457"/>
      <c r="AE979" s="457"/>
      <c r="AF979" s="457"/>
      <c r="AG979" s="457"/>
      <c r="AH979" s="457"/>
      <c r="AI979" s="457"/>
      <c r="AJ979" s="457"/>
    </row>
    <row r="980" spans="1:36" hidden="1" x14ac:dyDescent="0.25">
      <c r="A980" t="s">
        <v>695</v>
      </c>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row>
    <row r="981" spans="1:36" s="16" customFormat="1" hidden="1" x14ac:dyDescent="0.25">
      <c r="A981" s="16" t="s">
        <v>695</v>
      </c>
      <c r="H981" s="270" t="s">
        <v>498</v>
      </c>
      <c r="I981" s="271" t="str">
        <f>IF($H$9="USD","USD","tr. VND")</f>
        <v>tr. VND</v>
      </c>
      <c r="K981" s="272">
        <f>K974</f>
        <v>-314990</v>
      </c>
      <c r="L981" s="272">
        <f t="shared" ref="L981:AJ981" si="1286">L966+L882-(L854+L880)</f>
        <v>22213.556925953075</v>
      </c>
      <c r="M981" s="272">
        <f t="shared" si="1286"/>
        <v>44213.768155768979</v>
      </c>
      <c r="N981" s="272">
        <f t="shared" si="1286"/>
        <v>73132.156000439587</v>
      </c>
      <c r="O981" s="272">
        <f t="shared" si="1286"/>
        <v>73196.666491036769</v>
      </c>
      <c r="P981" s="272">
        <f t="shared" si="1286"/>
        <v>73190.855414108621</v>
      </c>
      <c r="Q981" s="272">
        <f t="shared" si="1286"/>
        <v>73109.735749437823</v>
      </c>
      <c r="R981" s="272">
        <f t="shared" si="1286"/>
        <v>72948.041706959266</v>
      </c>
      <c r="S981" s="272">
        <f t="shared" si="1286"/>
        <v>72700.214199891139</v>
      </c>
      <c r="T981" s="272">
        <f t="shared" si="1286"/>
        <v>72360.385579754569</v>
      </c>
      <c r="U981" s="272">
        <f t="shared" si="1286"/>
        <v>71922.363596141979</v>
      </c>
      <c r="V981" s="272">
        <f t="shared" si="1286"/>
        <v>71379.614542230003</v>
      </c>
      <c r="W981" s="272">
        <f t="shared" si="1286"/>
        <v>70725.245545081372</v>
      </c>
      <c r="X981" s="272">
        <f t="shared" si="1286"/>
        <v>71001.952624390164</v>
      </c>
      <c r="Y981" s="272">
        <f t="shared" si="1286"/>
        <v>70102.134474505379</v>
      </c>
      <c r="Z981" s="272">
        <f t="shared" si="1286"/>
        <v>69067.67192230442</v>
      </c>
      <c r="AA981" s="272">
        <f t="shared" si="1286"/>
        <v>67890.039677774665</v>
      </c>
      <c r="AB981" s="272">
        <f t="shared" si="1286"/>
        <v>66560.250325005851</v>
      </c>
      <c r="AC981" s="272">
        <f t="shared" si="1286"/>
        <v>65068.830498665244</v>
      </c>
      <c r="AD981" s="272">
        <f t="shared" si="1286"/>
        <v>63405.795854955708</v>
      </c>
      <c r="AE981" s="272">
        <f t="shared" si="1286"/>
        <v>61560.62477648809</v>
      </c>
      <c r="AF981" s="272">
        <f t="shared" si="1286"/>
        <v>59522.230747472604</v>
      </c>
      <c r="AG981" s="272">
        <f t="shared" si="1286"/>
        <v>57278.933332449495</v>
      </c>
      <c r="AH981" s="272">
        <f t="shared" si="1286"/>
        <v>54818.42768842748</v>
      </c>
      <c r="AI981" s="272">
        <f t="shared" si="1286"/>
        <v>52127.7525367911</v>
      </c>
      <c r="AJ981" s="272">
        <f t="shared" si="1286"/>
        <v>49193.256517652189</v>
      </c>
    </row>
    <row r="982" spans="1:36" hidden="1" x14ac:dyDescent="0.25">
      <c r="A982" t="s">
        <v>695</v>
      </c>
      <c r="H982" t="s">
        <v>292</v>
      </c>
      <c r="I982" s="65" t="str">
        <f t="shared" ref="I982:I989" si="1287">IF($H$9="USD","USD","tr. VND")</f>
        <v>tr. VND</v>
      </c>
      <c r="L982" s="15">
        <f t="shared" ref="L982:AJ982" si="1288">-(L981+L854)*Tax_rate</f>
        <v>807.12194814271788</v>
      </c>
      <c r="M982" s="15">
        <f t="shared" si="1288"/>
        <v>-3592.920297820463</v>
      </c>
      <c r="N982" s="15">
        <f t="shared" si="1288"/>
        <v>-9376.5978667545842</v>
      </c>
      <c r="O982" s="15">
        <f t="shared" si="1288"/>
        <v>-9389.4999648740213</v>
      </c>
      <c r="P982" s="15">
        <f t="shared" si="1288"/>
        <v>-9388.3377494883916</v>
      </c>
      <c r="Q982" s="15">
        <f t="shared" si="1288"/>
        <v>-9372.1138165542325</v>
      </c>
      <c r="R982" s="15">
        <f t="shared" si="1288"/>
        <v>-9339.7750080585211</v>
      </c>
      <c r="S982" s="15">
        <f t="shared" si="1288"/>
        <v>-9290.2095066448946</v>
      </c>
      <c r="T982" s="15">
        <f t="shared" si="1288"/>
        <v>-9222.243782617581</v>
      </c>
      <c r="U982" s="15">
        <f t="shared" si="1288"/>
        <v>-9134.6393858950632</v>
      </c>
      <c r="V982" s="15">
        <f t="shared" si="1288"/>
        <v>-9026.0895751126682</v>
      </c>
      <c r="W982" s="15">
        <f t="shared" si="1288"/>
        <v>-8895.215775682942</v>
      </c>
      <c r="X982" s="15">
        <f t="shared" si="1288"/>
        <v>-14200.390524878034</v>
      </c>
      <c r="Y982" s="15">
        <f t="shared" si="1288"/>
        <v>-14020.426894901077</v>
      </c>
      <c r="Z982" s="15">
        <f t="shared" si="1288"/>
        <v>-13813.534384460885</v>
      </c>
      <c r="AA982" s="15">
        <f t="shared" si="1288"/>
        <v>-13578.007935554933</v>
      </c>
      <c r="AB982" s="15">
        <f t="shared" si="1288"/>
        <v>-13312.050065001171</v>
      </c>
      <c r="AC982" s="15">
        <f t="shared" si="1288"/>
        <v>-13013.766099733049</v>
      </c>
      <c r="AD982" s="15">
        <f t="shared" si="1288"/>
        <v>-12681.159170991143</v>
      </c>
      <c r="AE982" s="15">
        <f t="shared" si="1288"/>
        <v>-12312.124955297619</v>
      </c>
      <c r="AF982" s="15">
        <f t="shared" si="1288"/>
        <v>-11904.446149494521</v>
      </c>
      <c r="AG982" s="15">
        <f t="shared" si="1288"/>
        <v>-11455.786666489899</v>
      </c>
      <c r="AH982" s="15">
        <f t="shared" si="1288"/>
        <v>-10963.685537685496</v>
      </c>
      <c r="AI982" s="15">
        <f t="shared" si="1288"/>
        <v>-10425.550507358221</v>
      </c>
      <c r="AJ982" s="15">
        <f t="shared" si="1288"/>
        <v>-9838.6513035304379</v>
      </c>
    </row>
    <row r="983" spans="1:36" s="16" customFormat="1" hidden="1" x14ac:dyDescent="0.25">
      <c r="A983" s="16" t="s">
        <v>695</v>
      </c>
      <c r="H983" s="270" t="s">
        <v>499</v>
      </c>
      <c r="I983" s="271" t="str">
        <f t="shared" si="1287"/>
        <v>tr. VND</v>
      </c>
      <c r="K983" s="272">
        <f>K981+K982</f>
        <v>-314990</v>
      </c>
      <c r="L983" s="272">
        <f t="shared" ref="L983:AJ983" si="1289">L981+L982</f>
        <v>23020.678874095793</v>
      </c>
      <c r="M983" s="272">
        <f t="shared" si="1289"/>
        <v>40620.847857948516</v>
      </c>
      <c r="N983" s="272">
        <f t="shared" si="1289"/>
        <v>63755.558133685001</v>
      </c>
      <c r="O983" s="272">
        <f t="shared" si="1289"/>
        <v>63807.16652616275</v>
      </c>
      <c r="P983" s="272">
        <f t="shared" si="1289"/>
        <v>63802.517664620231</v>
      </c>
      <c r="Q983" s="272">
        <f t="shared" si="1289"/>
        <v>63737.621932883587</v>
      </c>
      <c r="R983" s="272">
        <f t="shared" si="1289"/>
        <v>63608.266698900741</v>
      </c>
      <c r="S983" s="272">
        <f t="shared" si="1289"/>
        <v>63410.004693246243</v>
      </c>
      <c r="T983" s="272">
        <f t="shared" si="1289"/>
        <v>63138.141797136988</v>
      </c>
      <c r="U983" s="272">
        <f t="shared" si="1289"/>
        <v>62787.724210246917</v>
      </c>
      <c r="V983" s="272">
        <f t="shared" si="1289"/>
        <v>62353.524967117337</v>
      </c>
      <c r="W983" s="272">
        <f t="shared" si="1289"/>
        <v>61830.029769398432</v>
      </c>
      <c r="X983" s="272">
        <f t="shared" si="1289"/>
        <v>56801.562099512128</v>
      </c>
      <c r="Y983" s="272">
        <f t="shared" si="1289"/>
        <v>56081.707579604306</v>
      </c>
      <c r="Z983" s="272">
        <f t="shared" si="1289"/>
        <v>55254.137537843533</v>
      </c>
      <c r="AA983" s="272">
        <f t="shared" si="1289"/>
        <v>54312.031742219733</v>
      </c>
      <c r="AB983" s="272">
        <f t="shared" si="1289"/>
        <v>53248.200260004684</v>
      </c>
      <c r="AC983" s="272">
        <f t="shared" si="1289"/>
        <v>52055.064398932198</v>
      </c>
      <c r="AD983" s="272">
        <f t="shared" si="1289"/>
        <v>50724.636683964563</v>
      </c>
      <c r="AE983" s="272">
        <f t="shared" si="1289"/>
        <v>49248.499821190475</v>
      </c>
      <c r="AF983" s="272">
        <f t="shared" si="1289"/>
        <v>47617.784597978083</v>
      </c>
      <c r="AG983" s="272">
        <f t="shared" si="1289"/>
        <v>45823.146665959597</v>
      </c>
      <c r="AH983" s="272">
        <f t="shared" si="1289"/>
        <v>43854.742150741986</v>
      </c>
      <c r="AI983" s="272">
        <f t="shared" si="1289"/>
        <v>41702.202029432883</v>
      </c>
      <c r="AJ983" s="272">
        <f t="shared" si="1289"/>
        <v>39354.605214121751</v>
      </c>
    </row>
    <row r="984" spans="1:36" hidden="1" x14ac:dyDescent="0.25">
      <c r="A984" t="s">
        <v>695</v>
      </c>
      <c r="H984" t="s">
        <v>500</v>
      </c>
      <c r="K984" s="95">
        <f>INDEX('Cover Page'!$H$23:$W$23,MATCH($A984,'Cover Page'!$H$5:$W$5,0))</f>
        <v>7.8540000000000013E-2</v>
      </c>
    </row>
    <row r="985" spans="1:36" s="16" customFormat="1" hidden="1" x14ac:dyDescent="0.25">
      <c r="A985" s="16" t="s">
        <v>695</v>
      </c>
      <c r="D985" s="16" t="s">
        <v>515</v>
      </c>
      <c r="H985" s="270" t="s">
        <v>501</v>
      </c>
      <c r="I985" s="271" t="str">
        <f t="shared" si="1287"/>
        <v>tr. VND</v>
      </c>
      <c r="K985" s="272">
        <f>K983/POWER(1+$K984,K$14)</f>
        <v>-314990</v>
      </c>
      <c r="L985" s="272">
        <f t="shared" ref="L985:AJ985" si="1290">L983/POWER(1+$K984,L$14)</f>
        <v>21344.297730353803</v>
      </c>
      <c r="M985" s="272">
        <f t="shared" si="1290"/>
        <v>34920.179784861815</v>
      </c>
      <c r="N985" s="272">
        <f t="shared" si="1290"/>
        <v>50817.030401368167</v>
      </c>
      <c r="O985" s="272">
        <f t="shared" si="1290"/>
        <v>47154.639982850706</v>
      </c>
      <c r="P985" s="272">
        <f t="shared" si="1290"/>
        <v>43717.622332808307</v>
      </c>
      <c r="Q985" s="272">
        <f t="shared" si="1290"/>
        <v>40492.847402824205</v>
      </c>
      <c r="R985" s="272">
        <f t="shared" si="1290"/>
        <v>37467.935672651016</v>
      </c>
      <c r="S985" s="272">
        <f t="shared" si="1290"/>
        <v>34631.215383552619</v>
      </c>
      <c r="T985" s="272">
        <f t="shared" si="1290"/>
        <v>31971.682221487237</v>
      </c>
      <c r="U985" s="272">
        <f t="shared" si="1290"/>
        <v>29478.961308307087</v>
      </c>
      <c r="V985" s="272">
        <f t="shared" si="1290"/>
        <v>27143.271367478148</v>
      </c>
      <c r="W985" s="272">
        <f t="shared" si="1290"/>
        <v>24955.390938656277</v>
      </c>
      <c r="X985" s="272">
        <f t="shared" si="1290"/>
        <v>21256.362363399421</v>
      </c>
      <c r="Y985" s="272">
        <f t="shared" si="1290"/>
        <v>19458.691720627496</v>
      </c>
      <c r="Z985" s="272">
        <f t="shared" si="1290"/>
        <v>17775.464446271264</v>
      </c>
      <c r="AA985" s="272">
        <f t="shared" si="1290"/>
        <v>16200.03473075395</v>
      </c>
      <c r="AB985" s="272">
        <f t="shared" si="1290"/>
        <v>14726.128074020598</v>
      </c>
      <c r="AC985" s="272">
        <f t="shared" si="1290"/>
        <v>13347.820916709357</v>
      </c>
      <c r="AD985" s="272">
        <f t="shared" si="1290"/>
        <v>12059.521377837884</v>
      </c>
      <c r="AE985" s="272">
        <f t="shared" si="1290"/>
        <v>10855.95103926523</v>
      </c>
      <c r="AF985" s="272">
        <f t="shared" si="1290"/>
        <v>9732.1277204001308</v>
      </c>
      <c r="AG985" s="272">
        <f t="shared" si="1290"/>
        <v>8683.3491896640789</v>
      </c>
      <c r="AH985" s="272">
        <f t="shared" si="1290"/>
        <v>7705.1777620912344</v>
      </c>
      <c r="AI985" s="272">
        <f t="shared" si="1290"/>
        <v>6793.4257351697061</v>
      </c>
      <c r="AJ985" s="272">
        <f t="shared" si="1290"/>
        <v>5944.1416176045386</v>
      </c>
    </row>
    <row r="986" spans="1:36" hidden="1" x14ac:dyDescent="0.25">
      <c r="A986" t="s">
        <v>695</v>
      </c>
      <c r="H986" t="s">
        <v>503</v>
      </c>
      <c r="I986" s="65" t="str">
        <f t="shared" si="1287"/>
        <v>tr. VND</v>
      </c>
      <c r="K986" s="15">
        <f>SUM($K985:K985)</f>
        <v>-314990</v>
      </c>
      <c r="L986" s="15">
        <f>SUM($K985:L985)</f>
        <v>-293645.70226964622</v>
      </c>
      <c r="M986" s="15">
        <f>SUM($K985:M985)</f>
        <v>-258725.52248478442</v>
      </c>
      <c r="N986" s="15">
        <f>SUM($K985:N985)</f>
        <v>-207908.49208341626</v>
      </c>
      <c r="O986" s="15">
        <f>SUM($K985:O985)</f>
        <v>-160753.85210056556</v>
      </c>
      <c r="P986" s="15">
        <f>SUM($K985:P985)</f>
        <v>-117036.22976775726</v>
      </c>
      <c r="Q986" s="15">
        <f>SUM($K985:Q985)</f>
        <v>-76543.382364933059</v>
      </c>
      <c r="R986" s="15">
        <f>SUM($K985:R985)</f>
        <v>-39075.446692282043</v>
      </c>
      <c r="S986" s="15">
        <f>SUM($K985:S985)</f>
        <v>-4444.2313087294242</v>
      </c>
      <c r="T986" s="15">
        <f>SUM($K985:T985)</f>
        <v>27527.450912757813</v>
      </c>
      <c r="U986" s="15">
        <f>SUM($K985:U985)</f>
        <v>57006.4122210649</v>
      </c>
      <c r="V986" s="15">
        <f>SUM($K985:V985)</f>
        <v>84149.683588543048</v>
      </c>
      <c r="W986" s="15">
        <f>SUM($K985:W985)</f>
        <v>109105.07452719932</v>
      </c>
      <c r="X986" s="15">
        <f>SUM($K985:X985)</f>
        <v>130361.43689059874</v>
      </c>
      <c r="Y986" s="15">
        <f>SUM($K985:Y985)</f>
        <v>149820.12861122622</v>
      </c>
      <c r="Z986" s="15">
        <f>SUM($K985:Z985)</f>
        <v>167595.59305749749</v>
      </c>
      <c r="AA986" s="15">
        <f>SUM($K985:AA985)</f>
        <v>183795.62778825144</v>
      </c>
      <c r="AB986" s="15">
        <f>SUM($K985:AB985)</f>
        <v>198521.75586227205</v>
      </c>
      <c r="AC986" s="15">
        <f>SUM($K985:AC985)</f>
        <v>211869.5767789814</v>
      </c>
      <c r="AD986" s="15">
        <f>SUM($K985:AD985)</f>
        <v>223929.09815681929</v>
      </c>
      <c r="AE986" s="15">
        <f>SUM($K985:AE985)</f>
        <v>234785.04919608452</v>
      </c>
      <c r="AF986" s="15">
        <f>SUM($K985:AF985)</f>
        <v>244517.17691648466</v>
      </c>
      <c r="AG986" s="15">
        <f>SUM($K985:AG985)</f>
        <v>253200.52610614875</v>
      </c>
      <c r="AH986" s="15">
        <f>SUM($K985:AH985)</f>
        <v>260905.70386824</v>
      </c>
      <c r="AI986" s="15">
        <f>SUM($K985:AI985)</f>
        <v>267699.12960340973</v>
      </c>
      <c r="AJ986" s="15">
        <f>SUM($K985:AJ985)</f>
        <v>273643.27122101426</v>
      </c>
    </row>
    <row r="987" spans="1:36" hidden="1" x14ac:dyDescent="0.25">
      <c r="A987" t="s">
        <v>695</v>
      </c>
    </row>
    <row r="988" spans="1:36" ht="15.75" hidden="1" thickBot="1" x14ac:dyDescent="0.3">
      <c r="A988" t="s">
        <v>695</v>
      </c>
    </row>
    <row r="989" spans="1:36" hidden="1" x14ac:dyDescent="0.25">
      <c r="A989" t="s">
        <v>695</v>
      </c>
      <c r="D989" t="s">
        <v>544</v>
      </c>
      <c r="H989" s="96" t="s">
        <v>401</v>
      </c>
      <c r="I989" s="310" t="str">
        <f t="shared" si="1287"/>
        <v>tr. VND</v>
      </c>
      <c r="J989" s="311"/>
      <c r="K989" s="97">
        <f>SUM(K985:AJ985)</f>
        <v>273643.27122101426</v>
      </c>
      <c r="L989" s="263"/>
      <c r="M989" s="70"/>
      <c r="N989" s="70"/>
    </row>
    <row r="990" spans="1:36" hidden="1" x14ac:dyDescent="0.25">
      <c r="A990" t="s">
        <v>695</v>
      </c>
      <c r="D990" t="s">
        <v>516</v>
      </c>
      <c r="H990" s="212" t="s">
        <v>402</v>
      </c>
      <c r="I990" s="255"/>
      <c r="J990" s="48"/>
      <c r="K990" s="314">
        <f>IFERROR(IRR(K983:AJ983),0)</f>
        <v>0.16522194305779858</v>
      </c>
    </row>
    <row r="991" spans="1:36" ht="15.75" hidden="1" thickBot="1" x14ac:dyDescent="0.3">
      <c r="A991" t="s">
        <v>695</v>
      </c>
      <c r="D991" t="s">
        <v>517</v>
      </c>
      <c r="H991" s="98" t="s">
        <v>403</v>
      </c>
      <c r="I991" s="312" t="s">
        <v>290</v>
      </c>
      <c r="J991" s="313"/>
      <c r="K991" s="315" cm="1">
        <f t="array" ref="K991">ROUNDUP(IF(K989&lt;0,0,INDEX(K$14:AJ$14,,MATCH(_xlfn.MINIFS(K986:AJ986,K986:AJ986,"&gt;"&amp;0),K986:AJ986))-1-INDEX(K986:AJ986,,MATCH(_xlfn.MINIFS(K986:AJ986,K986:AJ986,"&gt;"&amp;0),K986:AJ986)-1)/INDEX(K985:AJ985,,MATCH(_xlfn.MINIFS(K986:AJ986,K986:AJ986,"&gt;"&amp;0),K986:AJ986))),1)</f>
        <v>8.1999999999999993</v>
      </c>
    </row>
    <row r="992" spans="1:36" hidden="1" x14ac:dyDescent="0.25">
      <c r="A992" t="s">
        <v>695</v>
      </c>
      <c r="H992" s="316" t="str">
        <f>INT(K991)&amp;" năm "&amp;IF(MOD(K991,1)*12=0,,TEXT(MOD(K991,1)*12,"00")&amp;" tháng")</f>
        <v>8 năm 02 tháng</v>
      </c>
    </row>
    <row r="993" spans="1:9" hidden="1" x14ac:dyDescent="0.25">
      <c r="A993" t="s">
        <v>695</v>
      </c>
    </row>
    <row r="994" spans="1:9" hidden="1" x14ac:dyDescent="0.25">
      <c r="A994" t="s">
        <v>695</v>
      </c>
    </row>
    <row r="995" spans="1:9" s="304" customFormat="1" hidden="1" x14ac:dyDescent="0.25">
      <c r="I995" s="305"/>
    </row>
    <row r="996" spans="1:9" hidden="1" x14ac:dyDescent="0.25"/>
    <row r="997" spans="1:9" hidden="1" x14ac:dyDescent="0.25"/>
    <row r="998" spans="1:9" hidden="1" x14ac:dyDescent="0.25"/>
    <row r="999" spans="1:9" hidden="1" x14ac:dyDescent="0.25"/>
    <row r="1000" spans="1:9" hidden="1" x14ac:dyDescent="0.25"/>
    <row r="1001" spans="1:9" hidden="1" x14ac:dyDescent="0.25"/>
    <row r="1002" spans="1:9" hidden="1" x14ac:dyDescent="0.25"/>
    <row r="1003" spans="1:9" hidden="1" x14ac:dyDescent="0.25"/>
    <row r="1004" spans="1:9" hidden="1" x14ac:dyDescent="0.25"/>
    <row r="1005" spans="1:9" hidden="1" x14ac:dyDescent="0.25"/>
    <row r="1006" spans="1:9" hidden="1" x14ac:dyDescent="0.25"/>
    <row r="1007" spans="1:9" hidden="1" x14ac:dyDescent="0.25"/>
    <row r="1008" spans="1:9" hidden="1" x14ac:dyDescent="0.25"/>
    <row r="1009" spans="9:9" hidden="1" x14ac:dyDescent="0.25"/>
    <row r="1010" spans="9:9" hidden="1" x14ac:dyDescent="0.25"/>
    <row r="1011" spans="9:9" hidden="1" x14ac:dyDescent="0.25"/>
    <row r="1012" spans="9:9" hidden="1" x14ac:dyDescent="0.25"/>
    <row r="1013" spans="9:9" hidden="1" x14ac:dyDescent="0.25"/>
    <row r="1014" spans="9:9" hidden="1" x14ac:dyDescent="0.25"/>
    <row r="1015" spans="9:9" hidden="1" x14ac:dyDescent="0.25"/>
    <row r="1016" spans="9:9" hidden="1" x14ac:dyDescent="0.25"/>
    <row r="1017" spans="9:9" hidden="1" x14ac:dyDescent="0.25"/>
    <row r="1018" spans="9:9" ht="15.75" thickBot="1" x14ac:dyDescent="0.3"/>
    <row r="1019" spans="9:9" s="214" customFormat="1" x14ac:dyDescent="0.25">
      <c r="I1019" s="318"/>
    </row>
  </sheetData>
  <autoFilter ref="A17:AJ487" xr:uid="{A2C5C339-B9D2-4F39-8A73-0DF85329D33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1515-C0E7-43DC-A313-904ED582369A}">
  <dimension ref="B1:XFC45"/>
  <sheetViews>
    <sheetView showGridLines="0" zoomScaleNormal="100" workbookViewId="0">
      <pane xSplit="13" ySplit="9" topLeftCell="N10" activePane="bottomRight" state="frozen"/>
      <selection pane="topRight" activeCell="N1" sqref="N1"/>
      <selection pane="bottomLeft" activeCell="A10" sqref="A10"/>
      <selection pane="bottomRight" activeCell="N22" sqref="N22"/>
    </sheetView>
  </sheetViews>
  <sheetFormatPr defaultColWidth="8.5" defaultRowHeight="19.149999999999999" customHeight="1" outlineLevelRow="1" outlineLevelCol="1" x14ac:dyDescent="0.25"/>
  <cols>
    <col min="1" max="1" width="2.75" style="154" customWidth="1"/>
    <col min="2" max="2" width="4.5" style="161" customWidth="1"/>
    <col min="3" max="3" width="17.5" style="154" customWidth="1"/>
    <col min="4" max="4" width="44.75" style="154" customWidth="1"/>
    <col min="5" max="5" width="0.75" style="154" customWidth="1"/>
    <col min="6" max="6" width="9.375" style="154" hidden="1" customWidth="1" outlineLevel="1"/>
    <col min="7" max="7" width="10.75" style="154" hidden="1" customWidth="1" outlineLevel="1"/>
    <col min="8" max="8" width="6.75" style="156" hidden="1" customWidth="1" outlineLevel="1"/>
    <col min="9" max="9" width="0.75" style="154" hidden="1" customWidth="1" outlineLevel="1"/>
    <col min="10" max="10" width="11.375" style="154" hidden="1" customWidth="1" outlineLevel="1"/>
    <col min="11" max="11" width="10.75" style="154" hidden="1" customWidth="1" outlineLevel="1"/>
    <col min="12" max="12" width="6.75" style="156" hidden="1" customWidth="1" outlineLevel="1"/>
    <col min="13" max="13" width="0.75" style="154" hidden="1" customWidth="1" outlineLevel="1"/>
    <col min="14" max="14" width="9.5" style="154" customWidth="1" collapsed="1"/>
    <col min="15" max="15" width="10.75" style="154" bestFit="1" customWidth="1"/>
    <col min="16" max="16" width="7.125" style="156" customWidth="1"/>
    <col min="17" max="17" width="0.75" style="154" customWidth="1"/>
    <col min="18" max="18" width="10.75" style="154" customWidth="1"/>
    <col min="19" max="19" width="10.75" style="154" bestFit="1" customWidth="1"/>
    <col min="20" max="20" width="7.125" style="156" customWidth="1"/>
    <col min="21" max="21" width="0.75" style="154" customWidth="1"/>
    <col min="22" max="22" width="11" style="234" hidden="1" customWidth="1"/>
    <col min="23" max="23" width="13.75" style="154" hidden="1" customWidth="1"/>
    <col min="24" max="24" width="12.75" style="156" hidden="1" customWidth="1"/>
    <col min="25" max="25" width="0.75" style="154" customWidth="1"/>
    <col min="26" max="26" width="11" style="234" customWidth="1"/>
    <col min="27" max="27" width="10.5" style="154" bestFit="1" customWidth="1"/>
    <col min="28" max="28" width="11.75" style="156" bestFit="1" customWidth="1"/>
    <col min="29" max="29" width="0.75" style="154" customWidth="1"/>
    <col min="30" max="30" width="11" style="234" hidden="1" customWidth="1"/>
    <col min="31" max="31" width="9.75" style="154" hidden="1" customWidth="1"/>
    <col min="32" max="32" width="11.75" style="156" hidden="1" customWidth="1"/>
    <col min="33" max="33" width="0.75" style="154" hidden="1" customWidth="1"/>
    <col min="34" max="36" width="13" style="154" hidden="1" customWidth="1"/>
    <col min="37" max="16384" width="8.5" style="154"/>
  </cols>
  <sheetData>
    <row r="1" spans="2:16383" ht="19.149999999999999" customHeight="1" x14ac:dyDescent="0.25">
      <c r="X1" s="351">
        <v>3</v>
      </c>
      <c r="AB1" s="351">
        <f>X1</f>
        <v>3</v>
      </c>
      <c r="AF1" s="351">
        <f>AB1</f>
        <v>3</v>
      </c>
      <c r="AH1" s="234"/>
      <c r="AJ1" s="351">
        <f>AF1</f>
        <v>3</v>
      </c>
      <c r="AN1" s="309" t="str">
        <f>Currency</f>
        <v>VND</v>
      </c>
      <c r="AO1" s="159">
        <f>IF($AN$1="USD",1,EXR/1000000)</f>
        <v>2.5999999999999999E-2</v>
      </c>
    </row>
    <row r="2" spans="2:16383" s="151" customFormat="1" ht="19.149999999999999" customHeight="1" x14ac:dyDescent="0.25">
      <c r="B2" s="148"/>
      <c r="C2" s="149" t="s">
        <v>375</v>
      </c>
      <c r="D2" s="149" t="s">
        <v>376</v>
      </c>
      <c r="E2" s="149"/>
      <c r="F2" s="149"/>
      <c r="G2" s="149"/>
      <c r="H2" s="150"/>
      <c r="I2" s="149"/>
      <c r="J2" s="149"/>
      <c r="K2" s="149"/>
      <c r="L2" s="150"/>
      <c r="M2" s="149"/>
      <c r="N2" s="150"/>
      <c r="O2" s="150"/>
      <c r="P2" s="150"/>
      <c r="Q2" s="150"/>
      <c r="R2" s="150"/>
      <c r="S2" s="150"/>
      <c r="T2" s="150"/>
      <c r="U2" s="150"/>
      <c r="V2" s="233"/>
      <c r="W2" s="150"/>
      <c r="X2" s="150"/>
      <c r="Y2" s="150"/>
      <c r="Z2" s="233"/>
      <c r="AA2" s="150"/>
      <c r="AB2" s="150"/>
      <c r="AC2" s="150"/>
      <c r="AD2" s="233"/>
      <c r="AE2" s="150"/>
      <c r="AF2" s="150"/>
      <c r="AG2" s="150"/>
      <c r="AH2" s="233"/>
      <c r="AI2" s="150"/>
      <c r="AJ2" s="150"/>
    </row>
    <row r="3" spans="2:16383" ht="19.149999999999999" customHeight="1" x14ac:dyDescent="0.25">
      <c r="B3" s="153"/>
      <c r="C3" s="154" t="s">
        <v>377</v>
      </c>
      <c r="D3" s="399">
        <v>15</v>
      </c>
      <c r="V3" s="155">
        <f>$D3</f>
        <v>15</v>
      </c>
      <c r="Z3" s="155">
        <f>$D3</f>
        <v>15</v>
      </c>
      <c r="AD3" s="155">
        <f>$D3</f>
        <v>15</v>
      </c>
      <c r="AH3" s="155">
        <f>$D3</f>
        <v>15</v>
      </c>
      <c r="AJ3" s="156"/>
    </row>
    <row r="4" spans="2:16383" ht="19.149999999999999" customHeight="1" x14ac:dyDescent="0.25">
      <c r="B4" s="153"/>
      <c r="C4" s="154" t="s">
        <v>378</v>
      </c>
      <c r="D4" s="157">
        <f>1000/D3</f>
        <v>66.666666666666671</v>
      </c>
      <c r="V4" s="157">
        <f>1000/V3</f>
        <v>66.666666666666671</v>
      </c>
      <c r="Z4" s="157">
        <f>1000/Z3</f>
        <v>66.666666666666671</v>
      </c>
      <c r="AD4" s="157">
        <f>1000/AD3</f>
        <v>66.666666666666671</v>
      </c>
      <c r="AH4" s="157">
        <f>1000/AH3</f>
        <v>66.666666666666671</v>
      </c>
      <c r="AJ4" s="156"/>
    </row>
    <row r="5" spans="2:16383" ht="19.149999999999999" customHeight="1" x14ac:dyDescent="0.25">
      <c r="B5" s="153"/>
      <c r="C5" s="154" t="s">
        <v>383</v>
      </c>
      <c r="D5" s="158">
        <v>1000</v>
      </c>
      <c r="V5" s="158">
        <v>1000</v>
      </c>
      <c r="Z5" s="158">
        <v>1000</v>
      </c>
      <c r="AD5" s="158">
        <v>1000</v>
      </c>
      <c r="AH5" s="158">
        <v>1000</v>
      </c>
      <c r="AJ5" s="156"/>
    </row>
    <row r="6" spans="2:16383" ht="19.149999999999999" customHeight="1" x14ac:dyDescent="0.25">
      <c r="B6" s="153"/>
      <c r="C6" s="157" t="s">
        <v>380</v>
      </c>
      <c r="D6" s="159">
        <f>IF(C6="USD",25000,1)</f>
        <v>25000</v>
      </c>
      <c r="E6" s="157"/>
      <c r="G6" s="157"/>
      <c r="H6" s="160"/>
      <c r="I6" s="157"/>
      <c r="J6" s="157"/>
      <c r="K6" s="157"/>
      <c r="L6" s="160"/>
      <c r="M6" s="157"/>
      <c r="N6" s="157"/>
      <c r="O6" s="157"/>
      <c r="P6" s="160"/>
      <c r="Q6" s="157"/>
      <c r="R6" s="157"/>
      <c r="S6" s="157"/>
      <c r="T6" s="160"/>
      <c r="U6" s="157"/>
      <c r="V6" s="159">
        <f>IF($C$6="USD",25000,1)</f>
        <v>25000</v>
      </c>
      <c r="W6" s="157"/>
      <c r="X6" s="160"/>
      <c r="Y6" s="157"/>
      <c r="Z6" s="159">
        <f>IF($C$6="USD",25000,1)</f>
        <v>25000</v>
      </c>
      <c r="AA6" s="157"/>
      <c r="AB6" s="160"/>
      <c r="AC6" s="157"/>
      <c r="AD6" s="159">
        <f>IF($C$6="USD",25000,1)</f>
        <v>25000</v>
      </c>
      <c r="AE6" s="157"/>
      <c r="AF6" s="160"/>
      <c r="AG6" s="157"/>
      <c r="AH6" s="159">
        <f>IF($C$6="USD",25000,1)</f>
        <v>25000</v>
      </c>
      <c r="AI6" s="157"/>
      <c r="AJ6" s="160"/>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c r="DG6" s="157"/>
      <c r="DH6" s="157"/>
      <c r="DI6" s="157"/>
      <c r="DJ6" s="157"/>
      <c r="DK6" s="157"/>
      <c r="DL6" s="157"/>
      <c r="DM6" s="157"/>
      <c r="DN6" s="157"/>
      <c r="DO6" s="157"/>
      <c r="DP6" s="157"/>
      <c r="DQ6" s="157"/>
      <c r="DR6" s="157"/>
      <c r="DS6" s="157"/>
      <c r="DT6" s="157"/>
      <c r="DU6" s="157"/>
      <c r="DV6" s="157"/>
      <c r="DW6" s="157"/>
      <c r="DX6" s="157"/>
      <c r="DY6" s="157"/>
      <c r="DZ6" s="157"/>
      <c r="EA6" s="157"/>
      <c r="EB6" s="157"/>
      <c r="EC6" s="157"/>
      <c r="ED6" s="157"/>
      <c r="EE6" s="157"/>
      <c r="EF6" s="157"/>
      <c r="EG6" s="157"/>
      <c r="EH6" s="157"/>
      <c r="EI6" s="157"/>
      <c r="EJ6" s="157"/>
      <c r="EK6" s="157"/>
      <c r="EL6" s="157"/>
      <c r="EM6" s="157"/>
      <c r="EN6" s="157"/>
      <c r="EO6" s="157"/>
      <c r="EP6" s="157"/>
      <c r="EQ6" s="157"/>
      <c r="ER6" s="157"/>
      <c r="ES6" s="157"/>
      <c r="ET6" s="157"/>
      <c r="EU6" s="157"/>
      <c r="EV6" s="157"/>
      <c r="EW6" s="157"/>
      <c r="EX6" s="157"/>
      <c r="EY6" s="157"/>
      <c r="EZ6" s="157"/>
      <c r="FA6" s="157"/>
      <c r="FB6" s="157"/>
      <c r="FC6" s="157"/>
      <c r="FD6" s="157"/>
      <c r="FE6" s="157"/>
      <c r="FF6" s="157"/>
      <c r="FG6" s="157"/>
      <c r="FH6" s="157"/>
      <c r="FI6" s="157"/>
      <c r="FJ6" s="157"/>
      <c r="FK6" s="157"/>
      <c r="FL6" s="157"/>
      <c r="FM6" s="157"/>
      <c r="FN6" s="157"/>
      <c r="FO6" s="157"/>
      <c r="FP6" s="157"/>
      <c r="FQ6" s="157"/>
      <c r="FR6" s="157"/>
      <c r="FS6" s="157"/>
      <c r="FT6" s="157"/>
      <c r="FU6" s="157"/>
      <c r="FV6" s="157"/>
      <c r="FW6" s="157"/>
      <c r="FX6" s="157"/>
      <c r="FY6" s="157"/>
      <c r="FZ6" s="157"/>
      <c r="GA6" s="157"/>
      <c r="GB6" s="157"/>
      <c r="GC6" s="157"/>
      <c r="GD6" s="157"/>
      <c r="GE6" s="157"/>
      <c r="GF6" s="157"/>
      <c r="GG6" s="157"/>
      <c r="GH6" s="157"/>
      <c r="GI6" s="157"/>
      <c r="GJ6" s="157"/>
      <c r="GK6" s="157"/>
      <c r="GL6" s="157"/>
      <c r="GM6" s="157"/>
      <c r="GN6" s="157"/>
      <c r="GO6" s="157"/>
      <c r="GP6" s="157"/>
      <c r="GQ6" s="157"/>
      <c r="GR6" s="157"/>
      <c r="GS6" s="157"/>
      <c r="GT6" s="157"/>
      <c r="GU6" s="157"/>
      <c r="GV6" s="157"/>
      <c r="GW6" s="157"/>
      <c r="GX6" s="157"/>
      <c r="GY6" s="157"/>
      <c r="GZ6" s="157"/>
      <c r="HA6" s="157"/>
      <c r="HB6" s="157"/>
      <c r="HC6" s="157"/>
      <c r="HD6" s="157"/>
      <c r="HE6" s="157"/>
      <c r="HF6" s="157"/>
      <c r="HG6" s="157"/>
      <c r="HH6" s="157"/>
      <c r="HI6" s="157"/>
      <c r="HJ6" s="157"/>
      <c r="HK6" s="157"/>
      <c r="HL6" s="157"/>
      <c r="HM6" s="157"/>
      <c r="HN6" s="157"/>
      <c r="HO6" s="157"/>
      <c r="HP6" s="157"/>
      <c r="HQ6" s="157"/>
      <c r="HR6" s="157"/>
      <c r="HS6" s="157"/>
      <c r="HT6" s="157"/>
      <c r="HU6" s="157"/>
      <c r="HV6" s="157"/>
      <c r="HW6" s="157"/>
      <c r="HX6" s="157"/>
      <c r="HY6" s="157"/>
      <c r="HZ6" s="157"/>
      <c r="IA6" s="157"/>
      <c r="IB6" s="157"/>
      <c r="IC6" s="157"/>
      <c r="ID6" s="157"/>
      <c r="IE6" s="157"/>
      <c r="IF6" s="157"/>
      <c r="IG6" s="157"/>
      <c r="IH6" s="157"/>
      <c r="II6" s="157"/>
      <c r="IJ6" s="157"/>
      <c r="IK6" s="157"/>
      <c r="IL6" s="157"/>
      <c r="IM6" s="157"/>
      <c r="IN6" s="157"/>
      <c r="IO6" s="157"/>
      <c r="IP6" s="157"/>
      <c r="IQ6" s="157"/>
      <c r="IR6" s="157"/>
      <c r="IS6" s="157"/>
      <c r="IT6" s="157"/>
      <c r="IU6" s="157"/>
      <c r="IV6" s="157"/>
      <c r="IW6" s="157"/>
      <c r="IX6" s="157"/>
      <c r="IY6" s="157"/>
      <c r="IZ6" s="157"/>
      <c r="JA6" s="157"/>
      <c r="JB6" s="157"/>
      <c r="JC6" s="157"/>
      <c r="JD6" s="157"/>
      <c r="JE6" s="157"/>
      <c r="JF6" s="157"/>
      <c r="JG6" s="157"/>
      <c r="JH6" s="157"/>
      <c r="JI6" s="157"/>
      <c r="JJ6" s="157"/>
      <c r="JK6" s="157"/>
      <c r="JL6" s="157"/>
      <c r="JM6" s="157"/>
      <c r="JN6" s="157"/>
      <c r="JO6" s="157"/>
      <c r="JP6" s="157"/>
      <c r="JQ6" s="157"/>
      <c r="JR6" s="157"/>
      <c r="JS6" s="157"/>
      <c r="JT6" s="157"/>
      <c r="JU6" s="157"/>
      <c r="JV6" s="157"/>
      <c r="JW6" s="157"/>
      <c r="JX6" s="157"/>
      <c r="JY6" s="157"/>
      <c r="JZ6" s="157"/>
      <c r="KA6" s="157"/>
      <c r="KB6" s="157"/>
      <c r="KC6" s="157"/>
      <c r="KD6" s="157"/>
      <c r="KE6" s="157"/>
      <c r="KF6" s="157"/>
      <c r="KG6" s="157"/>
      <c r="KH6" s="157"/>
      <c r="KI6" s="157"/>
      <c r="KJ6" s="157"/>
      <c r="KK6" s="157"/>
      <c r="KL6" s="157"/>
      <c r="KM6" s="157"/>
      <c r="KN6" s="157"/>
      <c r="KO6" s="157"/>
      <c r="KP6" s="157"/>
      <c r="KQ6" s="157"/>
      <c r="KR6" s="157"/>
      <c r="KS6" s="157"/>
      <c r="KT6" s="157"/>
      <c r="KU6" s="157"/>
      <c r="KV6" s="157"/>
      <c r="KW6" s="157"/>
      <c r="KX6" s="157"/>
      <c r="KY6" s="157"/>
      <c r="KZ6" s="157"/>
      <c r="LA6" s="157"/>
      <c r="LB6" s="157"/>
      <c r="LC6" s="157"/>
      <c r="LD6" s="157"/>
      <c r="LE6" s="157"/>
      <c r="LF6" s="157"/>
      <c r="LG6" s="157"/>
      <c r="LH6" s="157"/>
      <c r="LI6" s="157"/>
      <c r="LJ6" s="157"/>
      <c r="LK6" s="157"/>
      <c r="LL6" s="157"/>
      <c r="LM6" s="157"/>
      <c r="LN6" s="157"/>
      <c r="LO6" s="157"/>
      <c r="LP6" s="157"/>
      <c r="LQ6" s="157"/>
      <c r="LR6" s="157"/>
      <c r="LS6" s="157"/>
      <c r="LT6" s="157"/>
      <c r="LU6" s="157"/>
      <c r="LV6" s="157"/>
      <c r="LW6" s="157"/>
      <c r="LX6" s="157"/>
      <c r="LY6" s="157"/>
      <c r="LZ6" s="157"/>
      <c r="MA6" s="157"/>
      <c r="MB6" s="157"/>
      <c r="MC6" s="157"/>
      <c r="MD6" s="157"/>
      <c r="ME6" s="157"/>
      <c r="MF6" s="157"/>
      <c r="MG6" s="157"/>
      <c r="MH6" s="157"/>
      <c r="MI6" s="157"/>
      <c r="MJ6" s="157"/>
      <c r="MK6" s="157"/>
      <c r="ML6" s="157"/>
      <c r="MM6" s="157"/>
      <c r="MN6" s="157"/>
      <c r="MO6" s="157"/>
      <c r="MP6" s="157"/>
      <c r="MQ6" s="157"/>
      <c r="MR6" s="157"/>
      <c r="MS6" s="157"/>
      <c r="MT6" s="157"/>
      <c r="MU6" s="157"/>
      <c r="MV6" s="157"/>
      <c r="MW6" s="157"/>
      <c r="MX6" s="157"/>
      <c r="MY6" s="157"/>
      <c r="MZ6" s="157"/>
      <c r="NA6" s="157"/>
      <c r="NB6" s="157"/>
      <c r="NC6" s="157"/>
      <c r="ND6" s="157"/>
      <c r="NE6" s="157"/>
      <c r="NF6" s="157"/>
      <c r="NG6" s="157"/>
      <c r="NH6" s="157"/>
      <c r="NI6" s="157"/>
      <c r="NJ6" s="157"/>
      <c r="NK6" s="157"/>
      <c r="NL6" s="157"/>
      <c r="NM6" s="157"/>
      <c r="NN6" s="157"/>
      <c r="NO6" s="157"/>
      <c r="NP6" s="157"/>
      <c r="NQ6" s="157"/>
      <c r="NR6" s="157"/>
      <c r="NS6" s="157"/>
      <c r="NT6" s="157"/>
      <c r="NU6" s="157"/>
      <c r="NV6" s="157"/>
      <c r="NW6" s="157"/>
      <c r="NX6" s="157"/>
      <c r="NY6" s="157"/>
      <c r="NZ6" s="157"/>
      <c r="OA6" s="157"/>
      <c r="OB6" s="157"/>
      <c r="OC6" s="157"/>
      <c r="OD6" s="157"/>
      <c r="OE6" s="157"/>
      <c r="OF6" s="157"/>
      <c r="OG6" s="157"/>
      <c r="OH6" s="157"/>
      <c r="OI6" s="157"/>
      <c r="OJ6" s="157"/>
      <c r="OK6" s="157"/>
      <c r="OL6" s="157"/>
      <c r="OM6" s="157"/>
      <c r="ON6" s="157"/>
      <c r="OO6" s="157"/>
      <c r="OP6" s="157"/>
      <c r="OQ6" s="157"/>
      <c r="OR6" s="157"/>
      <c r="OS6" s="157"/>
      <c r="OT6" s="157"/>
      <c r="OU6" s="157"/>
      <c r="OV6" s="157"/>
      <c r="OW6" s="157"/>
      <c r="OX6" s="157"/>
      <c r="OY6" s="157"/>
      <c r="OZ6" s="157"/>
      <c r="PA6" s="157"/>
      <c r="PB6" s="157"/>
      <c r="PC6" s="157"/>
      <c r="PD6" s="157"/>
      <c r="PE6" s="157"/>
      <c r="PF6" s="157"/>
      <c r="PG6" s="157"/>
      <c r="PH6" s="157"/>
      <c r="PI6" s="157"/>
      <c r="PJ6" s="157"/>
      <c r="PK6" s="157"/>
      <c r="PL6" s="157"/>
      <c r="PM6" s="157"/>
      <c r="PN6" s="157"/>
      <c r="PO6" s="157"/>
      <c r="PP6" s="157"/>
      <c r="PQ6" s="157"/>
      <c r="PR6" s="157"/>
      <c r="PS6" s="157"/>
      <c r="PT6" s="157"/>
      <c r="PU6" s="157"/>
      <c r="PV6" s="157"/>
      <c r="PW6" s="157"/>
      <c r="PX6" s="157"/>
      <c r="PY6" s="157"/>
      <c r="PZ6" s="157"/>
      <c r="QA6" s="157"/>
      <c r="QB6" s="157"/>
      <c r="QC6" s="157"/>
      <c r="QD6" s="157"/>
      <c r="QE6" s="157"/>
      <c r="QF6" s="157"/>
      <c r="QG6" s="157"/>
      <c r="QH6" s="157"/>
      <c r="QI6" s="157"/>
      <c r="QJ6" s="157"/>
      <c r="QK6" s="157"/>
      <c r="QL6" s="157"/>
      <c r="QM6" s="157"/>
      <c r="QN6" s="157"/>
      <c r="QO6" s="157"/>
      <c r="QP6" s="157"/>
      <c r="QQ6" s="157"/>
      <c r="QR6" s="157"/>
      <c r="QS6" s="157"/>
      <c r="QT6" s="157"/>
      <c r="QU6" s="157"/>
      <c r="QV6" s="157"/>
      <c r="QW6" s="157"/>
      <c r="QX6" s="157"/>
      <c r="QY6" s="157"/>
      <c r="QZ6" s="157"/>
      <c r="RA6" s="157"/>
      <c r="RB6" s="157"/>
      <c r="RC6" s="157"/>
      <c r="RD6" s="157"/>
      <c r="RE6" s="157"/>
      <c r="RF6" s="157"/>
      <c r="RG6" s="157"/>
      <c r="RH6" s="157"/>
      <c r="RI6" s="157"/>
      <c r="RJ6" s="157"/>
      <c r="RK6" s="157"/>
      <c r="RL6" s="157"/>
      <c r="RM6" s="157"/>
      <c r="RN6" s="157"/>
      <c r="RO6" s="157"/>
      <c r="RP6" s="157"/>
      <c r="RQ6" s="157"/>
      <c r="RR6" s="157"/>
      <c r="RS6" s="157"/>
      <c r="RT6" s="157"/>
      <c r="RU6" s="157"/>
      <c r="RV6" s="157"/>
      <c r="RW6" s="157"/>
      <c r="RX6" s="157"/>
      <c r="RY6" s="157"/>
      <c r="RZ6" s="157"/>
      <c r="SA6" s="157"/>
      <c r="SB6" s="157"/>
      <c r="SC6" s="157"/>
      <c r="SD6" s="157"/>
      <c r="SE6" s="157"/>
      <c r="SF6" s="157"/>
      <c r="SG6" s="157"/>
      <c r="SH6" s="157"/>
      <c r="SI6" s="157"/>
      <c r="SJ6" s="157"/>
      <c r="SK6" s="157"/>
      <c r="SL6" s="157"/>
      <c r="SM6" s="157"/>
      <c r="SN6" s="157"/>
      <c r="SO6" s="157"/>
      <c r="SP6" s="157"/>
      <c r="SQ6" s="157"/>
      <c r="SR6" s="157"/>
      <c r="SS6" s="157"/>
      <c r="ST6" s="157"/>
      <c r="SU6" s="157"/>
      <c r="SV6" s="157"/>
      <c r="SW6" s="157"/>
      <c r="SX6" s="157"/>
      <c r="SY6" s="157"/>
      <c r="SZ6" s="157"/>
      <c r="TA6" s="157"/>
      <c r="TB6" s="157"/>
      <c r="TC6" s="157"/>
      <c r="TD6" s="157"/>
      <c r="TE6" s="157"/>
      <c r="TF6" s="157"/>
      <c r="TG6" s="157"/>
      <c r="TH6" s="157"/>
      <c r="TI6" s="157"/>
      <c r="TJ6" s="157"/>
      <c r="TK6" s="157"/>
      <c r="TL6" s="157"/>
      <c r="TM6" s="157"/>
      <c r="TN6" s="157"/>
      <c r="TO6" s="157"/>
      <c r="TP6" s="157"/>
      <c r="TQ6" s="157"/>
      <c r="TR6" s="157"/>
      <c r="TS6" s="157"/>
      <c r="TT6" s="157"/>
      <c r="TU6" s="157"/>
      <c r="TV6" s="157"/>
      <c r="TW6" s="157"/>
      <c r="TX6" s="157"/>
      <c r="TY6" s="157"/>
      <c r="TZ6" s="157"/>
      <c r="UA6" s="157"/>
      <c r="UB6" s="157"/>
      <c r="UC6" s="157"/>
      <c r="UD6" s="157"/>
      <c r="UE6" s="157"/>
      <c r="UF6" s="157"/>
      <c r="UG6" s="157"/>
      <c r="UH6" s="157"/>
      <c r="UI6" s="157"/>
      <c r="UJ6" s="157"/>
      <c r="UK6" s="157"/>
      <c r="UL6" s="157"/>
      <c r="UM6" s="157"/>
      <c r="UN6" s="157"/>
      <c r="UO6" s="157"/>
      <c r="UP6" s="157"/>
      <c r="UQ6" s="157"/>
      <c r="UR6" s="157"/>
      <c r="US6" s="157"/>
      <c r="UT6" s="157"/>
      <c r="UU6" s="157"/>
      <c r="UV6" s="157"/>
      <c r="UW6" s="157"/>
      <c r="UX6" s="157"/>
      <c r="UY6" s="157"/>
      <c r="UZ6" s="157"/>
      <c r="VA6" s="157"/>
      <c r="VB6" s="157"/>
      <c r="VC6" s="157"/>
      <c r="VD6" s="157"/>
      <c r="VE6" s="157"/>
      <c r="VF6" s="157"/>
      <c r="VG6" s="157"/>
      <c r="VH6" s="157"/>
      <c r="VI6" s="157"/>
      <c r="VJ6" s="157"/>
      <c r="VK6" s="157"/>
      <c r="VL6" s="157"/>
      <c r="VM6" s="157"/>
      <c r="VN6" s="157"/>
      <c r="VO6" s="157"/>
      <c r="VP6" s="157"/>
      <c r="VQ6" s="157"/>
      <c r="VR6" s="157"/>
      <c r="VS6" s="157"/>
      <c r="VT6" s="157"/>
      <c r="VU6" s="157"/>
      <c r="VV6" s="157"/>
      <c r="VW6" s="157"/>
      <c r="VX6" s="157"/>
      <c r="VY6" s="157"/>
      <c r="VZ6" s="157"/>
      <c r="WA6" s="157"/>
      <c r="WB6" s="157"/>
      <c r="WC6" s="157"/>
      <c r="WD6" s="157"/>
      <c r="WE6" s="157"/>
      <c r="WF6" s="157"/>
      <c r="WG6" s="157"/>
      <c r="WH6" s="157"/>
      <c r="WI6" s="157"/>
      <c r="WJ6" s="157"/>
      <c r="WK6" s="157"/>
      <c r="WL6" s="157"/>
      <c r="WM6" s="157"/>
      <c r="WN6" s="157"/>
      <c r="WO6" s="157"/>
      <c r="WP6" s="157"/>
      <c r="WQ6" s="157"/>
      <c r="WR6" s="157"/>
      <c r="WS6" s="157"/>
      <c r="WT6" s="157"/>
      <c r="WU6" s="157"/>
      <c r="WV6" s="157"/>
      <c r="WW6" s="157"/>
      <c r="WX6" s="157"/>
      <c r="WY6" s="157"/>
      <c r="WZ6" s="157"/>
      <c r="XA6" s="157"/>
      <c r="XB6" s="157"/>
      <c r="XC6" s="157"/>
      <c r="XD6" s="157"/>
      <c r="XE6" s="157"/>
      <c r="XF6" s="157"/>
      <c r="XG6" s="157"/>
      <c r="XH6" s="157"/>
      <c r="XI6" s="157"/>
      <c r="XJ6" s="157"/>
      <c r="XK6" s="157"/>
      <c r="XL6" s="157"/>
      <c r="XM6" s="157"/>
      <c r="XN6" s="157"/>
      <c r="XO6" s="157"/>
      <c r="XP6" s="157"/>
      <c r="XQ6" s="157"/>
      <c r="XR6" s="157"/>
      <c r="XS6" s="157"/>
      <c r="XT6" s="157"/>
      <c r="XU6" s="157"/>
      <c r="XV6" s="157"/>
      <c r="XW6" s="157"/>
      <c r="XX6" s="157"/>
      <c r="XY6" s="157"/>
      <c r="XZ6" s="157"/>
      <c r="YA6" s="157"/>
      <c r="YB6" s="157"/>
      <c r="YC6" s="157"/>
      <c r="YD6" s="157"/>
      <c r="YE6" s="157"/>
      <c r="YF6" s="157"/>
      <c r="YG6" s="157"/>
      <c r="YH6" s="157"/>
      <c r="YI6" s="157"/>
      <c r="YJ6" s="157"/>
      <c r="YK6" s="157"/>
      <c r="YL6" s="157"/>
      <c r="YM6" s="157"/>
      <c r="YN6" s="157"/>
      <c r="YO6" s="157"/>
      <c r="YP6" s="157"/>
      <c r="YQ6" s="157"/>
      <c r="YR6" s="157"/>
      <c r="YS6" s="157"/>
      <c r="YT6" s="157"/>
      <c r="YU6" s="157"/>
      <c r="YV6" s="157"/>
      <c r="YW6" s="157"/>
      <c r="YX6" s="157"/>
      <c r="YY6" s="157"/>
      <c r="YZ6" s="157"/>
      <c r="ZA6" s="157"/>
      <c r="ZB6" s="157"/>
      <c r="ZC6" s="157"/>
      <c r="ZD6" s="157"/>
      <c r="ZE6" s="157"/>
      <c r="ZF6" s="157"/>
      <c r="ZG6" s="157"/>
      <c r="ZH6" s="157"/>
      <c r="ZI6" s="157"/>
      <c r="ZJ6" s="157"/>
      <c r="ZK6" s="157"/>
      <c r="ZL6" s="157"/>
      <c r="ZM6" s="157"/>
      <c r="ZN6" s="157"/>
      <c r="ZO6" s="157"/>
      <c r="ZP6" s="157"/>
      <c r="ZQ6" s="157"/>
      <c r="ZR6" s="157"/>
      <c r="ZS6" s="157"/>
      <c r="ZT6" s="157"/>
      <c r="ZU6" s="157"/>
      <c r="ZV6" s="157"/>
      <c r="ZW6" s="157"/>
      <c r="ZX6" s="157"/>
      <c r="ZY6" s="157"/>
      <c r="ZZ6" s="157"/>
      <c r="AAA6" s="157"/>
      <c r="AAB6" s="157"/>
      <c r="AAC6" s="157"/>
      <c r="AAD6" s="157"/>
      <c r="AAE6" s="157"/>
      <c r="AAF6" s="157"/>
      <c r="AAG6" s="157"/>
      <c r="AAH6" s="157"/>
      <c r="AAI6" s="157"/>
      <c r="AAJ6" s="157"/>
      <c r="AAK6" s="157"/>
      <c r="AAL6" s="157"/>
      <c r="AAM6" s="157"/>
      <c r="AAN6" s="157"/>
      <c r="AAO6" s="157"/>
      <c r="AAP6" s="157"/>
      <c r="AAQ6" s="157"/>
      <c r="AAR6" s="157"/>
      <c r="AAS6" s="157"/>
      <c r="AAT6" s="157"/>
      <c r="AAU6" s="157"/>
      <c r="AAV6" s="157"/>
      <c r="AAW6" s="157"/>
      <c r="AAX6" s="157"/>
      <c r="AAY6" s="157"/>
      <c r="AAZ6" s="157"/>
      <c r="ABA6" s="157"/>
      <c r="ABB6" s="157"/>
      <c r="ABC6" s="157"/>
      <c r="ABD6" s="157"/>
      <c r="ABE6" s="157"/>
      <c r="ABF6" s="157"/>
      <c r="ABG6" s="157"/>
      <c r="ABH6" s="157"/>
      <c r="ABI6" s="157"/>
      <c r="ABJ6" s="157"/>
      <c r="ABK6" s="157"/>
      <c r="ABL6" s="157"/>
      <c r="ABM6" s="157"/>
      <c r="ABN6" s="157"/>
      <c r="ABO6" s="157"/>
      <c r="ABP6" s="157"/>
      <c r="ABQ6" s="157"/>
      <c r="ABR6" s="157"/>
      <c r="ABS6" s="157"/>
      <c r="ABT6" s="157"/>
      <c r="ABU6" s="157"/>
      <c r="ABV6" s="157"/>
      <c r="ABW6" s="157"/>
      <c r="ABX6" s="157"/>
      <c r="ABY6" s="157"/>
      <c r="ABZ6" s="157"/>
      <c r="ACA6" s="157"/>
      <c r="ACB6" s="157"/>
      <c r="ACC6" s="157"/>
      <c r="ACD6" s="157"/>
      <c r="ACE6" s="157"/>
      <c r="ACF6" s="157"/>
      <c r="ACG6" s="157"/>
      <c r="ACH6" s="157"/>
      <c r="ACI6" s="157"/>
      <c r="ACJ6" s="157"/>
      <c r="ACK6" s="157"/>
      <c r="ACL6" s="157"/>
      <c r="ACM6" s="157"/>
      <c r="ACN6" s="157"/>
      <c r="ACO6" s="157"/>
      <c r="ACP6" s="157"/>
      <c r="ACQ6" s="157"/>
      <c r="ACR6" s="157"/>
      <c r="ACS6" s="157"/>
      <c r="ACT6" s="157"/>
      <c r="ACU6" s="157"/>
      <c r="ACV6" s="157"/>
      <c r="ACW6" s="157"/>
      <c r="ACX6" s="157"/>
      <c r="ACY6" s="157"/>
      <c r="ACZ6" s="157"/>
      <c r="ADA6" s="157"/>
      <c r="ADB6" s="157"/>
      <c r="ADC6" s="157"/>
      <c r="ADD6" s="157"/>
      <c r="ADE6" s="157"/>
      <c r="ADF6" s="157"/>
      <c r="ADG6" s="157"/>
      <c r="ADH6" s="157"/>
      <c r="ADI6" s="157"/>
      <c r="ADJ6" s="157"/>
      <c r="ADK6" s="157"/>
      <c r="ADL6" s="157"/>
      <c r="ADM6" s="157"/>
      <c r="ADN6" s="157"/>
      <c r="ADO6" s="157"/>
      <c r="ADP6" s="157"/>
      <c r="ADQ6" s="157"/>
      <c r="ADR6" s="157"/>
      <c r="ADS6" s="157"/>
      <c r="ADT6" s="157"/>
      <c r="ADU6" s="157"/>
      <c r="ADV6" s="157"/>
      <c r="ADW6" s="157"/>
      <c r="ADX6" s="157"/>
      <c r="ADY6" s="157"/>
      <c r="ADZ6" s="157"/>
      <c r="AEA6" s="157"/>
      <c r="AEB6" s="157"/>
      <c r="AEC6" s="157"/>
      <c r="AED6" s="157"/>
      <c r="AEE6" s="157"/>
      <c r="AEF6" s="157"/>
      <c r="AEG6" s="157"/>
      <c r="AEH6" s="157"/>
      <c r="AEI6" s="157"/>
      <c r="AEJ6" s="157"/>
      <c r="AEK6" s="157"/>
      <c r="AEL6" s="157"/>
      <c r="AEM6" s="157"/>
      <c r="AEN6" s="157"/>
      <c r="AEO6" s="157"/>
      <c r="AEP6" s="157"/>
      <c r="AEQ6" s="157"/>
      <c r="AER6" s="157"/>
      <c r="AES6" s="157"/>
      <c r="AET6" s="157"/>
      <c r="AEU6" s="157"/>
      <c r="AEV6" s="157"/>
      <c r="AEW6" s="157"/>
      <c r="AEX6" s="157"/>
      <c r="AEY6" s="157"/>
      <c r="AEZ6" s="157"/>
      <c r="AFA6" s="157"/>
      <c r="AFB6" s="157"/>
      <c r="AFC6" s="157"/>
      <c r="AFD6" s="157"/>
      <c r="AFE6" s="157"/>
      <c r="AFF6" s="157"/>
      <c r="AFG6" s="157"/>
      <c r="AFH6" s="157"/>
      <c r="AFI6" s="157"/>
      <c r="AFJ6" s="157"/>
      <c r="AFK6" s="157"/>
      <c r="AFL6" s="157"/>
      <c r="AFM6" s="157"/>
      <c r="AFN6" s="157"/>
      <c r="AFO6" s="157"/>
      <c r="AFP6" s="157"/>
      <c r="AFQ6" s="157"/>
      <c r="AFR6" s="157"/>
      <c r="AFS6" s="157"/>
      <c r="AFT6" s="157"/>
      <c r="AFU6" s="157"/>
      <c r="AFV6" s="157"/>
      <c r="AFW6" s="157"/>
      <c r="AFX6" s="157"/>
      <c r="AFY6" s="157"/>
      <c r="AFZ6" s="157"/>
      <c r="AGA6" s="157"/>
      <c r="AGB6" s="157"/>
      <c r="AGC6" s="157"/>
      <c r="AGD6" s="157"/>
      <c r="AGE6" s="157"/>
      <c r="AGF6" s="157"/>
      <c r="AGG6" s="157"/>
      <c r="AGH6" s="157"/>
      <c r="AGI6" s="157"/>
      <c r="AGJ6" s="157"/>
      <c r="AGK6" s="157"/>
      <c r="AGL6" s="157"/>
      <c r="AGM6" s="157"/>
      <c r="AGN6" s="157"/>
      <c r="AGO6" s="157"/>
      <c r="AGP6" s="157"/>
      <c r="AGQ6" s="157"/>
      <c r="AGR6" s="157"/>
      <c r="AGS6" s="157"/>
      <c r="AGT6" s="157"/>
      <c r="AGU6" s="157"/>
      <c r="AGV6" s="157"/>
      <c r="AGW6" s="157"/>
      <c r="AGX6" s="157"/>
      <c r="AGY6" s="157"/>
      <c r="AGZ6" s="157"/>
      <c r="AHA6" s="157"/>
      <c r="AHB6" s="157"/>
      <c r="AHC6" s="157"/>
      <c r="AHD6" s="157"/>
      <c r="AHE6" s="157"/>
      <c r="AHF6" s="157"/>
      <c r="AHG6" s="157"/>
      <c r="AHH6" s="157"/>
      <c r="AHI6" s="157"/>
      <c r="AHJ6" s="157"/>
      <c r="AHK6" s="157"/>
      <c r="AHL6" s="157"/>
      <c r="AHM6" s="157"/>
      <c r="AHN6" s="157"/>
      <c r="AHO6" s="157"/>
      <c r="AHP6" s="157"/>
      <c r="AHQ6" s="157"/>
      <c r="AHR6" s="157"/>
      <c r="AHS6" s="157"/>
      <c r="AHT6" s="157"/>
      <c r="AHU6" s="157"/>
      <c r="AHV6" s="157"/>
      <c r="AHW6" s="157"/>
      <c r="AHX6" s="157"/>
      <c r="AHY6" s="157"/>
      <c r="AHZ6" s="157"/>
      <c r="AIA6" s="157"/>
      <c r="AIB6" s="157"/>
      <c r="AIC6" s="157"/>
      <c r="AID6" s="157"/>
      <c r="AIE6" s="157"/>
      <c r="AIF6" s="157"/>
      <c r="AIG6" s="157"/>
      <c r="AIH6" s="157"/>
      <c r="AII6" s="157"/>
      <c r="AIJ6" s="157"/>
      <c r="AIK6" s="157"/>
      <c r="AIL6" s="157"/>
      <c r="AIM6" s="157"/>
      <c r="AIN6" s="157"/>
      <c r="AIO6" s="157"/>
      <c r="AIP6" s="157"/>
      <c r="AIQ6" s="157"/>
      <c r="AIR6" s="157"/>
      <c r="AIS6" s="157"/>
      <c r="AIT6" s="157"/>
      <c r="AIU6" s="157"/>
      <c r="AIV6" s="157"/>
      <c r="AIW6" s="157"/>
      <c r="AIX6" s="157"/>
      <c r="AIY6" s="157"/>
      <c r="AIZ6" s="157"/>
      <c r="AJA6" s="157"/>
      <c r="AJB6" s="157"/>
      <c r="AJC6" s="157"/>
      <c r="AJD6" s="157"/>
      <c r="AJE6" s="157"/>
      <c r="AJF6" s="157"/>
      <c r="AJG6" s="157"/>
      <c r="AJH6" s="157"/>
      <c r="AJI6" s="157"/>
      <c r="AJJ6" s="157"/>
      <c r="AJK6" s="157"/>
      <c r="AJL6" s="157"/>
      <c r="AJM6" s="157"/>
      <c r="AJN6" s="157"/>
      <c r="AJO6" s="157"/>
      <c r="AJP6" s="157"/>
      <c r="AJQ6" s="157"/>
      <c r="AJR6" s="157"/>
      <c r="AJS6" s="157"/>
      <c r="AJT6" s="157"/>
      <c r="AJU6" s="157"/>
      <c r="AJV6" s="157"/>
      <c r="AJW6" s="157"/>
      <c r="AJX6" s="157"/>
      <c r="AJY6" s="157"/>
      <c r="AJZ6" s="157"/>
      <c r="AKA6" s="157"/>
      <c r="AKB6" s="157"/>
      <c r="AKC6" s="157"/>
      <c r="AKD6" s="157"/>
      <c r="AKE6" s="157"/>
      <c r="AKF6" s="157"/>
      <c r="AKG6" s="157"/>
      <c r="AKH6" s="157"/>
      <c r="AKI6" s="157"/>
      <c r="AKJ6" s="157"/>
      <c r="AKK6" s="157"/>
      <c r="AKL6" s="157"/>
      <c r="AKM6" s="157"/>
      <c r="AKN6" s="157"/>
      <c r="AKO6" s="157"/>
      <c r="AKP6" s="157"/>
      <c r="AKQ6" s="157"/>
      <c r="AKR6" s="157"/>
      <c r="AKS6" s="157"/>
      <c r="AKT6" s="157"/>
      <c r="AKU6" s="157"/>
      <c r="AKV6" s="157"/>
      <c r="AKW6" s="157"/>
      <c r="AKX6" s="157"/>
      <c r="AKY6" s="157"/>
      <c r="AKZ6" s="157"/>
      <c r="ALA6" s="157"/>
      <c r="ALB6" s="157"/>
      <c r="ALC6" s="157"/>
      <c r="ALD6" s="157"/>
      <c r="ALE6" s="157"/>
      <c r="ALF6" s="157"/>
      <c r="ALG6" s="157"/>
      <c r="ALH6" s="157"/>
      <c r="ALI6" s="157"/>
      <c r="ALJ6" s="157"/>
      <c r="ALK6" s="157"/>
      <c r="ALL6" s="157"/>
      <c r="ALM6" s="157"/>
      <c r="ALN6" s="157"/>
      <c r="ALO6" s="157"/>
      <c r="ALP6" s="157"/>
      <c r="ALQ6" s="157"/>
      <c r="ALR6" s="157"/>
      <c r="ALS6" s="157"/>
      <c r="ALT6" s="157"/>
      <c r="ALU6" s="157"/>
      <c r="ALV6" s="157"/>
      <c r="ALW6" s="157"/>
      <c r="ALX6" s="157"/>
      <c r="ALY6" s="157"/>
      <c r="ALZ6" s="157"/>
      <c r="AMA6" s="157"/>
      <c r="AMB6" s="157"/>
      <c r="AMC6" s="157"/>
      <c r="AMD6" s="157"/>
      <c r="AME6" s="157"/>
      <c r="AMF6" s="157"/>
      <c r="AMG6" s="157"/>
      <c r="AMH6" s="157"/>
      <c r="AMI6" s="157"/>
      <c r="AMJ6" s="157"/>
      <c r="AMK6" s="157"/>
      <c r="AML6" s="157"/>
      <c r="AMM6" s="157"/>
      <c r="AMN6" s="157"/>
      <c r="AMO6" s="157"/>
      <c r="AMP6" s="157"/>
      <c r="AMQ6" s="157"/>
      <c r="AMR6" s="157"/>
      <c r="AMS6" s="157"/>
      <c r="AMT6" s="157"/>
      <c r="AMU6" s="157"/>
      <c r="AMV6" s="157"/>
      <c r="AMW6" s="157"/>
      <c r="AMX6" s="157"/>
      <c r="AMY6" s="157"/>
      <c r="AMZ6" s="157"/>
      <c r="ANA6" s="157"/>
      <c r="ANB6" s="157"/>
      <c r="ANC6" s="157"/>
      <c r="AND6" s="157"/>
      <c r="ANE6" s="157"/>
      <c r="ANF6" s="157"/>
      <c r="ANG6" s="157"/>
      <c r="ANH6" s="157"/>
      <c r="ANI6" s="157"/>
      <c r="ANJ6" s="157"/>
      <c r="ANK6" s="157"/>
      <c r="ANL6" s="157"/>
      <c r="ANM6" s="157"/>
      <c r="ANN6" s="157"/>
      <c r="ANO6" s="157"/>
      <c r="ANP6" s="157"/>
      <c r="ANQ6" s="157"/>
      <c r="ANR6" s="157"/>
      <c r="ANS6" s="157"/>
      <c r="ANT6" s="157"/>
      <c r="ANU6" s="157"/>
      <c r="ANV6" s="157"/>
      <c r="ANW6" s="157"/>
      <c r="ANX6" s="157"/>
      <c r="ANY6" s="157"/>
      <c r="ANZ6" s="157"/>
      <c r="AOA6" s="157"/>
      <c r="AOB6" s="157"/>
      <c r="AOC6" s="157"/>
      <c r="AOD6" s="157"/>
      <c r="AOE6" s="157"/>
      <c r="AOF6" s="157"/>
      <c r="AOG6" s="157"/>
      <c r="AOH6" s="157"/>
      <c r="AOI6" s="157"/>
      <c r="AOJ6" s="157"/>
      <c r="AOK6" s="157"/>
      <c r="AOL6" s="157"/>
      <c r="AOM6" s="157"/>
      <c r="AON6" s="157"/>
      <c r="AOO6" s="157"/>
      <c r="AOP6" s="157"/>
      <c r="AOQ6" s="157"/>
      <c r="AOR6" s="157"/>
      <c r="AOS6" s="157"/>
      <c r="AOT6" s="157"/>
      <c r="AOU6" s="157"/>
      <c r="AOV6" s="157"/>
      <c r="AOW6" s="157"/>
      <c r="AOX6" s="157"/>
      <c r="AOY6" s="157"/>
      <c r="AOZ6" s="157"/>
      <c r="APA6" s="157"/>
      <c r="APB6" s="157"/>
      <c r="APC6" s="157"/>
      <c r="APD6" s="157"/>
      <c r="APE6" s="157"/>
      <c r="APF6" s="157"/>
      <c r="APG6" s="157"/>
      <c r="APH6" s="157"/>
      <c r="API6" s="157"/>
      <c r="APJ6" s="157"/>
      <c r="APK6" s="157"/>
      <c r="APL6" s="157"/>
      <c r="APM6" s="157"/>
      <c r="APN6" s="157"/>
      <c r="APO6" s="157"/>
      <c r="APP6" s="157"/>
      <c r="APQ6" s="157"/>
      <c r="APR6" s="157"/>
      <c r="APS6" s="157"/>
      <c r="APT6" s="157"/>
      <c r="APU6" s="157"/>
      <c r="APV6" s="157"/>
      <c r="APW6" s="157"/>
      <c r="APX6" s="157"/>
      <c r="APY6" s="157"/>
      <c r="APZ6" s="157"/>
      <c r="AQA6" s="157"/>
      <c r="AQB6" s="157"/>
      <c r="AQC6" s="157"/>
      <c r="AQD6" s="157"/>
      <c r="AQE6" s="157"/>
      <c r="AQF6" s="157"/>
      <c r="AQG6" s="157"/>
      <c r="AQH6" s="157"/>
      <c r="AQI6" s="157"/>
      <c r="AQJ6" s="157"/>
      <c r="AQK6" s="157"/>
      <c r="AQL6" s="157"/>
      <c r="AQM6" s="157"/>
      <c r="AQN6" s="157"/>
      <c r="AQO6" s="157"/>
      <c r="AQP6" s="157"/>
      <c r="AQQ6" s="157"/>
      <c r="AQR6" s="157"/>
      <c r="AQS6" s="157"/>
      <c r="AQT6" s="157"/>
      <c r="AQU6" s="157"/>
      <c r="AQV6" s="157"/>
      <c r="AQW6" s="157"/>
      <c r="AQX6" s="157"/>
      <c r="AQY6" s="157"/>
      <c r="AQZ6" s="157"/>
      <c r="ARA6" s="157"/>
      <c r="ARB6" s="157"/>
      <c r="ARC6" s="157"/>
      <c r="ARD6" s="157"/>
      <c r="ARE6" s="157"/>
      <c r="ARF6" s="157"/>
      <c r="ARG6" s="157"/>
      <c r="ARH6" s="157"/>
      <c r="ARI6" s="157"/>
      <c r="ARJ6" s="157"/>
      <c r="ARK6" s="157"/>
      <c r="ARL6" s="157"/>
      <c r="ARM6" s="157"/>
      <c r="ARN6" s="157"/>
      <c r="ARO6" s="157"/>
      <c r="ARP6" s="157"/>
      <c r="ARQ6" s="157"/>
      <c r="ARR6" s="157"/>
      <c r="ARS6" s="157"/>
      <c r="ART6" s="157"/>
      <c r="ARU6" s="157"/>
      <c r="ARV6" s="157"/>
      <c r="ARW6" s="157"/>
      <c r="ARX6" s="157"/>
      <c r="ARY6" s="157"/>
      <c r="ARZ6" s="157"/>
      <c r="ASA6" s="157"/>
      <c r="ASB6" s="157"/>
      <c r="ASC6" s="157"/>
      <c r="ASD6" s="157"/>
      <c r="ASE6" s="157"/>
      <c r="ASF6" s="157"/>
      <c r="ASG6" s="157"/>
      <c r="ASH6" s="157"/>
      <c r="ASI6" s="157"/>
      <c r="ASJ6" s="157"/>
      <c r="ASK6" s="157"/>
      <c r="ASL6" s="157"/>
      <c r="ASM6" s="157"/>
      <c r="ASN6" s="157"/>
      <c r="ASO6" s="157"/>
      <c r="ASP6" s="157"/>
      <c r="ASQ6" s="157"/>
      <c r="ASR6" s="157"/>
      <c r="ASS6" s="157"/>
      <c r="AST6" s="157"/>
      <c r="ASU6" s="157"/>
      <c r="ASV6" s="157"/>
      <c r="ASW6" s="157"/>
      <c r="ASX6" s="157"/>
      <c r="ASY6" s="157"/>
      <c r="ASZ6" s="157"/>
      <c r="ATA6" s="157"/>
      <c r="ATB6" s="157"/>
      <c r="ATC6" s="157"/>
      <c r="ATD6" s="157"/>
      <c r="ATE6" s="157"/>
      <c r="ATF6" s="157"/>
      <c r="ATG6" s="157"/>
      <c r="ATH6" s="157"/>
      <c r="ATI6" s="157"/>
      <c r="ATJ6" s="157"/>
      <c r="ATK6" s="157"/>
      <c r="ATL6" s="157"/>
      <c r="ATM6" s="157"/>
      <c r="ATN6" s="157"/>
      <c r="ATO6" s="157"/>
      <c r="ATP6" s="157"/>
      <c r="ATQ6" s="157"/>
      <c r="ATR6" s="157"/>
      <c r="ATS6" s="157"/>
      <c r="ATT6" s="157"/>
      <c r="ATU6" s="157"/>
      <c r="ATV6" s="157"/>
      <c r="ATW6" s="157"/>
      <c r="ATX6" s="157"/>
      <c r="ATY6" s="157"/>
      <c r="ATZ6" s="157"/>
      <c r="AUA6" s="157"/>
      <c r="AUB6" s="157"/>
      <c r="AUC6" s="157"/>
      <c r="AUD6" s="157"/>
      <c r="AUE6" s="157"/>
      <c r="AUF6" s="157"/>
      <c r="AUG6" s="157"/>
      <c r="AUH6" s="157"/>
      <c r="AUI6" s="157"/>
      <c r="AUJ6" s="157"/>
      <c r="AUK6" s="157"/>
      <c r="AUL6" s="157"/>
      <c r="AUM6" s="157"/>
      <c r="AUN6" s="157"/>
      <c r="AUO6" s="157"/>
      <c r="AUP6" s="157"/>
      <c r="AUQ6" s="157"/>
      <c r="AUR6" s="157"/>
      <c r="AUS6" s="157"/>
      <c r="AUT6" s="157"/>
      <c r="AUU6" s="157"/>
      <c r="AUV6" s="157"/>
      <c r="AUW6" s="157"/>
      <c r="AUX6" s="157"/>
      <c r="AUY6" s="157"/>
      <c r="AUZ6" s="157"/>
      <c r="AVA6" s="157"/>
      <c r="AVB6" s="157"/>
      <c r="AVC6" s="157"/>
      <c r="AVD6" s="157"/>
      <c r="AVE6" s="157"/>
      <c r="AVF6" s="157"/>
      <c r="AVG6" s="157"/>
      <c r="AVH6" s="157"/>
      <c r="AVI6" s="157"/>
      <c r="AVJ6" s="157"/>
      <c r="AVK6" s="157"/>
      <c r="AVL6" s="157"/>
      <c r="AVM6" s="157"/>
      <c r="AVN6" s="157"/>
      <c r="AVO6" s="157"/>
      <c r="AVP6" s="157"/>
      <c r="AVQ6" s="157"/>
      <c r="AVR6" s="157"/>
      <c r="AVS6" s="157"/>
      <c r="AVT6" s="157"/>
      <c r="AVU6" s="157"/>
      <c r="AVV6" s="157"/>
      <c r="AVW6" s="157"/>
      <c r="AVX6" s="157"/>
      <c r="AVY6" s="157"/>
      <c r="AVZ6" s="157"/>
      <c r="AWA6" s="157"/>
      <c r="AWB6" s="157"/>
      <c r="AWC6" s="157"/>
      <c r="AWD6" s="157"/>
      <c r="AWE6" s="157"/>
      <c r="AWF6" s="157"/>
      <c r="AWG6" s="157"/>
      <c r="AWH6" s="157"/>
      <c r="AWI6" s="157"/>
      <c r="AWJ6" s="157"/>
      <c r="AWK6" s="157"/>
      <c r="AWL6" s="157"/>
      <c r="AWM6" s="157"/>
      <c r="AWN6" s="157"/>
      <c r="AWO6" s="157"/>
      <c r="AWP6" s="157"/>
      <c r="AWQ6" s="157"/>
      <c r="AWR6" s="157"/>
      <c r="AWS6" s="157"/>
      <c r="AWT6" s="157"/>
      <c r="AWU6" s="157"/>
      <c r="AWV6" s="157"/>
      <c r="AWW6" s="157"/>
      <c r="AWX6" s="157"/>
      <c r="AWY6" s="157"/>
      <c r="AWZ6" s="157"/>
      <c r="AXA6" s="157"/>
      <c r="AXB6" s="157"/>
      <c r="AXC6" s="157"/>
      <c r="AXD6" s="157"/>
      <c r="AXE6" s="157"/>
      <c r="AXF6" s="157"/>
      <c r="AXG6" s="157"/>
      <c r="AXH6" s="157"/>
      <c r="AXI6" s="157"/>
      <c r="AXJ6" s="157"/>
      <c r="AXK6" s="157"/>
      <c r="AXL6" s="157"/>
      <c r="AXM6" s="157"/>
      <c r="AXN6" s="157"/>
      <c r="AXO6" s="157"/>
      <c r="AXP6" s="157"/>
      <c r="AXQ6" s="157"/>
      <c r="AXR6" s="157"/>
      <c r="AXS6" s="157"/>
      <c r="AXT6" s="157"/>
      <c r="AXU6" s="157"/>
      <c r="AXV6" s="157"/>
      <c r="AXW6" s="157"/>
      <c r="AXX6" s="157"/>
      <c r="AXY6" s="157"/>
      <c r="AXZ6" s="157"/>
      <c r="AYA6" s="157"/>
      <c r="AYB6" s="157"/>
      <c r="AYC6" s="157"/>
      <c r="AYD6" s="157"/>
      <c r="AYE6" s="157"/>
      <c r="AYF6" s="157"/>
      <c r="AYG6" s="157"/>
      <c r="AYH6" s="157"/>
      <c r="AYI6" s="157"/>
      <c r="AYJ6" s="157"/>
      <c r="AYK6" s="157"/>
      <c r="AYL6" s="157"/>
      <c r="AYM6" s="157"/>
      <c r="AYN6" s="157"/>
      <c r="AYO6" s="157"/>
      <c r="AYP6" s="157"/>
      <c r="AYQ6" s="157"/>
      <c r="AYR6" s="157"/>
      <c r="AYS6" s="157"/>
      <c r="AYT6" s="157"/>
      <c r="AYU6" s="157"/>
      <c r="AYV6" s="157"/>
      <c r="AYW6" s="157"/>
      <c r="AYX6" s="157"/>
      <c r="AYY6" s="157"/>
      <c r="AYZ6" s="157"/>
      <c r="AZA6" s="157"/>
      <c r="AZB6" s="157"/>
      <c r="AZC6" s="157"/>
      <c r="AZD6" s="157"/>
      <c r="AZE6" s="157"/>
      <c r="AZF6" s="157"/>
      <c r="AZG6" s="157"/>
      <c r="AZH6" s="157"/>
      <c r="AZI6" s="157"/>
      <c r="AZJ6" s="157"/>
      <c r="AZK6" s="157"/>
      <c r="AZL6" s="157"/>
      <c r="AZM6" s="157"/>
      <c r="AZN6" s="157"/>
      <c r="AZO6" s="157"/>
      <c r="AZP6" s="157"/>
      <c r="AZQ6" s="157"/>
      <c r="AZR6" s="157"/>
      <c r="AZS6" s="157"/>
      <c r="AZT6" s="157"/>
      <c r="AZU6" s="157"/>
      <c r="AZV6" s="157"/>
      <c r="AZW6" s="157"/>
      <c r="AZX6" s="157"/>
      <c r="AZY6" s="157"/>
      <c r="AZZ6" s="157"/>
      <c r="BAA6" s="157"/>
      <c r="BAB6" s="157"/>
      <c r="BAC6" s="157"/>
      <c r="BAD6" s="157"/>
      <c r="BAE6" s="157"/>
      <c r="BAF6" s="157"/>
      <c r="BAG6" s="157"/>
      <c r="BAH6" s="157"/>
      <c r="BAI6" s="157"/>
      <c r="BAJ6" s="157"/>
      <c r="BAK6" s="157"/>
      <c r="BAL6" s="157"/>
      <c r="BAM6" s="157"/>
      <c r="BAN6" s="157"/>
      <c r="BAO6" s="157"/>
      <c r="BAP6" s="157"/>
      <c r="BAQ6" s="157"/>
      <c r="BAR6" s="157"/>
      <c r="BAS6" s="157"/>
      <c r="BAT6" s="157"/>
      <c r="BAU6" s="157"/>
      <c r="BAV6" s="157"/>
      <c r="BAW6" s="157"/>
      <c r="BAX6" s="157"/>
      <c r="BAY6" s="157"/>
      <c r="BAZ6" s="157"/>
      <c r="BBA6" s="157"/>
      <c r="BBB6" s="157"/>
      <c r="BBC6" s="157"/>
      <c r="BBD6" s="157"/>
      <c r="BBE6" s="157"/>
      <c r="BBF6" s="157"/>
      <c r="BBG6" s="157"/>
      <c r="BBH6" s="157"/>
      <c r="BBI6" s="157"/>
      <c r="BBJ6" s="157"/>
      <c r="BBK6" s="157"/>
      <c r="BBL6" s="157"/>
      <c r="BBM6" s="157"/>
      <c r="BBN6" s="157"/>
      <c r="BBO6" s="157"/>
      <c r="BBP6" s="157"/>
      <c r="BBQ6" s="157"/>
      <c r="BBR6" s="157"/>
      <c r="BBS6" s="157"/>
      <c r="BBT6" s="157"/>
      <c r="BBU6" s="157"/>
      <c r="BBV6" s="157"/>
      <c r="BBW6" s="157"/>
      <c r="BBX6" s="157"/>
      <c r="BBY6" s="157"/>
      <c r="BBZ6" s="157"/>
      <c r="BCA6" s="157"/>
      <c r="BCB6" s="157"/>
      <c r="BCC6" s="157"/>
      <c r="BCD6" s="157"/>
      <c r="BCE6" s="157"/>
      <c r="BCF6" s="157"/>
      <c r="BCG6" s="157"/>
      <c r="BCH6" s="157"/>
      <c r="BCI6" s="157"/>
      <c r="BCJ6" s="157"/>
      <c r="BCK6" s="157"/>
      <c r="BCL6" s="157"/>
      <c r="BCM6" s="157"/>
      <c r="BCN6" s="157"/>
      <c r="BCO6" s="157"/>
      <c r="BCP6" s="157"/>
      <c r="BCQ6" s="157"/>
      <c r="BCR6" s="157"/>
      <c r="BCS6" s="157"/>
      <c r="BCT6" s="157"/>
      <c r="BCU6" s="157"/>
      <c r="BCV6" s="157"/>
      <c r="BCW6" s="157"/>
      <c r="BCX6" s="157"/>
      <c r="BCY6" s="157"/>
      <c r="BCZ6" s="157"/>
      <c r="BDA6" s="157"/>
      <c r="BDB6" s="157"/>
      <c r="BDC6" s="157"/>
      <c r="BDD6" s="157"/>
      <c r="BDE6" s="157"/>
      <c r="BDF6" s="157"/>
      <c r="BDG6" s="157"/>
      <c r="BDH6" s="157"/>
      <c r="BDI6" s="157"/>
      <c r="BDJ6" s="157"/>
      <c r="BDK6" s="157"/>
      <c r="BDL6" s="157"/>
      <c r="BDM6" s="157"/>
      <c r="BDN6" s="157"/>
      <c r="BDO6" s="157"/>
      <c r="BDP6" s="157"/>
      <c r="BDQ6" s="157"/>
      <c r="BDR6" s="157"/>
      <c r="BDS6" s="157"/>
      <c r="BDT6" s="157"/>
      <c r="BDU6" s="157"/>
      <c r="BDV6" s="157"/>
      <c r="BDW6" s="157"/>
      <c r="BDX6" s="157"/>
      <c r="BDY6" s="157"/>
      <c r="BDZ6" s="157"/>
      <c r="BEA6" s="157"/>
      <c r="BEB6" s="157"/>
      <c r="BEC6" s="157"/>
      <c r="BED6" s="157"/>
      <c r="BEE6" s="157"/>
      <c r="BEF6" s="157"/>
      <c r="BEG6" s="157"/>
      <c r="BEH6" s="157"/>
      <c r="BEI6" s="157"/>
      <c r="BEJ6" s="157"/>
      <c r="BEK6" s="157"/>
      <c r="BEL6" s="157"/>
      <c r="BEM6" s="157"/>
      <c r="BEN6" s="157"/>
      <c r="BEO6" s="157"/>
      <c r="BEP6" s="157"/>
      <c r="BEQ6" s="157"/>
      <c r="BER6" s="157"/>
      <c r="BES6" s="157"/>
      <c r="BET6" s="157"/>
      <c r="BEU6" s="157"/>
      <c r="BEV6" s="157"/>
      <c r="BEW6" s="157"/>
      <c r="BEX6" s="157"/>
      <c r="BEY6" s="157"/>
      <c r="BEZ6" s="157"/>
      <c r="BFA6" s="157"/>
      <c r="BFB6" s="157"/>
      <c r="BFC6" s="157"/>
      <c r="BFD6" s="157"/>
      <c r="BFE6" s="157"/>
      <c r="BFF6" s="157"/>
      <c r="BFG6" s="157"/>
      <c r="BFH6" s="157"/>
      <c r="BFI6" s="157"/>
      <c r="BFJ6" s="157"/>
      <c r="BFK6" s="157"/>
      <c r="BFL6" s="157"/>
      <c r="BFM6" s="157"/>
      <c r="BFN6" s="157"/>
      <c r="BFO6" s="157"/>
      <c r="BFP6" s="157"/>
      <c r="BFQ6" s="157"/>
      <c r="BFR6" s="157"/>
      <c r="BFS6" s="157"/>
      <c r="BFT6" s="157"/>
      <c r="BFU6" s="157"/>
      <c r="BFV6" s="157"/>
      <c r="BFW6" s="157"/>
      <c r="BFX6" s="157"/>
      <c r="BFY6" s="157"/>
      <c r="BFZ6" s="157"/>
      <c r="BGA6" s="157"/>
      <c r="BGB6" s="157"/>
      <c r="BGC6" s="157"/>
      <c r="BGD6" s="157"/>
      <c r="BGE6" s="157"/>
      <c r="BGF6" s="157"/>
      <c r="BGG6" s="157"/>
      <c r="BGH6" s="157"/>
      <c r="BGI6" s="157"/>
      <c r="BGJ6" s="157"/>
      <c r="BGK6" s="157"/>
      <c r="BGL6" s="157"/>
      <c r="BGM6" s="157"/>
      <c r="BGN6" s="157"/>
      <c r="BGO6" s="157"/>
      <c r="BGP6" s="157"/>
      <c r="BGQ6" s="157"/>
      <c r="BGR6" s="157"/>
      <c r="BGS6" s="157"/>
      <c r="BGT6" s="157"/>
      <c r="BGU6" s="157"/>
      <c r="BGV6" s="157"/>
      <c r="BGW6" s="157"/>
      <c r="BGX6" s="157"/>
      <c r="BGY6" s="157"/>
      <c r="BGZ6" s="157"/>
      <c r="BHA6" s="157"/>
      <c r="BHB6" s="157"/>
      <c r="BHC6" s="157"/>
      <c r="BHD6" s="157"/>
      <c r="BHE6" s="157"/>
      <c r="BHF6" s="157"/>
      <c r="BHG6" s="157"/>
      <c r="BHH6" s="157"/>
      <c r="BHI6" s="157"/>
      <c r="BHJ6" s="157"/>
      <c r="BHK6" s="157"/>
      <c r="BHL6" s="157"/>
      <c r="BHM6" s="157"/>
      <c r="BHN6" s="157"/>
      <c r="BHO6" s="157"/>
      <c r="BHP6" s="157"/>
      <c r="BHQ6" s="157"/>
      <c r="BHR6" s="157"/>
      <c r="BHS6" s="157"/>
      <c r="BHT6" s="157"/>
      <c r="BHU6" s="157"/>
      <c r="BHV6" s="157"/>
      <c r="BHW6" s="157"/>
      <c r="BHX6" s="157"/>
      <c r="BHY6" s="157"/>
      <c r="BHZ6" s="157"/>
      <c r="BIA6" s="157"/>
      <c r="BIB6" s="157"/>
      <c r="BIC6" s="157"/>
      <c r="BID6" s="157"/>
      <c r="BIE6" s="157"/>
      <c r="BIF6" s="157"/>
      <c r="BIG6" s="157"/>
      <c r="BIH6" s="157"/>
      <c r="BII6" s="157"/>
      <c r="BIJ6" s="157"/>
      <c r="BIK6" s="157"/>
      <c r="BIL6" s="157"/>
      <c r="BIM6" s="157"/>
      <c r="BIN6" s="157"/>
      <c r="BIO6" s="157"/>
      <c r="BIP6" s="157"/>
      <c r="BIQ6" s="157"/>
      <c r="BIR6" s="157"/>
      <c r="BIS6" s="157"/>
      <c r="BIT6" s="157"/>
      <c r="BIU6" s="157"/>
      <c r="BIV6" s="157"/>
      <c r="BIW6" s="157"/>
      <c r="BIX6" s="157"/>
      <c r="BIY6" s="157"/>
      <c r="BIZ6" s="157"/>
      <c r="BJA6" s="157"/>
      <c r="BJB6" s="157"/>
      <c r="BJC6" s="157"/>
      <c r="BJD6" s="157"/>
      <c r="BJE6" s="157"/>
      <c r="BJF6" s="157"/>
      <c r="BJG6" s="157"/>
      <c r="BJH6" s="157"/>
      <c r="BJI6" s="157"/>
      <c r="BJJ6" s="157"/>
      <c r="BJK6" s="157"/>
      <c r="BJL6" s="157"/>
      <c r="BJM6" s="157"/>
      <c r="BJN6" s="157"/>
      <c r="BJO6" s="157"/>
      <c r="BJP6" s="157"/>
      <c r="BJQ6" s="157"/>
      <c r="BJR6" s="157"/>
      <c r="BJS6" s="157"/>
      <c r="BJT6" s="157"/>
      <c r="BJU6" s="157"/>
      <c r="BJV6" s="157"/>
      <c r="BJW6" s="157"/>
      <c r="BJX6" s="157"/>
      <c r="BJY6" s="157"/>
      <c r="BJZ6" s="157"/>
      <c r="BKA6" s="157"/>
      <c r="BKB6" s="157"/>
      <c r="BKC6" s="157"/>
      <c r="BKD6" s="157"/>
      <c r="BKE6" s="157"/>
      <c r="BKF6" s="157"/>
      <c r="BKG6" s="157"/>
      <c r="BKH6" s="157"/>
      <c r="BKI6" s="157"/>
      <c r="BKJ6" s="157"/>
      <c r="BKK6" s="157"/>
      <c r="BKL6" s="157"/>
      <c r="BKM6" s="157"/>
      <c r="BKN6" s="157"/>
      <c r="BKO6" s="157"/>
      <c r="BKP6" s="157"/>
      <c r="BKQ6" s="157"/>
      <c r="BKR6" s="157"/>
      <c r="BKS6" s="157"/>
      <c r="BKT6" s="157"/>
      <c r="BKU6" s="157"/>
      <c r="BKV6" s="157"/>
      <c r="BKW6" s="157"/>
      <c r="BKX6" s="157"/>
      <c r="BKY6" s="157"/>
      <c r="BKZ6" s="157"/>
      <c r="BLA6" s="157"/>
      <c r="BLB6" s="157"/>
      <c r="BLC6" s="157"/>
      <c r="BLD6" s="157"/>
      <c r="BLE6" s="157"/>
      <c r="BLF6" s="157"/>
      <c r="BLG6" s="157"/>
      <c r="BLH6" s="157"/>
      <c r="BLI6" s="157"/>
      <c r="BLJ6" s="157"/>
      <c r="BLK6" s="157"/>
      <c r="BLL6" s="157"/>
      <c r="BLM6" s="157"/>
      <c r="BLN6" s="157"/>
      <c r="BLO6" s="157"/>
      <c r="BLP6" s="157"/>
      <c r="BLQ6" s="157"/>
      <c r="BLR6" s="157"/>
      <c r="BLS6" s="157"/>
      <c r="BLT6" s="157"/>
      <c r="BLU6" s="157"/>
      <c r="BLV6" s="157"/>
      <c r="BLW6" s="157"/>
      <c r="BLX6" s="157"/>
      <c r="BLY6" s="157"/>
      <c r="BLZ6" s="157"/>
      <c r="BMA6" s="157"/>
      <c r="BMB6" s="157"/>
      <c r="BMC6" s="157"/>
      <c r="BMD6" s="157"/>
      <c r="BME6" s="157"/>
      <c r="BMF6" s="157"/>
      <c r="BMG6" s="157"/>
      <c r="BMH6" s="157"/>
      <c r="BMI6" s="157"/>
      <c r="BMJ6" s="157"/>
      <c r="BMK6" s="157"/>
      <c r="BML6" s="157"/>
      <c r="BMM6" s="157"/>
      <c r="BMN6" s="157"/>
      <c r="BMO6" s="157"/>
      <c r="BMP6" s="157"/>
      <c r="BMQ6" s="157"/>
      <c r="BMR6" s="157"/>
      <c r="BMS6" s="157"/>
      <c r="BMT6" s="157"/>
      <c r="BMU6" s="157"/>
      <c r="BMV6" s="157"/>
      <c r="BMW6" s="157"/>
      <c r="BMX6" s="157"/>
      <c r="BMY6" s="157"/>
      <c r="BMZ6" s="157"/>
      <c r="BNA6" s="157"/>
      <c r="BNB6" s="157"/>
      <c r="BNC6" s="157"/>
      <c r="BND6" s="157"/>
      <c r="BNE6" s="157"/>
      <c r="BNF6" s="157"/>
      <c r="BNG6" s="157"/>
      <c r="BNH6" s="157"/>
      <c r="BNI6" s="157"/>
      <c r="BNJ6" s="157"/>
      <c r="BNK6" s="157"/>
      <c r="BNL6" s="157"/>
      <c r="BNM6" s="157"/>
      <c r="BNN6" s="157"/>
      <c r="BNO6" s="157"/>
      <c r="BNP6" s="157"/>
      <c r="BNQ6" s="157"/>
      <c r="BNR6" s="157"/>
      <c r="BNS6" s="157"/>
      <c r="BNT6" s="157"/>
      <c r="BNU6" s="157"/>
      <c r="BNV6" s="157"/>
      <c r="BNW6" s="157"/>
      <c r="BNX6" s="157"/>
      <c r="BNY6" s="157"/>
      <c r="BNZ6" s="157"/>
      <c r="BOA6" s="157"/>
      <c r="BOB6" s="157"/>
      <c r="BOC6" s="157"/>
      <c r="BOD6" s="157"/>
      <c r="BOE6" s="157"/>
      <c r="BOF6" s="157"/>
      <c r="BOG6" s="157"/>
      <c r="BOH6" s="157"/>
      <c r="BOI6" s="157"/>
      <c r="BOJ6" s="157"/>
      <c r="BOK6" s="157"/>
      <c r="BOL6" s="157"/>
      <c r="BOM6" s="157"/>
      <c r="BON6" s="157"/>
      <c r="BOO6" s="157"/>
      <c r="BOP6" s="157"/>
      <c r="BOQ6" s="157"/>
      <c r="BOR6" s="157"/>
      <c r="BOS6" s="157"/>
      <c r="BOT6" s="157"/>
      <c r="BOU6" s="157"/>
      <c r="BOV6" s="157"/>
      <c r="BOW6" s="157"/>
      <c r="BOX6" s="157"/>
      <c r="BOY6" s="157"/>
      <c r="BOZ6" s="157"/>
      <c r="BPA6" s="157"/>
      <c r="BPB6" s="157"/>
      <c r="BPC6" s="157"/>
      <c r="BPD6" s="157"/>
      <c r="BPE6" s="157"/>
      <c r="BPF6" s="157"/>
      <c r="BPG6" s="157"/>
      <c r="BPH6" s="157"/>
      <c r="BPI6" s="157"/>
      <c r="BPJ6" s="157"/>
      <c r="BPK6" s="157"/>
      <c r="BPL6" s="157"/>
      <c r="BPM6" s="157"/>
      <c r="BPN6" s="157"/>
      <c r="BPO6" s="157"/>
      <c r="BPP6" s="157"/>
      <c r="BPQ6" s="157"/>
      <c r="BPR6" s="157"/>
      <c r="BPS6" s="157"/>
      <c r="BPT6" s="157"/>
      <c r="BPU6" s="157"/>
      <c r="BPV6" s="157"/>
      <c r="BPW6" s="157"/>
      <c r="BPX6" s="157"/>
      <c r="BPY6" s="157"/>
      <c r="BPZ6" s="157"/>
      <c r="BQA6" s="157"/>
      <c r="BQB6" s="157"/>
      <c r="BQC6" s="157"/>
      <c r="BQD6" s="157"/>
      <c r="BQE6" s="157"/>
      <c r="BQF6" s="157"/>
      <c r="BQG6" s="157"/>
      <c r="BQH6" s="157"/>
      <c r="BQI6" s="157"/>
      <c r="BQJ6" s="157"/>
      <c r="BQK6" s="157"/>
      <c r="BQL6" s="157"/>
      <c r="BQM6" s="157"/>
      <c r="BQN6" s="157"/>
      <c r="BQO6" s="157"/>
      <c r="BQP6" s="157"/>
      <c r="BQQ6" s="157"/>
      <c r="BQR6" s="157"/>
      <c r="BQS6" s="157"/>
      <c r="BQT6" s="157"/>
      <c r="BQU6" s="157"/>
      <c r="BQV6" s="157"/>
      <c r="BQW6" s="157"/>
      <c r="BQX6" s="157"/>
      <c r="BQY6" s="157"/>
      <c r="BQZ6" s="157"/>
      <c r="BRA6" s="157"/>
      <c r="BRB6" s="157"/>
      <c r="BRC6" s="157"/>
      <c r="BRD6" s="157"/>
      <c r="BRE6" s="157"/>
      <c r="BRF6" s="157"/>
      <c r="BRG6" s="157"/>
      <c r="BRH6" s="157"/>
      <c r="BRI6" s="157"/>
      <c r="BRJ6" s="157"/>
      <c r="BRK6" s="157"/>
      <c r="BRL6" s="157"/>
      <c r="BRM6" s="157"/>
      <c r="BRN6" s="157"/>
      <c r="BRO6" s="157"/>
      <c r="BRP6" s="157"/>
      <c r="BRQ6" s="157"/>
      <c r="BRR6" s="157"/>
      <c r="BRS6" s="157"/>
      <c r="BRT6" s="157"/>
      <c r="BRU6" s="157"/>
      <c r="BRV6" s="157"/>
      <c r="BRW6" s="157"/>
      <c r="BRX6" s="157"/>
      <c r="BRY6" s="157"/>
      <c r="BRZ6" s="157"/>
      <c r="BSA6" s="157"/>
      <c r="BSB6" s="157"/>
      <c r="BSC6" s="157"/>
      <c r="BSD6" s="157"/>
      <c r="BSE6" s="157"/>
      <c r="BSF6" s="157"/>
      <c r="BSG6" s="157"/>
      <c r="BSH6" s="157"/>
      <c r="BSI6" s="157"/>
      <c r="BSJ6" s="157"/>
      <c r="BSK6" s="157"/>
      <c r="BSL6" s="157"/>
      <c r="BSM6" s="157"/>
      <c r="BSN6" s="157"/>
      <c r="BSO6" s="157"/>
      <c r="BSP6" s="157"/>
      <c r="BSQ6" s="157"/>
      <c r="BSR6" s="157"/>
      <c r="BSS6" s="157"/>
      <c r="BST6" s="157"/>
      <c r="BSU6" s="157"/>
      <c r="BSV6" s="157"/>
      <c r="BSW6" s="157"/>
      <c r="BSX6" s="157"/>
      <c r="BSY6" s="157"/>
      <c r="BSZ6" s="157"/>
      <c r="BTA6" s="157"/>
      <c r="BTB6" s="157"/>
      <c r="BTC6" s="157"/>
      <c r="BTD6" s="157"/>
      <c r="BTE6" s="157"/>
      <c r="BTF6" s="157"/>
      <c r="BTG6" s="157"/>
      <c r="BTH6" s="157"/>
      <c r="BTI6" s="157"/>
      <c r="BTJ6" s="157"/>
      <c r="BTK6" s="157"/>
      <c r="BTL6" s="157"/>
      <c r="BTM6" s="157"/>
      <c r="BTN6" s="157"/>
      <c r="BTO6" s="157"/>
      <c r="BTP6" s="157"/>
      <c r="BTQ6" s="157"/>
      <c r="BTR6" s="157"/>
      <c r="BTS6" s="157"/>
      <c r="BTT6" s="157"/>
      <c r="BTU6" s="157"/>
      <c r="BTV6" s="157"/>
      <c r="BTW6" s="157"/>
      <c r="BTX6" s="157"/>
      <c r="BTY6" s="157"/>
      <c r="BTZ6" s="157"/>
      <c r="BUA6" s="157"/>
      <c r="BUB6" s="157"/>
      <c r="BUC6" s="157"/>
      <c r="BUD6" s="157"/>
      <c r="BUE6" s="157"/>
      <c r="BUF6" s="157"/>
      <c r="BUG6" s="157"/>
      <c r="BUH6" s="157"/>
      <c r="BUI6" s="157"/>
      <c r="BUJ6" s="157"/>
      <c r="BUK6" s="157"/>
      <c r="BUL6" s="157"/>
      <c r="BUM6" s="157"/>
      <c r="BUN6" s="157"/>
      <c r="BUO6" s="157"/>
      <c r="BUP6" s="157"/>
      <c r="BUQ6" s="157"/>
      <c r="BUR6" s="157"/>
      <c r="BUS6" s="157"/>
      <c r="BUT6" s="157"/>
      <c r="BUU6" s="157"/>
      <c r="BUV6" s="157"/>
      <c r="BUW6" s="157"/>
      <c r="BUX6" s="157"/>
      <c r="BUY6" s="157"/>
      <c r="BUZ6" s="157"/>
      <c r="BVA6" s="157"/>
      <c r="BVB6" s="157"/>
      <c r="BVC6" s="157"/>
      <c r="BVD6" s="157"/>
      <c r="BVE6" s="157"/>
      <c r="BVF6" s="157"/>
      <c r="BVG6" s="157"/>
      <c r="BVH6" s="157"/>
      <c r="BVI6" s="157"/>
      <c r="BVJ6" s="157"/>
      <c r="BVK6" s="157"/>
      <c r="BVL6" s="157"/>
      <c r="BVM6" s="157"/>
      <c r="BVN6" s="157"/>
      <c r="BVO6" s="157"/>
      <c r="BVP6" s="157"/>
      <c r="BVQ6" s="157"/>
      <c r="BVR6" s="157"/>
      <c r="BVS6" s="157"/>
      <c r="BVT6" s="157"/>
      <c r="BVU6" s="157"/>
      <c r="BVV6" s="157"/>
      <c r="BVW6" s="157"/>
      <c r="BVX6" s="157"/>
      <c r="BVY6" s="157"/>
      <c r="BVZ6" s="157"/>
      <c r="BWA6" s="157"/>
      <c r="BWB6" s="157"/>
      <c r="BWC6" s="157"/>
      <c r="BWD6" s="157"/>
      <c r="BWE6" s="157"/>
      <c r="BWF6" s="157"/>
      <c r="BWG6" s="157"/>
      <c r="BWH6" s="157"/>
      <c r="BWI6" s="157"/>
      <c r="BWJ6" s="157"/>
      <c r="BWK6" s="157"/>
      <c r="BWL6" s="157"/>
      <c r="BWM6" s="157"/>
      <c r="BWN6" s="157"/>
      <c r="BWO6" s="157"/>
      <c r="BWP6" s="157"/>
      <c r="BWQ6" s="157"/>
      <c r="BWR6" s="157"/>
      <c r="BWS6" s="157"/>
      <c r="BWT6" s="157"/>
      <c r="BWU6" s="157"/>
      <c r="BWV6" s="157"/>
      <c r="BWW6" s="157"/>
      <c r="BWX6" s="157"/>
      <c r="BWY6" s="157"/>
      <c r="BWZ6" s="157"/>
      <c r="BXA6" s="157"/>
      <c r="BXB6" s="157"/>
      <c r="BXC6" s="157"/>
      <c r="BXD6" s="157"/>
      <c r="BXE6" s="157"/>
      <c r="BXF6" s="157"/>
      <c r="BXG6" s="157"/>
      <c r="BXH6" s="157"/>
      <c r="BXI6" s="157"/>
      <c r="BXJ6" s="157"/>
      <c r="BXK6" s="157"/>
      <c r="BXL6" s="157"/>
      <c r="BXM6" s="157"/>
      <c r="BXN6" s="157"/>
      <c r="BXO6" s="157"/>
      <c r="BXP6" s="157"/>
      <c r="BXQ6" s="157"/>
      <c r="BXR6" s="157"/>
      <c r="BXS6" s="157"/>
      <c r="BXT6" s="157"/>
      <c r="BXU6" s="157"/>
      <c r="BXV6" s="157"/>
      <c r="BXW6" s="157"/>
      <c r="BXX6" s="157"/>
      <c r="BXY6" s="157"/>
      <c r="BXZ6" s="157"/>
      <c r="BYA6" s="157"/>
      <c r="BYB6" s="157"/>
      <c r="BYC6" s="157"/>
      <c r="BYD6" s="157"/>
      <c r="BYE6" s="157"/>
      <c r="BYF6" s="157"/>
      <c r="BYG6" s="157"/>
      <c r="BYH6" s="157"/>
      <c r="BYI6" s="157"/>
      <c r="BYJ6" s="157"/>
      <c r="BYK6" s="157"/>
      <c r="BYL6" s="157"/>
      <c r="BYM6" s="157"/>
      <c r="BYN6" s="157"/>
      <c r="BYO6" s="157"/>
      <c r="BYP6" s="157"/>
      <c r="BYQ6" s="157"/>
      <c r="BYR6" s="157"/>
      <c r="BYS6" s="157"/>
      <c r="BYT6" s="157"/>
      <c r="BYU6" s="157"/>
      <c r="BYV6" s="157"/>
      <c r="BYW6" s="157"/>
      <c r="BYX6" s="157"/>
      <c r="BYY6" s="157"/>
      <c r="BYZ6" s="157"/>
      <c r="BZA6" s="157"/>
      <c r="BZB6" s="157"/>
      <c r="BZC6" s="157"/>
      <c r="BZD6" s="157"/>
      <c r="BZE6" s="157"/>
      <c r="BZF6" s="157"/>
      <c r="BZG6" s="157"/>
      <c r="BZH6" s="157"/>
      <c r="BZI6" s="157"/>
      <c r="BZJ6" s="157"/>
      <c r="BZK6" s="157"/>
      <c r="BZL6" s="157"/>
      <c r="BZM6" s="157"/>
      <c r="BZN6" s="157"/>
      <c r="BZO6" s="157"/>
      <c r="BZP6" s="157"/>
      <c r="BZQ6" s="157"/>
      <c r="BZR6" s="157"/>
      <c r="BZS6" s="157"/>
      <c r="BZT6" s="157"/>
      <c r="BZU6" s="157"/>
      <c r="BZV6" s="157"/>
      <c r="BZW6" s="157"/>
      <c r="BZX6" s="157"/>
      <c r="BZY6" s="157"/>
      <c r="BZZ6" s="157"/>
      <c r="CAA6" s="157"/>
      <c r="CAB6" s="157"/>
      <c r="CAC6" s="157"/>
      <c r="CAD6" s="157"/>
      <c r="CAE6" s="157"/>
      <c r="CAF6" s="157"/>
      <c r="CAG6" s="157"/>
      <c r="CAH6" s="157"/>
      <c r="CAI6" s="157"/>
      <c r="CAJ6" s="157"/>
      <c r="CAK6" s="157"/>
      <c r="CAL6" s="157"/>
      <c r="CAM6" s="157"/>
      <c r="CAN6" s="157"/>
      <c r="CAO6" s="157"/>
      <c r="CAP6" s="157"/>
      <c r="CAQ6" s="157"/>
      <c r="CAR6" s="157"/>
      <c r="CAS6" s="157"/>
      <c r="CAT6" s="157"/>
      <c r="CAU6" s="157"/>
      <c r="CAV6" s="157"/>
      <c r="CAW6" s="157"/>
      <c r="CAX6" s="157"/>
      <c r="CAY6" s="157"/>
      <c r="CAZ6" s="157"/>
      <c r="CBA6" s="157"/>
      <c r="CBB6" s="157"/>
      <c r="CBC6" s="157"/>
      <c r="CBD6" s="157"/>
      <c r="CBE6" s="157"/>
      <c r="CBF6" s="157"/>
      <c r="CBG6" s="157"/>
      <c r="CBH6" s="157"/>
      <c r="CBI6" s="157"/>
      <c r="CBJ6" s="157"/>
      <c r="CBK6" s="157"/>
      <c r="CBL6" s="157"/>
      <c r="CBM6" s="157"/>
      <c r="CBN6" s="157"/>
      <c r="CBO6" s="157"/>
      <c r="CBP6" s="157"/>
      <c r="CBQ6" s="157"/>
      <c r="CBR6" s="157"/>
      <c r="CBS6" s="157"/>
      <c r="CBT6" s="157"/>
      <c r="CBU6" s="157"/>
      <c r="CBV6" s="157"/>
      <c r="CBW6" s="157"/>
      <c r="CBX6" s="157"/>
      <c r="CBY6" s="157"/>
      <c r="CBZ6" s="157"/>
      <c r="CCA6" s="157"/>
      <c r="CCB6" s="157"/>
      <c r="CCC6" s="157"/>
      <c r="CCD6" s="157"/>
      <c r="CCE6" s="157"/>
      <c r="CCF6" s="157"/>
      <c r="CCG6" s="157"/>
      <c r="CCH6" s="157"/>
      <c r="CCI6" s="157"/>
      <c r="CCJ6" s="157"/>
      <c r="CCK6" s="157"/>
      <c r="CCL6" s="157"/>
      <c r="CCM6" s="157"/>
      <c r="CCN6" s="157"/>
      <c r="CCO6" s="157"/>
      <c r="CCP6" s="157"/>
      <c r="CCQ6" s="157"/>
      <c r="CCR6" s="157"/>
      <c r="CCS6" s="157"/>
      <c r="CCT6" s="157"/>
      <c r="CCU6" s="157"/>
      <c r="CCV6" s="157"/>
      <c r="CCW6" s="157"/>
      <c r="CCX6" s="157"/>
      <c r="CCY6" s="157"/>
      <c r="CCZ6" s="157"/>
      <c r="CDA6" s="157"/>
      <c r="CDB6" s="157"/>
      <c r="CDC6" s="157"/>
      <c r="CDD6" s="157"/>
      <c r="CDE6" s="157"/>
      <c r="CDF6" s="157"/>
      <c r="CDG6" s="157"/>
      <c r="CDH6" s="157"/>
      <c r="CDI6" s="157"/>
      <c r="CDJ6" s="157"/>
      <c r="CDK6" s="157"/>
      <c r="CDL6" s="157"/>
      <c r="CDM6" s="157"/>
      <c r="CDN6" s="157"/>
      <c r="CDO6" s="157"/>
      <c r="CDP6" s="157"/>
      <c r="CDQ6" s="157"/>
      <c r="CDR6" s="157"/>
      <c r="CDS6" s="157"/>
      <c r="CDT6" s="157"/>
      <c r="CDU6" s="157"/>
      <c r="CDV6" s="157"/>
      <c r="CDW6" s="157"/>
      <c r="CDX6" s="157"/>
      <c r="CDY6" s="157"/>
      <c r="CDZ6" s="157"/>
      <c r="CEA6" s="157"/>
      <c r="CEB6" s="157"/>
      <c r="CEC6" s="157"/>
      <c r="CED6" s="157"/>
      <c r="CEE6" s="157"/>
      <c r="CEF6" s="157"/>
      <c r="CEG6" s="157"/>
      <c r="CEH6" s="157"/>
      <c r="CEI6" s="157"/>
      <c r="CEJ6" s="157"/>
      <c r="CEK6" s="157"/>
      <c r="CEL6" s="157"/>
      <c r="CEM6" s="157"/>
      <c r="CEN6" s="157"/>
      <c r="CEO6" s="157"/>
      <c r="CEP6" s="157"/>
      <c r="CEQ6" s="157"/>
      <c r="CER6" s="157"/>
      <c r="CES6" s="157"/>
      <c r="CET6" s="157"/>
      <c r="CEU6" s="157"/>
      <c r="CEV6" s="157"/>
      <c r="CEW6" s="157"/>
      <c r="CEX6" s="157"/>
      <c r="CEY6" s="157"/>
      <c r="CEZ6" s="157"/>
      <c r="CFA6" s="157"/>
      <c r="CFB6" s="157"/>
      <c r="CFC6" s="157"/>
      <c r="CFD6" s="157"/>
      <c r="CFE6" s="157"/>
      <c r="CFF6" s="157"/>
      <c r="CFG6" s="157"/>
      <c r="CFH6" s="157"/>
      <c r="CFI6" s="157"/>
      <c r="CFJ6" s="157"/>
      <c r="CFK6" s="157"/>
      <c r="CFL6" s="157"/>
      <c r="CFM6" s="157"/>
      <c r="CFN6" s="157"/>
      <c r="CFO6" s="157"/>
      <c r="CFP6" s="157"/>
      <c r="CFQ6" s="157"/>
      <c r="CFR6" s="157"/>
      <c r="CFS6" s="157"/>
      <c r="CFT6" s="157"/>
      <c r="CFU6" s="157"/>
      <c r="CFV6" s="157"/>
      <c r="CFW6" s="157"/>
      <c r="CFX6" s="157"/>
      <c r="CFY6" s="157"/>
      <c r="CFZ6" s="157"/>
      <c r="CGA6" s="157"/>
      <c r="CGB6" s="157"/>
      <c r="CGC6" s="157"/>
      <c r="CGD6" s="157"/>
      <c r="CGE6" s="157"/>
      <c r="CGF6" s="157"/>
      <c r="CGG6" s="157"/>
      <c r="CGH6" s="157"/>
      <c r="CGI6" s="157"/>
      <c r="CGJ6" s="157"/>
      <c r="CGK6" s="157"/>
      <c r="CGL6" s="157"/>
      <c r="CGM6" s="157"/>
      <c r="CGN6" s="157"/>
      <c r="CGO6" s="157"/>
      <c r="CGP6" s="157"/>
      <c r="CGQ6" s="157"/>
      <c r="CGR6" s="157"/>
      <c r="CGS6" s="157"/>
      <c r="CGT6" s="157"/>
      <c r="CGU6" s="157"/>
      <c r="CGV6" s="157"/>
      <c r="CGW6" s="157"/>
      <c r="CGX6" s="157"/>
      <c r="CGY6" s="157"/>
      <c r="CGZ6" s="157"/>
      <c r="CHA6" s="157"/>
      <c r="CHB6" s="157"/>
      <c r="CHC6" s="157"/>
      <c r="CHD6" s="157"/>
      <c r="CHE6" s="157"/>
      <c r="CHF6" s="157"/>
      <c r="CHG6" s="157"/>
      <c r="CHH6" s="157"/>
      <c r="CHI6" s="157"/>
      <c r="CHJ6" s="157"/>
      <c r="CHK6" s="157"/>
      <c r="CHL6" s="157"/>
      <c r="CHM6" s="157"/>
      <c r="CHN6" s="157"/>
      <c r="CHO6" s="157"/>
      <c r="CHP6" s="157"/>
      <c r="CHQ6" s="157"/>
      <c r="CHR6" s="157"/>
      <c r="CHS6" s="157"/>
      <c r="CHT6" s="157"/>
      <c r="CHU6" s="157"/>
      <c r="CHV6" s="157"/>
      <c r="CHW6" s="157"/>
      <c r="CHX6" s="157"/>
      <c r="CHY6" s="157"/>
      <c r="CHZ6" s="157"/>
      <c r="CIA6" s="157"/>
      <c r="CIB6" s="157"/>
      <c r="CIC6" s="157"/>
      <c r="CID6" s="157"/>
      <c r="CIE6" s="157"/>
      <c r="CIF6" s="157"/>
      <c r="CIG6" s="157"/>
      <c r="CIH6" s="157"/>
      <c r="CII6" s="157"/>
      <c r="CIJ6" s="157"/>
      <c r="CIK6" s="157"/>
      <c r="CIL6" s="157"/>
      <c r="CIM6" s="157"/>
      <c r="CIN6" s="157"/>
      <c r="CIO6" s="157"/>
      <c r="CIP6" s="157"/>
      <c r="CIQ6" s="157"/>
      <c r="CIR6" s="157"/>
      <c r="CIS6" s="157"/>
      <c r="CIT6" s="157"/>
      <c r="CIU6" s="157"/>
      <c r="CIV6" s="157"/>
      <c r="CIW6" s="157"/>
      <c r="CIX6" s="157"/>
      <c r="CIY6" s="157"/>
      <c r="CIZ6" s="157"/>
      <c r="CJA6" s="157"/>
      <c r="CJB6" s="157"/>
      <c r="CJC6" s="157"/>
      <c r="CJD6" s="157"/>
      <c r="CJE6" s="157"/>
      <c r="CJF6" s="157"/>
      <c r="CJG6" s="157"/>
      <c r="CJH6" s="157"/>
      <c r="CJI6" s="157"/>
      <c r="CJJ6" s="157"/>
      <c r="CJK6" s="157"/>
      <c r="CJL6" s="157"/>
      <c r="CJM6" s="157"/>
      <c r="CJN6" s="157"/>
      <c r="CJO6" s="157"/>
      <c r="CJP6" s="157"/>
      <c r="CJQ6" s="157"/>
      <c r="CJR6" s="157"/>
      <c r="CJS6" s="157"/>
      <c r="CJT6" s="157"/>
      <c r="CJU6" s="157"/>
      <c r="CJV6" s="157"/>
      <c r="CJW6" s="157"/>
      <c r="CJX6" s="157"/>
      <c r="CJY6" s="157"/>
      <c r="CJZ6" s="157"/>
      <c r="CKA6" s="157"/>
      <c r="CKB6" s="157"/>
      <c r="CKC6" s="157"/>
      <c r="CKD6" s="157"/>
      <c r="CKE6" s="157"/>
      <c r="CKF6" s="157"/>
      <c r="CKG6" s="157"/>
      <c r="CKH6" s="157"/>
      <c r="CKI6" s="157"/>
      <c r="CKJ6" s="157"/>
      <c r="CKK6" s="157"/>
      <c r="CKL6" s="157"/>
      <c r="CKM6" s="157"/>
      <c r="CKN6" s="157"/>
      <c r="CKO6" s="157"/>
      <c r="CKP6" s="157"/>
      <c r="CKQ6" s="157"/>
      <c r="CKR6" s="157"/>
      <c r="CKS6" s="157"/>
      <c r="CKT6" s="157"/>
      <c r="CKU6" s="157"/>
      <c r="CKV6" s="157"/>
      <c r="CKW6" s="157"/>
      <c r="CKX6" s="157"/>
      <c r="CKY6" s="157"/>
      <c r="CKZ6" s="157"/>
      <c r="CLA6" s="157"/>
      <c r="CLB6" s="157"/>
      <c r="CLC6" s="157"/>
      <c r="CLD6" s="157"/>
      <c r="CLE6" s="157"/>
      <c r="CLF6" s="157"/>
      <c r="CLG6" s="157"/>
      <c r="CLH6" s="157"/>
      <c r="CLI6" s="157"/>
      <c r="CLJ6" s="157"/>
      <c r="CLK6" s="157"/>
      <c r="CLL6" s="157"/>
      <c r="CLM6" s="157"/>
      <c r="CLN6" s="157"/>
      <c r="CLO6" s="157"/>
      <c r="CLP6" s="157"/>
      <c r="CLQ6" s="157"/>
      <c r="CLR6" s="157"/>
      <c r="CLS6" s="157"/>
      <c r="CLT6" s="157"/>
      <c r="CLU6" s="157"/>
      <c r="CLV6" s="157"/>
      <c r="CLW6" s="157"/>
      <c r="CLX6" s="157"/>
      <c r="CLY6" s="157"/>
      <c r="CLZ6" s="157"/>
      <c r="CMA6" s="157"/>
      <c r="CMB6" s="157"/>
      <c r="CMC6" s="157"/>
      <c r="CMD6" s="157"/>
      <c r="CME6" s="157"/>
      <c r="CMF6" s="157"/>
      <c r="CMG6" s="157"/>
      <c r="CMH6" s="157"/>
      <c r="CMI6" s="157"/>
      <c r="CMJ6" s="157"/>
      <c r="CMK6" s="157"/>
      <c r="CML6" s="157"/>
      <c r="CMM6" s="157"/>
      <c r="CMN6" s="157"/>
      <c r="CMO6" s="157"/>
      <c r="CMP6" s="157"/>
      <c r="CMQ6" s="157"/>
      <c r="CMR6" s="157"/>
      <c r="CMS6" s="157"/>
      <c r="CMT6" s="157"/>
      <c r="CMU6" s="157"/>
      <c r="CMV6" s="157"/>
      <c r="CMW6" s="157"/>
      <c r="CMX6" s="157"/>
      <c r="CMY6" s="157"/>
      <c r="CMZ6" s="157"/>
      <c r="CNA6" s="157"/>
      <c r="CNB6" s="157"/>
      <c r="CNC6" s="157"/>
      <c r="CND6" s="157"/>
      <c r="CNE6" s="157"/>
      <c r="CNF6" s="157"/>
      <c r="CNG6" s="157"/>
      <c r="CNH6" s="157"/>
      <c r="CNI6" s="157"/>
      <c r="CNJ6" s="157"/>
      <c r="CNK6" s="157"/>
      <c r="CNL6" s="157"/>
      <c r="CNM6" s="157"/>
      <c r="CNN6" s="157"/>
      <c r="CNO6" s="157"/>
      <c r="CNP6" s="157"/>
      <c r="CNQ6" s="157"/>
      <c r="CNR6" s="157"/>
      <c r="CNS6" s="157"/>
      <c r="CNT6" s="157"/>
      <c r="CNU6" s="157"/>
      <c r="CNV6" s="157"/>
      <c r="CNW6" s="157"/>
      <c r="CNX6" s="157"/>
      <c r="CNY6" s="157"/>
      <c r="CNZ6" s="157"/>
      <c r="COA6" s="157"/>
      <c r="COB6" s="157"/>
      <c r="COC6" s="157"/>
      <c r="COD6" s="157"/>
      <c r="COE6" s="157"/>
      <c r="COF6" s="157"/>
      <c r="COG6" s="157"/>
      <c r="COH6" s="157"/>
      <c r="COI6" s="157"/>
      <c r="COJ6" s="157"/>
      <c r="COK6" s="157"/>
      <c r="COL6" s="157"/>
      <c r="COM6" s="157"/>
      <c r="CON6" s="157"/>
      <c r="COO6" s="157"/>
      <c r="COP6" s="157"/>
      <c r="COQ6" s="157"/>
      <c r="COR6" s="157"/>
      <c r="COS6" s="157"/>
      <c r="COT6" s="157"/>
      <c r="COU6" s="157"/>
      <c r="COV6" s="157"/>
      <c r="COW6" s="157"/>
      <c r="COX6" s="157"/>
      <c r="COY6" s="157"/>
      <c r="COZ6" s="157"/>
      <c r="CPA6" s="157"/>
      <c r="CPB6" s="157"/>
      <c r="CPC6" s="157"/>
      <c r="CPD6" s="157"/>
      <c r="CPE6" s="157"/>
      <c r="CPF6" s="157"/>
      <c r="CPG6" s="157"/>
      <c r="CPH6" s="157"/>
      <c r="CPI6" s="157"/>
      <c r="CPJ6" s="157"/>
      <c r="CPK6" s="157"/>
      <c r="CPL6" s="157"/>
      <c r="CPM6" s="157"/>
      <c r="CPN6" s="157"/>
      <c r="CPO6" s="157"/>
      <c r="CPP6" s="157"/>
      <c r="CPQ6" s="157"/>
      <c r="CPR6" s="157"/>
      <c r="CPS6" s="157"/>
      <c r="CPT6" s="157"/>
      <c r="CPU6" s="157"/>
      <c r="CPV6" s="157"/>
      <c r="CPW6" s="157"/>
      <c r="CPX6" s="157"/>
      <c r="CPY6" s="157"/>
      <c r="CPZ6" s="157"/>
      <c r="CQA6" s="157"/>
      <c r="CQB6" s="157"/>
      <c r="CQC6" s="157"/>
      <c r="CQD6" s="157"/>
      <c r="CQE6" s="157"/>
      <c r="CQF6" s="157"/>
      <c r="CQG6" s="157"/>
      <c r="CQH6" s="157"/>
      <c r="CQI6" s="157"/>
      <c r="CQJ6" s="157"/>
      <c r="CQK6" s="157"/>
      <c r="CQL6" s="157"/>
      <c r="CQM6" s="157"/>
      <c r="CQN6" s="157"/>
      <c r="CQO6" s="157"/>
      <c r="CQP6" s="157"/>
      <c r="CQQ6" s="157"/>
      <c r="CQR6" s="157"/>
      <c r="CQS6" s="157"/>
      <c r="CQT6" s="157"/>
      <c r="CQU6" s="157"/>
      <c r="CQV6" s="157"/>
      <c r="CQW6" s="157"/>
      <c r="CQX6" s="157"/>
      <c r="CQY6" s="157"/>
      <c r="CQZ6" s="157"/>
      <c r="CRA6" s="157"/>
      <c r="CRB6" s="157"/>
      <c r="CRC6" s="157"/>
      <c r="CRD6" s="157"/>
      <c r="CRE6" s="157"/>
      <c r="CRF6" s="157"/>
      <c r="CRG6" s="157"/>
      <c r="CRH6" s="157"/>
      <c r="CRI6" s="157"/>
      <c r="CRJ6" s="157"/>
      <c r="CRK6" s="157"/>
      <c r="CRL6" s="157"/>
      <c r="CRM6" s="157"/>
      <c r="CRN6" s="157"/>
      <c r="CRO6" s="157"/>
      <c r="CRP6" s="157"/>
      <c r="CRQ6" s="157"/>
      <c r="CRR6" s="157"/>
      <c r="CRS6" s="157"/>
      <c r="CRT6" s="157"/>
      <c r="CRU6" s="157"/>
      <c r="CRV6" s="157"/>
      <c r="CRW6" s="157"/>
      <c r="CRX6" s="157"/>
      <c r="CRY6" s="157"/>
      <c r="CRZ6" s="157"/>
      <c r="CSA6" s="157"/>
      <c r="CSB6" s="157"/>
      <c r="CSC6" s="157"/>
      <c r="CSD6" s="157"/>
      <c r="CSE6" s="157"/>
      <c r="CSF6" s="157"/>
      <c r="CSG6" s="157"/>
      <c r="CSH6" s="157"/>
      <c r="CSI6" s="157"/>
      <c r="CSJ6" s="157"/>
      <c r="CSK6" s="157"/>
      <c r="CSL6" s="157"/>
      <c r="CSM6" s="157"/>
      <c r="CSN6" s="157"/>
      <c r="CSO6" s="157"/>
      <c r="CSP6" s="157"/>
      <c r="CSQ6" s="157"/>
      <c r="CSR6" s="157"/>
      <c r="CSS6" s="157"/>
      <c r="CST6" s="157"/>
      <c r="CSU6" s="157"/>
      <c r="CSV6" s="157"/>
      <c r="CSW6" s="157"/>
      <c r="CSX6" s="157"/>
      <c r="CSY6" s="157"/>
      <c r="CSZ6" s="157"/>
      <c r="CTA6" s="157"/>
      <c r="CTB6" s="157"/>
      <c r="CTC6" s="157"/>
      <c r="CTD6" s="157"/>
      <c r="CTE6" s="157"/>
      <c r="CTF6" s="157"/>
      <c r="CTG6" s="157"/>
      <c r="CTH6" s="157"/>
      <c r="CTI6" s="157"/>
      <c r="CTJ6" s="157"/>
      <c r="CTK6" s="157"/>
      <c r="CTL6" s="157"/>
      <c r="CTM6" s="157"/>
      <c r="CTN6" s="157"/>
      <c r="CTO6" s="157"/>
      <c r="CTP6" s="157"/>
      <c r="CTQ6" s="157"/>
      <c r="CTR6" s="157"/>
      <c r="CTS6" s="157"/>
      <c r="CTT6" s="157"/>
      <c r="CTU6" s="157"/>
      <c r="CTV6" s="157"/>
      <c r="CTW6" s="157"/>
      <c r="CTX6" s="157"/>
      <c r="CTY6" s="157"/>
      <c r="CTZ6" s="157"/>
      <c r="CUA6" s="157"/>
      <c r="CUB6" s="157"/>
      <c r="CUC6" s="157"/>
      <c r="CUD6" s="157"/>
      <c r="CUE6" s="157"/>
      <c r="CUF6" s="157"/>
      <c r="CUG6" s="157"/>
      <c r="CUH6" s="157"/>
      <c r="CUI6" s="157"/>
      <c r="CUJ6" s="157"/>
      <c r="CUK6" s="157"/>
      <c r="CUL6" s="157"/>
      <c r="CUM6" s="157"/>
      <c r="CUN6" s="157"/>
      <c r="CUO6" s="157"/>
      <c r="CUP6" s="157"/>
      <c r="CUQ6" s="157"/>
      <c r="CUR6" s="157"/>
      <c r="CUS6" s="157"/>
      <c r="CUT6" s="157"/>
      <c r="CUU6" s="157"/>
      <c r="CUV6" s="157"/>
      <c r="CUW6" s="157"/>
      <c r="CUX6" s="157"/>
      <c r="CUY6" s="157"/>
      <c r="CUZ6" s="157"/>
      <c r="CVA6" s="157"/>
      <c r="CVB6" s="157"/>
      <c r="CVC6" s="157"/>
      <c r="CVD6" s="157"/>
      <c r="CVE6" s="157"/>
      <c r="CVF6" s="157"/>
      <c r="CVG6" s="157"/>
      <c r="CVH6" s="157"/>
      <c r="CVI6" s="157"/>
      <c r="CVJ6" s="157"/>
      <c r="CVK6" s="157"/>
      <c r="CVL6" s="157"/>
      <c r="CVM6" s="157"/>
      <c r="CVN6" s="157"/>
      <c r="CVO6" s="157"/>
      <c r="CVP6" s="157"/>
      <c r="CVQ6" s="157"/>
      <c r="CVR6" s="157"/>
      <c r="CVS6" s="157"/>
      <c r="CVT6" s="157"/>
      <c r="CVU6" s="157"/>
      <c r="CVV6" s="157"/>
      <c r="CVW6" s="157"/>
      <c r="CVX6" s="157"/>
      <c r="CVY6" s="157"/>
      <c r="CVZ6" s="157"/>
      <c r="CWA6" s="157"/>
      <c r="CWB6" s="157"/>
      <c r="CWC6" s="157"/>
      <c r="CWD6" s="157"/>
      <c r="CWE6" s="157"/>
      <c r="CWF6" s="157"/>
      <c r="CWG6" s="157"/>
      <c r="CWH6" s="157"/>
      <c r="CWI6" s="157"/>
      <c r="CWJ6" s="157"/>
      <c r="CWK6" s="157"/>
      <c r="CWL6" s="157"/>
      <c r="CWM6" s="157"/>
      <c r="CWN6" s="157"/>
      <c r="CWO6" s="157"/>
      <c r="CWP6" s="157"/>
      <c r="CWQ6" s="157"/>
      <c r="CWR6" s="157"/>
      <c r="CWS6" s="157"/>
      <c r="CWT6" s="157"/>
      <c r="CWU6" s="157"/>
      <c r="CWV6" s="157"/>
      <c r="CWW6" s="157"/>
      <c r="CWX6" s="157"/>
      <c r="CWY6" s="157"/>
      <c r="CWZ6" s="157"/>
      <c r="CXA6" s="157"/>
      <c r="CXB6" s="157"/>
      <c r="CXC6" s="157"/>
      <c r="CXD6" s="157"/>
      <c r="CXE6" s="157"/>
      <c r="CXF6" s="157"/>
      <c r="CXG6" s="157"/>
      <c r="CXH6" s="157"/>
      <c r="CXI6" s="157"/>
      <c r="CXJ6" s="157"/>
      <c r="CXK6" s="157"/>
      <c r="CXL6" s="157"/>
      <c r="CXM6" s="157"/>
      <c r="CXN6" s="157"/>
      <c r="CXO6" s="157"/>
      <c r="CXP6" s="157"/>
      <c r="CXQ6" s="157"/>
      <c r="CXR6" s="157"/>
      <c r="CXS6" s="157"/>
      <c r="CXT6" s="157"/>
      <c r="CXU6" s="157"/>
      <c r="CXV6" s="157"/>
      <c r="CXW6" s="157"/>
      <c r="CXX6" s="157"/>
      <c r="CXY6" s="157"/>
      <c r="CXZ6" s="157"/>
      <c r="CYA6" s="157"/>
      <c r="CYB6" s="157"/>
      <c r="CYC6" s="157"/>
      <c r="CYD6" s="157"/>
      <c r="CYE6" s="157"/>
      <c r="CYF6" s="157"/>
      <c r="CYG6" s="157"/>
      <c r="CYH6" s="157"/>
      <c r="CYI6" s="157"/>
      <c r="CYJ6" s="157"/>
      <c r="CYK6" s="157"/>
      <c r="CYL6" s="157"/>
      <c r="CYM6" s="157"/>
      <c r="CYN6" s="157"/>
      <c r="CYO6" s="157"/>
      <c r="CYP6" s="157"/>
      <c r="CYQ6" s="157"/>
      <c r="CYR6" s="157"/>
      <c r="CYS6" s="157"/>
      <c r="CYT6" s="157"/>
      <c r="CYU6" s="157"/>
      <c r="CYV6" s="157"/>
      <c r="CYW6" s="157"/>
      <c r="CYX6" s="157"/>
      <c r="CYY6" s="157"/>
      <c r="CYZ6" s="157"/>
      <c r="CZA6" s="157"/>
      <c r="CZB6" s="157"/>
      <c r="CZC6" s="157"/>
      <c r="CZD6" s="157"/>
      <c r="CZE6" s="157"/>
      <c r="CZF6" s="157"/>
      <c r="CZG6" s="157"/>
      <c r="CZH6" s="157"/>
      <c r="CZI6" s="157"/>
      <c r="CZJ6" s="157"/>
      <c r="CZK6" s="157"/>
      <c r="CZL6" s="157"/>
      <c r="CZM6" s="157"/>
      <c r="CZN6" s="157"/>
      <c r="CZO6" s="157"/>
      <c r="CZP6" s="157"/>
      <c r="CZQ6" s="157"/>
      <c r="CZR6" s="157"/>
      <c r="CZS6" s="157"/>
      <c r="CZT6" s="157"/>
      <c r="CZU6" s="157"/>
      <c r="CZV6" s="157"/>
      <c r="CZW6" s="157"/>
      <c r="CZX6" s="157"/>
      <c r="CZY6" s="157"/>
      <c r="CZZ6" s="157"/>
      <c r="DAA6" s="157"/>
      <c r="DAB6" s="157"/>
      <c r="DAC6" s="157"/>
      <c r="DAD6" s="157"/>
      <c r="DAE6" s="157"/>
      <c r="DAF6" s="157"/>
      <c r="DAG6" s="157"/>
      <c r="DAH6" s="157"/>
      <c r="DAI6" s="157"/>
      <c r="DAJ6" s="157"/>
      <c r="DAK6" s="157"/>
      <c r="DAL6" s="157"/>
      <c r="DAM6" s="157"/>
      <c r="DAN6" s="157"/>
      <c r="DAO6" s="157"/>
      <c r="DAP6" s="157"/>
      <c r="DAQ6" s="157"/>
      <c r="DAR6" s="157"/>
      <c r="DAS6" s="157"/>
      <c r="DAT6" s="157"/>
      <c r="DAU6" s="157"/>
      <c r="DAV6" s="157"/>
      <c r="DAW6" s="157"/>
      <c r="DAX6" s="157"/>
      <c r="DAY6" s="157"/>
      <c r="DAZ6" s="157"/>
      <c r="DBA6" s="157"/>
      <c r="DBB6" s="157"/>
      <c r="DBC6" s="157"/>
      <c r="DBD6" s="157"/>
      <c r="DBE6" s="157"/>
      <c r="DBF6" s="157"/>
      <c r="DBG6" s="157"/>
      <c r="DBH6" s="157"/>
      <c r="DBI6" s="157"/>
      <c r="DBJ6" s="157"/>
      <c r="DBK6" s="157"/>
      <c r="DBL6" s="157"/>
      <c r="DBM6" s="157"/>
      <c r="DBN6" s="157"/>
      <c r="DBO6" s="157"/>
      <c r="DBP6" s="157"/>
      <c r="DBQ6" s="157"/>
      <c r="DBR6" s="157"/>
      <c r="DBS6" s="157"/>
      <c r="DBT6" s="157"/>
      <c r="DBU6" s="157"/>
      <c r="DBV6" s="157"/>
      <c r="DBW6" s="157"/>
      <c r="DBX6" s="157"/>
      <c r="DBY6" s="157"/>
      <c r="DBZ6" s="157"/>
      <c r="DCA6" s="157"/>
      <c r="DCB6" s="157"/>
      <c r="DCC6" s="157"/>
      <c r="DCD6" s="157"/>
      <c r="DCE6" s="157"/>
      <c r="DCF6" s="157"/>
      <c r="DCG6" s="157"/>
      <c r="DCH6" s="157"/>
      <c r="DCI6" s="157"/>
      <c r="DCJ6" s="157"/>
      <c r="DCK6" s="157"/>
      <c r="DCL6" s="157"/>
      <c r="DCM6" s="157"/>
      <c r="DCN6" s="157"/>
      <c r="DCO6" s="157"/>
      <c r="DCP6" s="157"/>
      <c r="DCQ6" s="157"/>
      <c r="DCR6" s="157"/>
      <c r="DCS6" s="157"/>
      <c r="DCT6" s="157"/>
      <c r="DCU6" s="157"/>
      <c r="DCV6" s="157"/>
      <c r="DCW6" s="157"/>
      <c r="DCX6" s="157"/>
      <c r="DCY6" s="157"/>
      <c r="DCZ6" s="157"/>
      <c r="DDA6" s="157"/>
      <c r="DDB6" s="157"/>
      <c r="DDC6" s="157"/>
      <c r="DDD6" s="157"/>
      <c r="DDE6" s="157"/>
      <c r="DDF6" s="157"/>
      <c r="DDG6" s="157"/>
      <c r="DDH6" s="157"/>
      <c r="DDI6" s="157"/>
      <c r="DDJ6" s="157"/>
      <c r="DDK6" s="157"/>
      <c r="DDL6" s="157"/>
      <c r="DDM6" s="157"/>
      <c r="DDN6" s="157"/>
      <c r="DDO6" s="157"/>
      <c r="DDP6" s="157"/>
      <c r="DDQ6" s="157"/>
      <c r="DDR6" s="157"/>
      <c r="DDS6" s="157"/>
      <c r="DDT6" s="157"/>
      <c r="DDU6" s="157"/>
      <c r="DDV6" s="157"/>
      <c r="DDW6" s="157"/>
      <c r="DDX6" s="157"/>
      <c r="DDY6" s="157"/>
      <c r="DDZ6" s="157"/>
      <c r="DEA6" s="157"/>
      <c r="DEB6" s="157"/>
      <c r="DEC6" s="157"/>
      <c r="DED6" s="157"/>
      <c r="DEE6" s="157"/>
      <c r="DEF6" s="157"/>
      <c r="DEG6" s="157"/>
      <c r="DEH6" s="157"/>
      <c r="DEI6" s="157"/>
      <c r="DEJ6" s="157"/>
      <c r="DEK6" s="157"/>
      <c r="DEL6" s="157"/>
      <c r="DEM6" s="157"/>
      <c r="DEN6" s="157"/>
      <c r="DEO6" s="157"/>
      <c r="DEP6" s="157"/>
      <c r="DEQ6" s="157"/>
      <c r="DER6" s="157"/>
      <c r="DES6" s="157"/>
      <c r="DET6" s="157"/>
      <c r="DEU6" s="157"/>
      <c r="DEV6" s="157"/>
      <c r="DEW6" s="157"/>
      <c r="DEX6" s="157"/>
      <c r="DEY6" s="157"/>
      <c r="DEZ6" s="157"/>
      <c r="DFA6" s="157"/>
      <c r="DFB6" s="157"/>
      <c r="DFC6" s="157"/>
      <c r="DFD6" s="157"/>
      <c r="DFE6" s="157"/>
      <c r="DFF6" s="157"/>
      <c r="DFG6" s="157"/>
      <c r="DFH6" s="157"/>
      <c r="DFI6" s="157"/>
      <c r="DFJ6" s="157"/>
      <c r="DFK6" s="157"/>
      <c r="DFL6" s="157"/>
      <c r="DFM6" s="157"/>
      <c r="DFN6" s="157"/>
      <c r="DFO6" s="157"/>
      <c r="DFP6" s="157"/>
      <c r="DFQ6" s="157"/>
      <c r="DFR6" s="157"/>
      <c r="DFS6" s="157"/>
      <c r="DFT6" s="157"/>
      <c r="DFU6" s="157"/>
      <c r="DFV6" s="157"/>
      <c r="DFW6" s="157"/>
      <c r="DFX6" s="157"/>
      <c r="DFY6" s="157"/>
      <c r="DFZ6" s="157"/>
      <c r="DGA6" s="157"/>
      <c r="DGB6" s="157"/>
      <c r="DGC6" s="157"/>
      <c r="DGD6" s="157"/>
      <c r="DGE6" s="157"/>
      <c r="DGF6" s="157"/>
      <c r="DGG6" s="157"/>
      <c r="DGH6" s="157"/>
      <c r="DGI6" s="157"/>
      <c r="DGJ6" s="157"/>
      <c r="DGK6" s="157"/>
      <c r="DGL6" s="157"/>
      <c r="DGM6" s="157"/>
      <c r="DGN6" s="157"/>
      <c r="DGO6" s="157"/>
      <c r="DGP6" s="157"/>
      <c r="DGQ6" s="157"/>
      <c r="DGR6" s="157"/>
      <c r="DGS6" s="157"/>
      <c r="DGT6" s="157"/>
      <c r="DGU6" s="157"/>
      <c r="DGV6" s="157"/>
      <c r="DGW6" s="157"/>
      <c r="DGX6" s="157"/>
      <c r="DGY6" s="157"/>
      <c r="DGZ6" s="157"/>
      <c r="DHA6" s="157"/>
      <c r="DHB6" s="157"/>
      <c r="DHC6" s="157"/>
      <c r="DHD6" s="157"/>
      <c r="DHE6" s="157"/>
      <c r="DHF6" s="157"/>
      <c r="DHG6" s="157"/>
      <c r="DHH6" s="157"/>
      <c r="DHI6" s="157"/>
      <c r="DHJ6" s="157"/>
      <c r="DHK6" s="157"/>
      <c r="DHL6" s="157"/>
      <c r="DHM6" s="157"/>
      <c r="DHN6" s="157"/>
      <c r="DHO6" s="157"/>
      <c r="DHP6" s="157"/>
      <c r="DHQ6" s="157"/>
      <c r="DHR6" s="157"/>
      <c r="DHS6" s="157"/>
      <c r="DHT6" s="157"/>
      <c r="DHU6" s="157"/>
      <c r="DHV6" s="157"/>
      <c r="DHW6" s="157"/>
      <c r="DHX6" s="157"/>
      <c r="DHY6" s="157"/>
      <c r="DHZ6" s="157"/>
      <c r="DIA6" s="157"/>
      <c r="DIB6" s="157"/>
      <c r="DIC6" s="157"/>
      <c r="DID6" s="157"/>
      <c r="DIE6" s="157"/>
      <c r="DIF6" s="157"/>
      <c r="DIG6" s="157"/>
      <c r="DIH6" s="157"/>
      <c r="DII6" s="157"/>
      <c r="DIJ6" s="157"/>
      <c r="DIK6" s="157"/>
      <c r="DIL6" s="157"/>
      <c r="DIM6" s="157"/>
      <c r="DIN6" s="157"/>
      <c r="DIO6" s="157"/>
      <c r="DIP6" s="157"/>
      <c r="DIQ6" s="157"/>
      <c r="DIR6" s="157"/>
      <c r="DIS6" s="157"/>
      <c r="DIT6" s="157"/>
      <c r="DIU6" s="157"/>
      <c r="DIV6" s="157"/>
      <c r="DIW6" s="157"/>
      <c r="DIX6" s="157"/>
      <c r="DIY6" s="157"/>
      <c r="DIZ6" s="157"/>
      <c r="DJA6" s="157"/>
      <c r="DJB6" s="157"/>
      <c r="DJC6" s="157"/>
      <c r="DJD6" s="157"/>
      <c r="DJE6" s="157"/>
      <c r="DJF6" s="157"/>
      <c r="DJG6" s="157"/>
      <c r="DJH6" s="157"/>
      <c r="DJI6" s="157"/>
      <c r="DJJ6" s="157"/>
      <c r="DJK6" s="157"/>
      <c r="DJL6" s="157"/>
      <c r="DJM6" s="157"/>
      <c r="DJN6" s="157"/>
      <c r="DJO6" s="157"/>
      <c r="DJP6" s="157"/>
      <c r="DJQ6" s="157"/>
      <c r="DJR6" s="157"/>
      <c r="DJS6" s="157"/>
      <c r="DJT6" s="157"/>
      <c r="DJU6" s="157"/>
      <c r="DJV6" s="157"/>
      <c r="DJW6" s="157"/>
      <c r="DJX6" s="157"/>
      <c r="DJY6" s="157"/>
      <c r="DJZ6" s="157"/>
      <c r="DKA6" s="157"/>
      <c r="DKB6" s="157"/>
      <c r="DKC6" s="157"/>
      <c r="DKD6" s="157"/>
      <c r="DKE6" s="157"/>
      <c r="DKF6" s="157"/>
      <c r="DKG6" s="157"/>
      <c r="DKH6" s="157"/>
      <c r="DKI6" s="157"/>
      <c r="DKJ6" s="157"/>
      <c r="DKK6" s="157"/>
      <c r="DKL6" s="157"/>
      <c r="DKM6" s="157"/>
      <c r="DKN6" s="157"/>
      <c r="DKO6" s="157"/>
      <c r="DKP6" s="157"/>
      <c r="DKQ6" s="157"/>
      <c r="DKR6" s="157"/>
      <c r="DKS6" s="157"/>
      <c r="DKT6" s="157"/>
      <c r="DKU6" s="157"/>
      <c r="DKV6" s="157"/>
      <c r="DKW6" s="157"/>
      <c r="DKX6" s="157"/>
      <c r="DKY6" s="157"/>
      <c r="DKZ6" s="157"/>
      <c r="DLA6" s="157"/>
      <c r="DLB6" s="157"/>
      <c r="DLC6" s="157"/>
      <c r="DLD6" s="157"/>
      <c r="DLE6" s="157"/>
      <c r="DLF6" s="157"/>
      <c r="DLG6" s="157"/>
      <c r="DLH6" s="157"/>
      <c r="DLI6" s="157"/>
      <c r="DLJ6" s="157"/>
      <c r="DLK6" s="157"/>
      <c r="DLL6" s="157"/>
      <c r="DLM6" s="157"/>
      <c r="DLN6" s="157"/>
      <c r="DLO6" s="157"/>
      <c r="DLP6" s="157"/>
      <c r="DLQ6" s="157"/>
      <c r="DLR6" s="157"/>
      <c r="DLS6" s="157"/>
      <c r="DLT6" s="157"/>
      <c r="DLU6" s="157"/>
      <c r="DLV6" s="157"/>
      <c r="DLW6" s="157"/>
      <c r="DLX6" s="157"/>
      <c r="DLY6" s="157"/>
      <c r="DLZ6" s="157"/>
      <c r="DMA6" s="157"/>
      <c r="DMB6" s="157"/>
      <c r="DMC6" s="157"/>
      <c r="DMD6" s="157"/>
      <c r="DME6" s="157"/>
      <c r="DMF6" s="157"/>
      <c r="DMG6" s="157"/>
      <c r="DMH6" s="157"/>
      <c r="DMI6" s="157"/>
      <c r="DMJ6" s="157"/>
      <c r="DMK6" s="157"/>
      <c r="DML6" s="157"/>
      <c r="DMM6" s="157"/>
      <c r="DMN6" s="157"/>
      <c r="DMO6" s="157"/>
      <c r="DMP6" s="157"/>
      <c r="DMQ6" s="157"/>
      <c r="DMR6" s="157"/>
      <c r="DMS6" s="157"/>
      <c r="DMT6" s="157"/>
      <c r="DMU6" s="157"/>
      <c r="DMV6" s="157"/>
      <c r="DMW6" s="157"/>
      <c r="DMX6" s="157"/>
      <c r="DMY6" s="157"/>
      <c r="DMZ6" s="157"/>
      <c r="DNA6" s="157"/>
      <c r="DNB6" s="157"/>
      <c r="DNC6" s="157"/>
      <c r="DND6" s="157"/>
      <c r="DNE6" s="157"/>
      <c r="DNF6" s="157"/>
      <c r="DNG6" s="157"/>
      <c r="DNH6" s="157"/>
      <c r="DNI6" s="157"/>
      <c r="DNJ6" s="157"/>
      <c r="DNK6" s="157"/>
      <c r="DNL6" s="157"/>
      <c r="DNM6" s="157"/>
      <c r="DNN6" s="157"/>
      <c r="DNO6" s="157"/>
      <c r="DNP6" s="157"/>
      <c r="DNQ6" s="157"/>
      <c r="DNR6" s="157"/>
      <c r="DNS6" s="157"/>
      <c r="DNT6" s="157"/>
      <c r="DNU6" s="157"/>
      <c r="DNV6" s="157"/>
      <c r="DNW6" s="157"/>
      <c r="DNX6" s="157"/>
      <c r="DNY6" s="157"/>
      <c r="DNZ6" s="157"/>
      <c r="DOA6" s="157"/>
      <c r="DOB6" s="157"/>
      <c r="DOC6" s="157"/>
      <c r="DOD6" s="157"/>
      <c r="DOE6" s="157"/>
      <c r="DOF6" s="157"/>
      <c r="DOG6" s="157"/>
      <c r="DOH6" s="157"/>
      <c r="DOI6" s="157"/>
      <c r="DOJ6" s="157"/>
      <c r="DOK6" s="157"/>
      <c r="DOL6" s="157"/>
      <c r="DOM6" s="157"/>
      <c r="DON6" s="157"/>
      <c r="DOO6" s="157"/>
      <c r="DOP6" s="157"/>
      <c r="DOQ6" s="157"/>
      <c r="DOR6" s="157"/>
      <c r="DOS6" s="157"/>
      <c r="DOT6" s="157"/>
      <c r="DOU6" s="157"/>
      <c r="DOV6" s="157"/>
      <c r="DOW6" s="157"/>
      <c r="DOX6" s="157"/>
      <c r="DOY6" s="157"/>
      <c r="DOZ6" s="157"/>
      <c r="DPA6" s="157"/>
      <c r="DPB6" s="157"/>
      <c r="DPC6" s="157"/>
      <c r="DPD6" s="157"/>
      <c r="DPE6" s="157"/>
      <c r="DPF6" s="157"/>
      <c r="DPG6" s="157"/>
      <c r="DPH6" s="157"/>
      <c r="DPI6" s="157"/>
      <c r="DPJ6" s="157"/>
      <c r="DPK6" s="157"/>
      <c r="DPL6" s="157"/>
      <c r="DPM6" s="157"/>
      <c r="DPN6" s="157"/>
      <c r="DPO6" s="157"/>
      <c r="DPP6" s="157"/>
      <c r="DPQ6" s="157"/>
      <c r="DPR6" s="157"/>
      <c r="DPS6" s="157"/>
      <c r="DPT6" s="157"/>
      <c r="DPU6" s="157"/>
      <c r="DPV6" s="157"/>
      <c r="DPW6" s="157"/>
      <c r="DPX6" s="157"/>
      <c r="DPY6" s="157"/>
      <c r="DPZ6" s="157"/>
      <c r="DQA6" s="157"/>
      <c r="DQB6" s="157"/>
      <c r="DQC6" s="157"/>
      <c r="DQD6" s="157"/>
      <c r="DQE6" s="157"/>
      <c r="DQF6" s="157"/>
      <c r="DQG6" s="157"/>
      <c r="DQH6" s="157"/>
      <c r="DQI6" s="157"/>
      <c r="DQJ6" s="157"/>
      <c r="DQK6" s="157"/>
      <c r="DQL6" s="157"/>
      <c r="DQM6" s="157"/>
      <c r="DQN6" s="157"/>
      <c r="DQO6" s="157"/>
      <c r="DQP6" s="157"/>
      <c r="DQQ6" s="157"/>
      <c r="DQR6" s="157"/>
      <c r="DQS6" s="157"/>
      <c r="DQT6" s="157"/>
      <c r="DQU6" s="157"/>
      <c r="DQV6" s="157"/>
      <c r="DQW6" s="157"/>
      <c r="DQX6" s="157"/>
      <c r="DQY6" s="157"/>
      <c r="DQZ6" s="157"/>
      <c r="DRA6" s="157"/>
      <c r="DRB6" s="157"/>
      <c r="DRC6" s="157"/>
      <c r="DRD6" s="157"/>
      <c r="DRE6" s="157"/>
      <c r="DRF6" s="157"/>
      <c r="DRG6" s="157"/>
      <c r="DRH6" s="157"/>
      <c r="DRI6" s="157"/>
      <c r="DRJ6" s="157"/>
      <c r="DRK6" s="157"/>
      <c r="DRL6" s="157"/>
      <c r="DRM6" s="157"/>
      <c r="DRN6" s="157"/>
      <c r="DRO6" s="157"/>
      <c r="DRP6" s="157"/>
      <c r="DRQ6" s="157"/>
      <c r="DRR6" s="157"/>
      <c r="DRS6" s="157"/>
      <c r="DRT6" s="157"/>
      <c r="DRU6" s="157"/>
      <c r="DRV6" s="157"/>
      <c r="DRW6" s="157"/>
      <c r="DRX6" s="157"/>
      <c r="DRY6" s="157"/>
      <c r="DRZ6" s="157"/>
      <c r="DSA6" s="157"/>
      <c r="DSB6" s="157"/>
      <c r="DSC6" s="157"/>
      <c r="DSD6" s="157"/>
      <c r="DSE6" s="157"/>
      <c r="DSF6" s="157"/>
      <c r="DSG6" s="157"/>
      <c r="DSH6" s="157"/>
      <c r="DSI6" s="157"/>
      <c r="DSJ6" s="157"/>
      <c r="DSK6" s="157"/>
      <c r="DSL6" s="157"/>
      <c r="DSM6" s="157"/>
      <c r="DSN6" s="157"/>
      <c r="DSO6" s="157"/>
      <c r="DSP6" s="157"/>
      <c r="DSQ6" s="157"/>
      <c r="DSR6" s="157"/>
      <c r="DSS6" s="157"/>
      <c r="DST6" s="157"/>
      <c r="DSU6" s="157"/>
      <c r="DSV6" s="157"/>
      <c r="DSW6" s="157"/>
      <c r="DSX6" s="157"/>
      <c r="DSY6" s="157"/>
      <c r="DSZ6" s="157"/>
      <c r="DTA6" s="157"/>
      <c r="DTB6" s="157"/>
      <c r="DTC6" s="157"/>
      <c r="DTD6" s="157"/>
      <c r="DTE6" s="157"/>
      <c r="DTF6" s="157"/>
      <c r="DTG6" s="157"/>
      <c r="DTH6" s="157"/>
      <c r="DTI6" s="157"/>
      <c r="DTJ6" s="157"/>
      <c r="DTK6" s="157"/>
      <c r="DTL6" s="157"/>
      <c r="DTM6" s="157"/>
      <c r="DTN6" s="157"/>
      <c r="DTO6" s="157"/>
      <c r="DTP6" s="157"/>
      <c r="DTQ6" s="157"/>
      <c r="DTR6" s="157"/>
      <c r="DTS6" s="157"/>
      <c r="DTT6" s="157"/>
      <c r="DTU6" s="157"/>
      <c r="DTV6" s="157"/>
      <c r="DTW6" s="157"/>
      <c r="DTX6" s="157"/>
      <c r="DTY6" s="157"/>
      <c r="DTZ6" s="157"/>
      <c r="DUA6" s="157"/>
      <c r="DUB6" s="157"/>
      <c r="DUC6" s="157"/>
      <c r="DUD6" s="157"/>
      <c r="DUE6" s="157"/>
      <c r="DUF6" s="157"/>
      <c r="DUG6" s="157"/>
      <c r="DUH6" s="157"/>
      <c r="DUI6" s="157"/>
      <c r="DUJ6" s="157"/>
      <c r="DUK6" s="157"/>
      <c r="DUL6" s="157"/>
      <c r="DUM6" s="157"/>
      <c r="DUN6" s="157"/>
      <c r="DUO6" s="157"/>
      <c r="DUP6" s="157"/>
      <c r="DUQ6" s="157"/>
      <c r="DUR6" s="157"/>
      <c r="DUS6" s="157"/>
      <c r="DUT6" s="157"/>
      <c r="DUU6" s="157"/>
      <c r="DUV6" s="157"/>
      <c r="DUW6" s="157"/>
      <c r="DUX6" s="157"/>
      <c r="DUY6" s="157"/>
      <c r="DUZ6" s="157"/>
      <c r="DVA6" s="157"/>
      <c r="DVB6" s="157"/>
      <c r="DVC6" s="157"/>
      <c r="DVD6" s="157"/>
      <c r="DVE6" s="157"/>
      <c r="DVF6" s="157"/>
      <c r="DVG6" s="157"/>
      <c r="DVH6" s="157"/>
      <c r="DVI6" s="157"/>
      <c r="DVJ6" s="157"/>
      <c r="DVK6" s="157"/>
      <c r="DVL6" s="157"/>
      <c r="DVM6" s="157"/>
      <c r="DVN6" s="157"/>
      <c r="DVO6" s="157"/>
      <c r="DVP6" s="157"/>
      <c r="DVQ6" s="157"/>
      <c r="DVR6" s="157"/>
      <c r="DVS6" s="157"/>
      <c r="DVT6" s="157"/>
      <c r="DVU6" s="157"/>
      <c r="DVV6" s="157"/>
      <c r="DVW6" s="157"/>
      <c r="DVX6" s="157"/>
      <c r="DVY6" s="157"/>
      <c r="DVZ6" s="157"/>
      <c r="DWA6" s="157"/>
      <c r="DWB6" s="157"/>
      <c r="DWC6" s="157"/>
      <c r="DWD6" s="157"/>
      <c r="DWE6" s="157"/>
      <c r="DWF6" s="157"/>
      <c r="DWG6" s="157"/>
      <c r="DWH6" s="157"/>
      <c r="DWI6" s="157"/>
      <c r="DWJ6" s="157"/>
      <c r="DWK6" s="157"/>
      <c r="DWL6" s="157"/>
      <c r="DWM6" s="157"/>
      <c r="DWN6" s="157"/>
      <c r="DWO6" s="157"/>
      <c r="DWP6" s="157"/>
      <c r="DWQ6" s="157"/>
      <c r="DWR6" s="157"/>
      <c r="DWS6" s="157"/>
      <c r="DWT6" s="157"/>
      <c r="DWU6" s="157"/>
      <c r="DWV6" s="157"/>
      <c r="DWW6" s="157"/>
      <c r="DWX6" s="157"/>
      <c r="DWY6" s="157"/>
      <c r="DWZ6" s="157"/>
      <c r="DXA6" s="157"/>
      <c r="DXB6" s="157"/>
      <c r="DXC6" s="157"/>
      <c r="DXD6" s="157"/>
      <c r="DXE6" s="157"/>
      <c r="DXF6" s="157"/>
      <c r="DXG6" s="157"/>
      <c r="DXH6" s="157"/>
      <c r="DXI6" s="157"/>
      <c r="DXJ6" s="157"/>
      <c r="DXK6" s="157"/>
      <c r="DXL6" s="157"/>
      <c r="DXM6" s="157"/>
      <c r="DXN6" s="157"/>
      <c r="DXO6" s="157"/>
      <c r="DXP6" s="157"/>
      <c r="DXQ6" s="157"/>
      <c r="DXR6" s="157"/>
      <c r="DXS6" s="157"/>
      <c r="DXT6" s="157"/>
      <c r="DXU6" s="157"/>
      <c r="DXV6" s="157"/>
      <c r="DXW6" s="157"/>
      <c r="DXX6" s="157"/>
      <c r="DXY6" s="157"/>
      <c r="DXZ6" s="157"/>
      <c r="DYA6" s="157"/>
      <c r="DYB6" s="157"/>
      <c r="DYC6" s="157"/>
      <c r="DYD6" s="157"/>
      <c r="DYE6" s="157"/>
      <c r="DYF6" s="157"/>
      <c r="DYG6" s="157"/>
      <c r="DYH6" s="157"/>
      <c r="DYI6" s="157"/>
      <c r="DYJ6" s="157"/>
      <c r="DYK6" s="157"/>
      <c r="DYL6" s="157"/>
      <c r="DYM6" s="157"/>
      <c r="DYN6" s="157"/>
      <c r="DYO6" s="157"/>
      <c r="DYP6" s="157"/>
      <c r="DYQ6" s="157"/>
      <c r="DYR6" s="157"/>
      <c r="DYS6" s="157"/>
      <c r="DYT6" s="157"/>
      <c r="DYU6" s="157"/>
      <c r="DYV6" s="157"/>
      <c r="DYW6" s="157"/>
      <c r="DYX6" s="157"/>
      <c r="DYY6" s="157"/>
      <c r="DYZ6" s="157"/>
      <c r="DZA6" s="157"/>
      <c r="DZB6" s="157"/>
      <c r="DZC6" s="157"/>
      <c r="DZD6" s="157"/>
      <c r="DZE6" s="157"/>
      <c r="DZF6" s="157"/>
      <c r="DZG6" s="157"/>
      <c r="DZH6" s="157"/>
      <c r="DZI6" s="157"/>
      <c r="DZJ6" s="157"/>
      <c r="DZK6" s="157"/>
      <c r="DZL6" s="157"/>
      <c r="DZM6" s="157"/>
      <c r="DZN6" s="157"/>
      <c r="DZO6" s="157"/>
      <c r="DZP6" s="157"/>
      <c r="DZQ6" s="157"/>
      <c r="DZR6" s="157"/>
      <c r="DZS6" s="157"/>
      <c r="DZT6" s="157"/>
      <c r="DZU6" s="157"/>
      <c r="DZV6" s="157"/>
      <c r="DZW6" s="157"/>
      <c r="DZX6" s="157"/>
      <c r="DZY6" s="157"/>
      <c r="DZZ6" s="157"/>
      <c r="EAA6" s="157"/>
      <c r="EAB6" s="157"/>
      <c r="EAC6" s="157"/>
      <c r="EAD6" s="157"/>
      <c r="EAE6" s="157"/>
      <c r="EAF6" s="157"/>
      <c r="EAG6" s="157"/>
      <c r="EAH6" s="157"/>
      <c r="EAI6" s="157"/>
      <c r="EAJ6" s="157"/>
      <c r="EAK6" s="157"/>
      <c r="EAL6" s="157"/>
      <c r="EAM6" s="157"/>
      <c r="EAN6" s="157"/>
      <c r="EAO6" s="157"/>
      <c r="EAP6" s="157"/>
      <c r="EAQ6" s="157"/>
      <c r="EAR6" s="157"/>
      <c r="EAS6" s="157"/>
      <c r="EAT6" s="157"/>
      <c r="EAU6" s="157"/>
      <c r="EAV6" s="157"/>
      <c r="EAW6" s="157"/>
      <c r="EAX6" s="157"/>
      <c r="EAY6" s="157"/>
      <c r="EAZ6" s="157"/>
      <c r="EBA6" s="157"/>
      <c r="EBB6" s="157"/>
      <c r="EBC6" s="157"/>
      <c r="EBD6" s="157"/>
      <c r="EBE6" s="157"/>
      <c r="EBF6" s="157"/>
      <c r="EBG6" s="157"/>
      <c r="EBH6" s="157"/>
      <c r="EBI6" s="157"/>
      <c r="EBJ6" s="157"/>
      <c r="EBK6" s="157"/>
      <c r="EBL6" s="157"/>
      <c r="EBM6" s="157"/>
      <c r="EBN6" s="157"/>
      <c r="EBO6" s="157"/>
      <c r="EBP6" s="157"/>
      <c r="EBQ6" s="157"/>
      <c r="EBR6" s="157"/>
      <c r="EBS6" s="157"/>
      <c r="EBT6" s="157"/>
      <c r="EBU6" s="157"/>
      <c r="EBV6" s="157"/>
      <c r="EBW6" s="157"/>
      <c r="EBX6" s="157"/>
      <c r="EBY6" s="157"/>
      <c r="EBZ6" s="157"/>
      <c r="ECA6" s="157"/>
      <c r="ECB6" s="157"/>
      <c r="ECC6" s="157"/>
      <c r="ECD6" s="157"/>
      <c r="ECE6" s="157"/>
      <c r="ECF6" s="157"/>
      <c r="ECG6" s="157"/>
      <c r="ECH6" s="157"/>
      <c r="ECI6" s="157"/>
      <c r="ECJ6" s="157"/>
      <c r="ECK6" s="157"/>
      <c r="ECL6" s="157"/>
      <c r="ECM6" s="157"/>
      <c r="ECN6" s="157"/>
      <c r="ECO6" s="157"/>
      <c r="ECP6" s="157"/>
      <c r="ECQ6" s="157"/>
      <c r="ECR6" s="157"/>
      <c r="ECS6" s="157"/>
      <c r="ECT6" s="157"/>
      <c r="ECU6" s="157"/>
      <c r="ECV6" s="157"/>
      <c r="ECW6" s="157"/>
      <c r="ECX6" s="157"/>
      <c r="ECY6" s="157"/>
      <c r="ECZ6" s="157"/>
      <c r="EDA6" s="157"/>
      <c r="EDB6" s="157"/>
      <c r="EDC6" s="157"/>
      <c r="EDD6" s="157"/>
      <c r="EDE6" s="157"/>
      <c r="EDF6" s="157"/>
      <c r="EDG6" s="157"/>
      <c r="EDH6" s="157"/>
      <c r="EDI6" s="157"/>
      <c r="EDJ6" s="157"/>
      <c r="EDK6" s="157"/>
      <c r="EDL6" s="157"/>
      <c r="EDM6" s="157"/>
      <c r="EDN6" s="157"/>
      <c r="EDO6" s="157"/>
      <c r="EDP6" s="157"/>
      <c r="EDQ6" s="157"/>
      <c r="EDR6" s="157"/>
      <c r="EDS6" s="157"/>
      <c r="EDT6" s="157"/>
      <c r="EDU6" s="157"/>
      <c r="EDV6" s="157"/>
      <c r="EDW6" s="157"/>
      <c r="EDX6" s="157"/>
      <c r="EDY6" s="157"/>
      <c r="EDZ6" s="157"/>
      <c r="EEA6" s="157"/>
      <c r="EEB6" s="157"/>
      <c r="EEC6" s="157"/>
      <c r="EED6" s="157"/>
      <c r="EEE6" s="157"/>
      <c r="EEF6" s="157"/>
      <c r="EEG6" s="157"/>
      <c r="EEH6" s="157"/>
      <c r="EEI6" s="157"/>
      <c r="EEJ6" s="157"/>
      <c r="EEK6" s="157"/>
      <c r="EEL6" s="157"/>
      <c r="EEM6" s="157"/>
      <c r="EEN6" s="157"/>
      <c r="EEO6" s="157"/>
      <c r="EEP6" s="157"/>
      <c r="EEQ6" s="157"/>
      <c r="EER6" s="157"/>
      <c r="EES6" s="157"/>
      <c r="EET6" s="157"/>
      <c r="EEU6" s="157"/>
      <c r="EEV6" s="157"/>
      <c r="EEW6" s="157"/>
      <c r="EEX6" s="157"/>
      <c r="EEY6" s="157"/>
      <c r="EEZ6" s="157"/>
      <c r="EFA6" s="157"/>
      <c r="EFB6" s="157"/>
      <c r="EFC6" s="157"/>
      <c r="EFD6" s="157"/>
      <c r="EFE6" s="157"/>
      <c r="EFF6" s="157"/>
      <c r="EFG6" s="157"/>
      <c r="EFH6" s="157"/>
      <c r="EFI6" s="157"/>
      <c r="EFJ6" s="157"/>
      <c r="EFK6" s="157"/>
      <c r="EFL6" s="157"/>
      <c r="EFM6" s="157"/>
      <c r="EFN6" s="157"/>
      <c r="EFO6" s="157"/>
      <c r="EFP6" s="157"/>
      <c r="EFQ6" s="157"/>
      <c r="EFR6" s="157"/>
      <c r="EFS6" s="157"/>
      <c r="EFT6" s="157"/>
      <c r="EFU6" s="157"/>
      <c r="EFV6" s="157"/>
      <c r="EFW6" s="157"/>
      <c r="EFX6" s="157"/>
      <c r="EFY6" s="157"/>
      <c r="EFZ6" s="157"/>
      <c r="EGA6" s="157"/>
      <c r="EGB6" s="157"/>
      <c r="EGC6" s="157"/>
      <c r="EGD6" s="157"/>
      <c r="EGE6" s="157"/>
      <c r="EGF6" s="157"/>
      <c r="EGG6" s="157"/>
      <c r="EGH6" s="157"/>
      <c r="EGI6" s="157"/>
      <c r="EGJ6" s="157"/>
      <c r="EGK6" s="157"/>
      <c r="EGL6" s="157"/>
      <c r="EGM6" s="157"/>
      <c r="EGN6" s="157"/>
      <c r="EGO6" s="157"/>
      <c r="EGP6" s="157"/>
      <c r="EGQ6" s="157"/>
      <c r="EGR6" s="157"/>
      <c r="EGS6" s="157"/>
      <c r="EGT6" s="157"/>
      <c r="EGU6" s="157"/>
      <c r="EGV6" s="157"/>
      <c r="EGW6" s="157"/>
      <c r="EGX6" s="157"/>
      <c r="EGY6" s="157"/>
      <c r="EGZ6" s="157"/>
      <c r="EHA6" s="157"/>
      <c r="EHB6" s="157"/>
      <c r="EHC6" s="157"/>
      <c r="EHD6" s="157"/>
      <c r="EHE6" s="157"/>
      <c r="EHF6" s="157"/>
      <c r="EHG6" s="157"/>
      <c r="EHH6" s="157"/>
      <c r="EHI6" s="157"/>
      <c r="EHJ6" s="157"/>
      <c r="EHK6" s="157"/>
      <c r="EHL6" s="157"/>
      <c r="EHM6" s="157"/>
      <c r="EHN6" s="157"/>
      <c r="EHO6" s="157"/>
      <c r="EHP6" s="157"/>
      <c r="EHQ6" s="157"/>
      <c r="EHR6" s="157"/>
      <c r="EHS6" s="157"/>
      <c r="EHT6" s="157"/>
      <c r="EHU6" s="157"/>
      <c r="EHV6" s="157"/>
      <c r="EHW6" s="157"/>
      <c r="EHX6" s="157"/>
      <c r="EHY6" s="157"/>
      <c r="EHZ6" s="157"/>
      <c r="EIA6" s="157"/>
      <c r="EIB6" s="157"/>
      <c r="EIC6" s="157"/>
      <c r="EID6" s="157"/>
      <c r="EIE6" s="157"/>
      <c r="EIF6" s="157"/>
      <c r="EIG6" s="157"/>
      <c r="EIH6" s="157"/>
      <c r="EII6" s="157"/>
      <c r="EIJ6" s="157"/>
      <c r="EIK6" s="157"/>
      <c r="EIL6" s="157"/>
      <c r="EIM6" s="157"/>
      <c r="EIN6" s="157"/>
      <c r="EIO6" s="157"/>
      <c r="EIP6" s="157"/>
      <c r="EIQ6" s="157"/>
      <c r="EIR6" s="157"/>
      <c r="EIS6" s="157"/>
      <c r="EIT6" s="157"/>
      <c r="EIU6" s="157"/>
      <c r="EIV6" s="157"/>
      <c r="EIW6" s="157"/>
      <c r="EIX6" s="157"/>
      <c r="EIY6" s="157"/>
      <c r="EIZ6" s="157"/>
      <c r="EJA6" s="157"/>
      <c r="EJB6" s="157"/>
      <c r="EJC6" s="157"/>
      <c r="EJD6" s="157"/>
      <c r="EJE6" s="157"/>
      <c r="EJF6" s="157"/>
      <c r="EJG6" s="157"/>
      <c r="EJH6" s="157"/>
      <c r="EJI6" s="157"/>
      <c r="EJJ6" s="157"/>
      <c r="EJK6" s="157"/>
      <c r="EJL6" s="157"/>
      <c r="EJM6" s="157"/>
      <c r="EJN6" s="157"/>
      <c r="EJO6" s="157"/>
      <c r="EJP6" s="157"/>
      <c r="EJQ6" s="157"/>
      <c r="EJR6" s="157"/>
      <c r="EJS6" s="157"/>
      <c r="EJT6" s="157"/>
      <c r="EJU6" s="157"/>
      <c r="EJV6" s="157"/>
      <c r="EJW6" s="157"/>
      <c r="EJX6" s="157"/>
      <c r="EJY6" s="157"/>
      <c r="EJZ6" s="157"/>
      <c r="EKA6" s="157"/>
      <c r="EKB6" s="157"/>
      <c r="EKC6" s="157"/>
      <c r="EKD6" s="157"/>
      <c r="EKE6" s="157"/>
      <c r="EKF6" s="157"/>
      <c r="EKG6" s="157"/>
      <c r="EKH6" s="157"/>
      <c r="EKI6" s="157"/>
      <c r="EKJ6" s="157"/>
      <c r="EKK6" s="157"/>
      <c r="EKL6" s="157"/>
      <c r="EKM6" s="157"/>
      <c r="EKN6" s="157"/>
      <c r="EKO6" s="157"/>
      <c r="EKP6" s="157"/>
      <c r="EKQ6" s="157"/>
      <c r="EKR6" s="157"/>
      <c r="EKS6" s="157"/>
      <c r="EKT6" s="157"/>
      <c r="EKU6" s="157"/>
      <c r="EKV6" s="157"/>
      <c r="EKW6" s="157"/>
      <c r="EKX6" s="157"/>
      <c r="EKY6" s="157"/>
      <c r="EKZ6" s="157"/>
      <c r="ELA6" s="157"/>
      <c r="ELB6" s="157"/>
      <c r="ELC6" s="157"/>
      <c r="ELD6" s="157"/>
      <c r="ELE6" s="157"/>
      <c r="ELF6" s="157"/>
      <c r="ELG6" s="157"/>
      <c r="ELH6" s="157"/>
      <c r="ELI6" s="157"/>
      <c r="ELJ6" s="157"/>
      <c r="ELK6" s="157"/>
      <c r="ELL6" s="157"/>
      <c r="ELM6" s="157"/>
      <c r="ELN6" s="157"/>
      <c r="ELO6" s="157"/>
      <c r="ELP6" s="157"/>
      <c r="ELQ6" s="157"/>
      <c r="ELR6" s="157"/>
      <c r="ELS6" s="157"/>
      <c r="ELT6" s="157"/>
      <c r="ELU6" s="157"/>
      <c r="ELV6" s="157"/>
      <c r="ELW6" s="157"/>
      <c r="ELX6" s="157"/>
      <c r="ELY6" s="157"/>
      <c r="ELZ6" s="157"/>
      <c r="EMA6" s="157"/>
      <c r="EMB6" s="157"/>
      <c r="EMC6" s="157"/>
      <c r="EMD6" s="157"/>
      <c r="EME6" s="157"/>
      <c r="EMF6" s="157"/>
      <c r="EMG6" s="157"/>
      <c r="EMH6" s="157"/>
      <c r="EMI6" s="157"/>
      <c r="EMJ6" s="157"/>
      <c r="EMK6" s="157"/>
      <c r="EML6" s="157"/>
      <c r="EMM6" s="157"/>
      <c r="EMN6" s="157"/>
      <c r="EMO6" s="157"/>
      <c r="EMP6" s="157"/>
      <c r="EMQ6" s="157"/>
      <c r="EMR6" s="157"/>
      <c r="EMS6" s="157"/>
      <c r="EMT6" s="157"/>
      <c r="EMU6" s="157"/>
      <c r="EMV6" s="157"/>
      <c r="EMW6" s="157"/>
      <c r="EMX6" s="157"/>
      <c r="EMY6" s="157"/>
      <c r="EMZ6" s="157"/>
      <c r="ENA6" s="157"/>
      <c r="ENB6" s="157"/>
      <c r="ENC6" s="157"/>
      <c r="END6" s="157"/>
      <c r="ENE6" s="157"/>
      <c r="ENF6" s="157"/>
      <c r="ENG6" s="157"/>
      <c r="ENH6" s="157"/>
      <c r="ENI6" s="157"/>
      <c r="ENJ6" s="157"/>
      <c r="ENK6" s="157"/>
      <c r="ENL6" s="157"/>
      <c r="ENM6" s="157"/>
      <c r="ENN6" s="157"/>
      <c r="ENO6" s="157"/>
      <c r="ENP6" s="157"/>
      <c r="ENQ6" s="157"/>
      <c r="ENR6" s="157"/>
      <c r="ENS6" s="157"/>
      <c r="ENT6" s="157"/>
      <c r="ENU6" s="157"/>
      <c r="ENV6" s="157"/>
      <c r="ENW6" s="157"/>
      <c r="ENX6" s="157"/>
      <c r="ENY6" s="157"/>
      <c r="ENZ6" s="157"/>
      <c r="EOA6" s="157"/>
      <c r="EOB6" s="157"/>
      <c r="EOC6" s="157"/>
      <c r="EOD6" s="157"/>
      <c r="EOE6" s="157"/>
      <c r="EOF6" s="157"/>
      <c r="EOG6" s="157"/>
      <c r="EOH6" s="157"/>
      <c r="EOI6" s="157"/>
      <c r="EOJ6" s="157"/>
      <c r="EOK6" s="157"/>
      <c r="EOL6" s="157"/>
      <c r="EOM6" s="157"/>
      <c r="EON6" s="157"/>
      <c r="EOO6" s="157"/>
      <c r="EOP6" s="157"/>
      <c r="EOQ6" s="157"/>
      <c r="EOR6" s="157"/>
      <c r="EOS6" s="157"/>
      <c r="EOT6" s="157"/>
      <c r="EOU6" s="157"/>
      <c r="EOV6" s="157"/>
      <c r="EOW6" s="157"/>
      <c r="EOX6" s="157"/>
      <c r="EOY6" s="157"/>
      <c r="EOZ6" s="157"/>
      <c r="EPA6" s="157"/>
      <c r="EPB6" s="157"/>
      <c r="EPC6" s="157"/>
      <c r="EPD6" s="157"/>
      <c r="EPE6" s="157"/>
      <c r="EPF6" s="157"/>
      <c r="EPG6" s="157"/>
      <c r="EPH6" s="157"/>
      <c r="EPI6" s="157"/>
      <c r="EPJ6" s="157"/>
      <c r="EPK6" s="157"/>
      <c r="EPL6" s="157"/>
      <c r="EPM6" s="157"/>
      <c r="EPN6" s="157"/>
      <c r="EPO6" s="157"/>
      <c r="EPP6" s="157"/>
      <c r="EPQ6" s="157"/>
      <c r="EPR6" s="157"/>
      <c r="EPS6" s="157"/>
      <c r="EPT6" s="157"/>
      <c r="EPU6" s="157"/>
      <c r="EPV6" s="157"/>
      <c r="EPW6" s="157"/>
      <c r="EPX6" s="157"/>
      <c r="EPY6" s="157"/>
      <c r="EPZ6" s="157"/>
      <c r="EQA6" s="157"/>
      <c r="EQB6" s="157"/>
      <c r="EQC6" s="157"/>
      <c r="EQD6" s="157"/>
      <c r="EQE6" s="157"/>
      <c r="EQF6" s="157"/>
      <c r="EQG6" s="157"/>
      <c r="EQH6" s="157"/>
      <c r="EQI6" s="157"/>
      <c r="EQJ6" s="157"/>
      <c r="EQK6" s="157"/>
      <c r="EQL6" s="157"/>
      <c r="EQM6" s="157"/>
      <c r="EQN6" s="157"/>
      <c r="EQO6" s="157"/>
      <c r="EQP6" s="157"/>
      <c r="EQQ6" s="157"/>
      <c r="EQR6" s="157"/>
      <c r="EQS6" s="157"/>
      <c r="EQT6" s="157"/>
      <c r="EQU6" s="157"/>
      <c r="EQV6" s="157"/>
      <c r="EQW6" s="157"/>
      <c r="EQX6" s="157"/>
      <c r="EQY6" s="157"/>
      <c r="EQZ6" s="157"/>
      <c r="ERA6" s="157"/>
      <c r="ERB6" s="157"/>
      <c r="ERC6" s="157"/>
      <c r="ERD6" s="157"/>
      <c r="ERE6" s="157"/>
      <c r="ERF6" s="157"/>
      <c r="ERG6" s="157"/>
      <c r="ERH6" s="157"/>
      <c r="ERI6" s="157"/>
      <c r="ERJ6" s="157"/>
      <c r="ERK6" s="157"/>
      <c r="ERL6" s="157"/>
      <c r="ERM6" s="157"/>
      <c r="ERN6" s="157"/>
      <c r="ERO6" s="157"/>
      <c r="ERP6" s="157"/>
      <c r="ERQ6" s="157"/>
      <c r="ERR6" s="157"/>
      <c r="ERS6" s="157"/>
      <c r="ERT6" s="157"/>
      <c r="ERU6" s="157"/>
      <c r="ERV6" s="157"/>
      <c r="ERW6" s="157"/>
      <c r="ERX6" s="157"/>
      <c r="ERY6" s="157"/>
      <c r="ERZ6" s="157"/>
      <c r="ESA6" s="157"/>
      <c r="ESB6" s="157"/>
      <c r="ESC6" s="157"/>
      <c r="ESD6" s="157"/>
      <c r="ESE6" s="157"/>
      <c r="ESF6" s="157"/>
      <c r="ESG6" s="157"/>
      <c r="ESH6" s="157"/>
      <c r="ESI6" s="157"/>
      <c r="ESJ6" s="157"/>
      <c r="ESK6" s="157"/>
      <c r="ESL6" s="157"/>
      <c r="ESM6" s="157"/>
      <c r="ESN6" s="157"/>
      <c r="ESO6" s="157"/>
      <c r="ESP6" s="157"/>
      <c r="ESQ6" s="157"/>
      <c r="ESR6" s="157"/>
      <c r="ESS6" s="157"/>
      <c r="EST6" s="157"/>
      <c r="ESU6" s="157"/>
      <c r="ESV6" s="157"/>
      <c r="ESW6" s="157"/>
      <c r="ESX6" s="157"/>
      <c r="ESY6" s="157"/>
      <c r="ESZ6" s="157"/>
      <c r="ETA6" s="157"/>
      <c r="ETB6" s="157"/>
      <c r="ETC6" s="157"/>
      <c r="ETD6" s="157"/>
      <c r="ETE6" s="157"/>
      <c r="ETF6" s="157"/>
      <c r="ETG6" s="157"/>
      <c r="ETH6" s="157"/>
      <c r="ETI6" s="157"/>
      <c r="ETJ6" s="157"/>
      <c r="ETK6" s="157"/>
      <c r="ETL6" s="157"/>
      <c r="ETM6" s="157"/>
      <c r="ETN6" s="157"/>
      <c r="ETO6" s="157"/>
      <c r="ETP6" s="157"/>
      <c r="ETQ6" s="157"/>
      <c r="ETR6" s="157"/>
      <c r="ETS6" s="157"/>
      <c r="ETT6" s="157"/>
      <c r="ETU6" s="157"/>
      <c r="ETV6" s="157"/>
      <c r="ETW6" s="157"/>
      <c r="ETX6" s="157"/>
      <c r="ETY6" s="157"/>
      <c r="ETZ6" s="157"/>
      <c r="EUA6" s="157"/>
      <c r="EUB6" s="157"/>
      <c r="EUC6" s="157"/>
      <c r="EUD6" s="157"/>
      <c r="EUE6" s="157"/>
      <c r="EUF6" s="157"/>
      <c r="EUG6" s="157"/>
      <c r="EUH6" s="157"/>
      <c r="EUI6" s="157"/>
      <c r="EUJ6" s="157"/>
      <c r="EUK6" s="157"/>
      <c r="EUL6" s="157"/>
      <c r="EUM6" s="157"/>
      <c r="EUN6" s="157"/>
      <c r="EUO6" s="157"/>
      <c r="EUP6" s="157"/>
      <c r="EUQ6" s="157"/>
      <c r="EUR6" s="157"/>
      <c r="EUS6" s="157"/>
      <c r="EUT6" s="157"/>
      <c r="EUU6" s="157"/>
      <c r="EUV6" s="157"/>
      <c r="EUW6" s="157"/>
      <c r="EUX6" s="157"/>
      <c r="EUY6" s="157"/>
      <c r="EUZ6" s="157"/>
      <c r="EVA6" s="157"/>
      <c r="EVB6" s="157"/>
      <c r="EVC6" s="157"/>
      <c r="EVD6" s="157"/>
      <c r="EVE6" s="157"/>
      <c r="EVF6" s="157"/>
      <c r="EVG6" s="157"/>
      <c r="EVH6" s="157"/>
      <c r="EVI6" s="157"/>
      <c r="EVJ6" s="157"/>
      <c r="EVK6" s="157"/>
      <c r="EVL6" s="157"/>
      <c r="EVM6" s="157"/>
      <c r="EVN6" s="157"/>
      <c r="EVO6" s="157"/>
      <c r="EVP6" s="157"/>
      <c r="EVQ6" s="157"/>
      <c r="EVR6" s="157"/>
      <c r="EVS6" s="157"/>
      <c r="EVT6" s="157"/>
      <c r="EVU6" s="157"/>
      <c r="EVV6" s="157"/>
      <c r="EVW6" s="157"/>
      <c r="EVX6" s="157"/>
      <c r="EVY6" s="157"/>
      <c r="EVZ6" s="157"/>
      <c r="EWA6" s="157"/>
      <c r="EWB6" s="157"/>
      <c r="EWC6" s="157"/>
      <c r="EWD6" s="157"/>
      <c r="EWE6" s="157"/>
      <c r="EWF6" s="157"/>
      <c r="EWG6" s="157"/>
      <c r="EWH6" s="157"/>
      <c r="EWI6" s="157"/>
      <c r="EWJ6" s="157"/>
      <c r="EWK6" s="157"/>
      <c r="EWL6" s="157"/>
      <c r="EWM6" s="157"/>
      <c r="EWN6" s="157"/>
      <c r="EWO6" s="157"/>
      <c r="EWP6" s="157"/>
      <c r="EWQ6" s="157"/>
      <c r="EWR6" s="157"/>
      <c r="EWS6" s="157"/>
      <c r="EWT6" s="157"/>
      <c r="EWU6" s="157"/>
      <c r="EWV6" s="157"/>
      <c r="EWW6" s="157"/>
      <c r="EWX6" s="157"/>
      <c r="EWY6" s="157"/>
      <c r="EWZ6" s="157"/>
      <c r="EXA6" s="157"/>
      <c r="EXB6" s="157"/>
      <c r="EXC6" s="157"/>
      <c r="EXD6" s="157"/>
      <c r="EXE6" s="157"/>
      <c r="EXF6" s="157"/>
      <c r="EXG6" s="157"/>
      <c r="EXH6" s="157"/>
      <c r="EXI6" s="157"/>
      <c r="EXJ6" s="157"/>
      <c r="EXK6" s="157"/>
      <c r="EXL6" s="157"/>
      <c r="EXM6" s="157"/>
      <c r="EXN6" s="157"/>
      <c r="EXO6" s="157"/>
      <c r="EXP6" s="157"/>
      <c r="EXQ6" s="157"/>
      <c r="EXR6" s="157"/>
      <c r="EXS6" s="157"/>
      <c r="EXT6" s="157"/>
      <c r="EXU6" s="157"/>
      <c r="EXV6" s="157"/>
      <c r="EXW6" s="157"/>
      <c r="EXX6" s="157"/>
      <c r="EXY6" s="157"/>
      <c r="EXZ6" s="157"/>
      <c r="EYA6" s="157"/>
      <c r="EYB6" s="157"/>
      <c r="EYC6" s="157"/>
      <c r="EYD6" s="157"/>
      <c r="EYE6" s="157"/>
      <c r="EYF6" s="157"/>
      <c r="EYG6" s="157"/>
      <c r="EYH6" s="157"/>
      <c r="EYI6" s="157"/>
      <c r="EYJ6" s="157"/>
      <c r="EYK6" s="157"/>
      <c r="EYL6" s="157"/>
      <c r="EYM6" s="157"/>
      <c r="EYN6" s="157"/>
      <c r="EYO6" s="157"/>
      <c r="EYP6" s="157"/>
      <c r="EYQ6" s="157"/>
      <c r="EYR6" s="157"/>
      <c r="EYS6" s="157"/>
      <c r="EYT6" s="157"/>
      <c r="EYU6" s="157"/>
      <c r="EYV6" s="157"/>
      <c r="EYW6" s="157"/>
      <c r="EYX6" s="157"/>
      <c r="EYY6" s="157"/>
      <c r="EYZ6" s="157"/>
      <c r="EZA6" s="157"/>
      <c r="EZB6" s="157"/>
      <c r="EZC6" s="157"/>
      <c r="EZD6" s="157"/>
      <c r="EZE6" s="157"/>
      <c r="EZF6" s="157"/>
      <c r="EZG6" s="157"/>
      <c r="EZH6" s="157"/>
      <c r="EZI6" s="157"/>
      <c r="EZJ6" s="157"/>
      <c r="EZK6" s="157"/>
      <c r="EZL6" s="157"/>
      <c r="EZM6" s="157"/>
      <c r="EZN6" s="157"/>
      <c r="EZO6" s="157"/>
      <c r="EZP6" s="157"/>
      <c r="EZQ6" s="157"/>
      <c r="EZR6" s="157"/>
      <c r="EZS6" s="157"/>
      <c r="EZT6" s="157"/>
      <c r="EZU6" s="157"/>
      <c r="EZV6" s="157"/>
      <c r="EZW6" s="157"/>
      <c r="EZX6" s="157"/>
      <c r="EZY6" s="157"/>
      <c r="EZZ6" s="157"/>
      <c r="FAA6" s="157"/>
      <c r="FAB6" s="157"/>
      <c r="FAC6" s="157"/>
      <c r="FAD6" s="157"/>
      <c r="FAE6" s="157"/>
      <c r="FAF6" s="157"/>
      <c r="FAG6" s="157"/>
      <c r="FAH6" s="157"/>
      <c r="FAI6" s="157"/>
      <c r="FAJ6" s="157"/>
      <c r="FAK6" s="157"/>
      <c r="FAL6" s="157"/>
      <c r="FAM6" s="157"/>
      <c r="FAN6" s="157"/>
      <c r="FAO6" s="157"/>
      <c r="FAP6" s="157"/>
      <c r="FAQ6" s="157"/>
      <c r="FAR6" s="157"/>
      <c r="FAS6" s="157"/>
      <c r="FAT6" s="157"/>
      <c r="FAU6" s="157"/>
      <c r="FAV6" s="157"/>
      <c r="FAW6" s="157"/>
      <c r="FAX6" s="157"/>
      <c r="FAY6" s="157"/>
      <c r="FAZ6" s="157"/>
      <c r="FBA6" s="157"/>
      <c r="FBB6" s="157"/>
      <c r="FBC6" s="157"/>
      <c r="FBD6" s="157"/>
      <c r="FBE6" s="157"/>
      <c r="FBF6" s="157"/>
      <c r="FBG6" s="157"/>
      <c r="FBH6" s="157"/>
      <c r="FBI6" s="157"/>
      <c r="FBJ6" s="157"/>
      <c r="FBK6" s="157"/>
      <c r="FBL6" s="157"/>
      <c r="FBM6" s="157"/>
      <c r="FBN6" s="157"/>
      <c r="FBO6" s="157"/>
      <c r="FBP6" s="157"/>
      <c r="FBQ6" s="157"/>
      <c r="FBR6" s="157"/>
      <c r="FBS6" s="157"/>
      <c r="FBT6" s="157"/>
      <c r="FBU6" s="157"/>
      <c r="FBV6" s="157"/>
      <c r="FBW6" s="157"/>
      <c r="FBX6" s="157"/>
      <c r="FBY6" s="157"/>
      <c r="FBZ6" s="157"/>
      <c r="FCA6" s="157"/>
      <c r="FCB6" s="157"/>
      <c r="FCC6" s="157"/>
      <c r="FCD6" s="157"/>
      <c r="FCE6" s="157"/>
      <c r="FCF6" s="157"/>
      <c r="FCG6" s="157"/>
      <c r="FCH6" s="157"/>
      <c r="FCI6" s="157"/>
      <c r="FCJ6" s="157"/>
      <c r="FCK6" s="157"/>
      <c r="FCL6" s="157"/>
      <c r="FCM6" s="157"/>
      <c r="FCN6" s="157"/>
      <c r="FCO6" s="157"/>
      <c r="FCP6" s="157"/>
      <c r="FCQ6" s="157"/>
      <c r="FCR6" s="157"/>
      <c r="FCS6" s="157"/>
      <c r="FCT6" s="157"/>
      <c r="FCU6" s="157"/>
      <c r="FCV6" s="157"/>
      <c r="FCW6" s="157"/>
      <c r="FCX6" s="157"/>
      <c r="FCY6" s="157"/>
      <c r="FCZ6" s="157"/>
      <c r="FDA6" s="157"/>
      <c r="FDB6" s="157"/>
      <c r="FDC6" s="157"/>
      <c r="FDD6" s="157"/>
      <c r="FDE6" s="157"/>
      <c r="FDF6" s="157"/>
      <c r="FDG6" s="157"/>
      <c r="FDH6" s="157"/>
      <c r="FDI6" s="157"/>
      <c r="FDJ6" s="157"/>
      <c r="FDK6" s="157"/>
      <c r="FDL6" s="157"/>
      <c r="FDM6" s="157"/>
      <c r="FDN6" s="157"/>
      <c r="FDO6" s="157"/>
      <c r="FDP6" s="157"/>
      <c r="FDQ6" s="157"/>
      <c r="FDR6" s="157"/>
      <c r="FDS6" s="157"/>
      <c r="FDT6" s="157"/>
      <c r="FDU6" s="157"/>
      <c r="FDV6" s="157"/>
      <c r="FDW6" s="157"/>
      <c r="FDX6" s="157"/>
      <c r="FDY6" s="157"/>
      <c r="FDZ6" s="157"/>
      <c r="FEA6" s="157"/>
      <c r="FEB6" s="157"/>
      <c r="FEC6" s="157"/>
      <c r="FED6" s="157"/>
      <c r="FEE6" s="157"/>
      <c r="FEF6" s="157"/>
      <c r="FEG6" s="157"/>
      <c r="FEH6" s="157"/>
      <c r="FEI6" s="157"/>
      <c r="FEJ6" s="157"/>
      <c r="FEK6" s="157"/>
      <c r="FEL6" s="157"/>
      <c r="FEM6" s="157"/>
      <c r="FEN6" s="157"/>
      <c r="FEO6" s="157"/>
      <c r="FEP6" s="157"/>
      <c r="FEQ6" s="157"/>
      <c r="FER6" s="157"/>
      <c r="FES6" s="157"/>
      <c r="FET6" s="157"/>
      <c r="FEU6" s="157"/>
      <c r="FEV6" s="157"/>
      <c r="FEW6" s="157"/>
      <c r="FEX6" s="157"/>
      <c r="FEY6" s="157"/>
      <c r="FEZ6" s="157"/>
      <c r="FFA6" s="157"/>
      <c r="FFB6" s="157"/>
      <c r="FFC6" s="157"/>
      <c r="FFD6" s="157"/>
      <c r="FFE6" s="157"/>
      <c r="FFF6" s="157"/>
      <c r="FFG6" s="157"/>
      <c r="FFH6" s="157"/>
      <c r="FFI6" s="157"/>
      <c r="FFJ6" s="157"/>
      <c r="FFK6" s="157"/>
      <c r="FFL6" s="157"/>
      <c r="FFM6" s="157"/>
      <c r="FFN6" s="157"/>
      <c r="FFO6" s="157"/>
      <c r="FFP6" s="157"/>
      <c r="FFQ6" s="157"/>
      <c r="FFR6" s="157"/>
      <c r="FFS6" s="157"/>
      <c r="FFT6" s="157"/>
      <c r="FFU6" s="157"/>
      <c r="FFV6" s="157"/>
      <c r="FFW6" s="157"/>
      <c r="FFX6" s="157"/>
      <c r="FFY6" s="157"/>
      <c r="FFZ6" s="157"/>
      <c r="FGA6" s="157"/>
      <c r="FGB6" s="157"/>
      <c r="FGC6" s="157"/>
      <c r="FGD6" s="157"/>
      <c r="FGE6" s="157"/>
      <c r="FGF6" s="157"/>
      <c r="FGG6" s="157"/>
      <c r="FGH6" s="157"/>
      <c r="FGI6" s="157"/>
      <c r="FGJ6" s="157"/>
      <c r="FGK6" s="157"/>
      <c r="FGL6" s="157"/>
      <c r="FGM6" s="157"/>
      <c r="FGN6" s="157"/>
      <c r="FGO6" s="157"/>
      <c r="FGP6" s="157"/>
      <c r="FGQ6" s="157"/>
      <c r="FGR6" s="157"/>
      <c r="FGS6" s="157"/>
      <c r="FGT6" s="157"/>
      <c r="FGU6" s="157"/>
      <c r="FGV6" s="157"/>
      <c r="FGW6" s="157"/>
      <c r="FGX6" s="157"/>
      <c r="FGY6" s="157"/>
      <c r="FGZ6" s="157"/>
      <c r="FHA6" s="157"/>
      <c r="FHB6" s="157"/>
      <c r="FHC6" s="157"/>
      <c r="FHD6" s="157"/>
      <c r="FHE6" s="157"/>
      <c r="FHF6" s="157"/>
      <c r="FHG6" s="157"/>
      <c r="FHH6" s="157"/>
      <c r="FHI6" s="157"/>
      <c r="FHJ6" s="157"/>
      <c r="FHK6" s="157"/>
      <c r="FHL6" s="157"/>
      <c r="FHM6" s="157"/>
      <c r="FHN6" s="157"/>
      <c r="FHO6" s="157"/>
      <c r="FHP6" s="157"/>
      <c r="FHQ6" s="157"/>
      <c r="FHR6" s="157"/>
      <c r="FHS6" s="157"/>
      <c r="FHT6" s="157"/>
      <c r="FHU6" s="157"/>
      <c r="FHV6" s="157"/>
      <c r="FHW6" s="157"/>
      <c r="FHX6" s="157"/>
      <c r="FHY6" s="157"/>
      <c r="FHZ6" s="157"/>
      <c r="FIA6" s="157"/>
      <c r="FIB6" s="157"/>
      <c r="FIC6" s="157"/>
      <c r="FID6" s="157"/>
      <c r="FIE6" s="157"/>
      <c r="FIF6" s="157"/>
      <c r="FIG6" s="157"/>
      <c r="FIH6" s="157"/>
      <c r="FII6" s="157"/>
      <c r="FIJ6" s="157"/>
      <c r="FIK6" s="157"/>
      <c r="FIL6" s="157"/>
      <c r="FIM6" s="157"/>
      <c r="FIN6" s="157"/>
      <c r="FIO6" s="157"/>
      <c r="FIP6" s="157"/>
      <c r="FIQ6" s="157"/>
      <c r="FIR6" s="157"/>
      <c r="FIS6" s="157"/>
      <c r="FIT6" s="157"/>
      <c r="FIU6" s="157"/>
      <c r="FIV6" s="157"/>
      <c r="FIW6" s="157"/>
      <c r="FIX6" s="157"/>
      <c r="FIY6" s="157"/>
      <c r="FIZ6" s="157"/>
      <c r="FJA6" s="157"/>
      <c r="FJB6" s="157"/>
      <c r="FJC6" s="157"/>
      <c r="FJD6" s="157"/>
      <c r="FJE6" s="157"/>
      <c r="FJF6" s="157"/>
      <c r="FJG6" s="157"/>
      <c r="FJH6" s="157"/>
      <c r="FJI6" s="157"/>
      <c r="FJJ6" s="157"/>
      <c r="FJK6" s="157"/>
      <c r="FJL6" s="157"/>
      <c r="FJM6" s="157"/>
      <c r="FJN6" s="157"/>
      <c r="FJO6" s="157"/>
      <c r="FJP6" s="157"/>
      <c r="FJQ6" s="157"/>
      <c r="FJR6" s="157"/>
      <c r="FJS6" s="157"/>
      <c r="FJT6" s="157"/>
      <c r="FJU6" s="157"/>
      <c r="FJV6" s="157"/>
      <c r="FJW6" s="157"/>
      <c r="FJX6" s="157"/>
      <c r="FJY6" s="157"/>
      <c r="FJZ6" s="157"/>
      <c r="FKA6" s="157"/>
      <c r="FKB6" s="157"/>
      <c r="FKC6" s="157"/>
      <c r="FKD6" s="157"/>
      <c r="FKE6" s="157"/>
      <c r="FKF6" s="157"/>
      <c r="FKG6" s="157"/>
      <c r="FKH6" s="157"/>
      <c r="FKI6" s="157"/>
      <c r="FKJ6" s="157"/>
      <c r="FKK6" s="157"/>
      <c r="FKL6" s="157"/>
      <c r="FKM6" s="157"/>
      <c r="FKN6" s="157"/>
      <c r="FKO6" s="157"/>
      <c r="FKP6" s="157"/>
      <c r="FKQ6" s="157"/>
      <c r="FKR6" s="157"/>
      <c r="FKS6" s="157"/>
      <c r="FKT6" s="157"/>
      <c r="FKU6" s="157"/>
      <c r="FKV6" s="157"/>
      <c r="FKW6" s="157"/>
      <c r="FKX6" s="157"/>
      <c r="FKY6" s="157"/>
      <c r="FKZ6" s="157"/>
      <c r="FLA6" s="157"/>
      <c r="FLB6" s="157"/>
      <c r="FLC6" s="157"/>
      <c r="FLD6" s="157"/>
      <c r="FLE6" s="157"/>
      <c r="FLF6" s="157"/>
      <c r="FLG6" s="157"/>
      <c r="FLH6" s="157"/>
      <c r="FLI6" s="157"/>
      <c r="FLJ6" s="157"/>
      <c r="FLK6" s="157"/>
      <c r="FLL6" s="157"/>
      <c r="FLM6" s="157"/>
      <c r="FLN6" s="157"/>
      <c r="FLO6" s="157"/>
      <c r="FLP6" s="157"/>
      <c r="FLQ6" s="157"/>
      <c r="FLR6" s="157"/>
      <c r="FLS6" s="157"/>
      <c r="FLT6" s="157"/>
      <c r="FLU6" s="157"/>
      <c r="FLV6" s="157"/>
      <c r="FLW6" s="157"/>
      <c r="FLX6" s="157"/>
      <c r="FLY6" s="157"/>
      <c r="FLZ6" s="157"/>
      <c r="FMA6" s="157"/>
      <c r="FMB6" s="157"/>
      <c r="FMC6" s="157"/>
      <c r="FMD6" s="157"/>
      <c r="FME6" s="157"/>
      <c r="FMF6" s="157"/>
      <c r="FMG6" s="157"/>
      <c r="FMH6" s="157"/>
      <c r="FMI6" s="157"/>
      <c r="FMJ6" s="157"/>
      <c r="FMK6" s="157"/>
      <c r="FML6" s="157"/>
      <c r="FMM6" s="157"/>
      <c r="FMN6" s="157"/>
      <c r="FMO6" s="157"/>
      <c r="FMP6" s="157"/>
      <c r="FMQ6" s="157"/>
      <c r="FMR6" s="157"/>
      <c r="FMS6" s="157"/>
      <c r="FMT6" s="157"/>
      <c r="FMU6" s="157"/>
      <c r="FMV6" s="157"/>
      <c r="FMW6" s="157"/>
      <c r="FMX6" s="157"/>
      <c r="FMY6" s="157"/>
      <c r="FMZ6" s="157"/>
      <c r="FNA6" s="157"/>
      <c r="FNB6" s="157"/>
      <c r="FNC6" s="157"/>
      <c r="FND6" s="157"/>
      <c r="FNE6" s="157"/>
      <c r="FNF6" s="157"/>
      <c r="FNG6" s="157"/>
      <c r="FNH6" s="157"/>
      <c r="FNI6" s="157"/>
      <c r="FNJ6" s="157"/>
      <c r="FNK6" s="157"/>
      <c r="FNL6" s="157"/>
      <c r="FNM6" s="157"/>
      <c r="FNN6" s="157"/>
      <c r="FNO6" s="157"/>
      <c r="FNP6" s="157"/>
      <c r="FNQ6" s="157"/>
      <c r="FNR6" s="157"/>
      <c r="FNS6" s="157"/>
      <c r="FNT6" s="157"/>
      <c r="FNU6" s="157"/>
      <c r="FNV6" s="157"/>
      <c r="FNW6" s="157"/>
      <c r="FNX6" s="157"/>
      <c r="FNY6" s="157"/>
      <c r="FNZ6" s="157"/>
      <c r="FOA6" s="157"/>
      <c r="FOB6" s="157"/>
      <c r="FOC6" s="157"/>
      <c r="FOD6" s="157"/>
      <c r="FOE6" s="157"/>
      <c r="FOF6" s="157"/>
      <c r="FOG6" s="157"/>
      <c r="FOH6" s="157"/>
      <c r="FOI6" s="157"/>
      <c r="FOJ6" s="157"/>
      <c r="FOK6" s="157"/>
      <c r="FOL6" s="157"/>
      <c r="FOM6" s="157"/>
      <c r="FON6" s="157"/>
      <c r="FOO6" s="157"/>
      <c r="FOP6" s="157"/>
      <c r="FOQ6" s="157"/>
      <c r="FOR6" s="157"/>
      <c r="FOS6" s="157"/>
      <c r="FOT6" s="157"/>
      <c r="FOU6" s="157"/>
      <c r="FOV6" s="157"/>
      <c r="FOW6" s="157"/>
      <c r="FOX6" s="157"/>
      <c r="FOY6" s="157"/>
      <c r="FOZ6" s="157"/>
      <c r="FPA6" s="157"/>
      <c r="FPB6" s="157"/>
      <c r="FPC6" s="157"/>
      <c r="FPD6" s="157"/>
      <c r="FPE6" s="157"/>
      <c r="FPF6" s="157"/>
      <c r="FPG6" s="157"/>
      <c r="FPH6" s="157"/>
      <c r="FPI6" s="157"/>
      <c r="FPJ6" s="157"/>
      <c r="FPK6" s="157"/>
      <c r="FPL6" s="157"/>
      <c r="FPM6" s="157"/>
      <c r="FPN6" s="157"/>
      <c r="FPO6" s="157"/>
      <c r="FPP6" s="157"/>
      <c r="FPQ6" s="157"/>
      <c r="FPR6" s="157"/>
      <c r="FPS6" s="157"/>
      <c r="FPT6" s="157"/>
      <c r="FPU6" s="157"/>
      <c r="FPV6" s="157"/>
      <c r="FPW6" s="157"/>
      <c r="FPX6" s="157"/>
      <c r="FPY6" s="157"/>
      <c r="FPZ6" s="157"/>
      <c r="FQA6" s="157"/>
      <c r="FQB6" s="157"/>
      <c r="FQC6" s="157"/>
      <c r="FQD6" s="157"/>
      <c r="FQE6" s="157"/>
      <c r="FQF6" s="157"/>
      <c r="FQG6" s="157"/>
      <c r="FQH6" s="157"/>
      <c r="FQI6" s="157"/>
      <c r="FQJ6" s="157"/>
      <c r="FQK6" s="157"/>
      <c r="FQL6" s="157"/>
      <c r="FQM6" s="157"/>
      <c r="FQN6" s="157"/>
      <c r="FQO6" s="157"/>
      <c r="FQP6" s="157"/>
      <c r="FQQ6" s="157"/>
      <c r="FQR6" s="157"/>
      <c r="FQS6" s="157"/>
      <c r="FQT6" s="157"/>
      <c r="FQU6" s="157"/>
      <c r="FQV6" s="157"/>
      <c r="FQW6" s="157"/>
      <c r="FQX6" s="157"/>
      <c r="FQY6" s="157"/>
      <c r="FQZ6" s="157"/>
      <c r="FRA6" s="157"/>
      <c r="FRB6" s="157"/>
      <c r="FRC6" s="157"/>
      <c r="FRD6" s="157"/>
      <c r="FRE6" s="157"/>
      <c r="FRF6" s="157"/>
      <c r="FRG6" s="157"/>
      <c r="FRH6" s="157"/>
      <c r="FRI6" s="157"/>
      <c r="FRJ6" s="157"/>
      <c r="FRK6" s="157"/>
      <c r="FRL6" s="157"/>
      <c r="FRM6" s="157"/>
      <c r="FRN6" s="157"/>
      <c r="FRO6" s="157"/>
      <c r="FRP6" s="157"/>
      <c r="FRQ6" s="157"/>
      <c r="FRR6" s="157"/>
      <c r="FRS6" s="157"/>
      <c r="FRT6" s="157"/>
      <c r="FRU6" s="157"/>
      <c r="FRV6" s="157"/>
      <c r="FRW6" s="157"/>
      <c r="FRX6" s="157"/>
      <c r="FRY6" s="157"/>
      <c r="FRZ6" s="157"/>
      <c r="FSA6" s="157"/>
      <c r="FSB6" s="157"/>
      <c r="FSC6" s="157"/>
      <c r="FSD6" s="157"/>
      <c r="FSE6" s="157"/>
      <c r="FSF6" s="157"/>
      <c r="FSG6" s="157"/>
      <c r="FSH6" s="157"/>
      <c r="FSI6" s="157"/>
      <c r="FSJ6" s="157"/>
      <c r="FSK6" s="157"/>
      <c r="FSL6" s="157"/>
      <c r="FSM6" s="157"/>
      <c r="FSN6" s="157"/>
      <c r="FSO6" s="157"/>
      <c r="FSP6" s="157"/>
      <c r="FSQ6" s="157"/>
      <c r="FSR6" s="157"/>
      <c r="FSS6" s="157"/>
      <c r="FST6" s="157"/>
      <c r="FSU6" s="157"/>
      <c r="FSV6" s="157"/>
      <c r="FSW6" s="157"/>
      <c r="FSX6" s="157"/>
      <c r="FSY6" s="157"/>
      <c r="FSZ6" s="157"/>
      <c r="FTA6" s="157"/>
      <c r="FTB6" s="157"/>
      <c r="FTC6" s="157"/>
      <c r="FTD6" s="157"/>
      <c r="FTE6" s="157"/>
      <c r="FTF6" s="157"/>
      <c r="FTG6" s="157"/>
      <c r="FTH6" s="157"/>
      <c r="FTI6" s="157"/>
      <c r="FTJ6" s="157"/>
      <c r="FTK6" s="157"/>
      <c r="FTL6" s="157"/>
      <c r="FTM6" s="157"/>
      <c r="FTN6" s="157"/>
      <c r="FTO6" s="157"/>
      <c r="FTP6" s="157"/>
      <c r="FTQ6" s="157"/>
      <c r="FTR6" s="157"/>
      <c r="FTS6" s="157"/>
      <c r="FTT6" s="157"/>
      <c r="FTU6" s="157"/>
      <c r="FTV6" s="157"/>
      <c r="FTW6" s="157"/>
      <c r="FTX6" s="157"/>
      <c r="FTY6" s="157"/>
      <c r="FTZ6" s="157"/>
      <c r="FUA6" s="157"/>
      <c r="FUB6" s="157"/>
      <c r="FUC6" s="157"/>
      <c r="FUD6" s="157"/>
      <c r="FUE6" s="157"/>
      <c r="FUF6" s="157"/>
      <c r="FUG6" s="157"/>
      <c r="FUH6" s="157"/>
      <c r="FUI6" s="157"/>
      <c r="FUJ6" s="157"/>
      <c r="FUK6" s="157"/>
      <c r="FUL6" s="157"/>
      <c r="FUM6" s="157"/>
      <c r="FUN6" s="157"/>
      <c r="FUO6" s="157"/>
      <c r="FUP6" s="157"/>
      <c r="FUQ6" s="157"/>
      <c r="FUR6" s="157"/>
      <c r="FUS6" s="157"/>
      <c r="FUT6" s="157"/>
      <c r="FUU6" s="157"/>
      <c r="FUV6" s="157"/>
      <c r="FUW6" s="157"/>
      <c r="FUX6" s="157"/>
      <c r="FUY6" s="157"/>
      <c r="FUZ6" s="157"/>
      <c r="FVA6" s="157"/>
      <c r="FVB6" s="157"/>
      <c r="FVC6" s="157"/>
      <c r="FVD6" s="157"/>
      <c r="FVE6" s="157"/>
      <c r="FVF6" s="157"/>
      <c r="FVG6" s="157"/>
      <c r="FVH6" s="157"/>
      <c r="FVI6" s="157"/>
      <c r="FVJ6" s="157"/>
      <c r="FVK6" s="157"/>
      <c r="FVL6" s="157"/>
      <c r="FVM6" s="157"/>
      <c r="FVN6" s="157"/>
      <c r="FVO6" s="157"/>
      <c r="FVP6" s="157"/>
      <c r="FVQ6" s="157"/>
      <c r="FVR6" s="157"/>
      <c r="FVS6" s="157"/>
      <c r="FVT6" s="157"/>
      <c r="FVU6" s="157"/>
      <c r="FVV6" s="157"/>
      <c r="FVW6" s="157"/>
      <c r="FVX6" s="157"/>
      <c r="FVY6" s="157"/>
      <c r="FVZ6" s="157"/>
      <c r="FWA6" s="157"/>
      <c r="FWB6" s="157"/>
      <c r="FWC6" s="157"/>
      <c r="FWD6" s="157"/>
      <c r="FWE6" s="157"/>
      <c r="FWF6" s="157"/>
      <c r="FWG6" s="157"/>
      <c r="FWH6" s="157"/>
      <c r="FWI6" s="157"/>
      <c r="FWJ6" s="157"/>
      <c r="FWK6" s="157"/>
      <c r="FWL6" s="157"/>
      <c r="FWM6" s="157"/>
      <c r="FWN6" s="157"/>
      <c r="FWO6" s="157"/>
      <c r="FWP6" s="157"/>
      <c r="FWQ6" s="157"/>
      <c r="FWR6" s="157"/>
      <c r="FWS6" s="157"/>
      <c r="FWT6" s="157"/>
      <c r="FWU6" s="157"/>
      <c r="FWV6" s="157"/>
      <c r="FWW6" s="157"/>
      <c r="FWX6" s="157"/>
      <c r="FWY6" s="157"/>
      <c r="FWZ6" s="157"/>
      <c r="FXA6" s="157"/>
      <c r="FXB6" s="157"/>
      <c r="FXC6" s="157"/>
      <c r="FXD6" s="157"/>
      <c r="FXE6" s="157"/>
      <c r="FXF6" s="157"/>
      <c r="FXG6" s="157"/>
      <c r="FXH6" s="157"/>
      <c r="FXI6" s="157"/>
      <c r="FXJ6" s="157"/>
      <c r="FXK6" s="157"/>
      <c r="FXL6" s="157"/>
      <c r="FXM6" s="157"/>
      <c r="FXN6" s="157"/>
      <c r="FXO6" s="157"/>
      <c r="FXP6" s="157"/>
      <c r="FXQ6" s="157"/>
      <c r="FXR6" s="157"/>
      <c r="FXS6" s="157"/>
      <c r="FXT6" s="157"/>
      <c r="FXU6" s="157"/>
      <c r="FXV6" s="157"/>
      <c r="FXW6" s="157"/>
      <c r="FXX6" s="157"/>
      <c r="FXY6" s="157"/>
      <c r="FXZ6" s="157"/>
      <c r="FYA6" s="157"/>
      <c r="FYB6" s="157"/>
      <c r="FYC6" s="157"/>
      <c r="FYD6" s="157"/>
      <c r="FYE6" s="157"/>
      <c r="FYF6" s="157"/>
      <c r="FYG6" s="157"/>
      <c r="FYH6" s="157"/>
      <c r="FYI6" s="157"/>
      <c r="FYJ6" s="157"/>
      <c r="FYK6" s="157"/>
      <c r="FYL6" s="157"/>
      <c r="FYM6" s="157"/>
      <c r="FYN6" s="157"/>
      <c r="FYO6" s="157"/>
      <c r="FYP6" s="157"/>
      <c r="FYQ6" s="157"/>
      <c r="FYR6" s="157"/>
      <c r="FYS6" s="157"/>
      <c r="FYT6" s="157"/>
      <c r="FYU6" s="157"/>
      <c r="FYV6" s="157"/>
      <c r="FYW6" s="157"/>
      <c r="FYX6" s="157"/>
      <c r="FYY6" s="157"/>
      <c r="FYZ6" s="157"/>
      <c r="FZA6" s="157"/>
      <c r="FZB6" s="157"/>
      <c r="FZC6" s="157"/>
      <c r="FZD6" s="157"/>
      <c r="FZE6" s="157"/>
      <c r="FZF6" s="157"/>
      <c r="FZG6" s="157"/>
      <c r="FZH6" s="157"/>
      <c r="FZI6" s="157"/>
      <c r="FZJ6" s="157"/>
      <c r="FZK6" s="157"/>
      <c r="FZL6" s="157"/>
      <c r="FZM6" s="157"/>
      <c r="FZN6" s="157"/>
      <c r="FZO6" s="157"/>
      <c r="FZP6" s="157"/>
      <c r="FZQ6" s="157"/>
      <c r="FZR6" s="157"/>
      <c r="FZS6" s="157"/>
      <c r="FZT6" s="157"/>
      <c r="FZU6" s="157"/>
      <c r="FZV6" s="157"/>
      <c r="FZW6" s="157"/>
      <c r="FZX6" s="157"/>
      <c r="FZY6" s="157"/>
      <c r="FZZ6" s="157"/>
      <c r="GAA6" s="157"/>
      <c r="GAB6" s="157"/>
      <c r="GAC6" s="157"/>
      <c r="GAD6" s="157"/>
      <c r="GAE6" s="157"/>
      <c r="GAF6" s="157"/>
      <c r="GAG6" s="157"/>
      <c r="GAH6" s="157"/>
      <c r="GAI6" s="157"/>
      <c r="GAJ6" s="157"/>
      <c r="GAK6" s="157"/>
      <c r="GAL6" s="157"/>
      <c r="GAM6" s="157"/>
      <c r="GAN6" s="157"/>
      <c r="GAO6" s="157"/>
      <c r="GAP6" s="157"/>
      <c r="GAQ6" s="157"/>
      <c r="GAR6" s="157"/>
      <c r="GAS6" s="157"/>
      <c r="GAT6" s="157"/>
      <c r="GAU6" s="157"/>
      <c r="GAV6" s="157"/>
      <c r="GAW6" s="157"/>
      <c r="GAX6" s="157"/>
      <c r="GAY6" s="157"/>
      <c r="GAZ6" s="157"/>
      <c r="GBA6" s="157"/>
      <c r="GBB6" s="157"/>
      <c r="GBC6" s="157"/>
      <c r="GBD6" s="157"/>
      <c r="GBE6" s="157"/>
      <c r="GBF6" s="157"/>
      <c r="GBG6" s="157"/>
      <c r="GBH6" s="157"/>
      <c r="GBI6" s="157"/>
      <c r="GBJ6" s="157"/>
      <c r="GBK6" s="157"/>
      <c r="GBL6" s="157"/>
      <c r="GBM6" s="157"/>
      <c r="GBN6" s="157"/>
      <c r="GBO6" s="157"/>
      <c r="GBP6" s="157"/>
      <c r="GBQ6" s="157"/>
      <c r="GBR6" s="157"/>
      <c r="GBS6" s="157"/>
      <c r="GBT6" s="157"/>
      <c r="GBU6" s="157"/>
      <c r="GBV6" s="157"/>
      <c r="GBW6" s="157"/>
      <c r="GBX6" s="157"/>
      <c r="GBY6" s="157"/>
      <c r="GBZ6" s="157"/>
      <c r="GCA6" s="157"/>
      <c r="GCB6" s="157"/>
      <c r="GCC6" s="157"/>
      <c r="GCD6" s="157"/>
      <c r="GCE6" s="157"/>
      <c r="GCF6" s="157"/>
      <c r="GCG6" s="157"/>
      <c r="GCH6" s="157"/>
      <c r="GCI6" s="157"/>
      <c r="GCJ6" s="157"/>
      <c r="GCK6" s="157"/>
      <c r="GCL6" s="157"/>
      <c r="GCM6" s="157"/>
      <c r="GCN6" s="157"/>
      <c r="GCO6" s="157"/>
      <c r="GCP6" s="157"/>
      <c r="GCQ6" s="157"/>
      <c r="GCR6" s="157"/>
      <c r="GCS6" s="157"/>
      <c r="GCT6" s="157"/>
      <c r="GCU6" s="157"/>
      <c r="GCV6" s="157"/>
      <c r="GCW6" s="157"/>
      <c r="GCX6" s="157"/>
      <c r="GCY6" s="157"/>
      <c r="GCZ6" s="157"/>
      <c r="GDA6" s="157"/>
      <c r="GDB6" s="157"/>
      <c r="GDC6" s="157"/>
      <c r="GDD6" s="157"/>
      <c r="GDE6" s="157"/>
      <c r="GDF6" s="157"/>
      <c r="GDG6" s="157"/>
      <c r="GDH6" s="157"/>
      <c r="GDI6" s="157"/>
      <c r="GDJ6" s="157"/>
      <c r="GDK6" s="157"/>
      <c r="GDL6" s="157"/>
      <c r="GDM6" s="157"/>
      <c r="GDN6" s="157"/>
      <c r="GDO6" s="157"/>
      <c r="GDP6" s="157"/>
      <c r="GDQ6" s="157"/>
      <c r="GDR6" s="157"/>
      <c r="GDS6" s="157"/>
      <c r="GDT6" s="157"/>
      <c r="GDU6" s="157"/>
      <c r="GDV6" s="157"/>
      <c r="GDW6" s="157"/>
      <c r="GDX6" s="157"/>
      <c r="GDY6" s="157"/>
      <c r="GDZ6" s="157"/>
      <c r="GEA6" s="157"/>
      <c r="GEB6" s="157"/>
      <c r="GEC6" s="157"/>
      <c r="GED6" s="157"/>
      <c r="GEE6" s="157"/>
      <c r="GEF6" s="157"/>
      <c r="GEG6" s="157"/>
      <c r="GEH6" s="157"/>
      <c r="GEI6" s="157"/>
      <c r="GEJ6" s="157"/>
      <c r="GEK6" s="157"/>
      <c r="GEL6" s="157"/>
      <c r="GEM6" s="157"/>
      <c r="GEN6" s="157"/>
      <c r="GEO6" s="157"/>
      <c r="GEP6" s="157"/>
      <c r="GEQ6" s="157"/>
      <c r="GER6" s="157"/>
      <c r="GES6" s="157"/>
      <c r="GET6" s="157"/>
      <c r="GEU6" s="157"/>
      <c r="GEV6" s="157"/>
      <c r="GEW6" s="157"/>
      <c r="GEX6" s="157"/>
      <c r="GEY6" s="157"/>
      <c r="GEZ6" s="157"/>
      <c r="GFA6" s="157"/>
      <c r="GFB6" s="157"/>
      <c r="GFC6" s="157"/>
      <c r="GFD6" s="157"/>
      <c r="GFE6" s="157"/>
      <c r="GFF6" s="157"/>
      <c r="GFG6" s="157"/>
      <c r="GFH6" s="157"/>
      <c r="GFI6" s="157"/>
      <c r="GFJ6" s="157"/>
      <c r="GFK6" s="157"/>
      <c r="GFL6" s="157"/>
      <c r="GFM6" s="157"/>
      <c r="GFN6" s="157"/>
      <c r="GFO6" s="157"/>
      <c r="GFP6" s="157"/>
      <c r="GFQ6" s="157"/>
      <c r="GFR6" s="157"/>
      <c r="GFS6" s="157"/>
      <c r="GFT6" s="157"/>
      <c r="GFU6" s="157"/>
      <c r="GFV6" s="157"/>
      <c r="GFW6" s="157"/>
      <c r="GFX6" s="157"/>
      <c r="GFY6" s="157"/>
      <c r="GFZ6" s="157"/>
      <c r="GGA6" s="157"/>
      <c r="GGB6" s="157"/>
      <c r="GGC6" s="157"/>
      <c r="GGD6" s="157"/>
      <c r="GGE6" s="157"/>
      <c r="GGF6" s="157"/>
      <c r="GGG6" s="157"/>
      <c r="GGH6" s="157"/>
      <c r="GGI6" s="157"/>
      <c r="GGJ6" s="157"/>
      <c r="GGK6" s="157"/>
      <c r="GGL6" s="157"/>
      <c r="GGM6" s="157"/>
      <c r="GGN6" s="157"/>
      <c r="GGO6" s="157"/>
      <c r="GGP6" s="157"/>
      <c r="GGQ6" s="157"/>
      <c r="GGR6" s="157"/>
      <c r="GGS6" s="157"/>
      <c r="GGT6" s="157"/>
      <c r="GGU6" s="157"/>
      <c r="GGV6" s="157"/>
      <c r="GGW6" s="157"/>
      <c r="GGX6" s="157"/>
      <c r="GGY6" s="157"/>
      <c r="GGZ6" s="157"/>
      <c r="GHA6" s="157"/>
      <c r="GHB6" s="157"/>
      <c r="GHC6" s="157"/>
      <c r="GHD6" s="157"/>
      <c r="GHE6" s="157"/>
      <c r="GHF6" s="157"/>
      <c r="GHG6" s="157"/>
      <c r="GHH6" s="157"/>
      <c r="GHI6" s="157"/>
      <c r="GHJ6" s="157"/>
      <c r="GHK6" s="157"/>
      <c r="GHL6" s="157"/>
      <c r="GHM6" s="157"/>
      <c r="GHN6" s="157"/>
      <c r="GHO6" s="157"/>
      <c r="GHP6" s="157"/>
      <c r="GHQ6" s="157"/>
      <c r="GHR6" s="157"/>
      <c r="GHS6" s="157"/>
      <c r="GHT6" s="157"/>
      <c r="GHU6" s="157"/>
      <c r="GHV6" s="157"/>
      <c r="GHW6" s="157"/>
      <c r="GHX6" s="157"/>
      <c r="GHY6" s="157"/>
      <c r="GHZ6" s="157"/>
      <c r="GIA6" s="157"/>
      <c r="GIB6" s="157"/>
      <c r="GIC6" s="157"/>
      <c r="GID6" s="157"/>
      <c r="GIE6" s="157"/>
      <c r="GIF6" s="157"/>
      <c r="GIG6" s="157"/>
      <c r="GIH6" s="157"/>
      <c r="GII6" s="157"/>
      <c r="GIJ6" s="157"/>
      <c r="GIK6" s="157"/>
      <c r="GIL6" s="157"/>
      <c r="GIM6" s="157"/>
      <c r="GIN6" s="157"/>
      <c r="GIO6" s="157"/>
      <c r="GIP6" s="157"/>
      <c r="GIQ6" s="157"/>
      <c r="GIR6" s="157"/>
      <c r="GIS6" s="157"/>
      <c r="GIT6" s="157"/>
      <c r="GIU6" s="157"/>
      <c r="GIV6" s="157"/>
      <c r="GIW6" s="157"/>
      <c r="GIX6" s="157"/>
      <c r="GIY6" s="157"/>
      <c r="GIZ6" s="157"/>
      <c r="GJA6" s="157"/>
      <c r="GJB6" s="157"/>
      <c r="GJC6" s="157"/>
      <c r="GJD6" s="157"/>
      <c r="GJE6" s="157"/>
      <c r="GJF6" s="157"/>
      <c r="GJG6" s="157"/>
      <c r="GJH6" s="157"/>
      <c r="GJI6" s="157"/>
      <c r="GJJ6" s="157"/>
      <c r="GJK6" s="157"/>
      <c r="GJL6" s="157"/>
      <c r="GJM6" s="157"/>
      <c r="GJN6" s="157"/>
      <c r="GJO6" s="157"/>
      <c r="GJP6" s="157"/>
      <c r="GJQ6" s="157"/>
      <c r="GJR6" s="157"/>
      <c r="GJS6" s="157"/>
      <c r="GJT6" s="157"/>
      <c r="GJU6" s="157"/>
      <c r="GJV6" s="157"/>
      <c r="GJW6" s="157"/>
      <c r="GJX6" s="157"/>
      <c r="GJY6" s="157"/>
      <c r="GJZ6" s="157"/>
      <c r="GKA6" s="157"/>
      <c r="GKB6" s="157"/>
      <c r="GKC6" s="157"/>
      <c r="GKD6" s="157"/>
      <c r="GKE6" s="157"/>
      <c r="GKF6" s="157"/>
      <c r="GKG6" s="157"/>
      <c r="GKH6" s="157"/>
      <c r="GKI6" s="157"/>
      <c r="GKJ6" s="157"/>
      <c r="GKK6" s="157"/>
      <c r="GKL6" s="157"/>
      <c r="GKM6" s="157"/>
      <c r="GKN6" s="157"/>
      <c r="GKO6" s="157"/>
      <c r="GKP6" s="157"/>
      <c r="GKQ6" s="157"/>
      <c r="GKR6" s="157"/>
      <c r="GKS6" s="157"/>
      <c r="GKT6" s="157"/>
      <c r="GKU6" s="157"/>
      <c r="GKV6" s="157"/>
      <c r="GKW6" s="157"/>
      <c r="GKX6" s="157"/>
      <c r="GKY6" s="157"/>
      <c r="GKZ6" s="157"/>
      <c r="GLA6" s="157"/>
      <c r="GLB6" s="157"/>
      <c r="GLC6" s="157"/>
      <c r="GLD6" s="157"/>
      <c r="GLE6" s="157"/>
      <c r="GLF6" s="157"/>
      <c r="GLG6" s="157"/>
      <c r="GLH6" s="157"/>
      <c r="GLI6" s="157"/>
      <c r="GLJ6" s="157"/>
      <c r="GLK6" s="157"/>
      <c r="GLL6" s="157"/>
      <c r="GLM6" s="157"/>
      <c r="GLN6" s="157"/>
      <c r="GLO6" s="157"/>
      <c r="GLP6" s="157"/>
      <c r="GLQ6" s="157"/>
      <c r="GLR6" s="157"/>
      <c r="GLS6" s="157"/>
      <c r="GLT6" s="157"/>
      <c r="GLU6" s="157"/>
      <c r="GLV6" s="157"/>
      <c r="GLW6" s="157"/>
      <c r="GLX6" s="157"/>
      <c r="GLY6" s="157"/>
      <c r="GLZ6" s="157"/>
      <c r="GMA6" s="157"/>
      <c r="GMB6" s="157"/>
      <c r="GMC6" s="157"/>
      <c r="GMD6" s="157"/>
      <c r="GME6" s="157"/>
      <c r="GMF6" s="157"/>
      <c r="GMG6" s="157"/>
      <c r="GMH6" s="157"/>
      <c r="GMI6" s="157"/>
      <c r="GMJ6" s="157"/>
      <c r="GMK6" s="157"/>
      <c r="GML6" s="157"/>
      <c r="GMM6" s="157"/>
      <c r="GMN6" s="157"/>
      <c r="GMO6" s="157"/>
      <c r="GMP6" s="157"/>
      <c r="GMQ6" s="157"/>
      <c r="GMR6" s="157"/>
      <c r="GMS6" s="157"/>
      <c r="GMT6" s="157"/>
      <c r="GMU6" s="157"/>
      <c r="GMV6" s="157"/>
      <c r="GMW6" s="157"/>
      <c r="GMX6" s="157"/>
      <c r="GMY6" s="157"/>
      <c r="GMZ6" s="157"/>
      <c r="GNA6" s="157"/>
      <c r="GNB6" s="157"/>
      <c r="GNC6" s="157"/>
      <c r="GND6" s="157"/>
      <c r="GNE6" s="157"/>
      <c r="GNF6" s="157"/>
      <c r="GNG6" s="157"/>
      <c r="GNH6" s="157"/>
      <c r="GNI6" s="157"/>
      <c r="GNJ6" s="157"/>
      <c r="GNK6" s="157"/>
      <c r="GNL6" s="157"/>
      <c r="GNM6" s="157"/>
      <c r="GNN6" s="157"/>
      <c r="GNO6" s="157"/>
      <c r="GNP6" s="157"/>
      <c r="GNQ6" s="157"/>
      <c r="GNR6" s="157"/>
      <c r="GNS6" s="157"/>
      <c r="GNT6" s="157"/>
      <c r="GNU6" s="157"/>
      <c r="GNV6" s="157"/>
      <c r="GNW6" s="157"/>
      <c r="GNX6" s="157"/>
      <c r="GNY6" s="157"/>
      <c r="GNZ6" s="157"/>
      <c r="GOA6" s="157"/>
      <c r="GOB6" s="157"/>
      <c r="GOC6" s="157"/>
      <c r="GOD6" s="157"/>
      <c r="GOE6" s="157"/>
      <c r="GOF6" s="157"/>
      <c r="GOG6" s="157"/>
      <c r="GOH6" s="157"/>
      <c r="GOI6" s="157"/>
      <c r="GOJ6" s="157"/>
      <c r="GOK6" s="157"/>
      <c r="GOL6" s="157"/>
      <c r="GOM6" s="157"/>
      <c r="GON6" s="157"/>
      <c r="GOO6" s="157"/>
      <c r="GOP6" s="157"/>
      <c r="GOQ6" s="157"/>
      <c r="GOR6" s="157"/>
      <c r="GOS6" s="157"/>
      <c r="GOT6" s="157"/>
      <c r="GOU6" s="157"/>
      <c r="GOV6" s="157"/>
      <c r="GOW6" s="157"/>
      <c r="GOX6" s="157"/>
      <c r="GOY6" s="157"/>
      <c r="GOZ6" s="157"/>
      <c r="GPA6" s="157"/>
      <c r="GPB6" s="157"/>
      <c r="GPC6" s="157"/>
      <c r="GPD6" s="157"/>
      <c r="GPE6" s="157"/>
      <c r="GPF6" s="157"/>
      <c r="GPG6" s="157"/>
      <c r="GPH6" s="157"/>
      <c r="GPI6" s="157"/>
      <c r="GPJ6" s="157"/>
      <c r="GPK6" s="157"/>
      <c r="GPL6" s="157"/>
      <c r="GPM6" s="157"/>
      <c r="GPN6" s="157"/>
      <c r="GPO6" s="157"/>
      <c r="GPP6" s="157"/>
      <c r="GPQ6" s="157"/>
      <c r="GPR6" s="157"/>
      <c r="GPS6" s="157"/>
      <c r="GPT6" s="157"/>
      <c r="GPU6" s="157"/>
      <c r="GPV6" s="157"/>
      <c r="GPW6" s="157"/>
      <c r="GPX6" s="157"/>
      <c r="GPY6" s="157"/>
      <c r="GPZ6" s="157"/>
      <c r="GQA6" s="157"/>
      <c r="GQB6" s="157"/>
      <c r="GQC6" s="157"/>
      <c r="GQD6" s="157"/>
      <c r="GQE6" s="157"/>
      <c r="GQF6" s="157"/>
      <c r="GQG6" s="157"/>
      <c r="GQH6" s="157"/>
      <c r="GQI6" s="157"/>
      <c r="GQJ6" s="157"/>
      <c r="GQK6" s="157"/>
      <c r="GQL6" s="157"/>
      <c r="GQM6" s="157"/>
      <c r="GQN6" s="157"/>
      <c r="GQO6" s="157"/>
      <c r="GQP6" s="157"/>
      <c r="GQQ6" s="157"/>
      <c r="GQR6" s="157"/>
      <c r="GQS6" s="157"/>
      <c r="GQT6" s="157"/>
      <c r="GQU6" s="157"/>
      <c r="GQV6" s="157"/>
      <c r="GQW6" s="157"/>
      <c r="GQX6" s="157"/>
      <c r="GQY6" s="157"/>
      <c r="GQZ6" s="157"/>
      <c r="GRA6" s="157"/>
      <c r="GRB6" s="157"/>
      <c r="GRC6" s="157"/>
      <c r="GRD6" s="157"/>
      <c r="GRE6" s="157"/>
      <c r="GRF6" s="157"/>
      <c r="GRG6" s="157"/>
      <c r="GRH6" s="157"/>
      <c r="GRI6" s="157"/>
      <c r="GRJ6" s="157"/>
      <c r="GRK6" s="157"/>
      <c r="GRL6" s="157"/>
      <c r="GRM6" s="157"/>
      <c r="GRN6" s="157"/>
      <c r="GRO6" s="157"/>
      <c r="GRP6" s="157"/>
      <c r="GRQ6" s="157"/>
      <c r="GRR6" s="157"/>
      <c r="GRS6" s="157"/>
      <c r="GRT6" s="157"/>
      <c r="GRU6" s="157"/>
      <c r="GRV6" s="157"/>
      <c r="GRW6" s="157"/>
      <c r="GRX6" s="157"/>
      <c r="GRY6" s="157"/>
      <c r="GRZ6" s="157"/>
      <c r="GSA6" s="157"/>
      <c r="GSB6" s="157"/>
      <c r="GSC6" s="157"/>
      <c r="GSD6" s="157"/>
      <c r="GSE6" s="157"/>
      <c r="GSF6" s="157"/>
      <c r="GSG6" s="157"/>
      <c r="GSH6" s="157"/>
      <c r="GSI6" s="157"/>
      <c r="GSJ6" s="157"/>
      <c r="GSK6" s="157"/>
      <c r="GSL6" s="157"/>
      <c r="GSM6" s="157"/>
      <c r="GSN6" s="157"/>
      <c r="GSO6" s="157"/>
      <c r="GSP6" s="157"/>
      <c r="GSQ6" s="157"/>
      <c r="GSR6" s="157"/>
      <c r="GSS6" s="157"/>
      <c r="GST6" s="157"/>
      <c r="GSU6" s="157"/>
      <c r="GSV6" s="157"/>
      <c r="GSW6" s="157"/>
      <c r="GSX6" s="157"/>
      <c r="GSY6" s="157"/>
      <c r="GSZ6" s="157"/>
      <c r="GTA6" s="157"/>
      <c r="GTB6" s="157"/>
      <c r="GTC6" s="157"/>
      <c r="GTD6" s="157"/>
      <c r="GTE6" s="157"/>
      <c r="GTF6" s="157"/>
      <c r="GTG6" s="157"/>
      <c r="GTH6" s="157"/>
      <c r="GTI6" s="157"/>
      <c r="GTJ6" s="157"/>
      <c r="GTK6" s="157"/>
      <c r="GTL6" s="157"/>
      <c r="GTM6" s="157"/>
      <c r="GTN6" s="157"/>
      <c r="GTO6" s="157"/>
      <c r="GTP6" s="157"/>
      <c r="GTQ6" s="157"/>
      <c r="GTR6" s="157"/>
      <c r="GTS6" s="157"/>
      <c r="GTT6" s="157"/>
      <c r="GTU6" s="157"/>
      <c r="GTV6" s="157"/>
      <c r="GTW6" s="157"/>
      <c r="GTX6" s="157"/>
      <c r="GTY6" s="157"/>
      <c r="GTZ6" s="157"/>
      <c r="GUA6" s="157"/>
      <c r="GUB6" s="157"/>
      <c r="GUC6" s="157"/>
      <c r="GUD6" s="157"/>
      <c r="GUE6" s="157"/>
      <c r="GUF6" s="157"/>
      <c r="GUG6" s="157"/>
      <c r="GUH6" s="157"/>
      <c r="GUI6" s="157"/>
      <c r="GUJ6" s="157"/>
      <c r="GUK6" s="157"/>
      <c r="GUL6" s="157"/>
      <c r="GUM6" s="157"/>
      <c r="GUN6" s="157"/>
      <c r="GUO6" s="157"/>
      <c r="GUP6" s="157"/>
      <c r="GUQ6" s="157"/>
      <c r="GUR6" s="157"/>
      <c r="GUS6" s="157"/>
      <c r="GUT6" s="157"/>
      <c r="GUU6" s="157"/>
      <c r="GUV6" s="157"/>
      <c r="GUW6" s="157"/>
      <c r="GUX6" s="157"/>
      <c r="GUY6" s="157"/>
      <c r="GUZ6" s="157"/>
      <c r="GVA6" s="157"/>
      <c r="GVB6" s="157"/>
      <c r="GVC6" s="157"/>
      <c r="GVD6" s="157"/>
      <c r="GVE6" s="157"/>
      <c r="GVF6" s="157"/>
      <c r="GVG6" s="157"/>
      <c r="GVH6" s="157"/>
      <c r="GVI6" s="157"/>
      <c r="GVJ6" s="157"/>
      <c r="GVK6" s="157"/>
      <c r="GVL6" s="157"/>
      <c r="GVM6" s="157"/>
      <c r="GVN6" s="157"/>
      <c r="GVO6" s="157"/>
      <c r="GVP6" s="157"/>
      <c r="GVQ6" s="157"/>
      <c r="GVR6" s="157"/>
      <c r="GVS6" s="157"/>
      <c r="GVT6" s="157"/>
      <c r="GVU6" s="157"/>
      <c r="GVV6" s="157"/>
      <c r="GVW6" s="157"/>
      <c r="GVX6" s="157"/>
      <c r="GVY6" s="157"/>
      <c r="GVZ6" s="157"/>
      <c r="GWA6" s="157"/>
      <c r="GWB6" s="157"/>
      <c r="GWC6" s="157"/>
      <c r="GWD6" s="157"/>
      <c r="GWE6" s="157"/>
      <c r="GWF6" s="157"/>
      <c r="GWG6" s="157"/>
      <c r="GWH6" s="157"/>
      <c r="GWI6" s="157"/>
      <c r="GWJ6" s="157"/>
      <c r="GWK6" s="157"/>
      <c r="GWL6" s="157"/>
      <c r="GWM6" s="157"/>
      <c r="GWN6" s="157"/>
      <c r="GWO6" s="157"/>
      <c r="GWP6" s="157"/>
      <c r="GWQ6" s="157"/>
      <c r="GWR6" s="157"/>
      <c r="GWS6" s="157"/>
      <c r="GWT6" s="157"/>
      <c r="GWU6" s="157"/>
      <c r="GWV6" s="157"/>
      <c r="GWW6" s="157"/>
      <c r="GWX6" s="157"/>
      <c r="GWY6" s="157"/>
      <c r="GWZ6" s="157"/>
      <c r="GXA6" s="157"/>
      <c r="GXB6" s="157"/>
      <c r="GXC6" s="157"/>
      <c r="GXD6" s="157"/>
      <c r="GXE6" s="157"/>
      <c r="GXF6" s="157"/>
      <c r="GXG6" s="157"/>
      <c r="GXH6" s="157"/>
      <c r="GXI6" s="157"/>
      <c r="GXJ6" s="157"/>
      <c r="GXK6" s="157"/>
      <c r="GXL6" s="157"/>
      <c r="GXM6" s="157"/>
      <c r="GXN6" s="157"/>
      <c r="GXO6" s="157"/>
      <c r="GXP6" s="157"/>
      <c r="GXQ6" s="157"/>
      <c r="GXR6" s="157"/>
      <c r="GXS6" s="157"/>
      <c r="GXT6" s="157"/>
      <c r="GXU6" s="157"/>
      <c r="GXV6" s="157"/>
      <c r="GXW6" s="157"/>
      <c r="GXX6" s="157"/>
      <c r="GXY6" s="157"/>
      <c r="GXZ6" s="157"/>
      <c r="GYA6" s="157"/>
      <c r="GYB6" s="157"/>
      <c r="GYC6" s="157"/>
      <c r="GYD6" s="157"/>
      <c r="GYE6" s="157"/>
      <c r="GYF6" s="157"/>
      <c r="GYG6" s="157"/>
      <c r="GYH6" s="157"/>
      <c r="GYI6" s="157"/>
      <c r="GYJ6" s="157"/>
      <c r="GYK6" s="157"/>
      <c r="GYL6" s="157"/>
      <c r="GYM6" s="157"/>
      <c r="GYN6" s="157"/>
      <c r="GYO6" s="157"/>
      <c r="GYP6" s="157"/>
      <c r="GYQ6" s="157"/>
      <c r="GYR6" s="157"/>
      <c r="GYS6" s="157"/>
      <c r="GYT6" s="157"/>
      <c r="GYU6" s="157"/>
      <c r="GYV6" s="157"/>
      <c r="GYW6" s="157"/>
      <c r="GYX6" s="157"/>
      <c r="GYY6" s="157"/>
      <c r="GYZ6" s="157"/>
      <c r="GZA6" s="157"/>
      <c r="GZB6" s="157"/>
      <c r="GZC6" s="157"/>
      <c r="GZD6" s="157"/>
      <c r="GZE6" s="157"/>
      <c r="GZF6" s="157"/>
      <c r="GZG6" s="157"/>
      <c r="GZH6" s="157"/>
      <c r="GZI6" s="157"/>
      <c r="GZJ6" s="157"/>
      <c r="GZK6" s="157"/>
      <c r="GZL6" s="157"/>
      <c r="GZM6" s="157"/>
      <c r="GZN6" s="157"/>
      <c r="GZO6" s="157"/>
      <c r="GZP6" s="157"/>
      <c r="GZQ6" s="157"/>
      <c r="GZR6" s="157"/>
      <c r="GZS6" s="157"/>
      <c r="GZT6" s="157"/>
      <c r="GZU6" s="157"/>
      <c r="GZV6" s="157"/>
      <c r="GZW6" s="157"/>
      <c r="GZX6" s="157"/>
      <c r="GZY6" s="157"/>
      <c r="GZZ6" s="157"/>
      <c r="HAA6" s="157"/>
      <c r="HAB6" s="157"/>
      <c r="HAC6" s="157"/>
      <c r="HAD6" s="157"/>
      <c r="HAE6" s="157"/>
      <c r="HAF6" s="157"/>
      <c r="HAG6" s="157"/>
      <c r="HAH6" s="157"/>
      <c r="HAI6" s="157"/>
      <c r="HAJ6" s="157"/>
      <c r="HAK6" s="157"/>
      <c r="HAL6" s="157"/>
      <c r="HAM6" s="157"/>
      <c r="HAN6" s="157"/>
      <c r="HAO6" s="157"/>
      <c r="HAP6" s="157"/>
      <c r="HAQ6" s="157"/>
      <c r="HAR6" s="157"/>
      <c r="HAS6" s="157"/>
      <c r="HAT6" s="157"/>
      <c r="HAU6" s="157"/>
      <c r="HAV6" s="157"/>
      <c r="HAW6" s="157"/>
      <c r="HAX6" s="157"/>
      <c r="HAY6" s="157"/>
      <c r="HAZ6" s="157"/>
      <c r="HBA6" s="157"/>
      <c r="HBB6" s="157"/>
      <c r="HBC6" s="157"/>
      <c r="HBD6" s="157"/>
      <c r="HBE6" s="157"/>
      <c r="HBF6" s="157"/>
      <c r="HBG6" s="157"/>
      <c r="HBH6" s="157"/>
      <c r="HBI6" s="157"/>
      <c r="HBJ6" s="157"/>
      <c r="HBK6" s="157"/>
      <c r="HBL6" s="157"/>
      <c r="HBM6" s="157"/>
      <c r="HBN6" s="157"/>
      <c r="HBO6" s="157"/>
      <c r="HBP6" s="157"/>
      <c r="HBQ6" s="157"/>
      <c r="HBR6" s="157"/>
      <c r="HBS6" s="157"/>
      <c r="HBT6" s="157"/>
      <c r="HBU6" s="157"/>
      <c r="HBV6" s="157"/>
      <c r="HBW6" s="157"/>
      <c r="HBX6" s="157"/>
      <c r="HBY6" s="157"/>
      <c r="HBZ6" s="157"/>
      <c r="HCA6" s="157"/>
      <c r="HCB6" s="157"/>
      <c r="HCC6" s="157"/>
      <c r="HCD6" s="157"/>
      <c r="HCE6" s="157"/>
      <c r="HCF6" s="157"/>
      <c r="HCG6" s="157"/>
      <c r="HCH6" s="157"/>
      <c r="HCI6" s="157"/>
      <c r="HCJ6" s="157"/>
      <c r="HCK6" s="157"/>
      <c r="HCL6" s="157"/>
      <c r="HCM6" s="157"/>
      <c r="HCN6" s="157"/>
      <c r="HCO6" s="157"/>
      <c r="HCP6" s="157"/>
      <c r="HCQ6" s="157"/>
      <c r="HCR6" s="157"/>
      <c r="HCS6" s="157"/>
      <c r="HCT6" s="157"/>
      <c r="HCU6" s="157"/>
      <c r="HCV6" s="157"/>
      <c r="HCW6" s="157"/>
      <c r="HCX6" s="157"/>
      <c r="HCY6" s="157"/>
      <c r="HCZ6" s="157"/>
      <c r="HDA6" s="157"/>
      <c r="HDB6" s="157"/>
      <c r="HDC6" s="157"/>
      <c r="HDD6" s="157"/>
      <c r="HDE6" s="157"/>
      <c r="HDF6" s="157"/>
      <c r="HDG6" s="157"/>
      <c r="HDH6" s="157"/>
      <c r="HDI6" s="157"/>
      <c r="HDJ6" s="157"/>
      <c r="HDK6" s="157"/>
      <c r="HDL6" s="157"/>
      <c r="HDM6" s="157"/>
      <c r="HDN6" s="157"/>
      <c r="HDO6" s="157"/>
      <c r="HDP6" s="157"/>
      <c r="HDQ6" s="157"/>
      <c r="HDR6" s="157"/>
      <c r="HDS6" s="157"/>
      <c r="HDT6" s="157"/>
      <c r="HDU6" s="157"/>
      <c r="HDV6" s="157"/>
      <c r="HDW6" s="157"/>
      <c r="HDX6" s="157"/>
      <c r="HDY6" s="157"/>
      <c r="HDZ6" s="157"/>
      <c r="HEA6" s="157"/>
      <c r="HEB6" s="157"/>
      <c r="HEC6" s="157"/>
      <c r="HED6" s="157"/>
      <c r="HEE6" s="157"/>
      <c r="HEF6" s="157"/>
      <c r="HEG6" s="157"/>
      <c r="HEH6" s="157"/>
      <c r="HEI6" s="157"/>
      <c r="HEJ6" s="157"/>
      <c r="HEK6" s="157"/>
      <c r="HEL6" s="157"/>
      <c r="HEM6" s="157"/>
      <c r="HEN6" s="157"/>
      <c r="HEO6" s="157"/>
      <c r="HEP6" s="157"/>
      <c r="HEQ6" s="157"/>
      <c r="HER6" s="157"/>
      <c r="HES6" s="157"/>
      <c r="HET6" s="157"/>
      <c r="HEU6" s="157"/>
      <c r="HEV6" s="157"/>
      <c r="HEW6" s="157"/>
      <c r="HEX6" s="157"/>
      <c r="HEY6" s="157"/>
      <c r="HEZ6" s="157"/>
      <c r="HFA6" s="157"/>
      <c r="HFB6" s="157"/>
      <c r="HFC6" s="157"/>
      <c r="HFD6" s="157"/>
      <c r="HFE6" s="157"/>
      <c r="HFF6" s="157"/>
      <c r="HFG6" s="157"/>
      <c r="HFH6" s="157"/>
      <c r="HFI6" s="157"/>
      <c r="HFJ6" s="157"/>
      <c r="HFK6" s="157"/>
      <c r="HFL6" s="157"/>
      <c r="HFM6" s="157"/>
      <c r="HFN6" s="157"/>
      <c r="HFO6" s="157"/>
      <c r="HFP6" s="157"/>
      <c r="HFQ6" s="157"/>
      <c r="HFR6" s="157"/>
      <c r="HFS6" s="157"/>
      <c r="HFT6" s="157"/>
      <c r="HFU6" s="157"/>
      <c r="HFV6" s="157"/>
      <c r="HFW6" s="157"/>
      <c r="HFX6" s="157"/>
      <c r="HFY6" s="157"/>
      <c r="HFZ6" s="157"/>
      <c r="HGA6" s="157"/>
      <c r="HGB6" s="157"/>
      <c r="HGC6" s="157"/>
      <c r="HGD6" s="157"/>
      <c r="HGE6" s="157"/>
      <c r="HGF6" s="157"/>
      <c r="HGG6" s="157"/>
      <c r="HGH6" s="157"/>
      <c r="HGI6" s="157"/>
      <c r="HGJ6" s="157"/>
      <c r="HGK6" s="157"/>
      <c r="HGL6" s="157"/>
      <c r="HGM6" s="157"/>
      <c r="HGN6" s="157"/>
      <c r="HGO6" s="157"/>
      <c r="HGP6" s="157"/>
      <c r="HGQ6" s="157"/>
      <c r="HGR6" s="157"/>
      <c r="HGS6" s="157"/>
      <c r="HGT6" s="157"/>
      <c r="HGU6" s="157"/>
      <c r="HGV6" s="157"/>
      <c r="HGW6" s="157"/>
      <c r="HGX6" s="157"/>
      <c r="HGY6" s="157"/>
      <c r="HGZ6" s="157"/>
      <c r="HHA6" s="157"/>
      <c r="HHB6" s="157"/>
      <c r="HHC6" s="157"/>
      <c r="HHD6" s="157"/>
      <c r="HHE6" s="157"/>
      <c r="HHF6" s="157"/>
      <c r="HHG6" s="157"/>
      <c r="HHH6" s="157"/>
      <c r="HHI6" s="157"/>
      <c r="HHJ6" s="157"/>
      <c r="HHK6" s="157"/>
      <c r="HHL6" s="157"/>
      <c r="HHM6" s="157"/>
      <c r="HHN6" s="157"/>
      <c r="HHO6" s="157"/>
      <c r="HHP6" s="157"/>
      <c r="HHQ6" s="157"/>
      <c r="HHR6" s="157"/>
      <c r="HHS6" s="157"/>
      <c r="HHT6" s="157"/>
      <c r="HHU6" s="157"/>
      <c r="HHV6" s="157"/>
      <c r="HHW6" s="157"/>
      <c r="HHX6" s="157"/>
      <c r="HHY6" s="157"/>
      <c r="HHZ6" s="157"/>
      <c r="HIA6" s="157"/>
      <c r="HIB6" s="157"/>
      <c r="HIC6" s="157"/>
      <c r="HID6" s="157"/>
      <c r="HIE6" s="157"/>
      <c r="HIF6" s="157"/>
      <c r="HIG6" s="157"/>
      <c r="HIH6" s="157"/>
      <c r="HII6" s="157"/>
      <c r="HIJ6" s="157"/>
      <c r="HIK6" s="157"/>
      <c r="HIL6" s="157"/>
      <c r="HIM6" s="157"/>
      <c r="HIN6" s="157"/>
      <c r="HIO6" s="157"/>
      <c r="HIP6" s="157"/>
      <c r="HIQ6" s="157"/>
      <c r="HIR6" s="157"/>
      <c r="HIS6" s="157"/>
      <c r="HIT6" s="157"/>
      <c r="HIU6" s="157"/>
      <c r="HIV6" s="157"/>
      <c r="HIW6" s="157"/>
      <c r="HIX6" s="157"/>
      <c r="HIY6" s="157"/>
      <c r="HIZ6" s="157"/>
      <c r="HJA6" s="157"/>
      <c r="HJB6" s="157"/>
      <c r="HJC6" s="157"/>
      <c r="HJD6" s="157"/>
      <c r="HJE6" s="157"/>
      <c r="HJF6" s="157"/>
      <c r="HJG6" s="157"/>
      <c r="HJH6" s="157"/>
      <c r="HJI6" s="157"/>
      <c r="HJJ6" s="157"/>
      <c r="HJK6" s="157"/>
      <c r="HJL6" s="157"/>
      <c r="HJM6" s="157"/>
      <c r="HJN6" s="157"/>
      <c r="HJO6" s="157"/>
      <c r="HJP6" s="157"/>
      <c r="HJQ6" s="157"/>
      <c r="HJR6" s="157"/>
      <c r="HJS6" s="157"/>
      <c r="HJT6" s="157"/>
      <c r="HJU6" s="157"/>
      <c r="HJV6" s="157"/>
      <c r="HJW6" s="157"/>
      <c r="HJX6" s="157"/>
      <c r="HJY6" s="157"/>
      <c r="HJZ6" s="157"/>
      <c r="HKA6" s="157"/>
      <c r="HKB6" s="157"/>
      <c r="HKC6" s="157"/>
      <c r="HKD6" s="157"/>
      <c r="HKE6" s="157"/>
      <c r="HKF6" s="157"/>
      <c r="HKG6" s="157"/>
      <c r="HKH6" s="157"/>
      <c r="HKI6" s="157"/>
      <c r="HKJ6" s="157"/>
      <c r="HKK6" s="157"/>
      <c r="HKL6" s="157"/>
      <c r="HKM6" s="157"/>
      <c r="HKN6" s="157"/>
      <c r="HKO6" s="157"/>
      <c r="HKP6" s="157"/>
      <c r="HKQ6" s="157"/>
      <c r="HKR6" s="157"/>
      <c r="HKS6" s="157"/>
      <c r="HKT6" s="157"/>
      <c r="HKU6" s="157"/>
      <c r="HKV6" s="157"/>
      <c r="HKW6" s="157"/>
      <c r="HKX6" s="157"/>
      <c r="HKY6" s="157"/>
      <c r="HKZ6" s="157"/>
      <c r="HLA6" s="157"/>
      <c r="HLB6" s="157"/>
      <c r="HLC6" s="157"/>
      <c r="HLD6" s="157"/>
      <c r="HLE6" s="157"/>
      <c r="HLF6" s="157"/>
      <c r="HLG6" s="157"/>
      <c r="HLH6" s="157"/>
      <c r="HLI6" s="157"/>
      <c r="HLJ6" s="157"/>
      <c r="HLK6" s="157"/>
      <c r="HLL6" s="157"/>
      <c r="HLM6" s="157"/>
      <c r="HLN6" s="157"/>
      <c r="HLO6" s="157"/>
      <c r="HLP6" s="157"/>
      <c r="HLQ6" s="157"/>
      <c r="HLR6" s="157"/>
      <c r="HLS6" s="157"/>
      <c r="HLT6" s="157"/>
      <c r="HLU6" s="157"/>
      <c r="HLV6" s="157"/>
      <c r="HLW6" s="157"/>
      <c r="HLX6" s="157"/>
      <c r="HLY6" s="157"/>
      <c r="HLZ6" s="157"/>
      <c r="HMA6" s="157"/>
      <c r="HMB6" s="157"/>
      <c r="HMC6" s="157"/>
      <c r="HMD6" s="157"/>
      <c r="HME6" s="157"/>
      <c r="HMF6" s="157"/>
      <c r="HMG6" s="157"/>
      <c r="HMH6" s="157"/>
      <c r="HMI6" s="157"/>
      <c r="HMJ6" s="157"/>
      <c r="HMK6" s="157"/>
      <c r="HML6" s="157"/>
      <c r="HMM6" s="157"/>
      <c r="HMN6" s="157"/>
      <c r="HMO6" s="157"/>
      <c r="HMP6" s="157"/>
      <c r="HMQ6" s="157"/>
      <c r="HMR6" s="157"/>
      <c r="HMS6" s="157"/>
      <c r="HMT6" s="157"/>
      <c r="HMU6" s="157"/>
      <c r="HMV6" s="157"/>
      <c r="HMW6" s="157"/>
      <c r="HMX6" s="157"/>
      <c r="HMY6" s="157"/>
      <c r="HMZ6" s="157"/>
      <c r="HNA6" s="157"/>
      <c r="HNB6" s="157"/>
      <c r="HNC6" s="157"/>
      <c r="HND6" s="157"/>
      <c r="HNE6" s="157"/>
      <c r="HNF6" s="157"/>
      <c r="HNG6" s="157"/>
      <c r="HNH6" s="157"/>
      <c r="HNI6" s="157"/>
      <c r="HNJ6" s="157"/>
      <c r="HNK6" s="157"/>
      <c r="HNL6" s="157"/>
      <c r="HNM6" s="157"/>
      <c r="HNN6" s="157"/>
      <c r="HNO6" s="157"/>
      <c r="HNP6" s="157"/>
      <c r="HNQ6" s="157"/>
      <c r="HNR6" s="157"/>
      <c r="HNS6" s="157"/>
      <c r="HNT6" s="157"/>
      <c r="HNU6" s="157"/>
      <c r="HNV6" s="157"/>
      <c r="HNW6" s="157"/>
      <c r="HNX6" s="157"/>
      <c r="HNY6" s="157"/>
      <c r="HNZ6" s="157"/>
      <c r="HOA6" s="157"/>
      <c r="HOB6" s="157"/>
      <c r="HOC6" s="157"/>
      <c r="HOD6" s="157"/>
      <c r="HOE6" s="157"/>
      <c r="HOF6" s="157"/>
      <c r="HOG6" s="157"/>
      <c r="HOH6" s="157"/>
      <c r="HOI6" s="157"/>
      <c r="HOJ6" s="157"/>
      <c r="HOK6" s="157"/>
      <c r="HOL6" s="157"/>
      <c r="HOM6" s="157"/>
      <c r="HON6" s="157"/>
      <c r="HOO6" s="157"/>
      <c r="HOP6" s="157"/>
      <c r="HOQ6" s="157"/>
      <c r="HOR6" s="157"/>
      <c r="HOS6" s="157"/>
      <c r="HOT6" s="157"/>
      <c r="HOU6" s="157"/>
      <c r="HOV6" s="157"/>
      <c r="HOW6" s="157"/>
      <c r="HOX6" s="157"/>
      <c r="HOY6" s="157"/>
      <c r="HOZ6" s="157"/>
      <c r="HPA6" s="157"/>
      <c r="HPB6" s="157"/>
      <c r="HPC6" s="157"/>
      <c r="HPD6" s="157"/>
      <c r="HPE6" s="157"/>
      <c r="HPF6" s="157"/>
      <c r="HPG6" s="157"/>
      <c r="HPH6" s="157"/>
      <c r="HPI6" s="157"/>
      <c r="HPJ6" s="157"/>
      <c r="HPK6" s="157"/>
      <c r="HPL6" s="157"/>
      <c r="HPM6" s="157"/>
      <c r="HPN6" s="157"/>
      <c r="HPO6" s="157"/>
      <c r="HPP6" s="157"/>
      <c r="HPQ6" s="157"/>
      <c r="HPR6" s="157"/>
      <c r="HPS6" s="157"/>
      <c r="HPT6" s="157"/>
      <c r="HPU6" s="157"/>
      <c r="HPV6" s="157"/>
      <c r="HPW6" s="157"/>
      <c r="HPX6" s="157"/>
      <c r="HPY6" s="157"/>
      <c r="HPZ6" s="157"/>
      <c r="HQA6" s="157"/>
      <c r="HQB6" s="157"/>
      <c r="HQC6" s="157"/>
      <c r="HQD6" s="157"/>
      <c r="HQE6" s="157"/>
      <c r="HQF6" s="157"/>
      <c r="HQG6" s="157"/>
      <c r="HQH6" s="157"/>
      <c r="HQI6" s="157"/>
      <c r="HQJ6" s="157"/>
      <c r="HQK6" s="157"/>
      <c r="HQL6" s="157"/>
      <c r="HQM6" s="157"/>
      <c r="HQN6" s="157"/>
      <c r="HQO6" s="157"/>
      <c r="HQP6" s="157"/>
      <c r="HQQ6" s="157"/>
      <c r="HQR6" s="157"/>
      <c r="HQS6" s="157"/>
      <c r="HQT6" s="157"/>
      <c r="HQU6" s="157"/>
      <c r="HQV6" s="157"/>
      <c r="HQW6" s="157"/>
      <c r="HQX6" s="157"/>
      <c r="HQY6" s="157"/>
      <c r="HQZ6" s="157"/>
      <c r="HRA6" s="157"/>
      <c r="HRB6" s="157"/>
      <c r="HRC6" s="157"/>
      <c r="HRD6" s="157"/>
      <c r="HRE6" s="157"/>
      <c r="HRF6" s="157"/>
      <c r="HRG6" s="157"/>
      <c r="HRH6" s="157"/>
      <c r="HRI6" s="157"/>
      <c r="HRJ6" s="157"/>
      <c r="HRK6" s="157"/>
      <c r="HRL6" s="157"/>
      <c r="HRM6" s="157"/>
      <c r="HRN6" s="157"/>
      <c r="HRO6" s="157"/>
      <c r="HRP6" s="157"/>
      <c r="HRQ6" s="157"/>
      <c r="HRR6" s="157"/>
      <c r="HRS6" s="157"/>
      <c r="HRT6" s="157"/>
      <c r="HRU6" s="157"/>
      <c r="HRV6" s="157"/>
      <c r="HRW6" s="157"/>
      <c r="HRX6" s="157"/>
      <c r="HRY6" s="157"/>
      <c r="HRZ6" s="157"/>
      <c r="HSA6" s="157"/>
      <c r="HSB6" s="157"/>
      <c r="HSC6" s="157"/>
      <c r="HSD6" s="157"/>
      <c r="HSE6" s="157"/>
      <c r="HSF6" s="157"/>
      <c r="HSG6" s="157"/>
      <c r="HSH6" s="157"/>
      <c r="HSI6" s="157"/>
      <c r="HSJ6" s="157"/>
      <c r="HSK6" s="157"/>
      <c r="HSL6" s="157"/>
      <c r="HSM6" s="157"/>
      <c r="HSN6" s="157"/>
      <c r="HSO6" s="157"/>
      <c r="HSP6" s="157"/>
      <c r="HSQ6" s="157"/>
      <c r="HSR6" s="157"/>
      <c r="HSS6" s="157"/>
      <c r="HST6" s="157"/>
      <c r="HSU6" s="157"/>
      <c r="HSV6" s="157"/>
      <c r="HSW6" s="157"/>
      <c r="HSX6" s="157"/>
      <c r="HSY6" s="157"/>
      <c r="HSZ6" s="157"/>
      <c r="HTA6" s="157"/>
      <c r="HTB6" s="157"/>
      <c r="HTC6" s="157"/>
      <c r="HTD6" s="157"/>
      <c r="HTE6" s="157"/>
      <c r="HTF6" s="157"/>
      <c r="HTG6" s="157"/>
      <c r="HTH6" s="157"/>
      <c r="HTI6" s="157"/>
      <c r="HTJ6" s="157"/>
      <c r="HTK6" s="157"/>
      <c r="HTL6" s="157"/>
      <c r="HTM6" s="157"/>
      <c r="HTN6" s="157"/>
      <c r="HTO6" s="157"/>
      <c r="HTP6" s="157"/>
      <c r="HTQ6" s="157"/>
      <c r="HTR6" s="157"/>
      <c r="HTS6" s="157"/>
      <c r="HTT6" s="157"/>
      <c r="HTU6" s="157"/>
      <c r="HTV6" s="157"/>
      <c r="HTW6" s="157"/>
      <c r="HTX6" s="157"/>
      <c r="HTY6" s="157"/>
      <c r="HTZ6" s="157"/>
      <c r="HUA6" s="157"/>
      <c r="HUB6" s="157"/>
      <c r="HUC6" s="157"/>
      <c r="HUD6" s="157"/>
      <c r="HUE6" s="157"/>
      <c r="HUF6" s="157"/>
      <c r="HUG6" s="157"/>
      <c r="HUH6" s="157"/>
      <c r="HUI6" s="157"/>
      <c r="HUJ6" s="157"/>
      <c r="HUK6" s="157"/>
      <c r="HUL6" s="157"/>
      <c r="HUM6" s="157"/>
      <c r="HUN6" s="157"/>
      <c r="HUO6" s="157"/>
      <c r="HUP6" s="157"/>
      <c r="HUQ6" s="157"/>
      <c r="HUR6" s="157"/>
      <c r="HUS6" s="157"/>
      <c r="HUT6" s="157"/>
      <c r="HUU6" s="157"/>
      <c r="HUV6" s="157"/>
      <c r="HUW6" s="157"/>
      <c r="HUX6" s="157"/>
      <c r="HUY6" s="157"/>
      <c r="HUZ6" s="157"/>
      <c r="HVA6" s="157"/>
      <c r="HVB6" s="157"/>
      <c r="HVC6" s="157"/>
      <c r="HVD6" s="157"/>
      <c r="HVE6" s="157"/>
      <c r="HVF6" s="157"/>
      <c r="HVG6" s="157"/>
      <c r="HVH6" s="157"/>
      <c r="HVI6" s="157"/>
      <c r="HVJ6" s="157"/>
      <c r="HVK6" s="157"/>
      <c r="HVL6" s="157"/>
      <c r="HVM6" s="157"/>
      <c r="HVN6" s="157"/>
      <c r="HVO6" s="157"/>
      <c r="HVP6" s="157"/>
      <c r="HVQ6" s="157"/>
      <c r="HVR6" s="157"/>
      <c r="HVS6" s="157"/>
      <c r="HVT6" s="157"/>
      <c r="HVU6" s="157"/>
      <c r="HVV6" s="157"/>
      <c r="HVW6" s="157"/>
      <c r="HVX6" s="157"/>
      <c r="HVY6" s="157"/>
      <c r="HVZ6" s="157"/>
      <c r="HWA6" s="157"/>
      <c r="HWB6" s="157"/>
      <c r="HWC6" s="157"/>
      <c r="HWD6" s="157"/>
      <c r="HWE6" s="157"/>
      <c r="HWF6" s="157"/>
      <c r="HWG6" s="157"/>
      <c r="HWH6" s="157"/>
      <c r="HWI6" s="157"/>
      <c r="HWJ6" s="157"/>
      <c r="HWK6" s="157"/>
      <c r="HWL6" s="157"/>
      <c r="HWM6" s="157"/>
      <c r="HWN6" s="157"/>
      <c r="HWO6" s="157"/>
      <c r="HWP6" s="157"/>
      <c r="HWQ6" s="157"/>
      <c r="HWR6" s="157"/>
      <c r="HWS6" s="157"/>
      <c r="HWT6" s="157"/>
      <c r="HWU6" s="157"/>
      <c r="HWV6" s="157"/>
      <c r="HWW6" s="157"/>
      <c r="HWX6" s="157"/>
      <c r="HWY6" s="157"/>
      <c r="HWZ6" s="157"/>
      <c r="HXA6" s="157"/>
      <c r="HXB6" s="157"/>
      <c r="HXC6" s="157"/>
      <c r="HXD6" s="157"/>
      <c r="HXE6" s="157"/>
      <c r="HXF6" s="157"/>
      <c r="HXG6" s="157"/>
      <c r="HXH6" s="157"/>
      <c r="HXI6" s="157"/>
      <c r="HXJ6" s="157"/>
      <c r="HXK6" s="157"/>
      <c r="HXL6" s="157"/>
      <c r="HXM6" s="157"/>
      <c r="HXN6" s="157"/>
      <c r="HXO6" s="157"/>
      <c r="HXP6" s="157"/>
      <c r="HXQ6" s="157"/>
      <c r="HXR6" s="157"/>
      <c r="HXS6" s="157"/>
      <c r="HXT6" s="157"/>
      <c r="HXU6" s="157"/>
      <c r="HXV6" s="157"/>
      <c r="HXW6" s="157"/>
      <c r="HXX6" s="157"/>
      <c r="HXY6" s="157"/>
      <c r="HXZ6" s="157"/>
      <c r="HYA6" s="157"/>
      <c r="HYB6" s="157"/>
      <c r="HYC6" s="157"/>
      <c r="HYD6" s="157"/>
      <c r="HYE6" s="157"/>
      <c r="HYF6" s="157"/>
      <c r="HYG6" s="157"/>
      <c r="HYH6" s="157"/>
      <c r="HYI6" s="157"/>
      <c r="HYJ6" s="157"/>
      <c r="HYK6" s="157"/>
      <c r="HYL6" s="157"/>
      <c r="HYM6" s="157"/>
      <c r="HYN6" s="157"/>
      <c r="HYO6" s="157"/>
      <c r="HYP6" s="157"/>
      <c r="HYQ6" s="157"/>
      <c r="HYR6" s="157"/>
      <c r="HYS6" s="157"/>
      <c r="HYT6" s="157"/>
      <c r="HYU6" s="157"/>
      <c r="HYV6" s="157"/>
      <c r="HYW6" s="157"/>
      <c r="HYX6" s="157"/>
      <c r="HYY6" s="157"/>
      <c r="HYZ6" s="157"/>
      <c r="HZA6" s="157"/>
      <c r="HZB6" s="157"/>
      <c r="HZC6" s="157"/>
      <c r="HZD6" s="157"/>
      <c r="HZE6" s="157"/>
      <c r="HZF6" s="157"/>
      <c r="HZG6" s="157"/>
      <c r="HZH6" s="157"/>
      <c r="HZI6" s="157"/>
      <c r="HZJ6" s="157"/>
      <c r="HZK6" s="157"/>
      <c r="HZL6" s="157"/>
      <c r="HZM6" s="157"/>
      <c r="HZN6" s="157"/>
      <c r="HZO6" s="157"/>
      <c r="HZP6" s="157"/>
      <c r="HZQ6" s="157"/>
      <c r="HZR6" s="157"/>
      <c r="HZS6" s="157"/>
      <c r="HZT6" s="157"/>
      <c r="HZU6" s="157"/>
      <c r="HZV6" s="157"/>
      <c r="HZW6" s="157"/>
      <c r="HZX6" s="157"/>
      <c r="HZY6" s="157"/>
      <c r="HZZ6" s="157"/>
      <c r="IAA6" s="157"/>
      <c r="IAB6" s="157"/>
      <c r="IAC6" s="157"/>
      <c r="IAD6" s="157"/>
      <c r="IAE6" s="157"/>
      <c r="IAF6" s="157"/>
      <c r="IAG6" s="157"/>
      <c r="IAH6" s="157"/>
      <c r="IAI6" s="157"/>
      <c r="IAJ6" s="157"/>
      <c r="IAK6" s="157"/>
      <c r="IAL6" s="157"/>
      <c r="IAM6" s="157"/>
      <c r="IAN6" s="157"/>
      <c r="IAO6" s="157"/>
      <c r="IAP6" s="157"/>
      <c r="IAQ6" s="157"/>
      <c r="IAR6" s="157"/>
      <c r="IAS6" s="157"/>
      <c r="IAT6" s="157"/>
      <c r="IAU6" s="157"/>
      <c r="IAV6" s="157"/>
      <c r="IAW6" s="157"/>
      <c r="IAX6" s="157"/>
      <c r="IAY6" s="157"/>
      <c r="IAZ6" s="157"/>
      <c r="IBA6" s="157"/>
      <c r="IBB6" s="157"/>
      <c r="IBC6" s="157"/>
      <c r="IBD6" s="157"/>
      <c r="IBE6" s="157"/>
      <c r="IBF6" s="157"/>
      <c r="IBG6" s="157"/>
      <c r="IBH6" s="157"/>
      <c r="IBI6" s="157"/>
      <c r="IBJ6" s="157"/>
      <c r="IBK6" s="157"/>
      <c r="IBL6" s="157"/>
      <c r="IBM6" s="157"/>
      <c r="IBN6" s="157"/>
      <c r="IBO6" s="157"/>
      <c r="IBP6" s="157"/>
      <c r="IBQ6" s="157"/>
      <c r="IBR6" s="157"/>
      <c r="IBS6" s="157"/>
      <c r="IBT6" s="157"/>
      <c r="IBU6" s="157"/>
      <c r="IBV6" s="157"/>
      <c r="IBW6" s="157"/>
      <c r="IBX6" s="157"/>
      <c r="IBY6" s="157"/>
      <c r="IBZ6" s="157"/>
      <c r="ICA6" s="157"/>
      <c r="ICB6" s="157"/>
      <c r="ICC6" s="157"/>
      <c r="ICD6" s="157"/>
      <c r="ICE6" s="157"/>
      <c r="ICF6" s="157"/>
      <c r="ICG6" s="157"/>
      <c r="ICH6" s="157"/>
      <c r="ICI6" s="157"/>
      <c r="ICJ6" s="157"/>
      <c r="ICK6" s="157"/>
      <c r="ICL6" s="157"/>
      <c r="ICM6" s="157"/>
      <c r="ICN6" s="157"/>
      <c r="ICO6" s="157"/>
      <c r="ICP6" s="157"/>
      <c r="ICQ6" s="157"/>
      <c r="ICR6" s="157"/>
      <c r="ICS6" s="157"/>
      <c r="ICT6" s="157"/>
      <c r="ICU6" s="157"/>
      <c r="ICV6" s="157"/>
      <c r="ICW6" s="157"/>
      <c r="ICX6" s="157"/>
      <c r="ICY6" s="157"/>
      <c r="ICZ6" s="157"/>
      <c r="IDA6" s="157"/>
      <c r="IDB6" s="157"/>
      <c r="IDC6" s="157"/>
      <c r="IDD6" s="157"/>
      <c r="IDE6" s="157"/>
      <c r="IDF6" s="157"/>
      <c r="IDG6" s="157"/>
      <c r="IDH6" s="157"/>
      <c r="IDI6" s="157"/>
      <c r="IDJ6" s="157"/>
      <c r="IDK6" s="157"/>
      <c r="IDL6" s="157"/>
      <c r="IDM6" s="157"/>
      <c r="IDN6" s="157"/>
      <c r="IDO6" s="157"/>
      <c r="IDP6" s="157"/>
      <c r="IDQ6" s="157"/>
      <c r="IDR6" s="157"/>
      <c r="IDS6" s="157"/>
      <c r="IDT6" s="157"/>
      <c r="IDU6" s="157"/>
      <c r="IDV6" s="157"/>
      <c r="IDW6" s="157"/>
      <c r="IDX6" s="157"/>
      <c r="IDY6" s="157"/>
      <c r="IDZ6" s="157"/>
      <c r="IEA6" s="157"/>
      <c r="IEB6" s="157"/>
      <c r="IEC6" s="157"/>
      <c r="IED6" s="157"/>
      <c r="IEE6" s="157"/>
      <c r="IEF6" s="157"/>
      <c r="IEG6" s="157"/>
      <c r="IEH6" s="157"/>
      <c r="IEI6" s="157"/>
      <c r="IEJ6" s="157"/>
      <c r="IEK6" s="157"/>
      <c r="IEL6" s="157"/>
      <c r="IEM6" s="157"/>
      <c r="IEN6" s="157"/>
      <c r="IEO6" s="157"/>
      <c r="IEP6" s="157"/>
      <c r="IEQ6" s="157"/>
      <c r="IER6" s="157"/>
      <c r="IES6" s="157"/>
      <c r="IET6" s="157"/>
      <c r="IEU6" s="157"/>
      <c r="IEV6" s="157"/>
      <c r="IEW6" s="157"/>
      <c r="IEX6" s="157"/>
      <c r="IEY6" s="157"/>
      <c r="IEZ6" s="157"/>
      <c r="IFA6" s="157"/>
      <c r="IFB6" s="157"/>
      <c r="IFC6" s="157"/>
      <c r="IFD6" s="157"/>
      <c r="IFE6" s="157"/>
      <c r="IFF6" s="157"/>
      <c r="IFG6" s="157"/>
      <c r="IFH6" s="157"/>
      <c r="IFI6" s="157"/>
      <c r="IFJ6" s="157"/>
      <c r="IFK6" s="157"/>
      <c r="IFL6" s="157"/>
      <c r="IFM6" s="157"/>
      <c r="IFN6" s="157"/>
      <c r="IFO6" s="157"/>
      <c r="IFP6" s="157"/>
      <c r="IFQ6" s="157"/>
      <c r="IFR6" s="157"/>
      <c r="IFS6" s="157"/>
      <c r="IFT6" s="157"/>
      <c r="IFU6" s="157"/>
      <c r="IFV6" s="157"/>
      <c r="IFW6" s="157"/>
      <c r="IFX6" s="157"/>
      <c r="IFY6" s="157"/>
      <c r="IFZ6" s="157"/>
      <c r="IGA6" s="157"/>
      <c r="IGB6" s="157"/>
      <c r="IGC6" s="157"/>
      <c r="IGD6" s="157"/>
      <c r="IGE6" s="157"/>
      <c r="IGF6" s="157"/>
      <c r="IGG6" s="157"/>
      <c r="IGH6" s="157"/>
      <c r="IGI6" s="157"/>
      <c r="IGJ6" s="157"/>
      <c r="IGK6" s="157"/>
      <c r="IGL6" s="157"/>
      <c r="IGM6" s="157"/>
      <c r="IGN6" s="157"/>
      <c r="IGO6" s="157"/>
      <c r="IGP6" s="157"/>
      <c r="IGQ6" s="157"/>
      <c r="IGR6" s="157"/>
      <c r="IGS6" s="157"/>
      <c r="IGT6" s="157"/>
      <c r="IGU6" s="157"/>
      <c r="IGV6" s="157"/>
      <c r="IGW6" s="157"/>
      <c r="IGX6" s="157"/>
      <c r="IGY6" s="157"/>
      <c r="IGZ6" s="157"/>
      <c r="IHA6" s="157"/>
      <c r="IHB6" s="157"/>
      <c r="IHC6" s="157"/>
      <c r="IHD6" s="157"/>
      <c r="IHE6" s="157"/>
      <c r="IHF6" s="157"/>
      <c r="IHG6" s="157"/>
      <c r="IHH6" s="157"/>
      <c r="IHI6" s="157"/>
      <c r="IHJ6" s="157"/>
      <c r="IHK6" s="157"/>
      <c r="IHL6" s="157"/>
      <c r="IHM6" s="157"/>
      <c r="IHN6" s="157"/>
      <c r="IHO6" s="157"/>
      <c r="IHP6" s="157"/>
      <c r="IHQ6" s="157"/>
      <c r="IHR6" s="157"/>
      <c r="IHS6" s="157"/>
      <c r="IHT6" s="157"/>
      <c r="IHU6" s="157"/>
      <c r="IHV6" s="157"/>
      <c r="IHW6" s="157"/>
      <c r="IHX6" s="157"/>
      <c r="IHY6" s="157"/>
      <c r="IHZ6" s="157"/>
      <c r="IIA6" s="157"/>
      <c r="IIB6" s="157"/>
      <c r="IIC6" s="157"/>
      <c r="IID6" s="157"/>
      <c r="IIE6" s="157"/>
      <c r="IIF6" s="157"/>
      <c r="IIG6" s="157"/>
      <c r="IIH6" s="157"/>
      <c r="III6" s="157"/>
      <c r="IIJ6" s="157"/>
      <c r="IIK6" s="157"/>
      <c r="IIL6" s="157"/>
      <c r="IIM6" s="157"/>
      <c r="IIN6" s="157"/>
      <c r="IIO6" s="157"/>
      <c r="IIP6" s="157"/>
      <c r="IIQ6" s="157"/>
      <c r="IIR6" s="157"/>
      <c r="IIS6" s="157"/>
      <c r="IIT6" s="157"/>
      <c r="IIU6" s="157"/>
      <c r="IIV6" s="157"/>
      <c r="IIW6" s="157"/>
      <c r="IIX6" s="157"/>
      <c r="IIY6" s="157"/>
      <c r="IIZ6" s="157"/>
      <c r="IJA6" s="157"/>
      <c r="IJB6" s="157"/>
      <c r="IJC6" s="157"/>
      <c r="IJD6" s="157"/>
      <c r="IJE6" s="157"/>
      <c r="IJF6" s="157"/>
      <c r="IJG6" s="157"/>
      <c r="IJH6" s="157"/>
      <c r="IJI6" s="157"/>
      <c r="IJJ6" s="157"/>
      <c r="IJK6" s="157"/>
      <c r="IJL6" s="157"/>
      <c r="IJM6" s="157"/>
      <c r="IJN6" s="157"/>
      <c r="IJO6" s="157"/>
      <c r="IJP6" s="157"/>
      <c r="IJQ6" s="157"/>
      <c r="IJR6" s="157"/>
      <c r="IJS6" s="157"/>
      <c r="IJT6" s="157"/>
      <c r="IJU6" s="157"/>
      <c r="IJV6" s="157"/>
      <c r="IJW6" s="157"/>
      <c r="IJX6" s="157"/>
      <c r="IJY6" s="157"/>
      <c r="IJZ6" s="157"/>
      <c r="IKA6" s="157"/>
      <c r="IKB6" s="157"/>
      <c r="IKC6" s="157"/>
      <c r="IKD6" s="157"/>
      <c r="IKE6" s="157"/>
      <c r="IKF6" s="157"/>
      <c r="IKG6" s="157"/>
      <c r="IKH6" s="157"/>
      <c r="IKI6" s="157"/>
      <c r="IKJ6" s="157"/>
      <c r="IKK6" s="157"/>
      <c r="IKL6" s="157"/>
      <c r="IKM6" s="157"/>
      <c r="IKN6" s="157"/>
      <c r="IKO6" s="157"/>
      <c r="IKP6" s="157"/>
      <c r="IKQ6" s="157"/>
      <c r="IKR6" s="157"/>
      <c r="IKS6" s="157"/>
      <c r="IKT6" s="157"/>
      <c r="IKU6" s="157"/>
      <c r="IKV6" s="157"/>
      <c r="IKW6" s="157"/>
      <c r="IKX6" s="157"/>
      <c r="IKY6" s="157"/>
      <c r="IKZ6" s="157"/>
      <c r="ILA6" s="157"/>
      <c r="ILB6" s="157"/>
      <c r="ILC6" s="157"/>
      <c r="ILD6" s="157"/>
      <c r="ILE6" s="157"/>
      <c r="ILF6" s="157"/>
      <c r="ILG6" s="157"/>
      <c r="ILH6" s="157"/>
      <c r="ILI6" s="157"/>
      <c r="ILJ6" s="157"/>
      <c r="ILK6" s="157"/>
      <c r="ILL6" s="157"/>
      <c r="ILM6" s="157"/>
      <c r="ILN6" s="157"/>
      <c r="ILO6" s="157"/>
      <c r="ILP6" s="157"/>
      <c r="ILQ6" s="157"/>
      <c r="ILR6" s="157"/>
      <c r="ILS6" s="157"/>
      <c r="ILT6" s="157"/>
      <c r="ILU6" s="157"/>
      <c r="ILV6" s="157"/>
      <c r="ILW6" s="157"/>
      <c r="ILX6" s="157"/>
      <c r="ILY6" s="157"/>
      <c r="ILZ6" s="157"/>
      <c r="IMA6" s="157"/>
      <c r="IMB6" s="157"/>
      <c r="IMC6" s="157"/>
      <c r="IMD6" s="157"/>
      <c r="IME6" s="157"/>
      <c r="IMF6" s="157"/>
      <c r="IMG6" s="157"/>
      <c r="IMH6" s="157"/>
      <c r="IMI6" s="157"/>
      <c r="IMJ6" s="157"/>
      <c r="IMK6" s="157"/>
      <c r="IML6" s="157"/>
      <c r="IMM6" s="157"/>
      <c r="IMN6" s="157"/>
      <c r="IMO6" s="157"/>
      <c r="IMP6" s="157"/>
      <c r="IMQ6" s="157"/>
      <c r="IMR6" s="157"/>
      <c r="IMS6" s="157"/>
      <c r="IMT6" s="157"/>
      <c r="IMU6" s="157"/>
      <c r="IMV6" s="157"/>
      <c r="IMW6" s="157"/>
      <c r="IMX6" s="157"/>
      <c r="IMY6" s="157"/>
      <c r="IMZ6" s="157"/>
      <c r="INA6" s="157"/>
      <c r="INB6" s="157"/>
      <c r="INC6" s="157"/>
      <c r="IND6" s="157"/>
      <c r="INE6" s="157"/>
      <c r="INF6" s="157"/>
      <c r="ING6" s="157"/>
      <c r="INH6" s="157"/>
      <c r="INI6" s="157"/>
      <c r="INJ6" s="157"/>
      <c r="INK6" s="157"/>
      <c r="INL6" s="157"/>
      <c r="INM6" s="157"/>
      <c r="INN6" s="157"/>
      <c r="INO6" s="157"/>
      <c r="INP6" s="157"/>
      <c r="INQ6" s="157"/>
      <c r="INR6" s="157"/>
      <c r="INS6" s="157"/>
      <c r="INT6" s="157"/>
      <c r="INU6" s="157"/>
      <c r="INV6" s="157"/>
      <c r="INW6" s="157"/>
      <c r="INX6" s="157"/>
      <c r="INY6" s="157"/>
      <c r="INZ6" s="157"/>
      <c r="IOA6" s="157"/>
      <c r="IOB6" s="157"/>
      <c r="IOC6" s="157"/>
      <c r="IOD6" s="157"/>
      <c r="IOE6" s="157"/>
      <c r="IOF6" s="157"/>
      <c r="IOG6" s="157"/>
      <c r="IOH6" s="157"/>
      <c r="IOI6" s="157"/>
      <c r="IOJ6" s="157"/>
      <c r="IOK6" s="157"/>
      <c r="IOL6" s="157"/>
      <c r="IOM6" s="157"/>
      <c r="ION6" s="157"/>
      <c r="IOO6" s="157"/>
      <c r="IOP6" s="157"/>
      <c r="IOQ6" s="157"/>
      <c r="IOR6" s="157"/>
      <c r="IOS6" s="157"/>
      <c r="IOT6" s="157"/>
      <c r="IOU6" s="157"/>
      <c r="IOV6" s="157"/>
      <c r="IOW6" s="157"/>
      <c r="IOX6" s="157"/>
      <c r="IOY6" s="157"/>
      <c r="IOZ6" s="157"/>
      <c r="IPA6" s="157"/>
      <c r="IPB6" s="157"/>
      <c r="IPC6" s="157"/>
      <c r="IPD6" s="157"/>
      <c r="IPE6" s="157"/>
      <c r="IPF6" s="157"/>
      <c r="IPG6" s="157"/>
      <c r="IPH6" s="157"/>
      <c r="IPI6" s="157"/>
      <c r="IPJ6" s="157"/>
      <c r="IPK6" s="157"/>
      <c r="IPL6" s="157"/>
      <c r="IPM6" s="157"/>
      <c r="IPN6" s="157"/>
      <c r="IPO6" s="157"/>
      <c r="IPP6" s="157"/>
      <c r="IPQ6" s="157"/>
      <c r="IPR6" s="157"/>
      <c r="IPS6" s="157"/>
      <c r="IPT6" s="157"/>
      <c r="IPU6" s="157"/>
      <c r="IPV6" s="157"/>
      <c r="IPW6" s="157"/>
      <c r="IPX6" s="157"/>
      <c r="IPY6" s="157"/>
      <c r="IPZ6" s="157"/>
      <c r="IQA6" s="157"/>
      <c r="IQB6" s="157"/>
      <c r="IQC6" s="157"/>
      <c r="IQD6" s="157"/>
      <c r="IQE6" s="157"/>
      <c r="IQF6" s="157"/>
      <c r="IQG6" s="157"/>
      <c r="IQH6" s="157"/>
      <c r="IQI6" s="157"/>
      <c r="IQJ6" s="157"/>
      <c r="IQK6" s="157"/>
      <c r="IQL6" s="157"/>
      <c r="IQM6" s="157"/>
      <c r="IQN6" s="157"/>
      <c r="IQO6" s="157"/>
      <c r="IQP6" s="157"/>
      <c r="IQQ6" s="157"/>
      <c r="IQR6" s="157"/>
      <c r="IQS6" s="157"/>
      <c r="IQT6" s="157"/>
      <c r="IQU6" s="157"/>
      <c r="IQV6" s="157"/>
      <c r="IQW6" s="157"/>
      <c r="IQX6" s="157"/>
      <c r="IQY6" s="157"/>
      <c r="IQZ6" s="157"/>
      <c r="IRA6" s="157"/>
      <c r="IRB6" s="157"/>
      <c r="IRC6" s="157"/>
      <c r="IRD6" s="157"/>
      <c r="IRE6" s="157"/>
      <c r="IRF6" s="157"/>
      <c r="IRG6" s="157"/>
      <c r="IRH6" s="157"/>
      <c r="IRI6" s="157"/>
      <c r="IRJ6" s="157"/>
      <c r="IRK6" s="157"/>
      <c r="IRL6" s="157"/>
      <c r="IRM6" s="157"/>
      <c r="IRN6" s="157"/>
      <c r="IRO6" s="157"/>
      <c r="IRP6" s="157"/>
      <c r="IRQ6" s="157"/>
      <c r="IRR6" s="157"/>
      <c r="IRS6" s="157"/>
      <c r="IRT6" s="157"/>
      <c r="IRU6" s="157"/>
      <c r="IRV6" s="157"/>
      <c r="IRW6" s="157"/>
      <c r="IRX6" s="157"/>
      <c r="IRY6" s="157"/>
      <c r="IRZ6" s="157"/>
      <c r="ISA6" s="157"/>
      <c r="ISB6" s="157"/>
      <c r="ISC6" s="157"/>
      <c r="ISD6" s="157"/>
      <c r="ISE6" s="157"/>
      <c r="ISF6" s="157"/>
      <c r="ISG6" s="157"/>
      <c r="ISH6" s="157"/>
      <c r="ISI6" s="157"/>
      <c r="ISJ6" s="157"/>
      <c r="ISK6" s="157"/>
      <c r="ISL6" s="157"/>
      <c r="ISM6" s="157"/>
      <c r="ISN6" s="157"/>
      <c r="ISO6" s="157"/>
      <c r="ISP6" s="157"/>
      <c r="ISQ6" s="157"/>
      <c r="ISR6" s="157"/>
      <c r="ISS6" s="157"/>
      <c r="IST6" s="157"/>
      <c r="ISU6" s="157"/>
      <c r="ISV6" s="157"/>
      <c r="ISW6" s="157"/>
      <c r="ISX6" s="157"/>
      <c r="ISY6" s="157"/>
      <c r="ISZ6" s="157"/>
      <c r="ITA6" s="157"/>
      <c r="ITB6" s="157"/>
      <c r="ITC6" s="157"/>
      <c r="ITD6" s="157"/>
      <c r="ITE6" s="157"/>
      <c r="ITF6" s="157"/>
      <c r="ITG6" s="157"/>
      <c r="ITH6" s="157"/>
      <c r="ITI6" s="157"/>
      <c r="ITJ6" s="157"/>
      <c r="ITK6" s="157"/>
      <c r="ITL6" s="157"/>
      <c r="ITM6" s="157"/>
      <c r="ITN6" s="157"/>
      <c r="ITO6" s="157"/>
      <c r="ITP6" s="157"/>
      <c r="ITQ6" s="157"/>
      <c r="ITR6" s="157"/>
      <c r="ITS6" s="157"/>
      <c r="ITT6" s="157"/>
      <c r="ITU6" s="157"/>
      <c r="ITV6" s="157"/>
      <c r="ITW6" s="157"/>
      <c r="ITX6" s="157"/>
      <c r="ITY6" s="157"/>
      <c r="ITZ6" s="157"/>
      <c r="IUA6" s="157"/>
      <c r="IUB6" s="157"/>
      <c r="IUC6" s="157"/>
      <c r="IUD6" s="157"/>
      <c r="IUE6" s="157"/>
      <c r="IUF6" s="157"/>
      <c r="IUG6" s="157"/>
      <c r="IUH6" s="157"/>
      <c r="IUI6" s="157"/>
      <c r="IUJ6" s="157"/>
      <c r="IUK6" s="157"/>
      <c r="IUL6" s="157"/>
      <c r="IUM6" s="157"/>
      <c r="IUN6" s="157"/>
      <c r="IUO6" s="157"/>
      <c r="IUP6" s="157"/>
      <c r="IUQ6" s="157"/>
      <c r="IUR6" s="157"/>
      <c r="IUS6" s="157"/>
      <c r="IUT6" s="157"/>
      <c r="IUU6" s="157"/>
      <c r="IUV6" s="157"/>
      <c r="IUW6" s="157"/>
      <c r="IUX6" s="157"/>
      <c r="IUY6" s="157"/>
      <c r="IUZ6" s="157"/>
      <c r="IVA6" s="157"/>
      <c r="IVB6" s="157"/>
      <c r="IVC6" s="157"/>
      <c r="IVD6" s="157"/>
      <c r="IVE6" s="157"/>
      <c r="IVF6" s="157"/>
      <c r="IVG6" s="157"/>
      <c r="IVH6" s="157"/>
      <c r="IVI6" s="157"/>
      <c r="IVJ6" s="157"/>
      <c r="IVK6" s="157"/>
      <c r="IVL6" s="157"/>
      <c r="IVM6" s="157"/>
      <c r="IVN6" s="157"/>
      <c r="IVO6" s="157"/>
      <c r="IVP6" s="157"/>
      <c r="IVQ6" s="157"/>
      <c r="IVR6" s="157"/>
      <c r="IVS6" s="157"/>
      <c r="IVT6" s="157"/>
      <c r="IVU6" s="157"/>
      <c r="IVV6" s="157"/>
      <c r="IVW6" s="157"/>
      <c r="IVX6" s="157"/>
      <c r="IVY6" s="157"/>
      <c r="IVZ6" s="157"/>
      <c r="IWA6" s="157"/>
      <c r="IWB6" s="157"/>
      <c r="IWC6" s="157"/>
      <c r="IWD6" s="157"/>
      <c r="IWE6" s="157"/>
      <c r="IWF6" s="157"/>
      <c r="IWG6" s="157"/>
      <c r="IWH6" s="157"/>
      <c r="IWI6" s="157"/>
      <c r="IWJ6" s="157"/>
      <c r="IWK6" s="157"/>
      <c r="IWL6" s="157"/>
      <c r="IWM6" s="157"/>
      <c r="IWN6" s="157"/>
      <c r="IWO6" s="157"/>
      <c r="IWP6" s="157"/>
      <c r="IWQ6" s="157"/>
      <c r="IWR6" s="157"/>
      <c r="IWS6" s="157"/>
      <c r="IWT6" s="157"/>
      <c r="IWU6" s="157"/>
      <c r="IWV6" s="157"/>
      <c r="IWW6" s="157"/>
      <c r="IWX6" s="157"/>
      <c r="IWY6" s="157"/>
      <c r="IWZ6" s="157"/>
      <c r="IXA6" s="157"/>
      <c r="IXB6" s="157"/>
      <c r="IXC6" s="157"/>
      <c r="IXD6" s="157"/>
      <c r="IXE6" s="157"/>
      <c r="IXF6" s="157"/>
      <c r="IXG6" s="157"/>
      <c r="IXH6" s="157"/>
      <c r="IXI6" s="157"/>
      <c r="IXJ6" s="157"/>
      <c r="IXK6" s="157"/>
      <c r="IXL6" s="157"/>
      <c r="IXM6" s="157"/>
      <c r="IXN6" s="157"/>
      <c r="IXO6" s="157"/>
      <c r="IXP6" s="157"/>
      <c r="IXQ6" s="157"/>
      <c r="IXR6" s="157"/>
      <c r="IXS6" s="157"/>
      <c r="IXT6" s="157"/>
      <c r="IXU6" s="157"/>
      <c r="IXV6" s="157"/>
      <c r="IXW6" s="157"/>
      <c r="IXX6" s="157"/>
      <c r="IXY6" s="157"/>
      <c r="IXZ6" s="157"/>
      <c r="IYA6" s="157"/>
      <c r="IYB6" s="157"/>
      <c r="IYC6" s="157"/>
      <c r="IYD6" s="157"/>
      <c r="IYE6" s="157"/>
      <c r="IYF6" s="157"/>
      <c r="IYG6" s="157"/>
      <c r="IYH6" s="157"/>
      <c r="IYI6" s="157"/>
      <c r="IYJ6" s="157"/>
      <c r="IYK6" s="157"/>
      <c r="IYL6" s="157"/>
      <c r="IYM6" s="157"/>
      <c r="IYN6" s="157"/>
      <c r="IYO6" s="157"/>
      <c r="IYP6" s="157"/>
      <c r="IYQ6" s="157"/>
      <c r="IYR6" s="157"/>
      <c r="IYS6" s="157"/>
      <c r="IYT6" s="157"/>
      <c r="IYU6" s="157"/>
      <c r="IYV6" s="157"/>
      <c r="IYW6" s="157"/>
      <c r="IYX6" s="157"/>
      <c r="IYY6" s="157"/>
      <c r="IYZ6" s="157"/>
      <c r="IZA6" s="157"/>
      <c r="IZB6" s="157"/>
      <c r="IZC6" s="157"/>
      <c r="IZD6" s="157"/>
      <c r="IZE6" s="157"/>
      <c r="IZF6" s="157"/>
      <c r="IZG6" s="157"/>
      <c r="IZH6" s="157"/>
      <c r="IZI6" s="157"/>
      <c r="IZJ6" s="157"/>
      <c r="IZK6" s="157"/>
      <c r="IZL6" s="157"/>
      <c r="IZM6" s="157"/>
      <c r="IZN6" s="157"/>
      <c r="IZO6" s="157"/>
      <c r="IZP6" s="157"/>
      <c r="IZQ6" s="157"/>
      <c r="IZR6" s="157"/>
      <c r="IZS6" s="157"/>
      <c r="IZT6" s="157"/>
      <c r="IZU6" s="157"/>
      <c r="IZV6" s="157"/>
      <c r="IZW6" s="157"/>
      <c r="IZX6" s="157"/>
      <c r="IZY6" s="157"/>
      <c r="IZZ6" s="157"/>
      <c r="JAA6" s="157"/>
      <c r="JAB6" s="157"/>
      <c r="JAC6" s="157"/>
      <c r="JAD6" s="157"/>
      <c r="JAE6" s="157"/>
      <c r="JAF6" s="157"/>
      <c r="JAG6" s="157"/>
      <c r="JAH6" s="157"/>
      <c r="JAI6" s="157"/>
      <c r="JAJ6" s="157"/>
      <c r="JAK6" s="157"/>
      <c r="JAL6" s="157"/>
      <c r="JAM6" s="157"/>
      <c r="JAN6" s="157"/>
      <c r="JAO6" s="157"/>
      <c r="JAP6" s="157"/>
      <c r="JAQ6" s="157"/>
      <c r="JAR6" s="157"/>
      <c r="JAS6" s="157"/>
      <c r="JAT6" s="157"/>
      <c r="JAU6" s="157"/>
      <c r="JAV6" s="157"/>
      <c r="JAW6" s="157"/>
      <c r="JAX6" s="157"/>
      <c r="JAY6" s="157"/>
      <c r="JAZ6" s="157"/>
      <c r="JBA6" s="157"/>
      <c r="JBB6" s="157"/>
      <c r="JBC6" s="157"/>
      <c r="JBD6" s="157"/>
      <c r="JBE6" s="157"/>
      <c r="JBF6" s="157"/>
      <c r="JBG6" s="157"/>
      <c r="JBH6" s="157"/>
      <c r="JBI6" s="157"/>
      <c r="JBJ6" s="157"/>
      <c r="JBK6" s="157"/>
      <c r="JBL6" s="157"/>
      <c r="JBM6" s="157"/>
      <c r="JBN6" s="157"/>
      <c r="JBO6" s="157"/>
      <c r="JBP6" s="157"/>
      <c r="JBQ6" s="157"/>
      <c r="JBR6" s="157"/>
      <c r="JBS6" s="157"/>
      <c r="JBT6" s="157"/>
      <c r="JBU6" s="157"/>
      <c r="JBV6" s="157"/>
      <c r="JBW6" s="157"/>
      <c r="JBX6" s="157"/>
      <c r="JBY6" s="157"/>
      <c r="JBZ6" s="157"/>
      <c r="JCA6" s="157"/>
      <c r="JCB6" s="157"/>
      <c r="JCC6" s="157"/>
      <c r="JCD6" s="157"/>
      <c r="JCE6" s="157"/>
      <c r="JCF6" s="157"/>
      <c r="JCG6" s="157"/>
      <c r="JCH6" s="157"/>
      <c r="JCI6" s="157"/>
      <c r="JCJ6" s="157"/>
      <c r="JCK6" s="157"/>
      <c r="JCL6" s="157"/>
      <c r="JCM6" s="157"/>
      <c r="JCN6" s="157"/>
      <c r="JCO6" s="157"/>
      <c r="JCP6" s="157"/>
      <c r="JCQ6" s="157"/>
      <c r="JCR6" s="157"/>
      <c r="JCS6" s="157"/>
      <c r="JCT6" s="157"/>
      <c r="JCU6" s="157"/>
      <c r="JCV6" s="157"/>
      <c r="JCW6" s="157"/>
      <c r="JCX6" s="157"/>
      <c r="JCY6" s="157"/>
      <c r="JCZ6" s="157"/>
      <c r="JDA6" s="157"/>
      <c r="JDB6" s="157"/>
      <c r="JDC6" s="157"/>
      <c r="JDD6" s="157"/>
      <c r="JDE6" s="157"/>
      <c r="JDF6" s="157"/>
      <c r="JDG6" s="157"/>
      <c r="JDH6" s="157"/>
      <c r="JDI6" s="157"/>
      <c r="JDJ6" s="157"/>
      <c r="JDK6" s="157"/>
      <c r="JDL6" s="157"/>
      <c r="JDM6" s="157"/>
      <c r="JDN6" s="157"/>
      <c r="JDO6" s="157"/>
      <c r="JDP6" s="157"/>
      <c r="JDQ6" s="157"/>
      <c r="JDR6" s="157"/>
      <c r="JDS6" s="157"/>
      <c r="JDT6" s="157"/>
      <c r="JDU6" s="157"/>
      <c r="JDV6" s="157"/>
      <c r="JDW6" s="157"/>
      <c r="JDX6" s="157"/>
      <c r="JDY6" s="157"/>
      <c r="JDZ6" s="157"/>
      <c r="JEA6" s="157"/>
      <c r="JEB6" s="157"/>
      <c r="JEC6" s="157"/>
      <c r="JED6" s="157"/>
      <c r="JEE6" s="157"/>
      <c r="JEF6" s="157"/>
      <c r="JEG6" s="157"/>
      <c r="JEH6" s="157"/>
      <c r="JEI6" s="157"/>
      <c r="JEJ6" s="157"/>
      <c r="JEK6" s="157"/>
      <c r="JEL6" s="157"/>
      <c r="JEM6" s="157"/>
      <c r="JEN6" s="157"/>
      <c r="JEO6" s="157"/>
      <c r="JEP6" s="157"/>
      <c r="JEQ6" s="157"/>
      <c r="JER6" s="157"/>
      <c r="JES6" s="157"/>
      <c r="JET6" s="157"/>
      <c r="JEU6" s="157"/>
      <c r="JEV6" s="157"/>
      <c r="JEW6" s="157"/>
      <c r="JEX6" s="157"/>
      <c r="JEY6" s="157"/>
      <c r="JEZ6" s="157"/>
      <c r="JFA6" s="157"/>
      <c r="JFB6" s="157"/>
      <c r="JFC6" s="157"/>
      <c r="JFD6" s="157"/>
      <c r="JFE6" s="157"/>
      <c r="JFF6" s="157"/>
      <c r="JFG6" s="157"/>
      <c r="JFH6" s="157"/>
      <c r="JFI6" s="157"/>
      <c r="JFJ6" s="157"/>
      <c r="JFK6" s="157"/>
      <c r="JFL6" s="157"/>
      <c r="JFM6" s="157"/>
      <c r="JFN6" s="157"/>
      <c r="JFO6" s="157"/>
      <c r="JFP6" s="157"/>
      <c r="JFQ6" s="157"/>
      <c r="JFR6" s="157"/>
      <c r="JFS6" s="157"/>
      <c r="JFT6" s="157"/>
      <c r="JFU6" s="157"/>
      <c r="JFV6" s="157"/>
      <c r="JFW6" s="157"/>
      <c r="JFX6" s="157"/>
      <c r="JFY6" s="157"/>
      <c r="JFZ6" s="157"/>
      <c r="JGA6" s="157"/>
      <c r="JGB6" s="157"/>
      <c r="JGC6" s="157"/>
      <c r="JGD6" s="157"/>
      <c r="JGE6" s="157"/>
      <c r="JGF6" s="157"/>
      <c r="JGG6" s="157"/>
      <c r="JGH6" s="157"/>
      <c r="JGI6" s="157"/>
      <c r="JGJ6" s="157"/>
      <c r="JGK6" s="157"/>
      <c r="JGL6" s="157"/>
      <c r="JGM6" s="157"/>
      <c r="JGN6" s="157"/>
      <c r="JGO6" s="157"/>
      <c r="JGP6" s="157"/>
      <c r="JGQ6" s="157"/>
      <c r="JGR6" s="157"/>
      <c r="JGS6" s="157"/>
      <c r="JGT6" s="157"/>
      <c r="JGU6" s="157"/>
      <c r="JGV6" s="157"/>
      <c r="JGW6" s="157"/>
      <c r="JGX6" s="157"/>
      <c r="JGY6" s="157"/>
      <c r="JGZ6" s="157"/>
      <c r="JHA6" s="157"/>
      <c r="JHB6" s="157"/>
      <c r="JHC6" s="157"/>
      <c r="JHD6" s="157"/>
      <c r="JHE6" s="157"/>
      <c r="JHF6" s="157"/>
      <c r="JHG6" s="157"/>
      <c r="JHH6" s="157"/>
      <c r="JHI6" s="157"/>
      <c r="JHJ6" s="157"/>
      <c r="JHK6" s="157"/>
      <c r="JHL6" s="157"/>
      <c r="JHM6" s="157"/>
      <c r="JHN6" s="157"/>
      <c r="JHO6" s="157"/>
      <c r="JHP6" s="157"/>
      <c r="JHQ6" s="157"/>
      <c r="JHR6" s="157"/>
      <c r="JHS6" s="157"/>
      <c r="JHT6" s="157"/>
      <c r="JHU6" s="157"/>
      <c r="JHV6" s="157"/>
      <c r="JHW6" s="157"/>
      <c r="JHX6" s="157"/>
      <c r="JHY6" s="157"/>
      <c r="JHZ6" s="157"/>
      <c r="JIA6" s="157"/>
      <c r="JIB6" s="157"/>
      <c r="JIC6" s="157"/>
      <c r="JID6" s="157"/>
      <c r="JIE6" s="157"/>
      <c r="JIF6" s="157"/>
      <c r="JIG6" s="157"/>
      <c r="JIH6" s="157"/>
      <c r="JII6" s="157"/>
      <c r="JIJ6" s="157"/>
      <c r="JIK6" s="157"/>
      <c r="JIL6" s="157"/>
      <c r="JIM6" s="157"/>
      <c r="JIN6" s="157"/>
      <c r="JIO6" s="157"/>
      <c r="JIP6" s="157"/>
      <c r="JIQ6" s="157"/>
      <c r="JIR6" s="157"/>
      <c r="JIS6" s="157"/>
      <c r="JIT6" s="157"/>
      <c r="JIU6" s="157"/>
      <c r="JIV6" s="157"/>
      <c r="JIW6" s="157"/>
      <c r="JIX6" s="157"/>
      <c r="JIY6" s="157"/>
      <c r="JIZ6" s="157"/>
      <c r="JJA6" s="157"/>
      <c r="JJB6" s="157"/>
      <c r="JJC6" s="157"/>
      <c r="JJD6" s="157"/>
      <c r="JJE6" s="157"/>
      <c r="JJF6" s="157"/>
      <c r="JJG6" s="157"/>
      <c r="JJH6" s="157"/>
      <c r="JJI6" s="157"/>
      <c r="JJJ6" s="157"/>
      <c r="JJK6" s="157"/>
      <c r="JJL6" s="157"/>
      <c r="JJM6" s="157"/>
      <c r="JJN6" s="157"/>
      <c r="JJO6" s="157"/>
      <c r="JJP6" s="157"/>
      <c r="JJQ6" s="157"/>
      <c r="JJR6" s="157"/>
      <c r="JJS6" s="157"/>
      <c r="JJT6" s="157"/>
      <c r="JJU6" s="157"/>
      <c r="JJV6" s="157"/>
      <c r="JJW6" s="157"/>
      <c r="JJX6" s="157"/>
      <c r="JJY6" s="157"/>
      <c r="JJZ6" s="157"/>
      <c r="JKA6" s="157"/>
      <c r="JKB6" s="157"/>
      <c r="JKC6" s="157"/>
      <c r="JKD6" s="157"/>
      <c r="JKE6" s="157"/>
      <c r="JKF6" s="157"/>
      <c r="JKG6" s="157"/>
      <c r="JKH6" s="157"/>
      <c r="JKI6" s="157"/>
      <c r="JKJ6" s="157"/>
      <c r="JKK6" s="157"/>
      <c r="JKL6" s="157"/>
      <c r="JKM6" s="157"/>
      <c r="JKN6" s="157"/>
      <c r="JKO6" s="157"/>
      <c r="JKP6" s="157"/>
      <c r="JKQ6" s="157"/>
      <c r="JKR6" s="157"/>
      <c r="JKS6" s="157"/>
      <c r="JKT6" s="157"/>
      <c r="JKU6" s="157"/>
      <c r="JKV6" s="157"/>
      <c r="JKW6" s="157"/>
      <c r="JKX6" s="157"/>
      <c r="JKY6" s="157"/>
      <c r="JKZ6" s="157"/>
      <c r="JLA6" s="157"/>
      <c r="JLB6" s="157"/>
      <c r="JLC6" s="157"/>
      <c r="JLD6" s="157"/>
      <c r="JLE6" s="157"/>
      <c r="JLF6" s="157"/>
      <c r="JLG6" s="157"/>
      <c r="JLH6" s="157"/>
      <c r="JLI6" s="157"/>
      <c r="JLJ6" s="157"/>
      <c r="JLK6" s="157"/>
      <c r="JLL6" s="157"/>
      <c r="JLM6" s="157"/>
      <c r="JLN6" s="157"/>
      <c r="JLO6" s="157"/>
      <c r="JLP6" s="157"/>
      <c r="JLQ6" s="157"/>
      <c r="JLR6" s="157"/>
      <c r="JLS6" s="157"/>
      <c r="JLT6" s="157"/>
      <c r="JLU6" s="157"/>
      <c r="JLV6" s="157"/>
      <c r="JLW6" s="157"/>
      <c r="JLX6" s="157"/>
      <c r="JLY6" s="157"/>
      <c r="JLZ6" s="157"/>
      <c r="JMA6" s="157"/>
      <c r="JMB6" s="157"/>
      <c r="JMC6" s="157"/>
      <c r="JMD6" s="157"/>
      <c r="JME6" s="157"/>
      <c r="JMF6" s="157"/>
      <c r="JMG6" s="157"/>
      <c r="JMH6" s="157"/>
      <c r="JMI6" s="157"/>
      <c r="JMJ6" s="157"/>
      <c r="JMK6" s="157"/>
      <c r="JML6" s="157"/>
      <c r="JMM6" s="157"/>
      <c r="JMN6" s="157"/>
      <c r="JMO6" s="157"/>
      <c r="JMP6" s="157"/>
      <c r="JMQ6" s="157"/>
      <c r="JMR6" s="157"/>
      <c r="JMS6" s="157"/>
      <c r="JMT6" s="157"/>
      <c r="JMU6" s="157"/>
      <c r="JMV6" s="157"/>
      <c r="JMW6" s="157"/>
      <c r="JMX6" s="157"/>
      <c r="JMY6" s="157"/>
      <c r="JMZ6" s="157"/>
      <c r="JNA6" s="157"/>
      <c r="JNB6" s="157"/>
      <c r="JNC6" s="157"/>
      <c r="JND6" s="157"/>
      <c r="JNE6" s="157"/>
      <c r="JNF6" s="157"/>
      <c r="JNG6" s="157"/>
      <c r="JNH6" s="157"/>
      <c r="JNI6" s="157"/>
      <c r="JNJ6" s="157"/>
      <c r="JNK6" s="157"/>
      <c r="JNL6" s="157"/>
      <c r="JNM6" s="157"/>
      <c r="JNN6" s="157"/>
      <c r="JNO6" s="157"/>
      <c r="JNP6" s="157"/>
      <c r="JNQ6" s="157"/>
      <c r="JNR6" s="157"/>
      <c r="JNS6" s="157"/>
      <c r="JNT6" s="157"/>
      <c r="JNU6" s="157"/>
      <c r="JNV6" s="157"/>
      <c r="JNW6" s="157"/>
      <c r="JNX6" s="157"/>
      <c r="JNY6" s="157"/>
      <c r="JNZ6" s="157"/>
      <c r="JOA6" s="157"/>
      <c r="JOB6" s="157"/>
      <c r="JOC6" s="157"/>
      <c r="JOD6" s="157"/>
      <c r="JOE6" s="157"/>
      <c r="JOF6" s="157"/>
      <c r="JOG6" s="157"/>
      <c r="JOH6" s="157"/>
      <c r="JOI6" s="157"/>
      <c r="JOJ6" s="157"/>
      <c r="JOK6" s="157"/>
      <c r="JOL6" s="157"/>
      <c r="JOM6" s="157"/>
      <c r="JON6" s="157"/>
      <c r="JOO6" s="157"/>
      <c r="JOP6" s="157"/>
      <c r="JOQ6" s="157"/>
      <c r="JOR6" s="157"/>
      <c r="JOS6" s="157"/>
      <c r="JOT6" s="157"/>
      <c r="JOU6" s="157"/>
      <c r="JOV6" s="157"/>
      <c r="JOW6" s="157"/>
      <c r="JOX6" s="157"/>
      <c r="JOY6" s="157"/>
      <c r="JOZ6" s="157"/>
      <c r="JPA6" s="157"/>
      <c r="JPB6" s="157"/>
      <c r="JPC6" s="157"/>
      <c r="JPD6" s="157"/>
      <c r="JPE6" s="157"/>
      <c r="JPF6" s="157"/>
      <c r="JPG6" s="157"/>
      <c r="JPH6" s="157"/>
      <c r="JPI6" s="157"/>
      <c r="JPJ6" s="157"/>
      <c r="JPK6" s="157"/>
      <c r="JPL6" s="157"/>
      <c r="JPM6" s="157"/>
      <c r="JPN6" s="157"/>
      <c r="JPO6" s="157"/>
      <c r="JPP6" s="157"/>
      <c r="JPQ6" s="157"/>
      <c r="JPR6" s="157"/>
      <c r="JPS6" s="157"/>
      <c r="JPT6" s="157"/>
      <c r="JPU6" s="157"/>
      <c r="JPV6" s="157"/>
      <c r="JPW6" s="157"/>
      <c r="JPX6" s="157"/>
      <c r="JPY6" s="157"/>
      <c r="JPZ6" s="157"/>
      <c r="JQA6" s="157"/>
      <c r="JQB6" s="157"/>
      <c r="JQC6" s="157"/>
      <c r="JQD6" s="157"/>
      <c r="JQE6" s="157"/>
      <c r="JQF6" s="157"/>
      <c r="JQG6" s="157"/>
      <c r="JQH6" s="157"/>
      <c r="JQI6" s="157"/>
      <c r="JQJ6" s="157"/>
      <c r="JQK6" s="157"/>
      <c r="JQL6" s="157"/>
      <c r="JQM6" s="157"/>
      <c r="JQN6" s="157"/>
      <c r="JQO6" s="157"/>
      <c r="JQP6" s="157"/>
      <c r="JQQ6" s="157"/>
      <c r="JQR6" s="157"/>
      <c r="JQS6" s="157"/>
      <c r="JQT6" s="157"/>
      <c r="JQU6" s="157"/>
      <c r="JQV6" s="157"/>
      <c r="JQW6" s="157"/>
      <c r="JQX6" s="157"/>
      <c r="JQY6" s="157"/>
      <c r="JQZ6" s="157"/>
      <c r="JRA6" s="157"/>
      <c r="JRB6" s="157"/>
      <c r="JRC6" s="157"/>
      <c r="JRD6" s="157"/>
      <c r="JRE6" s="157"/>
      <c r="JRF6" s="157"/>
      <c r="JRG6" s="157"/>
      <c r="JRH6" s="157"/>
      <c r="JRI6" s="157"/>
      <c r="JRJ6" s="157"/>
      <c r="JRK6" s="157"/>
      <c r="JRL6" s="157"/>
      <c r="JRM6" s="157"/>
      <c r="JRN6" s="157"/>
      <c r="JRO6" s="157"/>
      <c r="JRP6" s="157"/>
      <c r="JRQ6" s="157"/>
      <c r="JRR6" s="157"/>
      <c r="JRS6" s="157"/>
      <c r="JRT6" s="157"/>
      <c r="JRU6" s="157"/>
      <c r="JRV6" s="157"/>
      <c r="JRW6" s="157"/>
      <c r="JRX6" s="157"/>
      <c r="JRY6" s="157"/>
      <c r="JRZ6" s="157"/>
      <c r="JSA6" s="157"/>
      <c r="JSB6" s="157"/>
      <c r="JSC6" s="157"/>
      <c r="JSD6" s="157"/>
      <c r="JSE6" s="157"/>
      <c r="JSF6" s="157"/>
      <c r="JSG6" s="157"/>
      <c r="JSH6" s="157"/>
      <c r="JSI6" s="157"/>
      <c r="JSJ6" s="157"/>
      <c r="JSK6" s="157"/>
      <c r="JSL6" s="157"/>
      <c r="JSM6" s="157"/>
      <c r="JSN6" s="157"/>
      <c r="JSO6" s="157"/>
      <c r="JSP6" s="157"/>
      <c r="JSQ6" s="157"/>
      <c r="JSR6" s="157"/>
      <c r="JSS6" s="157"/>
      <c r="JST6" s="157"/>
      <c r="JSU6" s="157"/>
      <c r="JSV6" s="157"/>
      <c r="JSW6" s="157"/>
      <c r="JSX6" s="157"/>
      <c r="JSY6" s="157"/>
      <c r="JSZ6" s="157"/>
      <c r="JTA6" s="157"/>
      <c r="JTB6" s="157"/>
      <c r="JTC6" s="157"/>
      <c r="JTD6" s="157"/>
      <c r="JTE6" s="157"/>
      <c r="JTF6" s="157"/>
      <c r="JTG6" s="157"/>
      <c r="JTH6" s="157"/>
      <c r="JTI6" s="157"/>
      <c r="JTJ6" s="157"/>
      <c r="JTK6" s="157"/>
      <c r="JTL6" s="157"/>
      <c r="JTM6" s="157"/>
      <c r="JTN6" s="157"/>
      <c r="JTO6" s="157"/>
      <c r="JTP6" s="157"/>
      <c r="JTQ6" s="157"/>
      <c r="JTR6" s="157"/>
      <c r="JTS6" s="157"/>
      <c r="JTT6" s="157"/>
      <c r="JTU6" s="157"/>
      <c r="JTV6" s="157"/>
      <c r="JTW6" s="157"/>
      <c r="JTX6" s="157"/>
      <c r="JTY6" s="157"/>
      <c r="JTZ6" s="157"/>
      <c r="JUA6" s="157"/>
      <c r="JUB6" s="157"/>
      <c r="JUC6" s="157"/>
      <c r="JUD6" s="157"/>
      <c r="JUE6" s="157"/>
      <c r="JUF6" s="157"/>
      <c r="JUG6" s="157"/>
      <c r="JUH6" s="157"/>
      <c r="JUI6" s="157"/>
      <c r="JUJ6" s="157"/>
      <c r="JUK6" s="157"/>
      <c r="JUL6" s="157"/>
      <c r="JUM6" s="157"/>
      <c r="JUN6" s="157"/>
      <c r="JUO6" s="157"/>
      <c r="JUP6" s="157"/>
      <c r="JUQ6" s="157"/>
      <c r="JUR6" s="157"/>
      <c r="JUS6" s="157"/>
      <c r="JUT6" s="157"/>
      <c r="JUU6" s="157"/>
      <c r="JUV6" s="157"/>
      <c r="JUW6" s="157"/>
      <c r="JUX6" s="157"/>
      <c r="JUY6" s="157"/>
      <c r="JUZ6" s="157"/>
      <c r="JVA6" s="157"/>
      <c r="JVB6" s="157"/>
      <c r="JVC6" s="157"/>
      <c r="JVD6" s="157"/>
      <c r="JVE6" s="157"/>
      <c r="JVF6" s="157"/>
      <c r="JVG6" s="157"/>
      <c r="JVH6" s="157"/>
      <c r="JVI6" s="157"/>
      <c r="JVJ6" s="157"/>
      <c r="JVK6" s="157"/>
      <c r="JVL6" s="157"/>
      <c r="JVM6" s="157"/>
      <c r="JVN6" s="157"/>
      <c r="JVO6" s="157"/>
      <c r="JVP6" s="157"/>
      <c r="JVQ6" s="157"/>
      <c r="JVR6" s="157"/>
      <c r="JVS6" s="157"/>
      <c r="JVT6" s="157"/>
      <c r="JVU6" s="157"/>
      <c r="JVV6" s="157"/>
      <c r="JVW6" s="157"/>
      <c r="JVX6" s="157"/>
      <c r="JVY6" s="157"/>
      <c r="JVZ6" s="157"/>
      <c r="JWA6" s="157"/>
      <c r="JWB6" s="157"/>
      <c r="JWC6" s="157"/>
      <c r="JWD6" s="157"/>
      <c r="JWE6" s="157"/>
      <c r="JWF6" s="157"/>
      <c r="JWG6" s="157"/>
      <c r="JWH6" s="157"/>
      <c r="JWI6" s="157"/>
      <c r="JWJ6" s="157"/>
      <c r="JWK6" s="157"/>
      <c r="JWL6" s="157"/>
      <c r="JWM6" s="157"/>
      <c r="JWN6" s="157"/>
      <c r="JWO6" s="157"/>
      <c r="JWP6" s="157"/>
      <c r="JWQ6" s="157"/>
      <c r="JWR6" s="157"/>
      <c r="JWS6" s="157"/>
      <c r="JWT6" s="157"/>
      <c r="JWU6" s="157"/>
      <c r="JWV6" s="157"/>
      <c r="JWW6" s="157"/>
      <c r="JWX6" s="157"/>
      <c r="JWY6" s="157"/>
      <c r="JWZ6" s="157"/>
      <c r="JXA6" s="157"/>
      <c r="JXB6" s="157"/>
      <c r="JXC6" s="157"/>
      <c r="JXD6" s="157"/>
      <c r="JXE6" s="157"/>
      <c r="JXF6" s="157"/>
      <c r="JXG6" s="157"/>
      <c r="JXH6" s="157"/>
      <c r="JXI6" s="157"/>
      <c r="JXJ6" s="157"/>
      <c r="JXK6" s="157"/>
      <c r="JXL6" s="157"/>
      <c r="JXM6" s="157"/>
      <c r="JXN6" s="157"/>
      <c r="JXO6" s="157"/>
      <c r="JXP6" s="157"/>
      <c r="JXQ6" s="157"/>
      <c r="JXR6" s="157"/>
      <c r="JXS6" s="157"/>
      <c r="JXT6" s="157"/>
      <c r="JXU6" s="157"/>
      <c r="JXV6" s="157"/>
      <c r="JXW6" s="157"/>
      <c r="JXX6" s="157"/>
      <c r="JXY6" s="157"/>
      <c r="JXZ6" s="157"/>
      <c r="JYA6" s="157"/>
      <c r="JYB6" s="157"/>
      <c r="JYC6" s="157"/>
      <c r="JYD6" s="157"/>
      <c r="JYE6" s="157"/>
      <c r="JYF6" s="157"/>
      <c r="JYG6" s="157"/>
      <c r="JYH6" s="157"/>
      <c r="JYI6" s="157"/>
      <c r="JYJ6" s="157"/>
      <c r="JYK6" s="157"/>
      <c r="JYL6" s="157"/>
      <c r="JYM6" s="157"/>
      <c r="JYN6" s="157"/>
      <c r="JYO6" s="157"/>
      <c r="JYP6" s="157"/>
      <c r="JYQ6" s="157"/>
      <c r="JYR6" s="157"/>
      <c r="JYS6" s="157"/>
      <c r="JYT6" s="157"/>
      <c r="JYU6" s="157"/>
      <c r="JYV6" s="157"/>
      <c r="JYW6" s="157"/>
      <c r="JYX6" s="157"/>
      <c r="JYY6" s="157"/>
      <c r="JYZ6" s="157"/>
      <c r="JZA6" s="157"/>
      <c r="JZB6" s="157"/>
      <c r="JZC6" s="157"/>
      <c r="JZD6" s="157"/>
      <c r="JZE6" s="157"/>
      <c r="JZF6" s="157"/>
      <c r="JZG6" s="157"/>
      <c r="JZH6" s="157"/>
      <c r="JZI6" s="157"/>
      <c r="JZJ6" s="157"/>
      <c r="JZK6" s="157"/>
      <c r="JZL6" s="157"/>
      <c r="JZM6" s="157"/>
      <c r="JZN6" s="157"/>
      <c r="JZO6" s="157"/>
      <c r="JZP6" s="157"/>
      <c r="JZQ6" s="157"/>
      <c r="JZR6" s="157"/>
      <c r="JZS6" s="157"/>
      <c r="JZT6" s="157"/>
      <c r="JZU6" s="157"/>
      <c r="JZV6" s="157"/>
      <c r="JZW6" s="157"/>
      <c r="JZX6" s="157"/>
      <c r="JZY6" s="157"/>
      <c r="JZZ6" s="157"/>
      <c r="KAA6" s="157"/>
      <c r="KAB6" s="157"/>
      <c r="KAC6" s="157"/>
      <c r="KAD6" s="157"/>
      <c r="KAE6" s="157"/>
      <c r="KAF6" s="157"/>
      <c r="KAG6" s="157"/>
      <c r="KAH6" s="157"/>
      <c r="KAI6" s="157"/>
      <c r="KAJ6" s="157"/>
      <c r="KAK6" s="157"/>
      <c r="KAL6" s="157"/>
      <c r="KAM6" s="157"/>
      <c r="KAN6" s="157"/>
      <c r="KAO6" s="157"/>
      <c r="KAP6" s="157"/>
      <c r="KAQ6" s="157"/>
      <c r="KAR6" s="157"/>
      <c r="KAS6" s="157"/>
      <c r="KAT6" s="157"/>
      <c r="KAU6" s="157"/>
      <c r="KAV6" s="157"/>
      <c r="KAW6" s="157"/>
      <c r="KAX6" s="157"/>
      <c r="KAY6" s="157"/>
      <c r="KAZ6" s="157"/>
      <c r="KBA6" s="157"/>
      <c r="KBB6" s="157"/>
      <c r="KBC6" s="157"/>
      <c r="KBD6" s="157"/>
      <c r="KBE6" s="157"/>
      <c r="KBF6" s="157"/>
      <c r="KBG6" s="157"/>
      <c r="KBH6" s="157"/>
      <c r="KBI6" s="157"/>
      <c r="KBJ6" s="157"/>
      <c r="KBK6" s="157"/>
      <c r="KBL6" s="157"/>
      <c r="KBM6" s="157"/>
      <c r="KBN6" s="157"/>
      <c r="KBO6" s="157"/>
      <c r="KBP6" s="157"/>
      <c r="KBQ6" s="157"/>
      <c r="KBR6" s="157"/>
      <c r="KBS6" s="157"/>
      <c r="KBT6" s="157"/>
      <c r="KBU6" s="157"/>
      <c r="KBV6" s="157"/>
      <c r="KBW6" s="157"/>
      <c r="KBX6" s="157"/>
      <c r="KBY6" s="157"/>
      <c r="KBZ6" s="157"/>
      <c r="KCA6" s="157"/>
      <c r="KCB6" s="157"/>
      <c r="KCC6" s="157"/>
      <c r="KCD6" s="157"/>
      <c r="KCE6" s="157"/>
      <c r="KCF6" s="157"/>
      <c r="KCG6" s="157"/>
      <c r="KCH6" s="157"/>
      <c r="KCI6" s="157"/>
      <c r="KCJ6" s="157"/>
      <c r="KCK6" s="157"/>
      <c r="KCL6" s="157"/>
      <c r="KCM6" s="157"/>
      <c r="KCN6" s="157"/>
      <c r="KCO6" s="157"/>
      <c r="KCP6" s="157"/>
      <c r="KCQ6" s="157"/>
      <c r="KCR6" s="157"/>
      <c r="KCS6" s="157"/>
      <c r="KCT6" s="157"/>
      <c r="KCU6" s="157"/>
      <c r="KCV6" s="157"/>
      <c r="KCW6" s="157"/>
      <c r="KCX6" s="157"/>
      <c r="KCY6" s="157"/>
      <c r="KCZ6" s="157"/>
      <c r="KDA6" s="157"/>
      <c r="KDB6" s="157"/>
      <c r="KDC6" s="157"/>
      <c r="KDD6" s="157"/>
      <c r="KDE6" s="157"/>
      <c r="KDF6" s="157"/>
      <c r="KDG6" s="157"/>
      <c r="KDH6" s="157"/>
      <c r="KDI6" s="157"/>
      <c r="KDJ6" s="157"/>
      <c r="KDK6" s="157"/>
      <c r="KDL6" s="157"/>
      <c r="KDM6" s="157"/>
      <c r="KDN6" s="157"/>
      <c r="KDO6" s="157"/>
      <c r="KDP6" s="157"/>
      <c r="KDQ6" s="157"/>
      <c r="KDR6" s="157"/>
      <c r="KDS6" s="157"/>
      <c r="KDT6" s="157"/>
      <c r="KDU6" s="157"/>
      <c r="KDV6" s="157"/>
      <c r="KDW6" s="157"/>
      <c r="KDX6" s="157"/>
      <c r="KDY6" s="157"/>
      <c r="KDZ6" s="157"/>
      <c r="KEA6" s="157"/>
      <c r="KEB6" s="157"/>
      <c r="KEC6" s="157"/>
      <c r="KED6" s="157"/>
      <c r="KEE6" s="157"/>
      <c r="KEF6" s="157"/>
      <c r="KEG6" s="157"/>
      <c r="KEH6" s="157"/>
      <c r="KEI6" s="157"/>
      <c r="KEJ6" s="157"/>
      <c r="KEK6" s="157"/>
      <c r="KEL6" s="157"/>
      <c r="KEM6" s="157"/>
      <c r="KEN6" s="157"/>
      <c r="KEO6" s="157"/>
      <c r="KEP6" s="157"/>
      <c r="KEQ6" s="157"/>
      <c r="KER6" s="157"/>
      <c r="KES6" s="157"/>
      <c r="KET6" s="157"/>
      <c r="KEU6" s="157"/>
      <c r="KEV6" s="157"/>
      <c r="KEW6" s="157"/>
      <c r="KEX6" s="157"/>
      <c r="KEY6" s="157"/>
      <c r="KEZ6" s="157"/>
      <c r="KFA6" s="157"/>
      <c r="KFB6" s="157"/>
      <c r="KFC6" s="157"/>
      <c r="KFD6" s="157"/>
      <c r="KFE6" s="157"/>
      <c r="KFF6" s="157"/>
      <c r="KFG6" s="157"/>
      <c r="KFH6" s="157"/>
      <c r="KFI6" s="157"/>
      <c r="KFJ6" s="157"/>
      <c r="KFK6" s="157"/>
      <c r="KFL6" s="157"/>
      <c r="KFM6" s="157"/>
      <c r="KFN6" s="157"/>
      <c r="KFO6" s="157"/>
      <c r="KFP6" s="157"/>
      <c r="KFQ6" s="157"/>
      <c r="KFR6" s="157"/>
      <c r="KFS6" s="157"/>
      <c r="KFT6" s="157"/>
      <c r="KFU6" s="157"/>
      <c r="KFV6" s="157"/>
      <c r="KFW6" s="157"/>
      <c r="KFX6" s="157"/>
      <c r="KFY6" s="157"/>
      <c r="KFZ6" s="157"/>
      <c r="KGA6" s="157"/>
      <c r="KGB6" s="157"/>
      <c r="KGC6" s="157"/>
      <c r="KGD6" s="157"/>
      <c r="KGE6" s="157"/>
      <c r="KGF6" s="157"/>
      <c r="KGG6" s="157"/>
      <c r="KGH6" s="157"/>
      <c r="KGI6" s="157"/>
      <c r="KGJ6" s="157"/>
      <c r="KGK6" s="157"/>
      <c r="KGL6" s="157"/>
      <c r="KGM6" s="157"/>
      <c r="KGN6" s="157"/>
      <c r="KGO6" s="157"/>
      <c r="KGP6" s="157"/>
      <c r="KGQ6" s="157"/>
      <c r="KGR6" s="157"/>
      <c r="KGS6" s="157"/>
      <c r="KGT6" s="157"/>
      <c r="KGU6" s="157"/>
      <c r="KGV6" s="157"/>
      <c r="KGW6" s="157"/>
      <c r="KGX6" s="157"/>
      <c r="KGY6" s="157"/>
      <c r="KGZ6" s="157"/>
      <c r="KHA6" s="157"/>
      <c r="KHB6" s="157"/>
      <c r="KHC6" s="157"/>
      <c r="KHD6" s="157"/>
      <c r="KHE6" s="157"/>
      <c r="KHF6" s="157"/>
      <c r="KHG6" s="157"/>
      <c r="KHH6" s="157"/>
      <c r="KHI6" s="157"/>
      <c r="KHJ6" s="157"/>
      <c r="KHK6" s="157"/>
      <c r="KHL6" s="157"/>
      <c r="KHM6" s="157"/>
      <c r="KHN6" s="157"/>
      <c r="KHO6" s="157"/>
      <c r="KHP6" s="157"/>
      <c r="KHQ6" s="157"/>
      <c r="KHR6" s="157"/>
      <c r="KHS6" s="157"/>
      <c r="KHT6" s="157"/>
      <c r="KHU6" s="157"/>
      <c r="KHV6" s="157"/>
      <c r="KHW6" s="157"/>
      <c r="KHX6" s="157"/>
      <c r="KHY6" s="157"/>
      <c r="KHZ6" s="157"/>
      <c r="KIA6" s="157"/>
      <c r="KIB6" s="157"/>
      <c r="KIC6" s="157"/>
      <c r="KID6" s="157"/>
      <c r="KIE6" s="157"/>
      <c r="KIF6" s="157"/>
      <c r="KIG6" s="157"/>
      <c r="KIH6" s="157"/>
      <c r="KII6" s="157"/>
      <c r="KIJ6" s="157"/>
      <c r="KIK6" s="157"/>
      <c r="KIL6" s="157"/>
      <c r="KIM6" s="157"/>
      <c r="KIN6" s="157"/>
      <c r="KIO6" s="157"/>
      <c r="KIP6" s="157"/>
      <c r="KIQ6" s="157"/>
      <c r="KIR6" s="157"/>
      <c r="KIS6" s="157"/>
      <c r="KIT6" s="157"/>
      <c r="KIU6" s="157"/>
      <c r="KIV6" s="157"/>
      <c r="KIW6" s="157"/>
      <c r="KIX6" s="157"/>
      <c r="KIY6" s="157"/>
      <c r="KIZ6" s="157"/>
      <c r="KJA6" s="157"/>
      <c r="KJB6" s="157"/>
      <c r="KJC6" s="157"/>
      <c r="KJD6" s="157"/>
      <c r="KJE6" s="157"/>
      <c r="KJF6" s="157"/>
      <c r="KJG6" s="157"/>
      <c r="KJH6" s="157"/>
      <c r="KJI6" s="157"/>
      <c r="KJJ6" s="157"/>
      <c r="KJK6" s="157"/>
      <c r="KJL6" s="157"/>
      <c r="KJM6" s="157"/>
      <c r="KJN6" s="157"/>
      <c r="KJO6" s="157"/>
      <c r="KJP6" s="157"/>
      <c r="KJQ6" s="157"/>
      <c r="KJR6" s="157"/>
      <c r="KJS6" s="157"/>
      <c r="KJT6" s="157"/>
      <c r="KJU6" s="157"/>
      <c r="KJV6" s="157"/>
      <c r="KJW6" s="157"/>
      <c r="KJX6" s="157"/>
      <c r="KJY6" s="157"/>
      <c r="KJZ6" s="157"/>
      <c r="KKA6" s="157"/>
      <c r="KKB6" s="157"/>
      <c r="KKC6" s="157"/>
      <c r="KKD6" s="157"/>
      <c r="KKE6" s="157"/>
      <c r="KKF6" s="157"/>
      <c r="KKG6" s="157"/>
      <c r="KKH6" s="157"/>
      <c r="KKI6" s="157"/>
      <c r="KKJ6" s="157"/>
      <c r="KKK6" s="157"/>
      <c r="KKL6" s="157"/>
      <c r="KKM6" s="157"/>
      <c r="KKN6" s="157"/>
      <c r="KKO6" s="157"/>
      <c r="KKP6" s="157"/>
      <c r="KKQ6" s="157"/>
      <c r="KKR6" s="157"/>
      <c r="KKS6" s="157"/>
      <c r="KKT6" s="157"/>
      <c r="KKU6" s="157"/>
      <c r="KKV6" s="157"/>
      <c r="KKW6" s="157"/>
      <c r="KKX6" s="157"/>
      <c r="KKY6" s="157"/>
      <c r="KKZ6" s="157"/>
      <c r="KLA6" s="157"/>
      <c r="KLB6" s="157"/>
      <c r="KLC6" s="157"/>
      <c r="KLD6" s="157"/>
      <c r="KLE6" s="157"/>
      <c r="KLF6" s="157"/>
      <c r="KLG6" s="157"/>
      <c r="KLH6" s="157"/>
      <c r="KLI6" s="157"/>
      <c r="KLJ6" s="157"/>
      <c r="KLK6" s="157"/>
      <c r="KLL6" s="157"/>
      <c r="KLM6" s="157"/>
      <c r="KLN6" s="157"/>
      <c r="KLO6" s="157"/>
      <c r="KLP6" s="157"/>
      <c r="KLQ6" s="157"/>
      <c r="KLR6" s="157"/>
      <c r="KLS6" s="157"/>
      <c r="KLT6" s="157"/>
      <c r="KLU6" s="157"/>
      <c r="KLV6" s="157"/>
      <c r="KLW6" s="157"/>
      <c r="KLX6" s="157"/>
      <c r="KLY6" s="157"/>
      <c r="KLZ6" s="157"/>
      <c r="KMA6" s="157"/>
      <c r="KMB6" s="157"/>
      <c r="KMC6" s="157"/>
      <c r="KMD6" s="157"/>
      <c r="KME6" s="157"/>
      <c r="KMF6" s="157"/>
      <c r="KMG6" s="157"/>
      <c r="KMH6" s="157"/>
      <c r="KMI6" s="157"/>
      <c r="KMJ6" s="157"/>
      <c r="KMK6" s="157"/>
      <c r="KML6" s="157"/>
      <c r="KMM6" s="157"/>
      <c r="KMN6" s="157"/>
      <c r="KMO6" s="157"/>
      <c r="KMP6" s="157"/>
      <c r="KMQ6" s="157"/>
      <c r="KMR6" s="157"/>
      <c r="KMS6" s="157"/>
      <c r="KMT6" s="157"/>
      <c r="KMU6" s="157"/>
      <c r="KMV6" s="157"/>
      <c r="KMW6" s="157"/>
      <c r="KMX6" s="157"/>
      <c r="KMY6" s="157"/>
      <c r="KMZ6" s="157"/>
      <c r="KNA6" s="157"/>
      <c r="KNB6" s="157"/>
      <c r="KNC6" s="157"/>
      <c r="KND6" s="157"/>
      <c r="KNE6" s="157"/>
      <c r="KNF6" s="157"/>
      <c r="KNG6" s="157"/>
      <c r="KNH6" s="157"/>
      <c r="KNI6" s="157"/>
      <c r="KNJ6" s="157"/>
      <c r="KNK6" s="157"/>
      <c r="KNL6" s="157"/>
      <c r="KNM6" s="157"/>
      <c r="KNN6" s="157"/>
      <c r="KNO6" s="157"/>
      <c r="KNP6" s="157"/>
      <c r="KNQ6" s="157"/>
      <c r="KNR6" s="157"/>
      <c r="KNS6" s="157"/>
      <c r="KNT6" s="157"/>
      <c r="KNU6" s="157"/>
      <c r="KNV6" s="157"/>
      <c r="KNW6" s="157"/>
      <c r="KNX6" s="157"/>
      <c r="KNY6" s="157"/>
      <c r="KNZ6" s="157"/>
      <c r="KOA6" s="157"/>
      <c r="KOB6" s="157"/>
      <c r="KOC6" s="157"/>
      <c r="KOD6" s="157"/>
      <c r="KOE6" s="157"/>
      <c r="KOF6" s="157"/>
      <c r="KOG6" s="157"/>
      <c r="KOH6" s="157"/>
      <c r="KOI6" s="157"/>
      <c r="KOJ6" s="157"/>
      <c r="KOK6" s="157"/>
      <c r="KOL6" s="157"/>
      <c r="KOM6" s="157"/>
      <c r="KON6" s="157"/>
      <c r="KOO6" s="157"/>
      <c r="KOP6" s="157"/>
      <c r="KOQ6" s="157"/>
      <c r="KOR6" s="157"/>
      <c r="KOS6" s="157"/>
      <c r="KOT6" s="157"/>
      <c r="KOU6" s="157"/>
      <c r="KOV6" s="157"/>
      <c r="KOW6" s="157"/>
      <c r="KOX6" s="157"/>
      <c r="KOY6" s="157"/>
      <c r="KOZ6" s="157"/>
      <c r="KPA6" s="157"/>
      <c r="KPB6" s="157"/>
      <c r="KPC6" s="157"/>
      <c r="KPD6" s="157"/>
      <c r="KPE6" s="157"/>
      <c r="KPF6" s="157"/>
      <c r="KPG6" s="157"/>
      <c r="KPH6" s="157"/>
      <c r="KPI6" s="157"/>
      <c r="KPJ6" s="157"/>
      <c r="KPK6" s="157"/>
      <c r="KPL6" s="157"/>
      <c r="KPM6" s="157"/>
      <c r="KPN6" s="157"/>
      <c r="KPO6" s="157"/>
      <c r="KPP6" s="157"/>
      <c r="KPQ6" s="157"/>
      <c r="KPR6" s="157"/>
      <c r="KPS6" s="157"/>
      <c r="KPT6" s="157"/>
      <c r="KPU6" s="157"/>
      <c r="KPV6" s="157"/>
      <c r="KPW6" s="157"/>
      <c r="KPX6" s="157"/>
      <c r="KPY6" s="157"/>
      <c r="KPZ6" s="157"/>
      <c r="KQA6" s="157"/>
      <c r="KQB6" s="157"/>
      <c r="KQC6" s="157"/>
      <c r="KQD6" s="157"/>
      <c r="KQE6" s="157"/>
      <c r="KQF6" s="157"/>
      <c r="KQG6" s="157"/>
      <c r="KQH6" s="157"/>
      <c r="KQI6" s="157"/>
      <c r="KQJ6" s="157"/>
      <c r="KQK6" s="157"/>
      <c r="KQL6" s="157"/>
      <c r="KQM6" s="157"/>
      <c r="KQN6" s="157"/>
      <c r="KQO6" s="157"/>
      <c r="KQP6" s="157"/>
      <c r="KQQ6" s="157"/>
      <c r="KQR6" s="157"/>
      <c r="KQS6" s="157"/>
      <c r="KQT6" s="157"/>
      <c r="KQU6" s="157"/>
      <c r="KQV6" s="157"/>
      <c r="KQW6" s="157"/>
      <c r="KQX6" s="157"/>
      <c r="KQY6" s="157"/>
      <c r="KQZ6" s="157"/>
      <c r="KRA6" s="157"/>
      <c r="KRB6" s="157"/>
      <c r="KRC6" s="157"/>
      <c r="KRD6" s="157"/>
      <c r="KRE6" s="157"/>
      <c r="KRF6" s="157"/>
      <c r="KRG6" s="157"/>
      <c r="KRH6" s="157"/>
      <c r="KRI6" s="157"/>
      <c r="KRJ6" s="157"/>
      <c r="KRK6" s="157"/>
      <c r="KRL6" s="157"/>
      <c r="KRM6" s="157"/>
      <c r="KRN6" s="157"/>
      <c r="KRO6" s="157"/>
      <c r="KRP6" s="157"/>
      <c r="KRQ6" s="157"/>
      <c r="KRR6" s="157"/>
      <c r="KRS6" s="157"/>
      <c r="KRT6" s="157"/>
      <c r="KRU6" s="157"/>
      <c r="KRV6" s="157"/>
      <c r="KRW6" s="157"/>
      <c r="KRX6" s="157"/>
      <c r="KRY6" s="157"/>
      <c r="KRZ6" s="157"/>
      <c r="KSA6" s="157"/>
      <c r="KSB6" s="157"/>
      <c r="KSC6" s="157"/>
      <c r="KSD6" s="157"/>
      <c r="KSE6" s="157"/>
      <c r="KSF6" s="157"/>
      <c r="KSG6" s="157"/>
      <c r="KSH6" s="157"/>
      <c r="KSI6" s="157"/>
      <c r="KSJ6" s="157"/>
      <c r="KSK6" s="157"/>
      <c r="KSL6" s="157"/>
      <c r="KSM6" s="157"/>
      <c r="KSN6" s="157"/>
      <c r="KSO6" s="157"/>
      <c r="KSP6" s="157"/>
      <c r="KSQ6" s="157"/>
      <c r="KSR6" s="157"/>
      <c r="KSS6" s="157"/>
      <c r="KST6" s="157"/>
      <c r="KSU6" s="157"/>
      <c r="KSV6" s="157"/>
      <c r="KSW6" s="157"/>
      <c r="KSX6" s="157"/>
      <c r="KSY6" s="157"/>
      <c r="KSZ6" s="157"/>
      <c r="KTA6" s="157"/>
      <c r="KTB6" s="157"/>
      <c r="KTC6" s="157"/>
      <c r="KTD6" s="157"/>
      <c r="KTE6" s="157"/>
      <c r="KTF6" s="157"/>
      <c r="KTG6" s="157"/>
      <c r="KTH6" s="157"/>
      <c r="KTI6" s="157"/>
      <c r="KTJ6" s="157"/>
      <c r="KTK6" s="157"/>
      <c r="KTL6" s="157"/>
      <c r="KTM6" s="157"/>
      <c r="KTN6" s="157"/>
      <c r="KTO6" s="157"/>
      <c r="KTP6" s="157"/>
      <c r="KTQ6" s="157"/>
      <c r="KTR6" s="157"/>
      <c r="KTS6" s="157"/>
      <c r="KTT6" s="157"/>
      <c r="KTU6" s="157"/>
      <c r="KTV6" s="157"/>
      <c r="KTW6" s="157"/>
      <c r="KTX6" s="157"/>
      <c r="KTY6" s="157"/>
      <c r="KTZ6" s="157"/>
      <c r="KUA6" s="157"/>
      <c r="KUB6" s="157"/>
      <c r="KUC6" s="157"/>
      <c r="KUD6" s="157"/>
      <c r="KUE6" s="157"/>
      <c r="KUF6" s="157"/>
      <c r="KUG6" s="157"/>
      <c r="KUH6" s="157"/>
      <c r="KUI6" s="157"/>
      <c r="KUJ6" s="157"/>
      <c r="KUK6" s="157"/>
      <c r="KUL6" s="157"/>
      <c r="KUM6" s="157"/>
      <c r="KUN6" s="157"/>
      <c r="KUO6" s="157"/>
      <c r="KUP6" s="157"/>
      <c r="KUQ6" s="157"/>
      <c r="KUR6" s="157"/>
      <c r="KUS6" s="157"/>
      <c r="KUT6" s="157"/>
      <c r="KUU6" s="157"/>
      <c r="KUV6" s="157"/>
      <c r="KUW6" s="157"/>
      <c r="KUX6" s="157"/>
      <c r="KUY6" s="157"/>
      <c r="KUZ6" s="157"/>
      <c r="KVA6" s="157"/>
      <c r="KVB6" s="157"/>
      <c r="KVC6" s="157"/>
      <c r="KVD6" s="157"/>
      <c r="KVE6" s="157"/>
      <c r="KVF6" s="157"/>
      <c r="KVG6" s="157"/>
      <c r="KVH6" s="157"/>
      <c r="KVI6" s="157"/>
      <c r="KVJ6" s="157"/>
      <c r="KVK6" s="157"/>
      <c r="KVL6" s="157"/>
      <c r="KVM6" s="157"/>
      <c r="KVN6" s="157"/>
      <c r="KVO6" s="157"/>
      <c r="KVP6" s="157"/>
      <c r="KVQ6" s="157"/>
      <c r="KVR6" s="157"/>
      <c r="KVS6" s="157"/>
      <c r="KVT6" s="157"/>
      <c r="KVU6" s="157"/>
      <c r="KVV6" s="157"/>
      <c r="KVW6" s="157"/>
      <c r="KVX6" s="157"/>
      <c r="KVY6" s="157"/>
      <c r="KVZ6" s="157"/>
      <c r="KWA6" s="157"/>
      <c r="KWB6" s="157"/>
      <c r="KWC6" s="157"/>
      <c r="KWD6" s="157"/>
      <c r="KWE6" s="157"/>
      <c r="KWF6" s="157"/>
      <c r="KWG6" s="157"/>
      <c r="KWH6" s="157"/>
      <c r="KWI6" s="157"/>
      <c r="KWJ6" s="157"/>
      <c r="KWK6" s="157"/>
      <c r="KWL6" s="157"/>
      <c r="KWM6" s="157"/>
      <c r="KWN6" s="157"/>
      <c r="KWO6" s="157"/>
      <c r="KWP6" s="157"/>
      <c r="KWQ6" s="157"/>
      <c r="KWR6" s="157"/>
      <c r="KWS6" s="157"/>
      <c r="KWT6" s="157"/>
      <c r="KWU6" s="157"/>
      <c r="KWV6" s="157"/>
      <c r="KWW6" s="157"/>
      <c r="KWX6" s="157"/>
      <c r="KWY6" s="157"/>
      <c r="KWZ6" s="157"/>
      <c r="KXA6" s="157"/>
      <c r="KXB6" s="157"/>
      <c r="KXC6" s="157"/>
      <c r="KXD6" s="157"/>
      <c r="KXE6" s="157"/>
      <c r="KXF6" s="157"/>
      <c r="KXG6" s="157"/>
      <c r="KXH6" s="157"/>
      <c r="KXI6" s="157"/>
      <c r="KXJ6" s="157"/>
      <c r="KXK6" s="157"/>
      <c r="KXL6" s="157"/>
      <c r="KXM6" s="157"/>
      <c r="KXN6" s="157"/>
      <c r="KXO6" s="157"/>
      <c r="KXP6" s="157"/>
      <c r="KXQ6" s="157"/>
      <c r="KXR6" s="157"/>
      <c r="KXS6" s="157"/>
      <c r="KXT6" s="157"/>
      <c r="KXU6" s="157"/>
      <c r="KXV6" s="157"/>
      <c r="KXW6" s="157"/>
      <c r="KXX6" s="157"/>
      <c r="KXY6" s="157"/>
      <c r="KXZ6" s="157"/>
      <c r="KYA6" s="157"/>
      <c r="KYB6" s="157"/>
      <c r="KYC6" s="157"/>
      <c r="KYD6" s="157"/>
      <c r="KYE6" s="157"/>
      <c r="KYF6" s="157"/>
      <c r="KYG6" s="157"/>
      <c r="KYH6" s="157"/>
      <c r="KYI6" s="157"/>
      <c r="KYJ6" s="157"/>
      <c r="KYK6" s="157"/>
      <c r="KYL6" s="157"/>
      <c r="KYM6" s="157"/>
      <c r="KYN6" s="157"/>
      <c r="KYO6" s="157"/>
      <c r="KYP6" s="157"/>
      <c r="KYQ6" s="157"/>
      <c r="KYR6" s="157"/>
      <c r="KYS6" s="157"/>
      <c r="KYT6" s="157"/>
      <c r="KYU6" s="157"/>
      <c r="KYV6" s="157"/>
      <c r="KYW6" s="157"/>
      <c r="KYX6" s="157"/>
      <c r="KYY6" s="157"/>
      <c r="KYZ6" s="157"/>
      <c r="KZA6" s="157"/>
      <c r="KZB6" s="157"/>
      <c r="KZC6" s="157"/>
      <c r="KZD6" s="157"/>
      <c r="KZE6" s="157"/>
      <c r="KZF6" s="157"/>
      <c r="KZG6" s="157"/>
      <c r="KZH6" s="157"/>
      <c r="KZI6" s="157"/>
      <c r="KZJ6" s="157"/>
      <c r="KZK6" s="157"/>
      <c r="KZL6" s="157"/>
      <c r="KZM6" s="157"/>
      <c r="KZN6" s="157"/>
      <c r="KZO6" s="157"/>
      <c r="KZP6" s="157"/>
      <c r="KZQ6" s="157"/>
      <c r="KZR6" s="157"/>
      <c r="KZS6" s="157"/>
      <c r="KZT6" s="157"/>
      <c r="KZU6" s="157"/>
      <c r="KZV6" s="157"/>
      <c r="KZW6" s="157"/>
      <c r="KZX6" s="157"/>
      <c r="KZY6" s="157"/>
      <c r="KZZ6" s="157"/>
      <c r="LAA6" s="157"/>
      <c r="LAB6" s="157"/>
      <c r="LAC6" s="157"/>
      <c r="LAD6" s="157"/>
      <c r="LAE6" s="157"/>
      <c r="LAF6" s="157"/>
      <c r="LAG6" s="157"/>
      <c r="LAH6" s="157"/>
      <c r="LAI6" s="157"/>
      <c r="LAJ6" s="157"/>
      <c r="LAK6" s="157"/>
      <c r="LAL6" s="157"/>
      <c r="LAM6" s="157"/>
      <c r="LAN6" s="157"/>
      <c r="LAO6" s="157"/>
      <c r="LAP6" s="157"/>
      <c r="LAQ6" s="157"/>
      <c r="LAR6" s="157"/>
      <c r="LAS6" s="157"/>
      <c r="LAT6" s="157"/>
      <c r="LAU6" s="157"/>
      <c r="LAV6" s="157"/>
      <c r="LAW6" s="157"/>
      <c r="LAX6" s="157"/>
      <c r="LAY6" s="157"/>
      <c r="LAZ6" s="157"/>
      <c r="LBA6" s="157"/>
      <c r="LBB6" s="157"/>
      <c r="LBC6" s="157"/>
      <c r="LBD6" s="157"/>
      <c r="LBE6" s="157"/>
      <c r="LBF6" s="157"/>
      <c r="LBG6" s="157"/>
      <c r="LBH6" s="157"/>
      <c r="LBI6" s="157"/>
      <c r="LBJ6" s="157"/>
      <c r="LBK6" s="157"/>
      <c r="LBL6" s="157"/>
      <c r="LBM6" s="157"/>
      <c r="LBN6" s="157"/>
      <c r="LBO6" s="157"/>
      <c r="LBP6" s="157"/>
      <c r="LBQ6" s="157"/>
      <c r="LBR6" s="157"/>
      <c r="LBS6" s="157"/>
      <c r="LBT6" s="157"/>
      <c r="LBU6" s="157"/>
      <c r="LBV6" s="157"/>
      <c r="LBW6" s="157"/>
      <c r="LBX6" s="157"/>
      <c r="LBY6" s="157"/>
      <c r="LBZ6" s="157"/>
      <c r="LCA6" s="157"/>
      <c r="LCB6" s="157"/>
      <c r="LCC6" s="157"/>
      <c r="LCD6" s="157"/>
      <c r="LCE6" s="157"/>
      <c r="LCF6" s="157"/>
      <c r="LCG6" s="157"/>
      <c r="LCH6" s="157"/>
      <c r="LCI6" s="157"/>
      <c r="LCJ6" s="157"/>
      <c r="LCK6" s="157"/>
      <c r="LCL6" s="157"/>
      <c r="LCM6" s="157"/>
      <c r="LCN6" s="157"/>
      <c r="LCO6" s="157"/>
      <c r="LCP6" s="157"/>
      <c r="LCQ6" s="157"/>
      <c r="LCR6" s="157"/>
      <c r="LCS6" s="157"/>
      <c r="LCT6" s="157"/>
      <c r="LCU6" s="157"/>
      <c r="LCV6" s="157"/>
      <c r="LCW6" s="157"/>
      <c r="LCX6" s="157"/>
      <c r="LCY6" s="157"/>
      <c r="LCZ6" s="157"/>
      <c r="LDA6" s="157"/>
      <c r="LDB6" s="157"/>
      <c r="LDC6" s="157"/>
      <c r="LDD6" s="157"/>
      <c r="LDE6" s="157"/>
      <c r="LDF6" s="157"/>
      <c r="LDG6" s="157"/>
      <c r="LDH6" s="157"/>
      <c r="LDI6" s="157"/>
      <c r="LDJ6" s="157"/>
      <c r="LDK6" s="157"/>
      <c r="LDL6" s="157"/>
      <c r="LDM6" s="157"/>
      <c r="LDN6" s="157"/>
      <c r="LDO6" s="157"/>
      <c r="LDP6" s="157"/>
      <c r="LDQ6" s="157"/>
      <c r="LDR6" s="157"/>
      <c r="LDS6" s="157"/>
      <c r="LDT6" s="157"/>
      <c r="LDU6" s="157"/>
      <c r="LDV6" s="157"/>
      <c r="LDW6" s="157"/>
      <c r="LDX6" s="157"/>
      <c r="LDY6" s="157"/>
      <c r="LDZ6" s="157"/>
      <c r="LEA6" s="157"/>
      <c r="LEB6" s="157"/>
      <c r="LEC6" s="157"/>
      <c r="LED6" s="157"/>
      <c r="LEE6" s="157"/>
      <c r="LEF6" s="157"/>
      <c r="LEG6" s="157"/>
      <c r="LEH6" s="157"/>
      <c r="LEI6" s="157"/>
      <c r="LEJ6" s="157"/>
      <c r="LEK6" s="157"/>
      <c r="LEL6" s="157"/>
      <c r="LEM6" s="157"/>
      <c r="LEN6" s="157"/>
      <c r="LEO6" s="157"/>
      <c r="LEP6" s="157"/>
      <c r="LEQ6" s="157"/>
      <c r="LER6" s="157"/>
      <c r="LES6" s="157"/>
      <c r="LET6" s="157"/>
      <c r="LEU6" s="157"/>
      <c r="LEV6" s="157"/>
      <c r="LEW6" s="157"/>
      <c r="LEX6" s="157"/>
      <c r="LEY6" s="157"/>
      <c r="LEZ6" s="157"/>
      <c r="LFA6" s="157"/>
      <c r="LFB6" s="157"/>
      <c r="LFC6" s="157"/>
      <c r="LFD6" s="157"/>
      <c r="LFE6" s="157"/>
      <c r="LFF6" s="157"/>
      <c r="LFG6" s="157"/>
      <c r="LFH6" s="157"/>
      <c r="LFI6" s="157"/>
      <c r="LFJ6" s="157"/>
      <c r="LFK6" s="157"/>
      <c r="LFL6" s="157"/>
      <c r="LFM6" s="157"/>
      <c r="LFN6" s="157"/>
      <c r="LFO6" s="157"/>
      <c r="LFP6" s="157"/>
      <c r="LFQ6" s="157"/>
      <c r="LFR6" s="157"/>
      <c r="LFS6" s="157"/>
      <c r="LFT6" s="157"/>
      <c r="LFU6" s="157"/>
      <c r="LFV6" s="157"/>
      <c r="LFW6" s="157"/>
      <c r="LFX6" s="157"/>
      <c r="LFY6" s="157"/>
      <c r="LFZ6" s="157"/>
      <c r="LGA6" s="157"/>
      <c r="LGB6" s="157"/>
      <c r="LGC6" s="157"/>
      <c r="LGD6" s="157"/>
      <c r="LGE6" s="157"/>
      <c r="LGF6" s="157"/>
      <c r="LGG6" s="157"/>
      <c r="LGH6" s="157"/>
      <c r="LGI6" s="157"/>
      <c r="LGJ6" s="157"/>
      <c r="LGK6" s="157"/>
      <c r="LGL6" s="157"/>
      <c r="LGM6" s="157"/>
      <c r="LGN6" s="157"/>
      <c r="LGO6" s="157"/>
      <c r="LGP6" s="157"/>
      <c r="LGQ6" s="157"/>
      <c r="LGR6" s="157"/>
      <c r="LGS6" s="157"/>
      <c r="LGT6" s="157"/>
      <c r="LGU6" s="157"/>
      <c r="LGV6" s="157"/>
      <c r="LGW6" s="157"/>
      <c r="LGX6" s="157"/>
      <c r="LGY6" s="157"/>
      <c r="LGZ6" s="157"/>
      <c r="LHA6" s="157"/>
      <c r="LHB6" s="157"/>
      <c r="LHC6" s="157"/>
      <c r="LHD6" s="157"/>
      <c r="LHE6" s="157"/>
      <c r="LHF6" s="157"/>
      <c r="LHG6" s="157"/>
      <c r="LHH6" s="157"/>
      <c r="LHI6" s="157"/>
      <c r="LHJ6" s="157"/>
      <c r="LHK6" s="157"/>
      <c r="LHL6" s="157"/>
      <c r="LHM6" s="157"/>
      <c r="LHN6" s="157"/>
      <c r="LHO6" s="157"/>
      <c r="LHP6" s="157"/>
      <c r="LHQ6" s="157"/>
      <c r="LHR6" s="157"/>
      <c r="LHS6" s="157"/>
      <c r="LHT6" s="157"/>
      <c r="LHU6" s="157"/>
      <c r="LHV6" s="157"/>
      <c r="LHW6" s="157"/>
      <c r="LHX6" s="157"/>
      <c r="LHY6" s="157"/>
      <c r="LHZ6" s="157"/>
      <c r="LIA6" s="157"/>
      <c r="LIB6" s="157"/>
      <c r="LIC6" s="157"/>
      <c r="LID6" s="157"/>
      <c r="LIE6" s="157"/>
      <c r="LIF6" s="157"/>
      <c r="LIG6" s="157"/>
      <c r="LIH6" s="157"/>
      <c r="LII6" s="157"/>
      <c r="LIJ6" s="157"/>
      <c r="LIK6" s="157"/>
      <c r="LIL6" s="157"/>
      <c r="LIM6" s="157"/>
      <c r="LIN6" s="157"/>
      <c r="LIO6" s="157"/>
      <c r="LIP6" s="157"/>
      <c r="LIQ6" s="157"/>
      <c r="LIR6" s="157"/>
      <c r="LIS6" s="157"/>
      <c r="LIT6" s="157"/>
      <c r="LIU6" s="157"/>
      <c r="LIV6" s="157"/>
      <c r="LIW6" s="157"/>
      <c r="LIX6" s="157"/>
      <c r="LIY6" s="157"/>
      <c r="LIZ6" s="157"/>
      <c r="LJA6" s="157"/>
      <c r="LJB6" s="157"/>
      <c r="LJC6" s="157"/>
      <c r="LJD6" s="157"/>
      <c r="LJE6" s="157"/>
      <c r="LJF6" s="157"/>
      <c r="LJG6" s="157"/>
      <c r="LJH6" s="157"/>
      <c r="LJI6" s="157"/>
      <c r="LJJ6" s="157"/>
      <c r="LJK6" s="157"/>
      <c r="LJL6" s="157"/>
      <c r="LJM6" s="157"/>
      <c r="LJN6" s="157"/>
      <c r="LJO6" s="157"/>
      <c r="LJP6" s="157"/>
      <c r="LJQ6" s="157"/>
      <c r="LJR6" s="157"/>
      <c r="LJS6" s="157"/>
      <c r="LJT6" s="157"/>
      <c r="LJU6" s="157"/>
      <c r="LJV6" s="157"/>
      <c r="LJW6" s="157"/>
      <c r="LJX6" s="157"/>
      <c r="LJY6" s="157"/>
      <c r="LJZ6" s="157"/>
      <c r="LKA6" s="157"/>
      <c r="LKB6" s="157"/>
      <c r="LKC6" s="157"/>
      <c r="LKD6" s="157"/>
      <c r="LKE6" s="157"/>
      <c r="LKF6" s="157"/>
      <c r="LKG6" s="157"/>
      <c r="LKH6" s="157"/>
      <c r="LKI6" s="157"/>
      <c r="LKJ6" s="157"/>
      <c r="LKK6" s="157"/>
      <c r="LKL6" s="157"/>
      <c r="LKM6" s="157"/>
      <c r="LKN6" s="157"/>
      <c r="LKO6" s="157"/>
      <c r="LKP6" s="157"/>
      <c r="LKQ6" s="157"/>
      <c r="LKR6" s="157"/>
      <c r="LKS6" s="157"/>
      <c r="LKT6" s="157"/>
      <c r="LKU6" s="157"/>
      <c r="LKV6" s="157"/>
      <c r="LKW6" s="157"/>
      <c r="LKX6" s="157"/>
      <c r="LKY6" s="157"/>
      <c r="LKZ6" s="157"/>
      <c r="LLA6" s="157"/>
      <c r="LLB6" s="157"/>
      <c r="LLC6" s="157"/>
      <c r="LLD6" s="157"/>
      <c r="LLE6" s="157"/>
      <c r="LLF6" s="157"/>
      <c r="LLG6" s="157"/>
      <c r="LLH6" s="157"/>
      <c r="LLI6" s="157"/>
      <c r="LLJ6" s="157"/>
      <c r="LLK6" s="157"/>
      <c r="LLL6" s="157"/>
      <c r="LLM6" s="157"/>
      <c r="LLN6" s="157"/>
      <c r="LLO6" s="157"/>
      <c r="LLP6" s="157"/>
      <c r="LLQ6" s="157"/>
      <c r="LLR6" s="157"/>
      <c r="LLS6" s="157"/>
      <c r="LLT6" s="157"/>
      <c r="LLU6" s="157"/>
      <c r="LLV6" s="157"/>
      <c r="LLW6" s="157"/>
      <c r="LLX6" s="157"/>
      <c r="LLY6" s="157"/>
      <c r="LLZ6" s="157"/>
      <c r="LMA6" s="157"/>
      <c r="LMB6" s="157"/>
      <c r="LMC6" s="157"/>
      <c r="LMD6" s="157"/>
      <c r="LME6" s="157"/>
      <c r="LMF6" s="157"/>
      <c r="LMG6" s="157"/>
      <c r="LMH6" s="157"/>
      <c r="LMI6" s="157"/>
      <c r="LMJ6" s="157"/>
      <c r="LMK6" s="157"/>
      <c r="LML6" s="157"/>
      <c r="LMM6" s="157"/>
      <c r="LMN6" s="157"/>
      <c r="LMO6" s="157"/>
      <c r="LMP6" s="157"/>
      <c r="LMQ6" s="157"/>
      <c r="LMR6" s="157"/>
      <c r="LMS6" s="157"/>
      <c r="LMT6" s="157"/>
      <c r="LMU6" s="157"/>
      <c r="LMV6" s="157"/>
      <c r="LMW6" s="157"/>
      <c r="LMX6" s="157"/>
      <c r="LMY6" s="157"/>
      <c r="LMZ6" s="157"/>
      <c r="LNA6" s="157"/>
      <c r="LNB6" s="157"/>
      <c r="LNC6" s="157"/>
      <c r="LND6" s="157"/>
      <c r="LNE6" s="157"/>
      <c r="LNF6" s="157"/>
      <c r="LNG6" s="157"/>
      <c r="LNH6" s="157"/>
      <c r="LNI6" s="157"/>
      <c r="LNJ6" s="157"/>
      <c r="LNK6" s="157"/>
      <c r="LNL6" s="157"/>
      <c r="LNM6" s="157"/>
      <c r="LNN6" s="157"/>
      <c r="LNO6" s="157"/>
      <c r="LNP6" s="157"/>
      <c r="LNQ6" s="157"/>
      <c r="LNR6" s="157"/>
      <c r="LNS6" s="157"/>
      <c r="LNT6" s="157"/>
      <c r="LNU6" s="157"/>
      <c r="LNV6" s="157"/>
      <c r="LNW6" s="157"/>
      <c r="LNX6" s="157"/>
      <c r="LNY6" s="157"/>
      <c r="LNZ6" s="157"/>
      <c r="LOA6" s="157"/>
      <c r="LOB6" s="157"/>
      <c r="LOC6" s="157"/>
      <c r="LOD6" s="157"/>
      <c r="LOE6" s="157"/>
      <c r="LOF6" s="157"/>
      <c r="LOG6" s="157"/>
      <c r="LOH6" s="157"/>
      <c r="LOI6" s="157"/>
      <c r="LOJ6" s="157"/>
      <c r="LOK6" s="157"/>
      <c r="LOL6" s="157"/>
      <c r="LOM6" s="157"/>
      <c r="LON6" s="157"/>
      <c r="LOO6" s="157"/>
      <c r="LOP6" s="157"/>
      <c r="LOQ6" s="157"/>
      <c r="LOR6" s="157"/>
      <c r="LOS6" s="157"/>
      <c r="LOT6" s="157"/>
      <c r="LOU6" s="157"/>
      <c r="LOV6" s="157"/>
      <c r="LOW6" s="157"/>
      <c r="LOX6" s="157"/>
      <c r="LOY6" s="157"/>
      <c r="LOZ6" s="157"/>
      <c r="LPA6" s="157"/>
      <c r="LPB6" s="157"/>
      <c r="LPC6" s="157"/>
      <c r="LPD6" s="157"/>
      <c r="LPE6" s="157"/>
      <c r="LPF6" s="157"/>
      <c r="LPG6" s="157"/>
      <c r="LPH6" s="157"/>
      <c r="LPI6" s="157"/>
      <c r="LPJ6" s="157"/>
      <c r="LPK6" s="157"/>
      <c r="LPL6" s="157"/>
      <c r="LPM6" s="157"/>
      <c r="LPN6" s="157"/>
      <c r="LPO6" s="157"/>
      <c r="LPP6" s="157"/>
      <c r="LPQ6" s="157"/>
      <c r="LPR6" s="157"/>
      <c r="LPS6" s="157"/>
      <c r="LPT6" s="157"/>
      <c r="LPU6" s="157"/>
      <c r="LPV6" s="157"/>
      <c r="LPW6" s="157"/>
      <c r="LPX6" s="157"/>
      <c r="LPY6" s="157"/>
      <c r="LPZ6" s="157"/>
      <c r="LQA6" s="157"/>
      <c r="LQB6" s="157"/>
      <c r="LQC6" s="157"/>
      <c r="LQD6" s="157"/>
      <c r="LQE6" s="157"/>
      <c r="LQF6" s="157"/>
      <c r="LQG6" s="157"/>
      <c r="LQH6" s="157"/>
      <c r="LQI6" s="157"/>
      <c r="LQJ6" s="157"/>
      <c r="LQK6" s="157"/>
      <c r="LQL6" s="157"/>
      <c r="LQM6" s="157"/>
      <c r="LQN6" s="157"/>
      <c r="LQO6" s="157"/>
      <c r="LQP6" s="157"/>
      <c r="LQQ6" s="157"/>
      <c r="LQR6" s="157"/>
      <c r="LQS6" s="157"/>
      <c r="LQT6" s="157"/>
      <c r="LQU6" s="157"/>
      <c r="LQV6" s="157"/>
      <c r="LQW6" s="157"/>
      <c r="LQX6" s="157"/>
      <c r="LQY6" s="157"/>
      <c r="LQZ6" s="157"/>
      <c r="LRA6" s="157"/>
      <c r="LRB6" s="157"/>
      <c r="LRC6" s="157"/>
      <c r="LRD6" s="157"/>
      <c r="LRE6" s="157"/>
      <c r="LRF6" s="157"/>
      <c r="LRG6" s="157"/>
      <c r="LRH6" s="157"/>
      <c r="LRI6" s="157"/>
      <c r="LRJ6" s="157"/>
      <c r="LRK6" s="157"/>
      <c r="LRL6" s="157"/>
      <c r="LRM6" s="157"/>
      <c r="LRN6" s="157"/>
      <c r="LRO6" s="157"/>
      <c r="LRP6" s="157"/>
      <c r="LRQ6" s="157"/>
      <c r="LRR6" s="157"/>
      <c r="LRS6" s="157"/>
      <c r="LRT6" s="157"/>
      <c r="LRU6" s="157"/>
      <c r="LRV6" s="157"/>
      <c r="LRW6" s="157"/>
      <c r="LRX6" s="157"/>
      <c r="LRY6" s="157"/>
      <c r="LRZ6" s="157"/>
      <c r="LSA6" s="157"/>
      <c r="LSB6" s="157"/>
      <c r="LSC6" s="157"/>
      <c r="LSD6" s="157"/>
      <c r="LSE6" s="157"/>
      <c r="LSF6" s="157"/>
      <c r="LSG6" s="157"/>
      <c r="LSH6" s="157"/>
      <c r="LSI6" s="157"/>
      <c r="LSJ6" s="157"/>
      <c r="LSK6" s="157"/>
      <c r="LSL6" s="157"/>
      <c r="LSM6" s="157"/>
      <c r="LSN6" s="157"/>
      <c r="LSO6" s="157"/>
      <c r="LSP6" s="157"/>
      <c r="LSQ6" s="157"/>
      <c r="LSR6" s="157"/>
      <c r="LSS6" s="157"/>
      <c r="LST6" s="157"/>
      <c r="LSU6" s="157"/>
      <c r="LSV6" s="157"/>
      <c r="LSW6" s="157"/>
      <c r="LSX6" s="157"/>
      <c r="LSY6" s="157"/>
      <c r="LSZ6" s="157"/>
      <c r="LTA6" s="157"/>
      <c r="LTB6" s="157"/>
      <c r="LTC6" s="157"/>
      <c r="LTD6" s="157"/>
      <c r="LTE6" s="157"/>
      <c r="LTF6" s="157"/>
      <c r="LTG6" s="157"/>
      <c r="LTH6" s="157"/>
      <c r="LTI6" s="157"/>
      <c r="LTJ6" s="157"/>
      <c r="LTK6" s="157"/>
      <c r="LTL6" s="157"/>
      <c r="LTM6" s="157"/>
      <c r="LTN6" s="157"/>
      <c r="LTO6" s="157"/>
      <c r="LTP6" s="157"/>
      <c r="LTQ6" s="157"/>
      <c r="LTR6" s="157"/>
      <c r="LTS6" s="157"/>
      <c r="LTT6" s="157"/>
      <c r="LTU6" s="157"/>
      <c r="LTV6" s="157"/>
      <c r="LTW6" s="157"/>
      <c r="LTX6" s="157"/>
      <c r="LTY6" s="157"/>
      <c r="LTZ6" s="157"/>
      <c r="LUA6" s="157"/>
      <c r="LUB6" s="157"/>
      <c r="LUC6" s="157"/>
      <c r="LUD6" s="157"/>
      <c r="LUE6" s="157"/>
      <c r="LUF6" s="157"/>
      <c r="LUG6" s="157"/>
      <c r="LUH6" s="157"/>
      <c r="LUI6" s="157"/>
      <c r="LUJ6" s="157"/>
      <c r="LUK6" s="157"/>
      <c r="LUL6" s="157"/>
      <c r="LUM6" s="157"/>
      <c r="LUN6" s="157"/>
      <c r="LUO6" s="157"/>
      <c r="LUP6" s="157"/>
      <c r="LUQ6" s="157"/>
      <c r="LUR6" s="157"/>
      <c r="LUS6" s="157"/>
      <c r="LUT6" s="157"/>
      <c r="LUU6" s="157"/>
      <c r="LUV6" s="157"/>
      <c r="LUW6" s="157"/>
      <c r="LUX6" s="157"/>
      <c r="LUY6" s="157"/>
      <c r="LUZ6" s="157"/>
      <c r="LVA6" s="157"/>
      <c r="LVB6" s="157"/>
      <c r="LVC6" s="157"/>
      <c r="LVD6" s="157"/>
      <c r="LVE6" s="157"/>
      <c r="LVF6" s="157"/>
      <c r="LVG6" s="157"/>
      <c r="LVH6" s="157"/>
      <c r="LVI6" s="157"/>
      <c r="LVJ6" s="157"/>
      <c r="LVK6" s="157"/>
      <c r="LVL6" s="157"/>
      <c r="LVM6" s="157"/>
      <c r="LVN6" s="157"/>
      <c r="LVO6" s="157"/>
      <c r="LVP6" s="157"/>
      <c r="LVQ6" s="157"/>
      <c r="LVR6" s="157"/>
      <c r="LVS6" s="157"/>
      <c r="LVT6" s="157"/>
      <c r="LVU6" s="157"/>
      <c r="LVV6" s="157"/>
      <c r="LVW6" s="157"/>
      <c r="LVX6" s="157"/>
      <c r="LVY6" s="157"/>
      <c r="LVZ6" s="157"/>
      <c r="LWA6" s="157"/>
      <c r="LWB6" s="157"/>
      <c r="LWC6" s="157"/>
      <c r="LWD6" s="157"/>
      <c r="LWE6" s="157"/>
      <c r="LWF6" s="157"/>
      <c r="LWG6" s="157"/>
      <c r="LWH6" s="157"/>
      <c r="LWI6" s="157"/>
      <c r="LWJ6" s="157"/>
      <c r="LWK6" s="157"/>
      <c r="LWL6" s="157"/>
      <c r="LWM6" s="157"/>
      <c r="LWN6" s="157"/>
      <c r="LWO6" s="157"/>
      <c r="LWP6" s="157"/>
      <c r="LWQ6" s="157"/>
      <c r="LWR6" s="157"/>
      <c r="LWS6" s="157"/>
      <c r="LWT6" s="157"/>
      <c r="LWU6" s="157"/>
      <c r="LWV6" s="157"/>
      <c r="LWW6" s="157"/>
      <c r="LWX6" s="157"/>
      <c r="LWY6" s="157"/>
      <c r="LWZ6" s="157"/>
      <c r="LXA6" s="157"/>
      <c r="LXB6" s="157"/>
      <c r="LXC6" s="157"/>
      <c r="LXD6" s="157"/>
      <c r="LXE6" s="157"/>
      <c r="LXF6" s="157"/>
      <c r="LXG6" s="157"/>
      <c r="LXH6" s="157"/>
      <c r="LXI6" s="157"/>
      <c r="LXJ6" s="157"/>
      <c r="LXK6" s="157"/>
      <c r="LXL6" s="157"/>
      <c r="LXM6" s="157"/>
      <c r="LXN6" s="157"/>
      <c r="LXO6" s="157"/>
      <c r="LXP6" s="157"/>
      <c r="LXQ6" s="157"/>
      <c r="LXR6" s="157"/>
      <c r="LXS6" s="157"/>
      <c r="LXT6" s="157"/>
      <c r="LXU6" s="157"/>
      <c r="LXV6" s="157"/>
      <c r="LXW6" s="157"/>
      <c r="LXX6" s="157"/>
      <c r="LXY6" s="157"/>
      <c r="LXZ6" s="157"/>
      <c r="LYA6" s="157"/>
      <c r="LYB6" s="157"/>
      <c r="LYC6" s="157"/>
      <c r="LYD6" s="157"/>
      <c r="LYE6" s="157"/>
      <c r="LYF6" s="157"/>
      <c r="LYG6" s="157"/>
      <c r="LYH6" s="157"/>
      <c r="LYI6" s="157"/>
      <c r="LYJ6" s="157"/>
      <c r="LYK6" s="157"/>
      <c r="LYL6" s="157"/>
      <c r="LYM6" s="157"/>
      <c r="LYN6" s="157"/>
      <c r="LYO6" s="157"/>
      <c r="LYP6" s="157"/>
      <c r="LYQ6" s="157"/>
      <c r="LYR6" s="157"/>
      <c r="LYS6" s="157"/>
      <c r="LYT6" s="157"/>
      <c r="LYU6" s="157"/>
      <c r="LYV6" s="157"/>
      <c r="LYW6" s="157"/>
      <c r="LYX6" s="157"/>
      <c r="LYY6" s="157"/>
      <c r="LYZ6" s="157"/>
      <c r="LZA6" s="157"/>
      <c r="LZB6" s="157"/>
      <c r="LZC6" s="157"/>
      <c r="LZD6" s="157"/>
      <c r="LZE6" s="157"/>
      <c r="LZF6" s="157"/>
      <c r="LZG6" s="157"/>
      <c r="LZH6" s="157"/>
      <c r="LZI6" s="157"/>
      <c r="LZJ6" s="157"/>
      <c r="LZK6" s="157"/>
      <c r="LZL6" s="157"/>
      <c r="LZM6" s="157"/>
      <c r="LZN6" s="157"/>
      <c r="LZO6" s="157"/>
      <c r="LZP6" s="157"/>
      <c r="LZQ6" s="157"/>
      <c r="LZR6" s="157"/>
      <c r="LZS6" s="157"/>
      <c r="LZT6" s="157"/>
      <c r="LZU6" s="157"/>
      <c r="LZV6" s="157"/>
      <c r="LZW6" s="157"/>
      <c r="LZX6" s="157"/>
      <c r="LZY6" s="157"/>
      <c r="LZZ6" s="157"/>
      <c r="MAA6" s="157"/>
      <c r="MAB6" s="157"/>
      <c r="MAC6" s="157"/>
      <c r="MAD6" s="157"/>
      <c r="MAE6" s="157"/>
      <c r="MAF6" s="157"/>
      <c r="MAG6" s="157"/>
      <c r="MAH6" s="157"/>
      <c r="MAI6" s="157"/>
      <c r="MAJ6" s="157"/>
      <c r="MAK6" s="157"/>
      <c r="MAL6" s="157"/>
      <c r="MAM6" s="157"/>
      <c r="MAN6" s="157"/>
      <c r="MAO6" s="157"/>
      <c r="MAP6" s="157"/>
      <c r="MAQ6" s="157"/>
      <c r="MAR6" s="157"/>
      <c r="MAS6" s="157"/>
      <c r="MAT6" s="157"/>
      <c r="MAU6" s="157"/>
      <c r="MAV6" s="157"/>
      <c r="MAW6" s="157"/>
      <c r="MAX6" s="157"/>
      <c r="MAY6" s="157"/>
      <c r="MAZ6" s="157"/>
      <c r="MBA6" s="157"/>
      <c r="MBB6" s="157"/>
      <c r="MBC6" s="157"/>
      <c r="MBD6" s="157"/>
      <c r="MBE6" s="157"/>
      <c r="MBF6" s="157"/>
      <c r="MBG6" s="157"/>
      <c r="MBH6" s="157"/>
      <c r="MBI6" s="157"/>
      <c r="MBJ6" s="157"/>
      <c r="MBK6" s="157"/>
      <c r="MBL6" s="157"/>
      <c r="MBM6" s="157"/>
      <c r="MBN6" s="157"/>
      <c r="MBO6" s="157"/>
      <c r="MBP6" s="157"/>
      <c r="MBQ6" s="157"/>
      <c r="MBR6" s="157"/>
      <c r="MBS6" s="157"/>
      <c r="MBT6" s="157"/>
      <c r="MBU6" s="157"/>
      <c r="MBV6" s="157"/>
      <c r="MBW6" s="157"/>
      <c r="MBX6" s="157"/>
      <c r="MBY6" s="157"/>
      <c r="MBZ6" s="157"/>
      <c r="MCA6" s="157"/>
      <c r="MCB6" s="157"/>
      <c r="MCC6" s="157"/>
      <c r="MCD6" s="157"/>
      <c r="MCE6" s="157"/>
      <c r="MCF6" s="157"/>
      <c r="MCG6" s="157"/>
      <c r="MCH6" s="157"/>
      <c r="MCI6" s="157"/>
      <c r="MCJ6" s="157"/>
      <c r="MCK6" s="157"/>
      <c r="MCL6" s="157"/>
      <c r="MCM6" s="157"/>
      <c r="MCN6" s="157"/>
      <c r="MCO6" s="157"/>
      <c r="MCP6" s="157"/>
      <c r="MCQ6" s="157"/>
      <c r="MCR6" s="157"/>
      <c r="MCS6" s="157"/>
      <c r="MCT6" s="157"/>
      <c r="MCU6" s="157"/>
      <c r="MCV6" s="157"/>
      <c r="MCW6" s="157"/>
      <c r="MCX6" s="157"/>
      <c r="MCY6" s="157"/>
      <c r="MCZ6" s="157"/>
      <c r="MDA6" s="157"/>
      <c r="MDB6" s="157"/>
      <c r="MDC6" s="157"/>
      <c r="MDD6" s="157"/>
      <c r="MDE6" s="157"/>
      <c r="MDF6" s="157"/>
      <c r="MDG6" s="157"/>
      <c r="MDH6" s="157"/>
      <c r="MDI6" s="157"/>
      <c r="MDJ6" s="157"/>
      <c r="MDK6" s="157"/>
      <c r="MDL6" s="157"/>
      <c r="MDM6" s="157"/>
      <c r="MDN6" s="157"/>
      <c r="MDO6" s="157"/>
      <c r="MDP6" s="157"/>
      <c r="MDQ6" s="157"/>
      <c r="MDR6" s="157"/>
      <c r="MDS6" s="157"/>
      <c r="MDT6" s="157"/>
      <c r="MDU6" s="157"/>
      <c r="MDV6" s="157"/>
      <c r="MDW6" s="157"/>
      <c r="MDX6" s="157"/>
      <c r="MDY6" s="157"/>
      <c r="MDZ6" s="157"/>
      <c r="MEA6" s="157"/>
      <c r="MEB6" s="157"/>
      <c r="MEC6" s="157"/>
      <c r="MED6" s="157"/>
      <c r="MEE6" s="157"/>
      <c r="MEF6" s="157"/>
      <c r="MEG6" s="157"/>
      <c r="MEH6" s="157"/>
      <c r="MEI6" s="157"/>
      <c r="MEJ6" s="157"/>
      <c r="MEK6" s="157"/>
      <c r="MEL6" s="157"/>
      <c r="MEM6" s="157"/>
      <c r="MEN6" s="157"/>
      <c r="MEO6" s="157"/>
      <c r="MEP6" s="157"/>
      <c r="MEQ6" s="157"/>
      <c r="MER6" s="157"/>
      <c r="MES6" s="157"/>
      <c r="MET6" s="157"/>
      <c r="MEU6" s="157"/>
      <c r="MEV6" s="157"/>
      <c r="MEW6" s="157"/>
      <c r="MEX6" s="157"/>
      <c r="MEY6" s="157"/>
      <c r="MEZ6" s="157"/>
      <c r="MFA6" s="157"/>
      <c r="MFB6" s="157"/>
      <c r="MFC6" s="157"/>
      <c r="MFD6" s="157"/>
      <c r="MFE6" s="157"/>
      <c r="MFF6" s="157"/>
      <c r="MFG6" s="157"/>
      <c r="MFH6" s="157"/>
      <c r="MFI6" s="157"/>
      <c r="MFJ6" s="157"/>
      <c r="MFK6" s="157"/>
      <c r="MFL6" s="157"/>
      <c r="MFM6" s="157"/>
      <c r="MFN6" s="157"/>
      <c r="MFO6" s="157"/>
      <c r="MFP6" s="157"/>
      <c r="MFQ6" s="157"/>
      <c r="MFR6" s="157"/>
      <c r="MFS6" s="157"/>
      <c r="MFT6" s="157"/>
      <c r="MFU6" s="157"/>
      <c r="MFV6" s="157"/>
      <c r="MFW6" s="157"/>
      <c r="MFX6" s="157"/>
      <c r="MFY6" s="157"/>
      <c r="MFZ6" s="157"/>
      <c r="MGA6" s="157"/>
      <c r="MGB6" s="157"/>
      <c r="MGC6" s="157"/>
      <c r="MGD6" s="157"/>
      <c r="MGE6" s="157"/>
      <c r="MGF6" s="157"/>
      <c r="MGG6" s="157"/>
      <c r="MGH6" s="157"/>
      <c r="MGI6" s="157"/>
      <c r="MGJ6" s="157"/>
      <c r="MGK6" s="157"/>
      <c r="MGL6" s="157"/>
      <c r="MGM6" s="157"/>
      <c r="MGN6" s="157"/>
      <c r="MGO6" s="157"/>
      <c r="MGP6" s="157"/>
      <c r="MGQ6" s="157"/>
      <c r="MGR6" s="157"/>
      <c r="MGS6" s="157"/>
      <c r="MGT6" s="157"/>
      <c r="MGU6" s="157"/>
      <c r="MGV6" s="157"/>
      <c r="MGW6" s="157"/>
      <c r="MGX6" s="157"/>
      <c r="MGY6" s="157"/>
      <c r="MGZ6" s="157"/>
      <c r="MHA6" s="157"/>
      <c r="MHB6" s="157"/>
      <c r="MHC6" s="157"/>
      <c r="MHD6" s="157"/>
      <c r="MHE6" s="157"/>
      <c r="MHF6" s="157"/>
      <c r="MHG6" s="157"/>
      <c r="MHH6" s="157"/>
      <c r="MHI6" s="157"/>
      <c r="MHJ6" s="157"/>
      <c r="MHK6" s="157"/>
      <c r="MHL6" s="157"/>
      <c r="MHM6" s="157"/>
      <c r="MHN6" s="157"/>
      <c r="MHO6" s="157"/>
      <c r="MHP6" s="157"/>
      <c r="MHQ6" s="157"/>
      <c r="MHR6" s="157"/>
      <c r="MHS6" s="157"/>
      <c r="MHT6" s="157"/>
      <c r="MHU6" s="157"/>
      <c r="MHV6" s="157"/>
      <c r="MHW6" s="157"/>
      <c r="MHX6" s="157"/>
      <c r="MHY6" s="157"/>
      <c r="MHZ6" s="157"/>
      <c r="MIA6" s="157"/>
      <c r="MIB6" s="157"/>
      <c r="MIC6" s="157"/>
      <c r="MID6" s="157"/>
      <c r="MIE6" s="157"/>
      <c r="MIF6" s="157"/>
      <c r="MIG6" s="157"/>
      <c r="MIH6" s="157"/>
      <c r="MII6" s="157"/>
      <c r="MIJ6" s="157"/>
      <c r="MIK6" s="157"/>
      <c r="MIL6" s="157"/>
      <c r="MIM6" s="157"/>
      <c r="MIN6" s="157"/>
      <c r="MIO6" s="157"/>
      <c r="MIP6" s="157"/>
      <c r="MIQ6" s="157"/>
      <c r="MIR6" s="157"/>
      <c r="MIS6" s="157"/>
      <c r="MIT6" s="157"/>
      <c r="MIU6" s="157"/>
      <c r="MIV6" s="157"/>
      <c r="MIW6" s="157"/>
      <c r="MIX6" s="157"/>
      <c r="MIY6" s="157"/>
      <c r="MIZ6" s="157"/>
      <c r="MJA6" s="157"/>
      <c r="MJB6" s="157"/>
      <c r="MJC6" s="157"/>
      <c r="MJD6" s="157"/>
      <c r="MJE6" s="157"/>
      <c r="MJF6" s="157"/>
      <c r="MJG6" s="157"/>
      <c r="MJH6" s="157"/>
      <c r="MJI6" s="157"/>
      <c r="MJJ6" s="157"/>
      <c r="MJK6" s="157"/>
      <c r="MJL6" s="157"/>
      <c r="MJM6" s="157"/>
      <c r="MJN6" s="157"/>
      <c r="MJO6" s="157"/>
      <c r="MJP6" s="157"/>
      <c r="MJQ6" s="157"/>
      <c r="MJR6" s="157"/>
      <c r="MJS6" s="157"/>
      <c r="MJT6" s="157"/>
      <c r="MJU6" s="157"/>
      <c r="MJV6" s="157"/>
      <c r="MJW6" s="157"/>
      <c r="MJX6" s="157"/>
      <c r="MJY6" s="157"/>
      <c r="MJZ6" s="157"/>
      <c r="MKA6" s="157"/>
      <c r="MKB6" s="157"/>
      <c r="MKC6" s="157"/>
      <c r="MKD6" s="157"/>
      <c r="MKE6" s="157"/>
      <c r="MKF6" s="157"/>
      <c r="MKG6" s="157"/>
      <c r="MKH6" s="157"/>
      <c r="MKI6" s="157"/>
      <c r="MKJ6" s="157"/>
      <c r="MKK6" s="157"/>
      <c r="MKL6" s="157"/>
      <c r="MKM6" s="157"/>
      <c r="MKN6" s="157"/>
      <c r="MKO6" s="157"/>
      <c r="MKP6" s="157"/>
      <c r="MKQ6" s="157"/>
      <c r="MKR6" s="157"/>
      <c r="MKS6" s="157"/>
      <c r="MKT6" s="157"/>
      <c r="MKU6" s="157"/>
      <c r="MKV6" s="157"/>
      <c r="MKW6" s="157"/>
      <c r="MKX6" s="157"/>
      <c r="MKY6" s="157"/>
      <c r="MKZ6" s="157"/>
      <c r="MLA6" s="157"/>
      <c r="MLB6" s="157"/>
      <c r="MLC6" s="157"/>
      <c r="MLD6" s="157"/>
      <c r="MLE6" s="157"/>
      <c r="MLF6" s="157"/>
      <c r="MLG6" s="157"/>
      <c r="MLH6" s="157"/>
      <c r="MLI6" s="157"/>
      <c r="MLJ6" s="157"/>
      <c r="MLK6" s="157"/>
      <c r="MLL6" s="157"/>
      <c r="MLM6" s="157"/>
      <c r="MLN6" s="157"/>
      <c r="MLO6" s="157"/>
      <c r="MLP6" s="157"/>
      <c r="MLQ6" s="157"/>
      <c r="MLR6" s="157"/>
      <c r="MLS6" s="157"/>
      <c r="MLT6" s="157"/>
      <c r="MLU6" s="157"/>
      <c r="MLV6" s="157"/>
      <c r="MLW6" s="157"/>
      <c r="MLX6" s="157"/>
      <c r="MLY6" s="157"/>
      <c r="MLZ6" s="157"/>
      <c r="MMA6" s="157"/>
      <c r="MMB6" s="157"/>
      <c r="MMC6" s="157"/>
      <c r="MMD6" s="157"/>
      <c r="MME6" s="157"/>
      <c r="MMF6" s="157"/>
      <c r="MMG6" s="157"/>
      <c r="MMH6" s="157"/>
      <c r="MMI6" s="157"/>
      <c r="MMJ6" s="157"/>
      <c r="MMK6" s="157"/>
      <c r="MML6" s="157"/>
      <c r="MMM6" s="157"/>
      <c r="MMN6" s="157"/>
      <c r="MMO6" s="157"/>
      <c r="MMP6" s="157"/>
      <c r="MMQ6" s="157"/>
      <c r="MMR6" s="157"/>
      <c r="MMS6" s="157"/>
      <c r="MMT6" s="157"/>
      <c r="MMU6" s="157"/>
      <c r="MMV6" s="157"/>
      <c r="MMW6" s="157"/>
      <c r="MMX6" s="157"/>
      <c r="MMY6" s="157"/>
      <c r="MMZ6" s="157"/>
      <c r="MNA6" s="157"/>
      <c r="MNB6" s="157"/>
      <c r="MNC6" s="157"/>
      <c r="MND6" s="157"/>
      <c r="MNE6" s="157"/>
      <c r="MNF6" s="157"/>
      <c r="MNG6" s="157"/>
      <c r="MNH6" s="157"/>
      <c r="MNI6" s="157"/>
      <c r="MNJ6" s="157"/>
      <c r="MNK6" s="157"/>
      <c r="MNL6" s="157"/>
      <c r="MNM6" s="157"/>
      <c r="MNN6" s="157"/>
      <c r="MNO6" s="157"/>
      <c r="MNP6" s="157"/>
      <c r="MNQ6" s="157"/>
      <c r="MNR6" s="157"/>
      <c r="MNS6" s="157"/>
      <c r="MNT6" s="157"/>
      <c r="MNU6" s="157"/>
      <c r="MNV6" s="157"/>
      <c r="MNW6" s="157"/>
      <c r="MNX6" s="157"/>
      <c r="MNY6" s="157"/>
      <c r="MNZ6" s="157"/>
      <c r="MOA6" s="157"/>
      <c r="MOB6" s="157"/>
      <c r="MOC6" s="157"/>
      <c r="MOD6" s="157"/>
      <c r="MOE6" s="157"/>
      <c r="MOF6" s="157"/>
      <c r="MOG6" s="157"/>
      <c r="MOH6" s="157"/>
      <c r="MOI6" s="157"/>
      <c r="MOJ6" s="157"/>
      <c r="MOK6" s="157"/>
      <c r="MOL6" s="157"/>
      <c r="MOM6" s="157"/>
      <c r="MON6" s="157"/>
      <c r="MOO6" s="157"/>
      <c r="MOP6" s="157"/>
      <c r="MOQ6" s="157"/>
      <c r="MOR6" s="157"/>
      <c r="MOS6" s="157"/>
      <c r="MOT6" s="157"/>
      <c r="MOU6" s="157"/>
      <c r="MOV6" s="157"/>
      <c r="MOW6" s="157"/>
      <c r="MOX6" s="157"/>
      <c r="MOY6" s="157"/>
      <c r="MOZ6" s="157"/>
      <c r="MPA6" s="157"/>
      <c r="MPB6" s="157"/>
      <c r="MPC6" s="157"/>
      <c r="MPD6" s="157"/>
      <c r="MPE6" s="157"/>
      <c r="MPF6" s="157"/>
      <c r="MPG6" s="157"/>
      <c r="MPH6" s="157"/>
      <c r="MPI6" s="157"/>
      <c r="MPJ6" s="157"/>
      <c r="MPK6" s="157"/>
      <c r="MPL6" s="157"/>
      <c r="MPM6" s="157"/>
      <c r="MPN6" s="157"/>
      <c r="MPO6" s="157"/>
      <c r="MPP6" s="157"/>
      <c r="MPQ6" s="157"/>
      <c r="MPR6" s="157"/>
      <c r="MPS6" s="157"/>
      <c r="MPT6" s="157"/>
      <c r="MPU6" s="157"/>
      <c r="MPV6" s="157"/>
      <c r="MPW6" s="157"/>
      <c r="MPX6" s="157"/>
      <c r="MPY6" s="157"/>
      <c r="MPZ6" s="157"/>
      <c r="MQA6" s="157"/>
      <c r="MQB6" s="157"/>
      <c r="MQC6" s="157"/>
      <c r="MQD6" s="157"/>
      <c r="MQE6" s="157"/>
      <c r="MQF6" s="157"/>
      <c r="MQG6" s="157"/>
      <c r="MQH6" s="157"/>
      <c r="MQI6" s="157"/>
      <c r="MQJ6" s="157"/>
      <c r="MQK6" s="157"/>
      <c r="MQL6" s="157"/>
      <c r="MQM6" s="157"/>
      <c r="MQN6" s="157"/>
      <c r="MQO6" s="157"/>
      <c r="MQP6" s="157"/>
      <c r="MQQ6" s="157"/>
      <c r="MQR6" s="157"/>
      <c r="MQS6" s="157"/>
      <c r="MQT6" s="157"/>
      <c r="MQU6" s="157"/>
      <c r="MQV6" s="157"/>
      <c r="MQW6" s="157"/>
      <c r="MQX6" s="157"/>
      <c r="MQY6" s="157"/>
      <c r="MQZ6" s="157"/>
      <c r="MRA6" s="157"/>
      <c r="MRB6" s="157"/>
      <c r="MRC6" s="157"/>
      <c r="MRD6" s="157"/>
      <c r="MRE6" s="157"/>
      <c r="MRF6" s="157"/>
      <c r="MRG6" s="157"/>
      <c r="MRH6" s="157"/>
      <c r="MRI6" s="157"/>
      <c r="MRJ6" s="157"/>
      <c r="MRK6" s="157"/>
      <c r="MRL6" s="157"/>
      <c r="MRM6" s="157"/>
      <c r="MRN6" s="157"/>
      <c r="MRO6" s="157"/>
      <c r="MRP6" s="157"/>
      <c r="MRQ6" s="157"/>
      <c r="MRR6" s="157"/>
      <c r="MRS6" s="157"/>
      <c r="MRT6" s="157"/>
      <c r="MRU6" s="157"/>
      <c r="MRV6" s="157"/>
      <c r="MRW6" s="157"/>
      <c r="MRX6" s="157"/>
      <c r="MRY6" s="157"/>
      <c r="MRZ6" s="157"/>
      <c r="MSA6" s="157"/>
      <c r="MSB6" s="157"/>
      <c r="MSC6" s="157"/>
      <c r="MSD6" s="157"/>
      <c r="MSE6" s="157"/>
      <c r="MSF6" s="157"/>
      <c r="MSG6" s="157"/>
      <c r="MSH6" s="157"/>
      <c r="MSI6" s="157"/>
      <c r="MSJ6" s="157"/>
      <c r="MSK6" s="157"/>
      <c r="MSL6" s="157"/>
      <c r="MSM6" s="157"/>
      <c r="MSN6" s="157"/>
      <c r="MSO6" s="157"/>
      <c r="MSP6" s="157"/>
      <c r="MSQ6" s="157"/>
      <c r="MSR6" s="157"/>
      <c r="MSS6" s="157"/>
      <c r="MST6" s="157"/>
      <c r="MSU6" s="157"/>
      <c r="MSV6" s="157"/>
      <c r="MSW6" s="157"/>
      <c r="MSX6" s="157"/>
      <c r="MSY6" s="157"/>
      <c r="MSZ6" s="157"/>
      <c r="MTA6" s="157"/>
      <c r="MTB6" s="157"/>
      <c r="MTC6" s="157"/>
      <c r="MTD6" s="157"/>
      <c r="MTE6" s="157"/>
      <c r="MTF6" s="157"/>
      <c r="MTG6" s="157"/>
      <c r="MTH6" s="157"/>
      <c r="MTI6" s="157"/>
      <c r="MTJ6" s="157"/>
      <c r="MTK6" s="157"/>
      <c r="MTL6" s="157"/>
      <c r="MTM6" s="157"/>
      <c r="MTN6" s="157"/>
      <c r="MTO6" s="157"/>
      <c r="MTP6" s="157"/>
      <c r="MTQ6" s="157"/>
      <c r="MTR6" s="157"/>
      <c r="MTS6" s="157"/>
      <c r="MTT6" s="157"/>
      <c r="MTU6" s="157"/>
      <c r="MTV6" s="157"/>
      <c r="MTW6" s="157"/>
      <c r="MTX6" s="157"/>
      <c r="MTY6" s="157"/>
      <c r="MTZ6" s="157"/>
      <c r="MUA6" s="157"/>
      <c r="MUB6" s="157"/>
      <c r="MUC6" s="157"/>
      <c r="MUD6" s="157"/>
      <c r="MUE6" s="157"/>
      <c r="MUF6" s="157"/>
      <c r="MUG6" s="157"/>
      <c r="MUH6" s="157"/>
      <c r="MUI6" s="157"/>
      <c r="MUJ6" s="157"/>
      <c r="MUK6" s="157"/>
      <c r="MUL6" s="157"/>
      <c r="MUM6" s="157"/>
      <c r="MUN6" s="157"/>
      <c r="MUO6" s="157"/>
      <c r="MUP6" s="157"/>
      <c r="MUQ6" s="157"/>
      <c r="MUR6" s="157"/>
      <c r="MUS6" s="157"/>
      <c r="MUT6" s="157"/>
      <c r="MUU6" s="157"/>
      <c r="MUV6" s="157"/>
      <c r="MUW6" s="157"/>
      <c r="MUX6" s="157"/>
      <c r="MUY6" s="157"/>
      <c r="MUZ6" s="157"/>
      <c r="MVA6" s="157"/>
      <c r="MVB6" s="157"/>
      <c r="MVC6" s="157"/>
      <c r="MVD6" s="157"/>
      <c r="MVE6" s="157"/>
      <c r="MVF6" s="157"/>
      <c r="MVG6" s="157"/>
      <c r="MVH6" s="157"/>
      <c r="MVI6" s="157"/>
      <c r="MVJ6" s="157"/>
      <c r="MVK6" s="157"/>
      <c r="MVL6" s="157"/>
      <c r="MVM6" s="157"/>
      <c r="MVN6" s="157"/>
      <c r="MVO6" s="157"/>
      <c r="MVP6" s="157"/>
      <c r="MVQ6" s="157"/>
      <c r="MVR6" s="157"/>
      <c r="MVS6" s="157"/>
      <c r="MVT6" s="157"/>
      <c r="MVU6" s="157"/>
      <c r="MVV6" s="157"/>
      <c r="MVW6" s="157"/>
      <c r="MVX6" s="157"/>
      <c r="MVY6" s="157"/>
      <c r="MVZ6" s="157"/>
      <c r="MWA6" s="157"/>
      <c r="MWB6" s="157"/>
      <c r="MWC6" s="157"/>
      <c r="MWD6" s="157"/>
      <c r="MWE6" s="157"/>
      <c r="MWF6" s="157"/>
      <c r="MWG6" s="157"/>
      <c r="MWH6" s="157"/>
      <c r="MWI6" s="157"/>
      <c r="MWJ6" s="157"/>
      <c r="MWK6" s="157"/>
      <c r="MWL6" s="157"/>
      <c r="MWM6" s="157"/>
      <c r="MWN6" s="157"/>
      <c r="MWO6" s="157"/>
      <c r="MWP6" s="157"/>
      <c r="MWQ6" s="157"/>
      <c r="MWR6" s="157"/>
      <c r="MWS6" s="157"/>
      <c r="MWT6" s="157"/>
      <c r="MWU6" s="157"/>
      <c r="MWV6" s="157"/>
      <c r="MWW6" s="157"/>
      <c r="MWX6" s="157"/>
      <c r="MWY6" s="157"/>
      <c r="MWZ6" s="157"/>
      <c r="MXA6" s="157"/>
      <c r="MXB6" s="157"/>
      <c r="MXC6" s="157"/>
      <c r="MXD6" s="157"/>
      <c r="MXE6" s="157"/>
      <c r="MXF6" s="157"/>
      <c r="MXG6" s="157"/>
      <c r="MXH6" s="157"/>
      <c r="MXI6" s="157"/>
      <c r="MXJ6" s="157"/>
      <c r="MXK6" s="157"/>
      <c r="MXL6" s="157"/>
      <c r="MXM6" s="157"/>
      <c r="MXN6" s="157"/>
      <c r="MXO6" s="157"/>
      <c r="MXP6" s="157"/>
      <c r="MXQ6" s="157"/>
      <c r="MXR6" s="157"/>
      <c r="MXS6" s="157"/>
      <c r="MXT6" s="157"/>
      <c r="MXU6" s="157"/>
      <c r="MXV6" s="157"/>
      <c r="MXW6" s="157"/>
      <c r="MXX6" s="157"/>
      <c r="MXY6" s="157"/>
      <c r="MXZ6" s="157"/>
      <c r="MYA6" s="157"/>
      <c r="MYB6" s="157"/>
      <c r="MYC6" s="157"/>
      <c r="MYD6" s="157"/>
      <c r="MYE6" s="157"/>
      <c r="MYF6" s="157"/>
      <c r="MYG6" s="157"/>
      <c r="MYH6" s="157"/>
      <c r="MYI6" s="157"/>
      <c r="MYJ6" s="157"/>
      <c r="MYK6" s="157"/>
      <c r="MYL6" s="157"/>
      <c r="MYM6" s="157"/>
      <c r="MYN6" s="157"/>
      <c r="MYO6" s="157"/>
      <c r="MYP6" s="157"/>
      <c r="MYQ6" s="157"/>
      <c r="MYR6" s="157"/>
      <c r="MYS6" s="157"/>
      <c r="MYT6" s="157"/>
      <c r="MYU6" s="157"/>
      <c r="MYV6" s="157"/>
      <c r="MYW6" s="157"/>
      <c r="MYX6" s="157"/>
      <c r="MYY6" s="157"/>
      <c r="MYZ6" s="157"/>
      <c r="MZA6" s="157"/>
      <c r="MZB6" s="157"/>
      <c r="MZC6" s="157"/>
      <c r="MZD6" s="157"/>
      <c r="MZE6" s="157"/>
      <c r="MZF6" s="157"/>
      <c r="MZG6" s="157"/>
      <c r="MZH6" s="157"/>
      <c r="MZI6" s="157"/>
      <c r="MZJ6" s="157"/>
      <c r="MZK6" s="157"/>
      <c r="MZL6" s="157"/>
      <c r="MZM6" s="157"/>
      <c r="MZN6" s="157"/>
      <c r="MZO6" s="157"/>
      <c r="MZP6" s="157"/>
      <c r="MZQ6" s="157"/>
      <c r="MZR6" s="157"/>
      <c r="MZS6" s="157"/>
      <c r="MZT6" s="157"/>
      <c r="MZU6" s="157"/>
      <c r="MZV6" s="157"/>
      <c r="MZW6" s="157"/>
      <c r="MZX6" s="157"/>
      <c r="MZY6" s="157"/>
      <c r="MZZ6" s="157"/>
      <c r="NAA6" s="157"/>
      <c r="NAB6" s="157"/>
      <c r="NAC6" s="157"/>
      <c r="NAD6" s="157"/>
      <c r="NAE6" s="157"/>
      <c r="NAF6" s="157"/>
      <c r="NAG6" s="157"/>
      <c r="NAH6" s="157"/>
      <c r="NAI6" s="157"/>
      <c r="NAJ6" s="157"/>
      <c r="NAK6" s="157"/>
      <c r="NAL6" s="157"/>
      <c r="NAM6" s="157"/>
      <c r="NAN6" s="157"/>
      <c r="NAO6" s="157"/>
      <c r="NAP6" s="157"/>
      <c r="NAQ6" s="157"/>
      <c r="NAR6" s="157"/>
      <c r="NAS6" s="157"/>
      <c r="NAT6" s="157"/>
      <c r="NAU6" s="157"/>
      <c r="NAV6" s="157"/>
      <c r="NAW6" s="157"/>
      <c r="NAX6" s="157"/>
      <c r="NAY6" s="157"/>
      <c r="NAZ6" s="157"/>
      <c r="NBA6" s="157"/>
      <c r="NBB6" s="157"/>
      <c r="NBC6" s="157"/>
      <c r="NBD6" s="157"/>
      <c r="NBE6" s="157"/>
      <c r="NBF6" s="157"/>
      <c r="NBG6" s="157"/>
      <c r="NBH6" s="157"/>
      <c r="NBI6" s="157"/>
      <c r="NBJ6" s="157"/>
      <c r="NBK6" s="157"/>
      <c r="NBL6" s="157"/>
      <c r="NBM6" s="157"/>
      <c r="NBN6" s="157"/>
      <c r="NBO6" s="157"/>
      <c r="NBP6" s="157"/>
      <c r="NBQ6" s="157"/>
      <c r="NBR6" s="157"/>
      <c r="NBS6" s="157"/>
      <c r="NBT6" s="157"/>
      <c r="NBU6" s="157"/>
      <c r="NBV6" s="157"/>
      <c r="NBW6" s="157"/>
      <c r="NBX6" s="157"/>
      <c r="NBY6" s="157"/>
      <c r="NBZ6" s="157"/>
      <c r="NCA6" s="157"/>
      <c r="NCB6" s="157"/>
      <c r="NCC6" s="157"/>
      <c r="NCD6" s="157"/>
      <c r="NCE6" s="157"/>
      <c r="NCF6" s="157"/>
      <c r="NCG6" s="157"/>
      <c r="NCH6" s="157"/>
      <c r="NCI6" s="157"/>
      <c r="NCJ6" s="157"/>
      <c r="NCK6" s="157"/>
      <c r="NCL6" s="157"/>
      <c r="NCM6" s="157"/>
      <c r="NCN6" s="157"/>
      <c r="NCO6" s="157"/>
      <c r="NCP6" s="157"/>
      <c r="NCQ6" s="157"/>
      <c r="NCR6" s="157"/>
      <c r="NCS6" s="157"/>
      <c r="NCT6" s="157"/>
      <c r="NCU6" s="157"/>
      <c r="NCV6" s="157"/>
      <c r="NCW6" s="157"/>
      <c r="NCX6" s="157"/>
      <c r="NCY6" s="157"/>
      <c r="NCZ6" s="157"/>
      <c r="NDA6" s="157"/>
      <c r="NDB6" s="157"/>
      <c r="NDC6" s="157"/>
      <c r="NDD6" s="157"/>
      <c r="NDE6" s="157"/>
      <c r="NDF6" s="157"/>
      <c r="NDG6" s="157"/>
      <c r="NDH6" s="157"/>
      <c r="NDI6" s="157"/>
      <c r="NDJ6" s="157"/>
      <c r="NDK6" s="157"/>
      <c r="NDL6" s="157"/>
      <c r="NDM6" s="157"/>
      <c r="NDN6" s="157"/>
      <c r="NDO6" s="157"/>
      <c r="NDP6" s="157"/>
      <c r="NDQ6" s="157"/>
      <c r="NDR6" s="157"/>
      <c r="NDS6" s="157"/>
      <c r="NDT6" s="157"/>
      <c r="NDU6" s="157"/>
      <c r="NDV6" s="157"/>
      <c r="NDW6" s="157"/>
      <c r="NDX6" s="157"/>
      <c r="NDY6" s="157"/>
      <c r="NDZ6" s="157"/>
      <c r="NEA6" s="157"/>
      <c r="NEB6" s="157"/>
      <c r="NEC6" s="157"/>
      <c r="NED6" s="157"/>
      <c r="NEE6" s="157"/>
      <c r="NEF6" s="157"/>
      <c r="NEG6" s="157"/>
      <c r="NEH6" s="157"/>
      <c r="NEI6" s="157"/>
      <c r="NEJ6" s="157"/>
      <c r="NEK6" s="157"/>
      <c r="NEL6" s="157"/>
      <c r="NEM6" s="157"/>
      <c r="NEN6" s="157"/>
      <c r="NEO6" s="157"/>
      <c r="NEP6" s="157"/>
      <c r="NEQ6" s="157"/>
      <c r="NER6" s="157"/>
      <c r="NES6" s="157"/>
      <c r="NET6" s="157"/>
      <c r="NEU6" s="157"/>
      <c r="NEV6" s="157"/>
      <c r="NEW6" s="157"/>
      <c r="NEX6" s="157"/>
      <c r="NEY6" s="157"/>
      <c r="NEZ6" s="157"/>
      <c r="NFA6" s="157"/>
      <c r="NFB6" s="157"/>
      <c r="NFC6" s="157"/>
      <c r="NFD6" s="157"/>
      <c r="NFE6" s="157"/>
      <c r="NFF6" s="157"/>
      <c r="NFG6" s="157"/>
      <c r="NFH6" s="157"/>
      <c r="NFI6" s="157"/>
      <c r="NFJ6" s="157"/>
      <c r="NFK6" s="157"/>
      <c r="NFL6" s="157"/>
      <c r="NFM6" s="157"/>
      <c r="NFN6" s="157"/>
      <c r="NFO6" s="157"/>
      <c r="NFP6" s="157"/>
      <c r="NFQ6" s="157"/>
      <c r="NFR6" s="157"/>
      <c r="NFS6" s="157"/>
      <c r="NFT6" s="157"/>
      <c r="NFU6" s="157"/>
      <c r="NFV6" s="157"/>
      <c r="NFW6" s="157"/>
      <c r="NFX6" s="157"/>
      <c r="NFY6" s="157"/>
      <c r="NFZ6" s="157"/>
      <c r="NGA6" s="157"/>
      <c r="NGB6" s="157"/>
      <c r="NGC6" s="157"/>
      <c r="NGD6" s="157"/>
      <c r="NGE6" s="157"/>
      <c r="NGF6" s="157"/>
      <c r="NGG6" s="157"/>
      <c r="NGH6" s="157"/>
      <c r="NGI6" s="157"/>
      <c r="NGJ6" s="157"/>
      <c r="NGK6" s="157"/>
      <c r="NGL6" s="157"/>
      <c r="NGM6" s="157"/>
      <c r="NGN6" s="157"/>
      <c r="NGO6" s="157"/>
      <c r="NGP6" s="157"/>
      <c r="NGQ6" s="157"/>
      <c r="NGR6" s="157"/>
      <c r="NGS6" s="157"/>
      <c r="NGT6" s="157"/>
      <c r="NGU6" s="157"/>
      <c r="NGV6" s="157"/>
      <c r="NGW6" s="157"/>
      <c r="NGX6" s="157"/>
      <c r="NGY6" s="157"/>
      <c r="NGZ6" s="157"/>
      <c r="NHA6" s="157"/>
      <c r="NHB6" s="157"/>
      <c r="NHC6" s="157"/>
      <c r="NHD6" s="157"/>
      <c r="NHE6" s="157"/>
      <c r="NHF6" s="157"/>
      <c r="NHG6" s="157"/>
      <c r="NHH6" s="157"/>
      <c r="NHI6" s="157"/>
      <c r="NHJ6" s="157"/>
      <c r="NHK6" s="157"/>
      <c r="NHL6" s="157"/>
      <c r="NHM6" s="157"/>
      <c r="NHN6" s="157"/>
      <c r="NHO6" s="157"/>
      <c r="NHP6" s="157"/>
      <c r="NHQ6" s="157"/>
      <c r="NHR6" s="157"/>
      <c r="NHS6" s="157"/>
      <c r="NHT6" s="157"/>
      <c r="NHU6" s="157"/>
      <c r="NHV6" s="157"/>
      <c r="NHW6" s="157"/>
      <c r="NHX6" s="157"/>
      <c r="NHY6" s="157"/>
      <c r="NHZ6" s="157"/>
      <c r="NIA6" s="157"/>
      <c r="NIB6" s="157"/>
      <c r="NIC6" s="157"/>
      <c r="NID6" s="157"/>
      <c r="NIE6" s="157"/>
      <c r="NIF6" s="157"/>
      <c r="NIG6" s="157"/>
      <c r="NIH6" s="157"/>
      <c r="NII6" s="157"/>
      <c r="NIJ6" s="157"/>
      <c r="NIK6" s="157"/>
      <c r="NIL6" s="157"/>
      <c r="NIM6" s="157"/>
      <c r="NIN6" s="157"/>
      <c r="NIO6" s="157"/>
      <c r="NIP6" s="157"/>
      <c r="NIQ6" s="157"/>
      <c r="NIR6" s="157"/>
      <c r="NIS6" s="157"/>
      <c r="NIT6" s="157"/>
      <c r="NIU6" s="157"/>
      <c r="NIV6" s="157"/>
      <c r="NIW6" s="157"/>
      <c r="NIX6" s="157"/>
      <c r="NIY6" s="157"/>
      <c r="NIZ6" s="157"/>
      <c r="NJA6" s="157"/>
      <c r="NJB6" s="157"/>
      <c r="NJC6" s="157"/>
      <c r="NJD6" s="157"/>
      <c r="NJE6" s="157"/>
      <c r="NJF6" s="157"/>
      <c r="NJG6" s="157"/>
      <c r="NJH6" s="157"/>
      <c r="NJI6" s="157"/>
      <c r="NJJ6" s="157"/>
      <c r="NJK6" s="157"/>
      <c r="NJL6" s="157"/>
      <c r="NJM6" s="157"/>
      <c r="NJN6" s="157"/>
      <c r="NJO6" s="157"/>
      <c r="NJP6" s="157"/>
      <c r="NJQ6" s="157"/>
      <c r="NJR6" s="157"/>
      <c r="NJS6" s="157"/>
      <c r="NJT6" s="157"/>
      <c r="NJU6" s="157"/>
      <c r="NJV6" s="157"/>
      <c r="NJW6" s="157"/>
      <c r="NJX6" s="157"/>
      <c r="NJY6" s="157"/>
      <c r="NJZ6" s="157"/>
      <c r="NKA6" s="157"/>
      <c r="NKB6" s="157"/>
      <c r="NKC6" s="157"/>
      <c r="NKD6" s="157"/>
      <c r="NKE6" s="157"/>
      <c r="NKF6" s="157"/>
      <c r="NKG6" s="157"/>
      <c r="NKH6" s="157"/>
      <c r="NKI6" s="157"/>
      <c r="NKJ6" s="157"/>
      <c r="NKK6" s="157"/>
      <c r="NKL6" s="157"/>
      <c r="NKM6" s="157"/>
      <c r="NKN6" s="157"/>
      <c r="NKO6" s="157"/>
      <c r="NKP6" s="157"/>
      <c r="NKQ6" s="157"/>
      <c r="NKR6" s="157"/>
      <c r="NKS6" s="157"/>
      <c r="NKT6" s="157"/>
      <c r="NKU6" s="157"/>
      <c r="NKV6" s="157"/>
      <c r="NKW6" s="157"/>
      <c r="NKX6" s="157"/>
      <c r="NKY6" s="157"/>
      <c r="NKZ6" s="157"/>
      <c r="NLA6" s="157"/>
      <c r="NLB6" s="157"/>
      <c r="NLC6" s="157"/>
      <c r="NLD6" s="157"/>
      <c r="NLE6" s="157"/>
      <c r="NLF6" s="157"/>
      <c r="NLG6" s="157"/>
      <c r="NLH6" s="157"/>
      <c r="NLI6" s="157"/>
      <c r="NLJ6" s="157"/>
      <c r="NLK6" s="157"/>
      <c r="NLL6" s="157"/>
      <c r="NLM6" s="157"/>
      <c r="NLN6" s="157"/>
      <c r="NLO6" s="157"/>
      <c r="NLP6" s="157"/>
      <c r="NLQ6" s="157"/>
      <c r="NLR6" s="157"/>
      <c r="NLS6" s="157"/>
      <c r="NLT6" s="157"/>
      <c r="NLU6" s="157"/>
      <c r="NLV6" s="157"/>
      <c r="NLW6" s="157"/>
      <c r="NLX6" s="157"/>
      <c r="NLY6" s="157"/>
      <c r="NLZ6" s="157"/>
      <c r="NMA6" s="157"/>
      <c r="NMB6" s="157"/>
      <c r="NMC6" s="157"/>
      <c r="NMD6" s="157"/>
      <c r="NME6" s="157"/>
      <c r="NMF6" s="157"/>
      <c r="NMG6" s="157"/>
      <c r="NMH6" s="157"/>
      <c r="NMI6" s="157"/>
      <c r="NMJ6" s="157"/>
      <c r="NMK6" s="157"/>
      <c r="NML6" s="157"/>
      <c r="NMM6" s="157"/>
      <c r="NMN6" s="157"/>
      <c r="NMO6" s="157"/>
      <c r="NMP6" s="157"/>
      <c r="NMQ6" s="157"/>
      <c r="NMR6" s="157"/>
      <c r="NMS6" s="157"/>
      <c r="NMT6" s="157"/>
      <c r="NMU6" s="157"/>
      <c r="NMV6" s="157"/>
      <c r="NMW6" s="157"/>
      <c r="NMX6" s="157"/>
      <c r="NMY6" s="157"/>
      <c r="NMZ6" s="157"/>
      <c r="NNA6" s="157"/>
      <c r="NNB6" s="157"/>
      <c r="NNC6" s="157"/>
      <c r="NND6" s="157"/>
      <c r="NNE6" s="157"/>
      <c r="NNF6" s="157"/>
      <c r="NNG6" s="157"/>
      <c r="NNH6" s="157"/>
      <c r="NNI6" s="157"/>
      <c r="NNJ6" s="157"/>
      <c r="NNK6" s="157"/>
      <c r="NNL6" s="157"/>
      <c r="NNM6" s="157"/>
      <c r="NNN6" s="157"/>
      <c r="NNO6" s="157"/>
      <c r="NNP6" s="157"/>
      <c r="NNQ6" s="157"/>
      <c r="NNR6" s="157"/>
      <c r="NNS6" s="157"/>
      <c r="NNT6" s="157"/>
      <c r="NNU6" s="157"/>
      <c r="NNV6" s="157"/>
      <c r="NNW6" s="157"/>
      <c r="NNX6" s="157"/>
      <c r="NNY6" s="157"/>
      <c r="NNZ6" s="157"/>
      <c r="NOA6" s="157"/>
      <c r="NOB6" s="157"/>
      <c r="NOC6" s="157"/>
      <c r="NOD6" s="157"/>
      <c r="NOE6" s="157"/>
      <c r="NOF6" s="157"/>
      <c r="NOG6" s="157"/>
      <c r="NOH6" s="157"/>
      <c r="NOI6" s="157"/>
      <c r="NOJ6" s="157"/>
      <c r="NOK6" s="157"/>
      <c r="NOL6" s="157"/>
      <c r="NOM6" s="157"/>
      <c r="NON6" s="157"/>
      <c r="NOO6" s="157"/>
      <c r="NOP6" s="157"/>
      <c r="NOQ6" s="157"/>
      <c r="NOR6" s="157"/>
      <c r="NOS6" s="157"/>
      <c r="NOT6" s="157"/>
      <c r="NOU6" s="157"/>
      <c r="NOV6" s="157"/>
      <c r="NOW6" s="157"/>
      <c r="NOX6" s="157"/>
      <c r="NOY6" s="157"/>
      <c r="NOZ6" s="157"/>
      <c r="NPA6" s="157"/>
      <c r="NPB6" s="157"/>
      <c r="NPC6" s="157"/>
      <c r="NPD6" s="157"/>
      <c r="NPE6" s="157"/>
      <c r="NPF6" s="157"/>
      <c r="NPG6" s="157"/>
      <c r="NPH6" s="157"/>
      <c r="NPI6" s="157"/>
      <c r="NPJ6" s="157"/>
      <c r="NPK6" s="157"/>
      <c r="NPL6" s="157"/>
      <c r="NPM6" s="157"/>
      <c r="NPN6" s="157"/>
      <c r="NPO6" s="157"/>
      <c r="NPP6" s="157"/>
      <c r="NPQ6" s="157"/>
      <c r="NPR6" s="157"/>
      <c r="NPS6" s="157"/>
      <c r="NPT6" s="157"/>
      <c r="NPU6" s="157"/>
      <c r="NPV6" s="157"/>
      <c r="NPW6" s="157"/>
      <c r="NPX6" s="157"/>
      <c r="NPY6" s="157"/>
      <c r="NPZ6" s="157"/>
      <c r="NQA6" s="157"/>
      <c r="NQB6" s="157"/>
      <c r="NQC6" s="157"/>
      <c r="NQD6" s="157"/>
      <c r="NQE6" s="157"/>
      <c r="NQF6" s="157"/>
      <c r="NQG6" s="157"/>
      <c r="NQH6" s="157"/>
      <c r="NQI6" s="157"/>
      <c r="NQJ6" s="157"/>
      <c r="NQK6" s="157"/>
      <c r="NQL6" s="157"/>
      <c r="NQM6" s="157"/>
      <c r="NQN6" s="157"/>
      <c r="NQO6" s="157"/>
      <c r="NQP6" s="157"/>
      <c r="NQQ6" s="157"/>
      <c r="NQR6" s="157"/>
      <c r="NQS6" s="157"/>
      <c r="NQT6" s="157"/>
      <c r="NQU6" s="157"/>
      <c r="NQV6" s="157"/>
      <c r="NQW6" s="157"/>
      <c r="NQX6" s="157"/>
      <c r="NQY6" s="157"/>
      <c r="NQZ6" s="157"/>
      <c r="NRA6" s="157"/>
      <c r="NRB6" s="157"/>
      <c r="NRC6" s="157"/>
      <c r="NRD6" s="157"/>
      <c r="NRE6" s="157"/>
      <c r="NRF6" s="157"/>
      <c r="NRG6" s="157"/>
      <c r="NRH6" s="157"/>
      <c r="NRI6" s="157"/>
      <c r="NRJ6" s="157"/>
      <c r="NRK6" s="157"/>
      <c r="NRL6" s="157"/>
      <c r="NRM6" s="157"/>
      <c r="NRN6" s="157"/>
      <c r="NRO6" s="157"/>
      <c r="NRP6" s="157"/>
      <c r="NRQ6" s="157"/>
      <c r="NRR6" s="157"/>
      <c r="NRS6" s="157"/>
      <c r="NRT6" s="157"/>
      <c r="NRU6" s="157"/>
      <c r="NRV6" s="157"/>
      <c r="NRW6" s="157"/>
      <c r="NRX6" s="157"/>
      <c r="NRY6" s="157"/>
      <c r="NRZ6" s="157"/>
      <c r="NSA6" s="157"/>
      <c r="NSB6" s="157"/>
      <c r="NSC6" s="157"/>
      <c r="NSD6" s="157"/>
      <c r="NSE6" s="157"/>
      <c r="NSF6" s="157"/>
      <c r="NSG6" s="157"/>
      <c r="NSH6" s="157"/>
      <c r="NSI6" s="157"/>
      <c r="NSJ6" s="157"/>
      <c r="NSK6" s="157"/>
      <c r="NSL6" s="157"/>
      <c r="NSM6" s="157"/>
      <c r="NSN6" s="157"/>
      <c r="NSO6" s="157"/>
      <c r="NSP6" s="157"/>
      <c r="NSQ6" s="157"/>
      <c r="NSR6" s="157"/>
      <c r="NSS6" s="157"/>
      <c r="NST6" s="157"/>
      <c r="NSU6" s="157"/>
      <c r="NSV6" s="157"/>
      <c r="NSW6" s="157"/>
      <c r="NSX6" s="157"/>
      <c r="NSY6" s="157"/>
      <c r="NSZ6" s="157"/>
      <c r="NTA6" s="157"/>
      <c r="NTB6" s="157"/>
      <c r="NTC6" s="157"/>
      <c r="NTD6" s="157"/>
      <c r="NTE6" s="157"/>
      <c r="NTF6" s="157"/>
      <c r="NTG6" s="157"/>
      <c r="NTH6" s="157"/>
      <c r="NTI6" s="157"/>
      <c r="NTJ6" s="157"/>
      <c r="NTK6" s="157"/>
      <c r="NTL6" s="157"/>
      <c r="NTM6" s="157"/>
      <c r="NTN6" s="157"/>
      <c r="NTO6" s="157"/>
      <c r="NTP6" s="157"/>
      <c r="NTQ6" s="157"/>
      <c r="NTR6" s="157"/>
      <c r="NTS6" s="157"/>
      <c r="NTT6" s="157"/>
      <c r="NTU6" s="157"/>
      <c r="NTV6" s="157"/>
      <c r="NTW6" s="157"/>
      <c r="NTX6" s="157"/>
      <c r="NTY6" s="157"/>
      <c r="NTZ6" s="157"/>
      <c r="NUA6" s="157"/>
      <c r="NUB6" s="157"/>
      <c r="NUC6" s="157"/>
      <c r="NUD6" s="157"/>
      <c r="NUE6" s="157"/>
      <c r="NUF6" s="157"/>
      <c r="NUG6" s="157"/>
      <c r="NUH6" s="157"/>
      <c r="NUI6" s="157"/>
      <c r="NUJ6" s="157"/>
      <c r="NUK6" s="157"/>
      <c r="NUL6" s="157"/>
      <c r="NUM6" s="157"/>
      <c r="NUN6" s="157"/>
      <c r="NUO6" s="157"/>
      <c r="NUP6" s="157"/>
      <c r="NUQ6" s="157"/>
      <c r="NUR6" s="157"/>
      <c r="NUS6" s="157"/>
      <c r="NUT6" s="157"/>
      <c r="NUU6" s="157"/>
      <c r="NUV6" s="157"/>
      <c r="NUW6" s="157"/>
      <c r="NUX6" s="157"/>
      <c r="NUY6" s="157"/>
      <c r="NUZ6" s="157"/>
      <c r="NVA6" s="157"/>
      <c r="NVB6" s="157"/>
      <c r="NVC6" s="157"/>
      <c r="NVD6" s="157"/>
      <c r="NVE6" s="157"/>
      <c r="NVF6" s="157"/>
      <c r="NVG6" s="157"/>
      <c r="NVH6" s="157"/>
      <c r="NVI6" s="157"/>
      <c r="NVJ6" s="157"/>
      <c r="NVK6" s="157"/>
      <c r="NVL6" s="157"/>
      <c r="NVM6" s="157"/>
      <c r="NVN6" s="157"/>
      <c r="NVO6" s="157"/>
      <c r="NVP6" s="157"/>
      <c r="NVQ6" s="157"/>
      <c r="NVR6" s="157"/>
      <c r="NVS6" s="157"/>
      <c r="NVT6" s="157"/>
      <c r="NVU6" s="157"/>
      <c r="NVV6" s="157"/>
      <c r="NVW6" s="157"/>
      <c r="NVX6" s="157"/>
      <c r="NVY6" s="157"/>
      <c r="NVZ6" s="157"/>
      <c r="NWA6" s="157"/>
      <c r="NWB6" s="157"/>
      <c r="NWC6" s="157"/>
      <c r="NWD6" s="157"/>
      <c r="NWE6" s="157"/>
      <c r="NWF6" s="157"/>
      <c r="NWG6" s="157"/>
      <c r="NWH6" s="157"/>
      <c r="NWI6" s="157"/>
      <c r="NWJ6" s="157"/>
      <c r="NWK6" s="157"/>
      <c r="NWL6" s="157"/>
      <c r="NWM6" s="157"/>
      <c r="NWN6" s="157"/>
      <c r="NWO6" s="157"/>
      <c r="NWP6" s="157"/>
      <c r="NWQ6" s="157"/>
      <c r="NWR6" s="157"/>
      <c r="NWS6" s="157"/>
      <c r="NWT6" s="157"/>
      <c r="NWU6" s="157"/>
      <c r="NWV6" s="157"/>
      <c r="NWW6" s="157"/>
      <c r="NWX6" s="157"/>
      <c r="NWY6" s="157"/>
      <c r="NWZ6" s="157"/>
      <c r="NXA6" s="157"/>
      <c r="NXB6" s="157"/>
      <c r="NXC6" s="157"/>
      <c r="NXD6" s="157"/>
      <c r="NXE6" s="157"/>
      <c r="NXF6" s="157"/>
      <c r="NXG6" s="157"/>
      <c r="NXH6" s="157"/>
      <c r="NXI6" s="157"/>
      <c r="NXJ6" s="157"/>
      <c r="NXK6" s="157"/>
      <c r="NXL6" s="157"/>
      <c r="NXM6" s="157"/>
      <c r="NXN6" s="157"/>
      <c r="NXO6" s="157"/>
      <c r="NXP6" s="157"/>
      <c r="NXQ6" s="157"/>
      <c r="NXR6" s="157"/>
      <c r="NXS6" s="157"/>
      <c r="NXT6" s="157"/>
      <c r="NXU6" s="157"/>
      <c r="NXV6" s="157"/>
      <c r="NXW6" s="157"/>
      <c r="NXX6" s="157"/>
      <c r="NXY6" s="157"/>
      <c r="NXZ6" s="157"/>
      <c r="NYA6" s="157"/>
      <c r="NYB6" s="157"/>
      <c r="NYC6" s="157"/>
      <c r="NYD6" s="157"/>
      <c r="NYE6" s="157"/>
      <c r="NYF6" s="157"/>
      <c r="NYG6" s="157"/>
      <c r="NYH6" s="157"/>
      <c r="NYI6" s="157"/>
      <c r="NYJ6" s="157"/>
      <c r="NYK6" s="157"/>
      <c r="NYL6" s="157"/>
      <c r="NYM6" s="157"/>
      <c r="NYN6" s="157"/>
      <c r="NYO6" s="157"/>
      <c r="NYP6" s="157"/>
      <c r="NYQ6" s="157"/>
      <c r="NYR6" s="157"/>
      <c r="NYS6" s="157"/>
      <c r="NYT6" s="157"/>
      <c r="NYU6" s="157"/>
      <c r="NYV6" s="157"/>
      <c r="NYW6" s="157"/>
      <c r="NYX6" s="157"/>
      <c r="NYY6" s="157"/>
      <c r="NYZ6" s="157"/>
      <c r="NZA6" s="157"/>
      <c r="NZB6" s="157"/>
      <c r="NZC6" s="157"/>
      <c r="NZD6" s="157"/>
      <c r="NZE6" s="157"/>
      <c r="NZF6" s="157"/>
      <c r="NZG6" s="157"/>
      <c r="NZH6" s="157"/>
      <c r="NZI6" s="157"/>
      <c r="NZJ6" s="157"/>
      <c r="NZK6" s="157"/>
      <c r="NZL6" s="157"/>
      <c r="NZM6" s="157"/>
      <c r="NZN6" s="157"/>
      <c r="NZO6" s="157"/>
      <c r="NZP6" s="157"/>
      <c r="NZQ6" s="157"/>
      <c r="NZR6" s="157"/>
      <c r="NZS6" s="157"/>
      <c r="NZT6" s="157"/>
      <c r="NZU6" s="157"/>
      <c r="NZV6" s="157"/>
      <c r="NZW6" s="157"/>
      <c r="NZX6" s="157"/>
      <c r="NZY6" s="157"/>
      <c r="NZZ6" s="157"/>
      <c r="OAA6" s="157"/>
      <c r="OAB6" s="157"/>
      <c r="OAC6" s="157"/>
      <c r="OAD6" s="157"/>
      <c r="OAE6" s="157"/>
      <c r="OAF6" s="157"/>
      <c r="OAG6" s="157"/>
      <c r="OAH6" s="157"/>
      <c r="OAI6" s="157"/>
      <c r="OAJ6" s="157"/>
      <c r="OAK6" s="157"/>
      <c r="OAL6" s="157"/>
      <c r="OAM6" s="157"/>
      <c r="OAN6" s="157"/>
      <c r="OAO6" s="157"/>
      <c r="OAP6" s="157"/>
      <c r="OAQ6" s="157"/>
      <c r="OAR6" s="157"/>
      <c r="OAS6" s="157"/>
      <c r="OAT6" s="157"/>
      <c r="OAU6" s="157"/>
      <c r="OAV6" s="157"/>
      <c r="OAW6" s="157"/>
      <c r="OAX6" s="157"/>
      <c r="OAY6" s="157"/>
      <c r="OAZ6" s="157"/>
      <c r="OBA6" s="157"/>
      <c r="OBB6" s="157"/>
      <c r="OBC6" s="157"/>
      <c r="OBD6" s="157"/>
      <c r="OBE6" s="157"/>
      <c r="OBF6" s="157"/>
      <c r="OBG6" s="157"/>
      <c r="OBH6" s="157"/>
      <c r="OBI6" s="157"/>
      <c r="OBJ6" s="157"/>
      <c r="OBK6" s="157"/>
      <c r="OBL6" s="157"/>
      <c r="OBM6" s="157"/>
      <c r="OBN6" s="157"/>
      <c r="OBO6" s="157"/>
      <c r="OBP6" s="157"/>
      <c r="OBQ6" s="157"/>
      <c r="OBR6" s="157"/>
      <c r="OBS6" s="157"/>
      <c r="OBT6" s="157"/>
      <c r="OBU6" s="157"/>
      <c r="OBV6" s="157"/>
      <c r="OBW6" s="157"/>
      <c r="OBX6" s="157"/>
      <c r="OBY6" s="157"/>
      <c r="OBZ6" s="157"/>
      <c r="OCA6" s="157"/>
      <c r="OCB6" s="157"/>
      <c r="OCC6" s="157"/>
      <c r="OCD6" s="157"/>
      <c r="OCE6" s="157"/>
      <c r="OCF6" s="157"/>
      <c r="OCG6" s="157"/>
      <c r="OCH6" s="157"/>
      <c r="OCI6" s="157"/>
      <c r="OCJ6" s="157"/>
      <c r="OCK6" s="157"/>
      <c r="OCL6" s="157"/>
      <c r="OCM6" s="157"/>
      <c r="OCN6" s="157"/>
      <c r="OCO6" s="157"/>
      <c r="OCP6" s="157"/>
      <c r="OCQ6" s="157"/>
      <c r="OCR6" s="157"/>
      <c r="OCS6" s="157"/>
      <c r="OCT6" s="157"/>
      <c r="OCU6" s="157"/>
      <c r="OCV6" s="157"/>
      <c r="OCW6" s="157"/>
      <c r="OCX6" s="157"/>
      <c r="OCY6" s="157"/>
      <c r="OCZ6" s="157"/>
      <c r="ODA6" s="157"/>
      <c r="ODB6" s="157"/>
      <c r="ODC6" s="157"/>
      <c r="ODD6" s="157"/>
      <c r="ODE6" s="157"/>
      <c r="ODF6" s="157"/>
      <c r="ODG6" s="157"/>
      <c r="ODH6" s="157"/>
      <c r="ODI6" s="157"/>
      <c r="ODJ6" s="157"/>
      <c r="ODK6" s="157"/>
      <c r="ODL6" s="157"/>
      <c r="ODM6" s="157"/>
      <c r="ODN6" s="157"/>
      <c r="ODO6" s="157"/>
      <c r="ODP6" s="157"/>
      <c r="ODQ6" s="157"/>
      <c r="ODR6" s="157"/>
      <c r="ODS6" s="157"/>
      <c r="ODT6" s="157"/>
      <c r="ODU6" s="157"/>
      <c r="ODV6" s="157"/>
      <c r="ODW6" s="157"/>
      <c r="ODX6" s="157"/>
      <c r="ODY6" s="157"/>
      <c r="ODZ6" s="157"/>
      <c r="OEA6" s="157"/>
      <c r="OEB6" s="157"/>
      <c r="OEC6" s="157"/>
      <c r="OED6" s="157"/>
      <c r="OEE6" s="157"/>
      <c r="OEF6" s="157"/>
      <c r="OEG6" s="157"/>
      <c r="OEH6" s="157"/>
      <c r="OEI6" s="157"/>
      <c r="OEJ6" s="157"/>
      <c r="OEK6" s="157"/>
      <c r="OEL6" s="157"/>
      <c r="OEM6" s="157"/>
      <c r="OEN6" s="157"/>
      <c r="OEO6" s="157"/>
      <c r="OEP6" s="157"/>
      <c r="OEQ6" s="157"/>
      <c r="OER6" s="157"/>
      <c r="OES6" s="157"/>
      <c r="OET6" s="157"/>
      <c r="OEU6" s="157"/>
      <c r="OEV6" s="157"/>
      <c r="OEW6" s="157"/>
      <c r="OEX6" s="157"/>
      <c r="OEY6" s="157"/>
      <c r="OEZ6" s="157"/>
      <c r="OFA6" s="157"/>
      <c r="OFB6" s="157"/>
      <c r="OFC6" s="157"/>
      <c r="OFD6" s="157"/>
      <c r="OFE6" s="157"/>
      <c r="OFF6" s="157"/>
      <c r="OFG6" s="157"/>
      <c r="OFH6" s="157"/>
      <c r="OFI6" s="157"/>
      <c r="OFJ6" s="157"/>
      <c r="OFK6" s="157"/>
      <c r="OFL6" s="157"/>
      <c r="OFM6" s="157"/>
      <c r="OFN6" s="157"/>
      <c r="OFO6" s="157"/>
      <c r="OFP6" s="157"/>
      <c r="OFQ6" s="157"/>
      <c r="OFR6" s="157"/>
      <c r="OFS6" s="157"/>
      <c r="OFT6" s="157"/>
      <c r="OFU6" s="157"/>
      <c r="OFV6" s="157"/>
      <c r="OFW6" s="157"/>
      <c r="OFX6" s="157"/>
      <c r="OFY6" s="157"/>
      <c r="OFZ6" s="157"/>
      <c r="OGA6" s="157"/>
      <c r="OGB6" s="157"/>
      <c r="OGC6" s="157"/>
      <c r="OGD6" s="157"/>
      <c r="OGE6" s="157"/>
      <c r="OGF6" s="157"/>
      <c r="OGG6" s="157"/>
      <c r="OGH6" s="157"/>
      <c r="OGI6" s="157"/>
      <c r="OGJ6" s="157"/>
      <c r="OGK6" s="157"/>
      <c r="OGL6" s="157"/>
      <c r="OGM6" s="157"/>
      <c r="OGN6" s="157"/>
      <c r="OGO6" s="157"/>
      <c r="OGP6" s="157"/>
      <c r="OGQ6" s="157"/>
      <c r="OGR6" s="157"/>
      <c r="OGS6" s="157"/>
      <c r="OGT6" s="157"/>
      <c r="OGU6" s="157"/>
      <c r="OGV6" s="157"/>
      <c r="OGW6" s="157"/>
      <c r="OGX6" s="157"/>
      <c r="OGY6" s="157"/>
      <c r="OGZ6" s="157"/>
      <c r="OHA6" s="157"/>
      <c r="OHB6" s="157"/>
      <c r="OHC6" s="157"/>
      <c r="OHD6" s="157"/>
      <c r="OHE6" s="157"/>
      <c r="OHF6" s="157"/>
      <c r="OHG6" s="157"/>
      <c r="OHH6" s="157"/>
      <c r="OHI6" s="157"/>
      <c r="OHJ6" s="157"/>
      <c r="OHK6" s="157"/>
      <c r="OHL6" s="157"/>
      <c r="OHM6" s="157"/>
      <c r="OHN6" s="157"/>
      <c r="OHO6" s="157"/>
      <c r="OHP6" s="157"/>
      <c r="OHQ6" s="157"/>
      <c r="OHR6" s="157"/>
      <c r="OHS6" s="157"/>
      <c r="OHT6" s="157"/>
      <c r="OHU6" s="157"/>
      <c r="OHV6" s="157"/>
      <c r="OHW6" s="157"/>
      <c r="OHX6" s="157"/>
      <c r="OHY6" s="157"/>
      <c r="OHZ6" s="157"/>
      <c r="OIA6" s="157"/>
      <c r="OIB6" s="157"/>
      <c r="OIC6" s="157"/>
      <c r="OID6" s="157"/>
      <c r="OIE6" s="157"/>
      <c r="OIF6" s="157"/>
      <c r="OIG6" s="157"/>
      <c r="OIH6" s="157"/>
      <c r="OII6" s="157"/>
      <c r="OIJ6" s="157"/>
      <c r="OIK6" s="157"/>
      <c r="OIL6" s="157"/>
      <c r="OIM6" s="157"/>
      <c r="OIN6" s="157"/>
      <c r="OIO6" s="157"/>
      <c r="OIP6" s="157"/>
      <c r="OIQ6" s="157"/>
      <c r="OIR6" s="157"/>
      <c r="OIS6" s="157"/>
      <c r="OIT6" s="157"/>
      <c r="OIU6" s="157"/>
      <c r="OIV6" s="157"/>
      <c r="OIW6" s="157"/>
      <c r="OIX6" s="157"/>
      <c r="OIY6" s="157"/>
      <c r="OIZ6" s="157"/>
      <c r="OJA6" s="157"/>
      <c r="OJB6" s="157"/>
      <c r="OJC6" s="157"/>
      <c r="OJD6" s="157"/>
      <c r="OJE6" s="157"/>
      <c r="OJF6" s="157"/>
      <c r="OJG6" s="157"/>
      <c r="OJH6" s="157"/>
      <c r="OJI6" s="157"/>
      <c r="OJJ6" s="157"/>
      <c r="OJK6" s="157"/>
      <c r="OJL6" s="157"/>
      <c r="OJM6" s="157"/>
      <c r="OJN6" s="157"/>
      <c r="OJO6" s="157"/>
      <c r="OJP6" s="157"/>
      <c r="OJQ6" s="157"/>
      <c r="OJR6" s="157"/>
      <c r="OJS6" s="157"/>
      <c r="OJT6" s="157"/>
      <c r="OJU6" s="157"/>
      <c r="OJV6" s="157"/>
      <c r="OJW6" s="157"/>
      <c r="OJX6" s="157"/>
      <c r="OJY6" s="157"/>
      <c r="OJZ6" s="157"/>
      <c r="OKA6" s="157"/>
      <c r="OKB6" s="157"/>
      <c r="OKC6" s="157"/>
      <c r="OKD6" s="157"/>
      <c r="OKE6" s="157"/>
      <c r="OKF6" s="157"/>
      <c r="OKG6" s="157"/>
      <c r="OKH6" s="157"/>
      <c r="OKI6" s="157"/>
      <c r="OKJ6" s="157"/>
      <c r="OKK6" s="157"/>
      <c r="OKL6" s="157"/>
      <c r="OKM6" s="157"/>
      <c r="OKN6" s="157"/>
      <c r="OKO6" s="157"/>
      <c r="OKP6" s="157"/>
      <c r="OKQ6" s="157"/>
      <c r="OKR6" s="157"/>
      <c r="OKS6" s="157"/>
      <c r="OKT6" s="157"/>
      <c r="OKU6" s="157"/>
      <c r="OKV6" s="157"/>
      <c r="OKW6" s="157"/>
      <c r="OKX6" s="157"/>
      <c r="OKY6" s="157"/>
      <c r="OKZ6" s="157"/>
      <c r="OLA6" s="157"/>
      <c r="OLB6" s="157"/>
      <c r="OLC6" s="157"/>
      <c r="OLD6" s="157"/>
      <c r="OLE6" s="157"/>
      <c r="OLF6" s="157"/>
      <c r="OLG6" s="157"/>
      <c r="OLH6" s="157"/>
      <c r="OLI6" s="157"/>
      <c r="OLJ6" s="157"/>
      <c r="OLK6" s="157"/>
      <c r="OLL6" s="157"/>
      <c r="OLM6" s="157"/>
      <c r="OLN6" s="157"/>
      <c r="OLO6" s="157"/>
      <c r="OLP6" s="157"/>
      <c r="OLQ6" s="157"/>
      <c r="OLR6" s="157"/>
      <c r="OLS6" s="157"/>
      <c r="OLT6" s="157"/>
      <c r="OLU6" s="157"/>
      <c r="OLV6" s="157"/>
      <c r="OLW6" s="157"/>
      <c r="OLX6" s="157"/>
      <c r="OLY6" s="157"/>
      <c r="OLZ6" s="157"/>
      <c r="OMA6" s="157"/>
      <c r="OMB6" s="157"/>
      <c r="OMC6" s="157"/>
      <c r="OMD6" s="157"/>
      <c r="OME6" s="157"/>
      <c r="OMF6" s="157"/>
      <c r="OMG6" s="157"/>
      <c r="OMH6" s="157"/>
      <c r="OMI6" s="157"/>
      <c r="OMJ6" s="157"/>
      <c r="OMK6" s="157"/>
      <c r="OML6" s="157"/>
      <c r="OMM6" s="157"/>
      <c r="OMN6" s="157"/>
      <c r="OMO6" s="157"/>
      <c r="OMP6" s="157"/>
      <c r="OMQ6" s="157"/>
      <c r="OMR6" s="157"/>
      <c r="OMS6" s="157"/>
      <c r="OMT6" s="157"/>
      <c r="OMU6" s="157"/>
      <c r="OMV6" s="157"/>
      <c r="OMW6" s="157"/>
      <c r="OMX6" s="157"/>
      <c r="OMY6" s="157"/>
      <c r="OMZ6" s="157"/>
      <c r="ONA6" s="157"/>
      <c r="ONB6" s="157"/>
      <c r="ONC6" s="157"/>
      <c r="OND6" s="157"/>
      <c r="ONE6" s="157"/>
      <c r="ONF6" s="157"/>
      <c r="ONG6" s="157"/>
      <c r="ONH6" s="157"/>
      <c r="ONI6" s="157"/>
      <c r="ONJ6" s="157"/>
      <c r="ONK6" s="157"/>
      <c r="ONL6" s="157"/>
      <c r="ONM6" s="157"/>
      <c r="ONN6" s="157"/>
      <c r="ONO6" s="157"/>
      <c r="ONP6" s="157"/>
      <c r="ONQ6" s="157"/>
      <c r="ONR6" s="157"/>
      <c r="ONS6" s="157"/>
      <c r="ONT6" s="157"/>
      <c r="ONU6" s="157"/>
      <c r="ONV6" s="157"/>
      <c r="ONW6" s="157"/>
      <c r="ONX6" s="157"/>
      <c r="ONY6" s="157"/>
      <c r="ONZ6" s="157"/>
      <c r="OOA6" s="157"/>
      <c r="OOB6" s="157"/>
      <c r="OOC6" s="157"/>
      <c r="OOD6" s="157"/>
      <c r="OOE6" s="157"/>
      <c r="OOF6" s="157"/>
      <c r="OOG6" s="157"/>
      <c r="OOH6" s="157"/>
      <c r="OOI6" s="157"/>
      <c r="OOJ6" s="157"/>
      <c r="OOK6" s="157"/>
      <c r="OOL6" s="157"/>
      <c r="OOM6" s="157"/>
      <c r="OON6" s="157"/>
      <c r="OOO6" s="157"/>
      <c r="OOP6" s="157"/>
      <c r="OOQ6" s="157"/>
      <c r="OOR6" s="157"/>
      <c r="OOS6" s="157"/>
      <c r="OOT6" s="157"/>
      <c r="OOU6" s="157"/>
      <c r="OOV6" s="157"/>
      <c r="OOW6" s="157"/>
      <c r="OOX6" s="157"/>
      <c r="OOY6" s="157"/>
      <c r="OOZ6" s="157"/>
      <c r="OPA6" s="157"/>
      <c r="OPB6" s="157"/>
      <c r="OPC6" s="157"/>
      <c r="OPD6" s="157"/>
      <c r="OPE6" s="157"/>
      <c r="OPF6" s="157"/>
      <c r="OPG6" s="157"/>
      <c r="OPH6" s="157"/>
      <c r="OPI6" s="157"/>
      <c r="OPJ6" s="157"/>
      <c r="OPK6" s="157"/>
      <c r="OPL6" s="157"/>
      <c r="OPM6" s="157"/>
      <c r="OPN6" s="157"/>
      <c r="OPO6" s="157"/>
      <c r="OPP6" s="157"/>
      <c r="OPQ6" s="157"/>
      <c r="OPR6" s="157"/>
      <c r="OPS6" s="157"/>
      <c r="OPT6" s="157"/>
      <c r="OPU6" s="157"/>
      <c r="OPV6" s="157"/>
      <c r="OPW6" s="157"/>
      <c r="OPX6" s="157"/>
      <c r="OPY6" s="157"/>
      <c r="OPZ6" s="157"/>
      <c r="OQA6" s="157"/>
      <c r="OQB6" s="157"/>
      <c r="OQC6" s="157"/>
      <c r="OQD6" s="157"/>
      <c r="OQE6" s="157"/>
      <c r="OQF6" s="157"/>
      <c r="OQG6" s="157"/>
      <c r="OQH6" s="157"/>
      <c r="OQI6" s="157"/>
      <c r="OQJ6" s="157"/>
      <c r="OQK6" s="157"/>
      <c r="OQL6" s="157"/>
      <c r="OQM6" s="157"/>
      <c r="OQN6" s="157"/>
      <c r="OQO6" s="157"/>
      <c r="OQP6" s="157"/>
      <c r="OQQ6" s="157"/>
      <c r="OQR6" s="157"/>
      <c r="OQS6" s="157"/>
      <c r="OQT6" s="157"/>
      <c r="OQU6" s="157"/>
      <c r="OQV6" s="157"/>
      <c r="OQW6" s="157"/>
      <c r="OQX6" s="157"/>
      <c r="OQY6" s="157"/>
      <c r="OQZ6" s="157"/>
      <c r="ORA6" s="157"/>
      <c r="ORB6" s="157"/>
      <c r="ORC6" s="157"/>
      <c r="ORD6" s="157"/>
      <c r="ORE6" s="157"/>
      <c r="ORF6" s="157"/>
      <c r="ORG6" s="157"/>
      <c r="ORH6" s="157"/>
      <c r="ORI6" s="157"/>
      <c r="ORJ6" s="157"/>
      <c r="ORK6" s="157"/>
      <c r="ORL6" s="157"/>
      <c r="ORM6" s="157"/>
      <c r="ORN6" s="157"/>
      <c r="ORO6" s="157"/>
      <c r="ORP6" s="157"/>
      <c r="ORQ6" s="157"/>
      <c r="ORR6" s="157"/>
      <c r="ORS6" s="157"/>
      <c r="ORT6" s="157"/>
      <c r="ORU6" s="157"/>
      <c r="ORV6" s="157"/>
      <c r="ORW6" s="157"/>
      <c r="ORX6" s="157"/>
      <c r="ORY6" s="157"/>
      <c r="ORZ6" s="157"/>
      <c r="OSA6" s="157"/>
      <c r="OSB6" s="157"/>
      <c r="OSC6" s="157"/>
      <c r="OSD6" s="157"/>
      <c r="OSE6" s="157"/>
      <c r="OSF6" s="157"/>
      <c r="OSG6" s="157"/>
      <c r="OSH6" s="157"/>
      <c r="OSI6" s="157"/>
      <c r="OSJ6" s="157"/>
      <c r="OSK6" s="157"/>
      <c r="OSL6" s="157"/>
      <c r="OSM6" s="157"/>
      <c r="OSN6" s="157"/>
      <c r="OSO6" s="157"/>
      <c r="OSP6" s="157"/>
      <c r="OSQ6" s="157"/>
      <c r="OSR6" s="157"/>
      <c r="OSS6" s="157"/>
      <c r="OST6" s="157"/>
      <c r="OSU6" s="157"/>
      <c r="OSV6" s="157"/>
      <c r="OSW6" s="157"/>
      <c r="OSX6" s="157"/>
      <c r="OSY6" s="157"/>
      <c r="OSZ6" s="157"/>
      <c r="OTA6" s="157"/>
      <c r="OTB6" s="157"/>
      <c r="OTC6" s="157"/>
      <c r="OTD6" s="157"/>
      <c r="OTE6" s="157"/>
      <c r="OTF6" s="157"/>
      <c r="OTG6" s="157"/>
      <c r="OTH6" s="157"/>
      <c r="OTI6" s="157"/>
      <c r="OTJ6" s="157"/>
      <c r="OTK6" s="157"/>
      <c r="OTL6" s="157"/>
      <c r="OTM6" s="157"/>
      <c r="OTN6" s="157"/>
      <c r="OTO6" s="157"/>
      <c r="OTP6" s="157"/>
      <c r="OTQ6" s="157"/>
      <c r="OTR6" s="157"/>
      <c r="OTS6" s="157"/>
      <c r="OTT6" s="157"/>
      <c r="OTU6" s="157"/>
      <c r="OTV6" s="157"/>
      <c r="OTW6" s="157"/>
      <c r="OTX6" s="157"/>
      <c r="OTY6" s="157"/>
      <c r="OTZ6" s="157"/>
      <c r="OUA6" s="157"/>
      <c r="OUB6" s="157"/>
      <c r="OUC6" s="157"/>
      <c r="OUD6" s="157"/>
      <c r="OUE6" s="157"/>
      <c r="OUF6" s="157"/>
      <c r="OUG6" s="157"/>
      <c r="OUH6" s="157"/>
      <c r="OUI6" s="157"/>
      <c r="OUJ6" s="157"/>
      <c r="OUK6" s="157"/>
      <c r="OUL6" s="157"/>
      <c r="OUM6" s="157"/>
      <c r="OUN6" s="157"/>
      <c r="OUO6" s="157"/>
      <c r="OUP6" s="157"/>
      <c r="OUQ6" s="157"/>
      <c r="OUR6" s="157"/>
      <c r="OUS6" s="157"/>
      <c r="OUT6" s="157"/>
      <c r="OUU6" s="157"/>
      <c r="OUV6" s="157"/>
      <c r="OUW6" s="157"/>
      <c r="OUX6" s="157"/>
      <c r="OUY6" s="157"/>
      <c r="OUZ6" s="157"/>
      <c r="OVA6" s="157"/>
      <c r="OVB6" s="157"/>
      <c r="OVC6" s="157"/>
      <c r="OVD6" s="157"/>
      <c r="OVE6" s="157"/>
      <c r="OVF6" s="157"/>
      <c r="OVG6" s="157"/>
      <c r="OVH6" s="157"/>
      <c r="OVI6" s="157"/>
      <c r="OVJ6" s="157"/>
      <c r="OVK6" s="157"/>
      <c r="OVL6" s="157"/>
      <c r="OVM6" s="157"/>
      <c r="OVN6" s="157"/>
      <c r="OVO6" s="157"/>
      <c r="OVP6" s="157"/>
      <c r="OVQ6" s="157"/>
      <c r="OVR6" s="157"/>
      <c r="OVS6" s="157"/>
      <c r="OVT6" s="157"/>
      <c r="OVU6" s="157"/>
      <c r="OVV6" s="157"/>
      <c r="OVW6" s="157"/>
      <c r="OVX6" s="157"/>
      <c r="OVY6" s="157"/>
      <c r="OVZ6" s="157"/>
      <c r="OWA6" s="157"/>
      <c r="OWB6" s="157"/>
      <c r="OWC6" s="157"/>
      <c r="OWD6" s="157"/>
      <c r="OWE6" s="157"/>
      <c r="OWF6" s="157"/>
      <c r="OWG6" s="157"/>
      <c r="OWH6" s="157"/>
      <c r="OWI6" s="157"/>
      <c r="OWJ6" s="157"/>
      <c r="OWK6" s="157"/>
      <c r="OWL6" s="157"/>
      <c r="OWM6" s="157"/>
      <c r="OWN6" s="157"/>
      <c r="OWO6" s="157"/>
      <c r="OWP6" s="157"/>
      <c r="OWQ6" s="157"/>
      <c r="OWR6" s="157"/>
      <c r="OWS6" s="157"/>
      <c r="OWT6" s="157"/>
      <c r="OWU6" s="157"/>
      <c r="OWV6" s="157"/>
      <c r="OWW6" s="157"/>
      <c r="OWX6" s="157"/>
      <c r="OWY6" s="157"/>
      <c r="OWZ6" s="157"/>
      <c r="OXA6" s="157"/>
      <c r="OXB6" s="157"/>
      <c r="OXC6" s="157"/>
      <c r="OXD6" s="157"/>
      <c r="OXE6" s="157"/>
      <c r="OXF6" s="157"/>
      <c r="OXG6" s="157"/>
      <c r="OXH6" s="157"/>
      <c r="OXI6" s="157"/>
      <c r="OXJ6" s="157"/>
      <c r="OXK6" s="157"/>
      <c r="OXL6" s="157"/>
      <c r="OXM6" s="157"/>
      <c r="OXN6" s="157"/>
      <c r="OXO6" s="157"/>
      <c r="OXP6" s="157"/>
      <c r="OXQ6" s="157"/>
      <c r="OXR6" s="157"/>
      <c r="OXS6" s="157"/>
      <c r="OXT6" s="157"/>
      <c r="OXU6" s="157"/>
      <c r="OXV6" s="157"/>
      <c r="OXW6" s="157"/>
      <c r="OXX6" s="157"/>
      <c r="OXY6" s="157"/>
      <c r="OXZ6" s="157"/>
      <c r="OYA6" s="157"/>
      <c r="OYB6" s="157"/>
      <c r="OYC6" s="157"/>
      <c r="OYD6" s="157"/>
      <c r="OYE6" s="157"/>
      <c r="OYF6" s="157"/>
      <c r="OYG6" s="157"/>
      <c r="OYH6" s="157"/>
      <c r="OYI6" s="157"/>
      <c r="OYJ6" s="157"/>
      <c r="OYK6" s="157"/>
      <c r="OYL6" s="157"/>
      <c r="OYM6" s="157"/>
      <c r="OYN6" s="157"/>
      <c r="OYO6" s="157"/>
      <c r="OYP6" s="157"/>
      <c r="OYQ6" s="157"/>
      <c r="OYR6" s="157"/>
      <c r="OYS6" s="157"/>
      <c r="OYT6" s="157"/>
      <c r="OYU6" s="157"/>
      <c r="OYV6" s="157"/>
      <c r="OYW6" s="157"/>
      <c r="OYX6" s="157"/>
      <c r="OYY6" s="157"/>
      <c r="OYZ6" s="157"/>
      <c r="OZA6" s="157"/>
      <c r="OZB6" s="157"/>
      <c r="OZC6" s="157"/>
      <c r="OZD6" s="157"/>
      <c r="OZE6" s="157"/>
      <c r="OZF6" s="157"/>
      <c r="OZG6" s="157"/>
      <c r="OZH6" s="157"/>
      <c r="OZI6" s="157"/>
      <c r="OZJ6" s="157"/>
      <c r="OZK6" s="157"/>
      <c r="OZL6" s="157"/>
      <c r="OZM6" s="157"/>
      <c r="OZN6" s="157"/>
      <c r="OZO6" s="157"/>
      <c r="OZP6" s="157"/>
      <c r="OZQ6" s="157"/>
      <c r="OZR6" s="157"/>
      <c r="OZS6" s="157"/>
      <c r="OZT6" s="157"/>
      <c r="OZU6" s="157"/>
      <c r="OZV6" s="157"/>
      <c r="OZW6" s="157"/>
      <c r="OZX6" s="157"/>
      <c r="OZY6" s="157"/>
      <c r="OZZ6" s="157"/>
      <c r="PAA6" s="157"/>
      <c r="PAB6" s="157"/>
      <c r="PAC6" s="157"/>
      <c r="PAD6" s="157"/>
      <c r="PAE6" s="157"/>
      <c r="PAF6" s="157"/>
      <c r="PAG6" s="157"/>
      <c r="PAH6" s="157"/>
      <c r="PAI6" s="157"/>
      <c r="PAJ6" s="157"/>
      <c r="PAK6" s="157"/>
      <c r="PAL6" s="157"/>
      <c r="PAM6" s="157"/>
      <c r="PAN6" s="157"/>
      <c r="PAO6" s="157"/>
      <c r="PAP6" s="157"/>
      <c r="PAQ6" s="157"/>
      <c r="PAR6" s="157"/>
      <c r="PAS6" s="157"/>
      <c r="PAT6" s="157"/>
      <c r="PAU6" s="157"/>
      <c r="PAV6" s="157"/>
      <c r="PAW6" s="157"/>
      <c r="PAX6" s="157"/>
      <c r="PAY6" s="157"/>
      <c r="PAZ6" s="157"/>
      <c r="PBA6" s="157"/>
      <c r="PBB6" s="157"/>
      <c r="PBC6" s="157"/>
      <c r="PBD6" s="157"/>
      <c r="PBE6" s="157"/>
      <c r="PBF6" s="157"/>
      <c r="PBG6" s="157"/>
      <c r="PBH6" s="157"/>
      <c r="PBI6" s="157"/>
      <c r="PBJ6" s="157"/>
      <c r="PBK6" s="157"/>
      <c r="PBL6" s="157"/>
      <c r="PBM6" s="157"/>
      <c r="PBN6" s="157"/>
      <c r="PBO6" s="157"/>
      <c r="PBP6" s="157"/>
      <c r="PBQ6" s="157"/>
      <c r="PBR6" s="157"/>
      <c r="PBS6" s="157"/>
      <c r="PBT6" s="157"/>
      <c r="PBU6" s="157"/>
      <c r="PBV6" s="157"/>
      <c r="PBW6" s="157"/>
      <c r="PBX6" s="157"/>
      <c r="PBY6" s="157"/>
      <c r="PBZ6" s="157"/>
      <c r="PCA6" s="157"/>
      <c r="PCB6" s="157"/>
      <c r="PCC6" s="157"/>
      <c r="PCD6" s="157"/>
      <c r="PCE6" s="157"/>
      <c r="PCF6" s="157"/>
      <c r="PCG6" s="157"/>
      <c r="PCH6" s="157"/>
      <c r="PCI6" s="157"/>
      <c r="PCJ6" s="157"/>
      <c r="PCK6" s="157"/>
      <c r="PCL6" s="157"/>
      <c r="PCM6" s="157"/>
      <c r="PCN6" s="157"/>
      <c r="PCO6" s="157"/>
      <c r="PCP6" s="157"/>
      <c r="PCQ6" s="157"/>
      <c r="PCR6" s="157"/>
      <c r="PCS6" s="157"/>
      <c r="PCT6" s="157"/>
      <c r="PCU6" s="157"/>
      <c r="PCV6" s="157"/>
      <c r="PCW6" s="157"/>
      <c r="PCX6" s="157"/>
      <c r="PCY6" s="157"/>
      <c r="PCZ6" s="157"/>
      <c r="PDA6" s="157"/>
      <c r="PDB6" s="157"/>
      <c r="PDC6" s="157"/>
      <c r="PDD6" s="157"/>
      <c r="PDE6" s="157"/>
      <c r="PDF6" s="157"/>
      <c r="PDG6" s="157"/>
      <c r="PDH6" s="157"/>
      <c r="PDI6" s="157"/>
      <c r="PDJ6" s="157"/>
      <c r="PDK6" s="157"/>
      <c r="PDL6" s="157"/>
      <c r="PDM6" s="157"/>
      <c r="PDN6" s="157"/>
      <c r="PDO6" s="157"/>
      <c r="PDP6" s="157"/>
      <c r="PDQ6" s="157"/>
      <c r="PDR6" s="157"/>
      <c r="PDS6" s="157"/>
      <c r="PDT6" s="157"/>
      <c r="PDU6" s="157"/>
      <c r="PDV6" s="157"/>
      <c r="PDW6" s="157"/>
      <c r="PDX6" s="157"/>
      <c r="PDY6" s="157"/>
      <c r="PDZ6" s="157"/>
      <c r="PEA6" s="157"/>
      <c r="PEB6" s="157"/>
      <c r="PEC6" s="157"/>
      <c r="PED6" s="157"/>
      <c r="PEE6" s="157"/>
      <c r="PEF6" s="157"/>
      <c r="PEG6" s="157"/>
      <c r="PEH6" s="157"/>
      <c r="PEI6" s="157"/>
      <c r="PEJ6" s="157"/>
      <c r="PEK6" s="157"/>
      <c r="PEL6" s="157"/>
      <c r="PEM6" s="157"/>
      <c r="PEN6" s="157"/>
      <c r="PEO6" s="157"/>
      <c r="PEP6" s="157"/>
      <c r="PEQ6" s="157"/>
      <c r="PER6" s="157"/>
      <c r="PES6" s="157"/>
      <c r="PET6" s="157"/>
      <c r="PEU6" s="157"/>
      <c r="PEV6" s="157"/>
      <c r="PEW6" s="157"/>
      <c r="PEX6" s="157"/>
      <c r="PEY6" s="157"/>
      <c r="PEZ6" s="157"/>
      <c r="PFA6" s="157"/>
      <c r="PFB6" s="157"/>
      <c r="PFC6" s="157"/>
      <c r="PFD6" s="157"/>
      <c r="PFE6" s="157"/>
      <c r="PFF6" s="157"/>
      <c r="PFG6" s="157"/>
      <c r="PFH6" s="157"/>
      <c r="PFI6" s="157"/>
      <c r="PFJ6" s="157"/>
      <c r="PFK6" s="157"/>
      <c r="PFL6" s="157"/>
      <c r="PFM6" s="157"/>
      <c r="PFN6" s="157"/>
      <c r="PFO6" s="157"/>
      <c r="PFP6" s="157"/>
      <c r="PFQ6" s="157"/>
      <c r="PFR6" s="157"/>
      <c r="PFS6" s="157"/>
      <c r="PFT6" s="157"/>
      <c r="PFU6" s="157"/>
      <c r="PFV6" s="157"/>
      <c r="PFW6" s="157"/>
      <c r="PFX6" s="157"/>
      <c r="PFY6" s="157"/>
      <c r="PFZ6" s="157"/>
      <c r="PGA6" s="157"/>
      <c r="PGB6" s="157"/>
      <c r="PGC6" s="157"/>
      <c r="PGD6" s="157"/>
      <c r="PGE6" s="157"/>
      <c r="PGF6" s="157"/>
      <c r="PGG6" s="157"/>
      <c r="PGH6" s="157"/>
      <c r="PGI6" s="157"/>
      <c r="PGJ6" s="157"/>
      <c r="PGK6" s="157"/>
      <c r="PGL6" s="157"/>
      <c r="PGM6" s="157"/>
      <c r="PGN6" s="157"/>
      <c r="PGO6" s="157"/>
      <c r="PGP6" s="157"/>
      <c r="PGQ6" s="157"/>
      <c r="PGR6" s="157"/>
      <c r="PGS6" s="157"/>
      <c r="PGT6" s="157"/>
      <c r="PGU6" s="157"/>
      <c r="PGV6" s="157"/>
      <c r="PGW6" s="157"/>
      <c r="PGX6" s="157"/>
      <c r="PGY6" s="157"/>
      <c r="PGZ6" s="157"/>
      <c r="PHA6" s="157"/>
      <c r="PHB6" s="157"/>
      <c r="PHC6" s="157"/>
      <c r="PHD6" s="157"/>
      <c r="PHE6" s="157"/>
      <c r="PHF6" s="157"/>
      <c r="PHG6" s="157"/>
      <c r="PHH6" s="157"/>
      <c r="PHI6" s="157"/>
      <c r="PHJ6" s="157"/>
      <c r="PHK6" s="157"/>
      <c r="PHL6" s="157"/>
      <c r="PHM6" s="157"/>
      <c r="PHN6" s="157"/>
      <c r="PHO6" s="157"/>
      <c r="PHP6" s="157"/>
      <c r="PHQ6" s="157"/>
      <c r="PHR6" s="157"/>
      <c r="PHS6" s="157"/>
      <c r="PHT6" s="157"/>
      <c r="PHU6" s="157"/>
      <c r="PHV6" s="157"/>
      <c r="PHW6" s="157"/>
      <c r="PHX6" s="157"/>
      <c r="PHY6" s="157"/>
      <c r="PHZ6" s="157"/>
      <c r="PIA6" s="157"/>
      <c r="PIB6" s="157"/>
      <c r="PIC6" s="157"/>
      <c r="PID6" s="157"/>
      <c r="PIE6" s="157"/>
      <c r="PIF6" s="157"/>
      <c r="PIG6" s="157"/>
      <c r="PIH6" s="157"/>
      <c r="PII6" s="157"/>
      <c r="PIJ6" s="157"/>
      <c r="PIK6" s="157"/>
      <c r="PIL6" s="157"/>
      <c r="PIM6" s="157"/>
      <c r="PIN6" s="157"/>
      <c r="PIO6" s="157"/>
      <c r="PIP6" s="157"/>
      <c r="PIQ6" s="157"/>
      <c r="PIR6" s="157"/>
      <c r="PIS6" s="157"/>
      <c r="PIT6" s="157"/>
      <c r="PIU6" s="157"/>
      <c r="PIV6" s="157"/>
      <c r="PIW6" s="157"/>
      <c r="PIX6" s="157"/>
      <c r="PIY6" s="157"/>
      <c r="PIZ6" s="157"/>
      <c r="PJA6" s="157"/>
      <c r="PJB6" s="157"/>
      <c r="PJC6" s="157"/>
      <c r="PJD6" s="157"/>
      <c r="PJE6" s="157"/>
      <c r="PJF6" s="157"/>
      <c r="PJG6" s="157"/>
      <c r="PJH6" s="157"/>
      <c r="PJI6" s="157"/>
      <c r="PJJ6" s="157"/>
      <c r="PJK6" s="157"/>
      <c r="PJL6" s="157"/>
      <c r="PJM6" s="157"/>
      <c r="PJN6" s="157"/>
      <c r="PJO6" s="157"/>
      <c r="PJP6" s="157"/>
      <c r="PJQ6" s="157"/>
      <c r="PJR6" s="157"/>
      <c r="PJS6" s="157"/>
      <c r="PJT6" s="157"/>
      <c r="PJU6" s="157"/>
      <c r="PJV6" s="157"/>
      <c r="PJW6" s="157"/>
      <c r="PJX6" s="157"/>
      <c r="PJY6" s="157"/>
      <c r="PJZ6" s="157"/>
      <c r="PKA6" s="157"/>
      <c r="PKB6" s="157"/>
      <c r="PKC6" s="157"/>
      <c r="PKD6" s="157"/>
      <c r="PKE6" s="157"/>
      <c r="PKF6" s="157"/>
      <c r="PKG6" s="157"/>
      <c r="PKH6" s="157"/>
      <c r="PKI6" s="157"/>
      <c r="PKJ6" s="157"/>
      <c r="PKK6" s="157"/>
      <c r="PKL6" s="157"/>
      <c r="PKM6" s="157"/>
      <c r="PKN6" s="157"/>
      <c r="PKO6" s="157"/>
      <c r="PKP6" s="157"/>
      <c r="PKQ6" s="157"/>
      <c r="PKR6" s="157"/>
      <c r="PKS6" s="157"/>
      <c r="PKT6" s="157"/>
      <c r="PKU6" s="157"/>
      <c r="PKV6" s="157"/>
      <c r="PKW6" s="157"/>
      <c r="PKX6" s="157"/>
      <c r="PKY6" s="157"/>
      <c r="PKZ6" s="157"/>
      <c r="PLA6" s="157"/>
      <c r="PLB6" s="157"/>
      <c r="PLC6" s="157"/>
      <c r="PLD6" s="157"/>
      <c r="PLE6" s="157"/>
      <c r="PLF6" s="157"/>
      <c r="PLG6" s="157"/>
      <c r="PLH6" s="157"/>
      <c r="PLI6" s="157"/>
      <c r="PLJ6" s="157"/>
      <c r="PLK6" s="157"/>
      <c r="PLL6" s="157"/>
      <c r="PLM6" s="157"/>
      <c r="PLN6" s="157"/>
      <c r="PLO6" s="157"/>
      <c r="PLP6" s="157"/>
      <c r="PLQ6" s="157"/>
      <c r="PLR6" s="157"/>
      <c r="PLS6" s="157"/>
      <c r="PLT6" s="157"/>
      <c r="PLU6" s="157"/>
      <c r="PLV6" s="157"/>
      <c r="PLW6" s="157"/>
      <c r="PLX6" s="157"/>
      <c r="PLY6" s="157"/>
      <c r="PLZ6" s="157"/>
      <c r="PMA6" s="157"/>
      <c r="PMB6" s="157"/>
      <c r="PMC6" s="157"/>
      <c r="PMD6" s="157"/>
      <c r="PME6" s="157"/>
      <c r="PMF6" s="157"/>
      <c r="PMG6" s="157"/>
      <c r="PMH6" s="157"/>
      <c r="PMI6" s="157"/>
      <c r="PMJ6" s="157"/>
      <c r="PMK6" s="157"/>
      <c r="PML6" s="157"/>
      <c r="PMM6" s="157"/>
      <c r="PMN6" s="157"/>
      <c r="PMO6" s="157"/>
      <c r="PMP6" s="157"/>
      <c r="PMQ6" s="157"/>
      <c r="PMR6" s="157"/>
      <c r="PMS6" s="157"/>
      <c r="PMT6" s="157"/>
      <c r="PMU6" s="157"/>
      <c r="PMV6" s="157"/>
      <c r="PMW6" s="157"/>
      <c r="PMX6" s="157"/>
      <c r="PMY6" s="157"/>
      <c r="PMZ6" s="157"/>
      <c r="PNA6" s="157"/>
      <c r="PNB6" s="157"/>
      <c r="PNC6" s="157"/>
      <c r="PND6" s="157"/>
      <c r="PNE6" s="157"/>
      <c r="PNF6" s="157"/>
      <c r="PNG6" s="157"/>
      <c r="PNH6" s="157"/>
      <c r="PNI6" s="157"/>
      <c r="PNJ6" s="157"/>
      <c r="PNK6" s="157"/>
      <c r="PNL6" s="157"/>
      <c r="PNM6" s="157"/>
      <c r="PNN6" s="157"/>
      <c r="PNO6" s="157"/>
      <c r="PNP6" s="157"/>
      <c r="PNQ6" s="157"/>
      <c r="PNR6" s="157"/>
      <c r="PNS6" s="157"/>
      <c r="PNT6" s="157"/>
      <c r="PNU6" s="157"/>
      <c r="PNV6" s="157"/>
      <c r="PNW6" s="157"/>
      <c r="PNX6" s="157"/>
      <c r="PNY6" s="157"/>
      <c r="PNZ6" s="157"/>
      <c r="POA6" s="157"/>
      <c r="POB6" s="157"/>
      <c r="POC6" s="157"/>
      <c r="POD6" s="157"/>
      <c r="POE6" s="157"/>
      <c r="POF6" s="157"/>
      <c r="POG6" s="157"/>
      <c r="POH6" s="157"/>
      <c r="POI6" s="157"/>
      <c r="POJ6" s="157"/>
      <c r="POK6" s="157"/>
      <c r="POL6" s="157"/>
      <c r="POM6" s="157"/>
      <c r="PON6" s="157"/>
      <c r="POO6" s="157"/>
      <c r="POP6" s="157"/>
      <c r="POQ6" s="157"/>
      <c r="POR6" s="157"/>
      <c r="POS6" s="157"/>
      <c r="POT6" s="157"/>
      <c r="POU6" s="157"/>
      <c r="POV6" s="157"/>
      <c r="POW6" s="157"/>
      <c r="POX6" s="157"/>
      <c r="POY6" s="157"/>
      <c r="POZ6" s="157"/>
      <c r="PPA6" s="157"/>
      <c r="PPB6" s="157"/>
      <c r="PPC6" s="157"/>
      <c r="PPD6" s="157"/>
      <c r="PPE6" s="157"/>
      <c r="PPF6" s="157"/>
      <c r="PPG6" s="157"/>
      <c r="PPH6" s="157"/>
      <c r="PPI6" s="157"/>
      <c r="PPJ6" s="157"/>
      <c r="PPK6" s="157"/>
      <c r="PPL6" s="157"/>
      <c r="PPM6" s="157"/>
      <c r="PPN6" s="157"/>
      <c r="PPO6" s="157"/>
      <c r="PPP6" s="157"/>
      <c r="PPQ6" s="157"/>
      <c r="PPR6" s="157"/>
      <c r="PPS6" s="157"/>
      <c r="PPT6" s="157"/>
      <c r="PPU6" s="157"/>
      <c r="PPV6" s="157"/>
      <c r="PPW6" s="157"/>
      <c r="PPX6" s="157"/>
      <c r="PPY6" s="157"/>
      <c r="PPZ6" s="157"/>
      <c r="PQA6" s="157"/>
      <c r="PQB6" s="157"/>
      <c r="PQC6" s="157"/>
      <c r="PQD6" s="157"/>
      <c r="PQE6" s="157"/>
      <c r="PQF6" s="157"/>
      <c r="PQG6" s="157"/>
      <c r="PQH6" s="157"/>
      <c r="PQI6" s="157"/>
      <c r="PQJ6" s="157"/>
      <c r="PQK6" s="157"/>
      <c r="PQL6" s="157"/>
      <c r="PQM6" s="157"/>
      <c r="PQN6" s="157"/>
      <c r="PQO6" s="157"/>
      <c r="PQP6" s="157"/>
      <c r="PQQ6" s="157"/>
      <c r="PQR6" s="157"/>
      <c r="PQS6" s="157"/>
      <c r="PQT6" s="157"/>
      <c r="PQU6" s="157"/>
      <c r="PQV6" s="157"/>
      <c r="PQW6" s="157"/>
      <c r="PQX6" s="157"/>
      <c r="PQY6" s="157"/>
      <c r="PQZ6" s="157"/>
      <c r="PRA6" s="157"/>
      <c r="PRB6" s="157"/>
      <c r="PRC6" s="157"/>
      <c r="PRD6" s="157"/>
      <c r="PRE6" s="157"/>
      <c r="PRF6" s="157"/>
      <c r="PRG6" s="157"/>
      <c r="PRH6" s="157"/>
      <c r="PRI6" s="157"/>
      <c r="PRJ6" s="157"/>
      <c r="PRK6" s="157"/>
      <c r="PRL6" s="157"/>
      <c r="PRM6" s="157"/>
      <c r="PRN6" s="157"/>
      <c r="PRO6" s="157"/>
      <c r="PRP6" s="157"/>
      <c r="PRQ6" s="157"/>
      <c r="PRR6" s="157"/>
      <c r="PRS6" s="157"/>
      <c r="PRT6" s="157"/>
      <c r="PRU6" s="157"/>
      <c r="PRV6" s="157"/>
      <c r="PRW6" s="157"/>
      <c r="PRX6" s="157"/>
      <c r="PRY6" s="157"/>
      <c r="PRZ6" s="157"/>
      <c r="PSA6" s="157"/>
      <c r="PSB6" s="157"/>
      <c r="PSC6" s="157"/>
      <c r="PSD6" s="157"/>
      <c r="PSE6" s="157"/>
      <c r="PSF6" s="157"/>
      <c r="PSG6" s="157"/>
      <c r="PSH6" s="157"/>
      <c r="PSI6" s="157"/>
      <c r="PSJ6" s="157"/>
      <c r="PSK6" s="157"/>
      <c r="PSL6" s="157"/>
      <c r="PSM6" s="157"/>
      <c r="PSN6" s="157"/>
      <c r="PSO6" s="157"/>
      <c r="PSP6" s="157"/>
      <c r="PSQ6" s="157"/>
      <c r="PSR6" s="157"/>
      <c r="PSS6" s="157"/>
      <c r="PST6" s="157"/>
      <c r="PSU6" s="157"/>
      <c r="PSV6" s="157"/>
      <c r="PSW6" s="157"/>
      <c r="PSX6" s="157"/>
      <c r="PSY6" s="157"/>
      <c r="PSZ6" s="157"/>
      <c r="PTA6" s="157"/>
      <c r="PTB6" s="157"/>
      <c r="PTC6" s="157"/>
      <c r="PTD6" s="157"/>
      <c r="PTE6" s="157"/>
      <c r="PTF6" s="157"/>
      <c r="PTG6" s="157"/>
      <c r="PTH6" s="157"/>
      <c r="PTI6" s="157"/>
      <c r="PTJ6" s="157"/>
      <c r="PTK6" s="157"/>
      <c r="PTL6" s="157"/>
      <c r="PTM6" s="157"/>
      <c r="PTN6" s="157"/>
      <c r="PTO6" s="157"/>
      <c r="PTP6" s="157"/>
      <c r="PTQ6" s="157"/>
      <c r="PTR6" s="157"/>
      <c r="PTS6" s="157"/>
      <c r="PTT6" s="157"/>
      <c r="PTU6" s="157"/>
      <c r="PTV6" s="157"/>
      <c r="PTW6" s="157"/>
      <c r="PTX6" s="157"/>
      <c r="PTY6" s="157"/>
      <c r="PTZ6" s="157"/>
      <c r="PUA6" s="157"/>
      <c r="PUB6" s="157"/>
      <c r="PUC6" s="157"/>
      <c r="PUD6" s="157"/>
      <c r="PUE6" s="157"/>
      <c r="PUF6" s="157"/>
      <c r="PUG6" s="157"/>
      <c r="PUH6" s="157"/>
      <c r="PUI6" s="157"/>
      <c r="PUJ6" s="157"/>
      <c r="PUK6" s="157"/>
      <c r="PUL6" s="157"/>
      <c r="PUM6" s="157"/>
      <c r="PUN6" s="157"/>
      <c r="PUO6" s="157"/>
      <c r="PUP6" s="157"/>
      <c r="PUQ6" s="157"/>
      <c r="PUR6" s="157"/>
      <c r="PUS6" s="157"/>
      <c r="PUT6" s="157"/>
      <c r="PUU6" s="157"/>
      <c r="PUV6" s="157"/>
      <c r="PUW6" s="157"/>
      <c r="PUX6" s="157"/>
      <c r="PUY6" s="157"/>
      <c r="PUZ6" s="157"/>
      <c r="PVA6" s="157"/>
      <c r="PVB6" s="157"/>
      <c r="PVC6" s="157"/>
      <c r="PVD6" s="157"/>
      <c r="PVE6" s="157"/>
      <c r="PVF6" s="157"/>
      <c r="PVG6" s="157"/>
      <c r="PVH6" s="157"/>
      <c r="PVI6" s="157"/>
      <c r="PVJ6" s="157"/>
      <c r="PVK6" s="157"/>
      <c r="PVL6" s="157"/>
      <c r="PVM6" s="157"/>
      <c r="PVN6" s="157"/>
      <c r="PVO6" s="157"/>
      <c r="PVP6" s="157"/>
      <c r="PVQ6" s="157"/>
      <c r="PVR6" s="157"/>
      <c r="PVS6" s="157"/>
      <c r="PVT6" s="157"/>
      <c r="PVU6" s="157"/>
      <c r="PVV6" s="157"/>
      <c r="PVW6" s="157"/>
      <c r="PVX6" s="157"/>
      <c r="PVY6" s="157"/>
      <c r="PVZ6" s="157"/>
      <c r="PWA6" s="157"/>
      <c r="PWB6" s="157"/>
      <c r="PWC6" s="157"/>
      <c r="PWD6" s="157"/>
      <c r="PWE6" s="157"/>
      <c r="PWF6" s="157"/>
      <c r="PWG6" s="157"/>
      <c r="PWH6" s="157"/>
      <c r="PWI6" s="157"/>
      <c r="PWJ6" s="157"/>
      <c r="PWK6" s="157"/>
      <c r="PWL6" s="157"/>
      <c r="PWM6" s="157"/>
      <c r="PWN6" s="157"/>
      <c r="PWO6" s="157"/>
      <c r="PWP6" s="157"/>
      <c r="PWQ6" s="157"/>
      <c r="PWR6" s="157"/>
      <c r="PWS6" s="157"/>
      <c r="PWT6" s="157"/>
      <c r="PWU6" s="157"/>
      <c r="PWV6" s="157"/>
      <c r="PWW6" s="157"/>
      <c r="PWX6" s="157"/>
      <c r="PWY6" s="157"/>
      <c r="PWZ6" s="157"/>
      <c r="PXA6" s="157"/>
      <c r="PXB6" s="157"/>
      <c r="PXC6" s="157"/>
      <c r="PXD6" s="157"/>
      <c r="PXE6" s="157"/>
      <c r="PXF6" s="157"/>
      <c r="PXG6" s="157"/>
      <c r="PXH6" s="157"/>
      <c r="PXI6" s="157"/>
      <c r="PXJ6" s="157"/>
      <c r="PXK6" s="157"/>
      <c r="PXL6" s="157"/>
      <c r="PXM6" s="157"/>
      <c r="PXN6" s="157"/>
      <c r="PXO6" s="157"/>
      <c r="PXP6" s="157"/>
      <c r="PXQ6" s="157"/>
      <c r="PXR6" s="157"/>
      <c r="PXS6" s="157"/>
      <c r="PXT6" s="157"/>
      <c r="PXU6" s="157"/>
      <c r="PXV6" s="157"/>
      <c r="PXW6" s="157"/>
      <c r="PXX6" s="157"/>
      <c r="PXY6" s="157"/>
      <c r="PXZ6" s="157"/>
      <c r="PYA6" s="157"/>
      <c r="PYB6" s="157"/>
      <c r="PYC6" s="157"/>
      <c r="PYD6" s="157"/>
      <c r="PYE6" s="157"/>
      <c r="PYF6" s="157"/>
      <c r="PYG6" s="157"/>
      <c r="PYH6" s="157"/>
      <c r="PYI6" s="157"/>
      <c r="PYJ6" s="157"/>
      <c r="PYK6" s="157"/>
      <c r="PYL6" s="157"/>
      <c r="PYM6" s="157"/>
      <c r="PYN6" s="157"/>
      <c r="PYO6" s="157"/>
      <c r="PYP6" s="157"/>
      <c r="PYQ6" s="157"/>
      <c r="PYR6" s="157"/>
      <c r="PYS6" s="157"/>
      <c r="PYT6" s="157"/>
      <c r="PYU6" s="157"/>
      <c r="PYV6" s="157"/>
      <c r="PYW6" s="157"/>
      <c r="PYX6" s="157"/>
      <c r="PYY6" s="157"/>
      <c r="PYZ6" s="157"/>
      <c r="PZA6" s="157"/>
      <c r="PZB6" s="157"/>
      <c r="PZC6" s="157"/>
      <c r="PZD6" s="157"/>
      <c r="PZE6" s="157"/>
      <c r="PZF6" s="157"/>
      <c r="PZG6" s="157"/>
      <c r="PZH6" s="157"/>
      <c r="PZI6" s="157"/>
      <c r="PZJ6" s="157"/>
      <c r="PZK6" s="157"/>
      <c r="PZL6" s="157"/>
      <c r="PZM6" s="157"/>
      <c r="PZN6" s="157"/>
      <c r="PZO6" s="157"/>
      <c r="PZP6" s="157"/>
      <c r="PZQ6" s="157"/>
      <c r="PZR6" s="157"/>
      <c r="PZS6" s="157"/>
      <c r="PZT6" s="157"/>
      <c r="PZU6" s="157"/>
      <c r="PZV6" s="157"/>
      <c r="PZW6" s="157"/>
      <c r="PZX6" s="157"/>
      <c r="PZY6" s="157"/>
      <c r="PZZ6" s="157"/>
      <c r="QAA6" s="157"/>
      <c r="QAB6" s="157"/>
      <c r="QAC6" s="157"/>
      <c r="QAD6" s="157"/>
      <c r="QAE6" s="157"/>
      <c r="QAF6" s="157"/>
      <c r="QAG6" s="157"/>
      <c r="QAH6" s="157"/>
      <c r="QAI6" s="157"/>
      <c r="QAJ6" s="157"/>
      <c r="QAK6" s="157"/>
      <c r="QAL6" s="157"/>
      <c r="QAM6" s="157"/>
      <c r="QAN6" s="157"/>
      <c r="QAO6" s="157"/>
      <c r="QAP6" s="157"/>
      <c r="QAQ6" s="157"/>
      <c r="QAR6" s="157"/>
      <c r="QAS6" s="157"/>
      <c r="QAT6" s="157"/>
      <c r="QAU6" s="157"/>
      <c r="QAV6" s="157"/>
      <c r="QAW6" s="157"/>
      <c r="QAX6" s="157"/>
      <c r="QAY6" s="157"/>
      <c r="QAZ6" s="157"/>
      <c r="QBA6" s="157"/>
      <c r="QBB6" s="157"/>
      <c r="QBC6" s="157"/>
      <c r="QBD6" s="157"/>
      <c r="QBE6" s="157"/>
      <c r="QBF6" s="157"/>
      <c r="QBG6" s="157"/>
      <c r="QBH6" s="157"/>
      <c r="QBI6" s="157"/>
      <c r="QBJ6" s="157"/>
      <c r="QBK6" s="157"/>
      <c r="QBL6" s="157"/>
      <c r="QBM6" s="157"/>
      <c r="QBN6" s="157"/>
      <c r="QBO6" s="157"/>
      <c r="QBP6" s="157"/>
      <c r="QBQ6" s="157"/>
      <c r="QBR6" s="157"/>
      <c r="QBS6" s="157"/>
      <c r="QBT6" s="157"/>
      <c r="QBU6" s="157"/>
      <c r="QBV6" s="157"/>
      <c r="QBW6" s="157"/>
      <c r="QBX6" s="157"/>
      <c r="QBY6" s="157"/>
      <c r="QBZ6" s="157"/>
      <c r="QCA6" s="157"/>
      <c r="QCB6" s="157"/>
      <c r="QCC6" s="157"/>
      <c r="QCD6" s="157"/>
      <c r="QCE6" s="157"/>
      <c r="QCF6" s="157"/>
      <c r="QCG6" s="157"/>
      <c r="QCH6" s="157"/>
      <c r="QCI6" s="157"/>
      <c r="QCJ6" s="157"/>
      <c r="QCK6" s="157"/>
      <c r="QCL6" s="157"/>
      <c r="QCM6" s="157"/>
      <c r="QCN6" s="157"/>
      <c r="QCO6" s="157"/>
      <c r="QCP6" s="157"/>
      <c r="QCQ6" s="157"/>
      <c r="QCR6" s="157"/>
      <c r="QCS6" s="157"/>
      <c r="QCT6" s="157"/>
      <c r="QCU6" s="157"/>
      <c r="QCV6" s="157"/>
      <c r="QCW6" s="157"/>
      <c r="QCX6" s="157"/>
      <c r="QCY6" s="157"/>
      <c r="QCZ6" s="157"/>
      <c r="QDA6" s="157"/>
      <c r="QDB6" s="157"/>
      <c r="QDC6" s="157"/>
      <c r="QDD6" s="157"/>
      <c r="QDE6" s="157"/>
      <c r="QDF6" s="157"/>
      <c r="QDG6" s="157"/>
      <c r="QDH6" s="157"/>
      <c r="QDI6" s="157"/>
      <c r="QDJ6" s="157"/>
      <c r="QDK6" s="157"/>
      <c r="QDL6" s="157"/>
      <c r="QDM6" s="157"/>
      <c r="QDN6" s="157"/>
      <c r="QDO6" s="157"/>
      <c r="QDP6" s="157"/>
      <c r="QDQ6" s="157"/>
      <c r="QDR6" s="157"/>
      <c r="QDS6" s="157"/>
      <c r="QDT6" s="157"/>
      <c r="QDU6" s="157"/>
      <c r="QDV6" s="157"/>
      <c r="QDW6" s="157"/>
      <c r="QDX6" s="157"/>
      <c r="QDY6" s="157"/>
      <c r="QDZ6" s="157"/>
      <c r="QEA6" s="157"/>
      <c r="QEB6" s="157"/>
      <c r="QEC6" s="157"/>
      <c r="QED6" s="157"/>
      <c r="QEE6" s="157"/>
      <c r="QEF6" s="157"/>
      <c r="QEG6" s="157"/>
      <c r="QEH6" s="157"/>
      <c r="QEI6" s="157"/>
      <c r="QEJ6" s="157"/>
      <c r="QEK6" s="157"/>
      <c r="QEL6" s="157"/>
      <c r="QEM6" s="157"/>
      <c r="QEN6" s="157"/>
      <c r="QEO6" s="157"/>
      <c r="QEP6" s="157"/>
      <c r="QEQ6" s="157"/>
      <c r="QER6" s="157"/>
      <c r="QES6" s="157"/>
      <c r="QET6" s="157"/>
      <c r="QEU6" s="157"/>
      <c r="QEV6" s="157"/>
      <c r="QEW6" s="157"/>
      <c r="QEX6" s="157"/>
      <c r="QEY6" s="157"/>
      <c r="QEZ6" s="157"/>
      <c r="QFA6" s="157"/>
      <c r="QFB6" s="157"/>
      <c r="QFC6" s="157"/>
      <c r="QFD6" s="157"/>
      <c r="QFE6" s="157"/>
      <c r="QFF6" s="157"/>
      <c r="QFG6" s="157"/>
      <c r="QFH6" s="157"/>
      <c r="QFI6" s="157"/>
      <c r="QFJ6" s="157"/>
      <c r="QFK6" s="157"/>
      <c r="QFL6" s="157"/>
      <c r="QFM6" s="157"/>
      <c r="QFN6" s="157"/>
      <c r="QFO6" s="157"/>
      <c r="QFP6" s="157"/>
      <c r="QFQ6" s="157"/>
      <c r="QFR6" s="157"/>
      <c r="QFS6" s="157"/>
      <c r="QFT6" s="157"/>
      <c r="QFU6" s="157"/>
      <c r="QFV6" s="157"/>
      <c r="QFW6" s="157"/>
      <c r="QFX6" s="157"/>
      <c r="QFY6" s="157"/>
      <c r="QFZ6" s="157"/>
      <c r="QGA6" s="157"/>
      <c r="QGB6" s="157"/>
      <c r="QGC6" s="157"/>
      <c r="QGD6" s="157"/>
      <c r="QGE6" s="157"/>
      <c r="QGF6" s="157"/>
      <c r="QGG6" s="157"/>
      <c r="QGH6" s="157"/>
      <c r="QGI6" s="157"/>
      <c r="QGJ6" s="157"/>
      <c r="QGK6" s="157"/>
      <c r="QGL6" s="157"/>
      <c r="QGM6" s="157"/>
      <c r="QGN6" s="157"/>
      <c r="QGO6" s="157"/>
      <c r="QGP6" s="157"/>
      <c r="QGQ6" s="157"/>
      <c r="QGR6" s="157"/>
      <c r="QGS6" s="157"/>
      <c r="QGT6" s="157"/>
      <c r="QGU6" s="157"/>
      <c r="QGV6" s="157"/>
      <c r="QGW6" s="157"/>
      <c r="QGX6" s="157"/>
      <c r="QGY6" s="157"/>
      <c r="QGZ6" s="157"/>
      <c r="QHA6" s="157"/>
      <c r="QHB6" s="157"/>
      <c r="QHC6" s="157"/>
      <c r="QHD6" s="157"/>
      <c r="QHE6" s="157"/>
      <c r="QHF6" s="157"/>
      <c r="QHG6" s="157"/>
      <c r="QHH6" s="157"/>
      <c r="QHI6" s="157"/>
      <c r="QHJ6" s="157"/>
      <c r="QHK6" s="157"/>
      <c r="QHL6" s="157"/>
      <c r="QHM6" s="157"/>
      <c r="QHN6" s="157"/>
      <c r="QHO6" s="157"/>
      <c r="QHP6" s="157"/>
      <c r="QHQ6" s="157"/>
      <c r="QHR6" s="157"/>
      <c r="QHS6" s="157"/>
      <c r="QHT6" s="157"/>
      <c r="QHU6" s="157"/>
      <c r="QHV6" s="157"/>
      <c r="QHW6" s="157"/>
      <c r="QHX6" s="157"/>
      <c r="QHY6" s="157"/>
      <c r="QHZ6" s="157"/>
      <c r="QIA6" s="157"/>
      <c r="QIB6" s="157"/>
      <c r="QIC6" s="157"/>
      <c r="QID6" s="157"/>
      <c r="QIE6" s="157"/>
      <c r="QIF6" s="157"/>
      <c r="QIG6" s="157"/>
      <c r="QIH6" s="157"/>
      <c r="QII6" s="157"/>
      <c r="QIJ6" s="157"/>
      <c r="QIK6" s="157"/>
      <c r="QIL6" s="157"/>
      <c r="QIM6" s="157"/>
      <c r="QIN6" s="157"/>
      <c r="QIO6" s="157"/>
      <c r="QIP6" s="157"/>
      <c r="QIQ6" s="157"/>
      <c r="QIR6" s="157"/>
      <c r="QIS6" s="157"/>
      <c r="QIT6" s="157"/>
      <c r="QIU6" s="157"/>
      <c r="QIV6" s="157"/>
      <c r="QIW6" s="157"/>
      <c r="QIX6" s="157"/>
      <c r="QIY6" s="157"/>
      <c r="QIZ6" s="157"/>
      <c r="QJA6" s="157"/>
      <c r="QJB6" s="157"/>
      <c r="QJC6" s="157"/>
      <c r="QJD6" s="157"/>
      <c r="QJE6" s="157"/>
      <c r="QJF6" s="157"/>
      <c r="QJG6" s="157"/>
      <c r="QJH6" s="157"/>
      <c r="QJI6" s="157"/>
      <c r="QJJ6" s="157"/>
      <c r="QJK6" s="157"/>
      <c r="QJL6" s="157"/>
      <c r="QJM6" s="157"/>
      <c r="QJN6" s="157"/>
      <c r="QJO6" s="157"/>
      <c r="QJP6" s="157"/>
      <c r="QJQ6" s="157"/>
      <c r="QJR6" s="157"/>
      <c r="QJS6" s="157"/>
      <c r="QJT6" s="157"/>
      <c r="QJU6" s="157"/>
      <c r="QJV6" s="157"/>
      <c r="QJW6" s="157"/>
      <c r="QJX6" s="157"/>
      <c r="QJY6" s="157"/>
      <c r="QJZ6" s="157"/>
      <c r="QKA6" s="157"/>
      <c r="QKB6" s="157"/>
      <c r="QKC6" s="157"/>
      <c r="QKD6" s="157"/>
      <c r="QKE6" s="157"/>
      <c r="QKF6" s="157"/>
      <c r="QKG6" s="157"/>
      <c r="QKH6" s="157"/>
      <c r="QKI6" s="157"/>
      <c r="QKJ6" s="157"/>
      <c r="QKK6" s="157"/>
      <c r="QKL6" s="157"/>
      <c r="QKM6" s="157"/>
      <c r="QKN6" s="157"/>
      <c r="QKO6" s="157"/>
      <c r="QKP6" s="157"/>
      <c r="QKQ6" s="157"/>
      <c r="QKR6" s="157"/>
      <c r="QKS6" s="157"/>
      <c r="QKT6" s="157"/>
      <c r="QKU6" s="157"/>
      <c r="QKV6" s="157"/>
      <c r="QKW6" s="157"/>
      <c r="QKX6" s="157"/>
      <c r="QKY6" s="157"/>
      <c r="QKZ6" s="157"/>
      <c r="QLA6" s="157"/>
      <c r="QLB6" s="157"/>
      <c r="QLC6" s="157"/>
      <c r="QLD6" s="157"/>
      <c r="QLE6" s="157"/>
      <c r="QLF6" s="157"/>
      <c r="QLG6" s="157"/>
      <c r="QLH6" s="157"/>
      <c r="QLI6" s="157"/>
      <c r="QLJ6" s="157"/>
      <c r="QLK6" s="157"/>
      <c r="QLL6" s="157"/>
      <c r="QLM6" s="157"/>
      <c r="QLN6" s="157"/>
      <c r="QLO6" s="157"/>
      <c r="QLP6" s="157"/>
      <c r="QLQ6" s="157"/>
      <c r="QLR6" s="157"/>
      <c r="QLS6" s="157"/>
      <c r="QLT6" s="157"/>
      <c r="QLU6" s="157"/>
      <c r="QLV6" s="157"/>
      <c r="QLW6" s="157"/>
      <c r="QLX6" s="157"/>
      <c r="QLY6" s="157"/>
      <c r="QLZ6" s="157"/>
      <c r="QMA6" s="157"/>
      <c r="QMB6" s="157"/>
      <c r="QMC6" s="157"/>
      <c r="QMD6" s="157"/>
      <c r="QME6" s="157"/>
      <c r="QMF6" s="157"/>
      <c r="QMG6" s="157"/>
      <c r="QMH6" s="157"/>
      <c r="QMI6" s="157"/>
      <c r="QMJ6" s="157"/>
      <c r="QMK6" s="157"/>
      <c r="QML6" s="157"/>
      <c r="QMM6" s="157"/>
      <c r="QMN6" s="157"/>
      <c r="QMO6" s="157"/>
      <c r="QMP6" s="157"/>
      <c r="QMQ6" s="157"/>
      <c r="QMR6" s="157"/>
      <c r="QMS6" s="157"/>
      <c r="QMT6" s="157"/>
      <c r="QMU6" s="157"/>
      <c r="QMV6" s="157"/>
      <c r="QMW6" s="157"/>
      <c r="QMX6" s="157"/>
      <c r="QMY6" s="157"/>
      <c r="QMZ6" s="157"/>
      <c r="QNA6" s="157"/>
      <c r="QNB6" s="157"/>
      <c r="QNC6" s="157"/>
      <c r="QND6" s="157"/>
      <c r="QNE6" s="157"/>
      <c r="QNF6" s="157"/>
      <c r="QNG6" s="157"/>
      <c r="QNH6" s="157"/>
      <c r="QNI6" s="157"/>
      <c r="QNJ6" s="157"/>
      <c r="QNK6" s="157"/>
      <c r="QNL6" s="157"/>
      <c r="QNM6" s="157"/>
      <c r="QNN6" s="157"/>
      <c r="QNO6" s="157"/>
      <c r="QNP6" s="157"/>
      <c r="QNQ6" s="157"/>
      <c r="QNR6" s="157"/>
      <c r="QNS6" s="157"/>
      <c r="QNT6" s="157"/>
      <c r="QNU6" s="157"/>
      <c r="QNV6" s="157"/>
      <c r="QNW6" s="157"/>
      <c r="QNX6" s="157"/>
      <c r="QNY6" s="157"/>
      <c r="QNZ6" s="157"/>
      <c r="QOA6" s="157"/>
      <c r="QOB6" s="157"/>
      <c r="QOC6" s="157"/>
      <c r="QOD6" s="157"/>
      <c r="QOE6" s="157"/>
      <c r="QOF6" s="157"/>
      <c r="QOG6" s="157"/>
      <c r="QOH6" s="157"/>
      <c r="QOI6" s="157"/>
      <c r="QOJ6" s="157"/>
      <c r="QOK6" s="157"/>
      <c r="QOL6" s="157"/>
      <c r="QOM6" s="157"/>
      <c r="QON6" s="157"/>
      <c r="QOO6" s="157"/>
      <c r="QOP6" s="157"/>
      <c r="QOQ6" s="157"/>
      <c r="QOR6" s="157"/>
      <c r="QOS6" s="157"/>
      <c r="QOT6" s="157"/>
      <c r="QOU6" s="157"/>
      <c r="QOV6" s="157"/>
      <c r="QOW6" s="157"/>
      <c r="QOX6" s="157"/>
      <c r="QOY6" s="157"/>
      <c r="QOZ6" s="157"/>
      <c r="QPA6" s="157"/>
      <c r="QPB6" s="157"/>
      <c r="QPC6" s="157"/>
      <c r="QPD6" s="157"/>
      <c r="QPE6" s="157"/>
      <c r="QPF6" s="157"/>
      <c r="QPG6" s="157"/>
      <c r="QPH6" s="157"/>
      <c r="QPI6" s="157"/>
      <c r="QPJ6" s="157"/>
      <c r="QPK6" s="157"/>
      <c r="QPL6" s="157"/>
      <c r="QPM6" s="157"/>
      <c r="QPN6" s="157"/>
      <c r="QPO6" s="157"/>
      <c r="QPP6" s="157"/>
      <c r="QPQ6" s="157"/>
      <c r="QPR6" s="157"/>
      <c r="QPS6" s="157"/>
      <c r="QPT6" s="157"/>
      <c r="QPU6" s="157"/>
      <c r="QPV6" s="157"/>
      <c r="QPW6" s="157"/>
      <c r="QPX6" s="157"/>
      <c r="QPY6" s="157"/>
      <c r="QPZ6" s="157"/>
      <c r="QQA6" s="157"/>
      <c r="QQB6" s="157"/>
      <c r="QQC6" s="157"/>
      <c r="QQD6" s="157"/>
      <c r="QQE6" s="157"/>
      <c r="QQF6" s="157"/>
      <c r="QQG6" s="157"/>
      <c r="QQH6" s="157"/>
      <c r="QQI6" s="157"/>
      <c r="QQJ6" s="157"/>
      <c r="QQK6" s="157"/>
      <c r="QQL6" s="157"/>
      <c r="QQM6" s="157"/>
      <c r="QQN6" s="157"/>
      <c r="QQO6" s="157"/>
      <c r="QQP6" s="157"/>
      <c r="QQQ6" s="157"/>
      <c r="QQR6" s="157"/>
      <c r="QQS6" s="157"/>
      <c r="QQT6" s="157"/>
      <c r="QQU6" s="157"/>
      <c r="QQV6" s="157"/>
      <c r="QQW6" s="157"/>
      <c r="QQX6" s="157"/>
      <c r="QQY6" s="157"/>
      <c r="QQZ6" s="157"/>
      <c r="QRA6" s="157"/>
      <c r="QRB6" s="157"/>
      <c r="QRC6" s="157"/>
      <c r="QRD6" s="157"/>
      <c r="QRE6" s="157"/>
      <c r="QRF6" s="157"/>
      <c r="QRG6" s="157"/>
      <c r="QRH6" s="157"/>
      <c r="QRI6" s="157"/>
      <c r="QRJ6" s="157"/>
      <c r="QRK6" s="157"/>
      <c r="QRL6" s="157"/>
      <c r="QRM6" s="157"/>
      <c r="QRN6" s="157"/>
      <c r="QRO6" s="157"/>
      <c r="QRP6" s="157"/>
      <c r="QRQ6" s="157"/>
      <c r="QRR6" s="157"/>
      <c r="QRS6" s="157"/>
      <c r="QRT6" s="157"/>
      <c r="QRU6" s="157"/>
      <c r="QRV6" s="157"/>
      <c r="QRW6" s="157"/>
      <c r="QRX6" s="157"/>
      <c r="QRY6" s="157"/>
      <c r="QRZ6" s="157"/>
      <c r="QSA6" s="157"/>
      <c r="QSB6" s="157"/>
      <c r="QSC6" s="157"/>
      <c r="QSD6" s="157"/>
      <c r="QSE6" s="157"/>
      <c r="QSF6" s="157"/>
      <c r="QSG6" s="157"/>
      <c r="QSH6" s="157"/>
      <c r="QSI6" s="157"/>
      <c r="QSJ6" s="157"/>
      <c r="QSK6" s="157"/>
      <c r="QSL6" s="157"/>
      <c r="QSM6" s="157"/>
      <c r="QSN6" s="157"/>
      <c r="QSO6" s="157"/>
      <c r="QSP6" s="157"/>
      <c r="QSQ6" s="157"/>
      <c r="QSR6" s="157"/>
      <c r="QSS6" s="157"/>
      <c r="QST6" s="157"/>
      <c r="QSU6" s="157"/>
      <c r="QSV6" s="157"/>
      <c r="QSW6" s="157"/>
      <c r="QSX6" s="157"/>
      <c r="QSY6" s="157"/>
      <c r="QSZ6" s="157"/>
      <c r="QTA6" s="157"/>
      <c r="QTB6" s="157"/>
      <c r="QTC6" s="157"/>
      <c r="QTD6" s="157"/>
      <c r="QTE6" s="157"/>
      <c r="QTF6" s="157"/>
      <c r="QTG6" s="157"/>
      <c r="QTH6" s="157"/>
      <c r="QTI6" s="157"/>
      <c r="QTJ6" s="157"/>
      <c r="QTK6" s="157"/>
      <c r="QTL6" s="157"/>
      <c r="QTM6" s="157"/>
      <c r="QTN6" s="157"/>
      <c r="QTO6" s="157"/>
      <c r="QTP6" s="157"/>
      <c r="QTQ6" s="157"/>
      <c r="QTR6" s="157"/>
      <c r="QTS6" s="157"/>
      <c r="QTT6" s="157"/>
      <c r="QTU6" s="157"/>
      <c r="QTV6" s="157"/>
      <c r="QTW6" s="157"/>
      <c r="QTX6" s="157"/>
      <c r="QTY6" s="157"/>
      <c r="QTZ6" s="157"/>
      <c r="QUA6" s="157"/>
      <c r="QUB6" s="157"/>
      <c r="QUC6" s="157"/>
      <c r="QUD6" s="157"/>
      <c r="QUE6" s="157"/>
      <c r="QUF6" s="157"/>
      <c r="QUG6" s="157"/>
      <c r="QUH6" s="157"/>
      <c r="QUI6" s="157"/>
      <c r="QUJ6" s="157"/>
      <c r="QUK6" s="157"/>
      <c r="QUL6" s="157"/>
      <c r="QUM6" s="157"/>
      <c r="QUN6" s="157"/>
      <c r="QUO6" s="157"/>
      <c r="QUP6" s="157"/>
      <c r="QUQ6" s="157"/>
      <c r="QUR6" s="157"/>
      <c r="QUS6" s="157"/>
      <c r="QUT6" s="157"/>
      <c r="QUU6" s="157"/>
      <c r="QUV6" s="157"/>
      <c r="QUW6" s="157"/>
      <c r="QUX6" s="157"/>
      <c r="QUY6" s="157"/>
      <c r="QUZ6" s="157"/>
      <c r="QVA6" s="157"/>
      <c r="QVB6" s="157"/>
      <c r="QVC6" s="157"/>
      <c r="QVD6" s="157"/>
      <c r="QVE6" s="157"/>
      <c r="QVF6" s="157"/>
      <c r="QVG6" s="157"/>
      <c r="QVH6" s="157"/>
      <c r="QVI6" s="157"/>
      <c r="QVJ6" s="157"/>
      <c r="QVK6" s="157"/>
      <c r="QVL6" s="157"/>
      <c r="QVM6" s="157"/>
      <c r="QVN6" s="157"/>
      <c r="QVO6" s="157"/>
      <c r="QVP6" s="157"/>
      <c r="QVQ6" s="157"/>
      <c r="QVR6" s="157"/>
      <c r="QVS6" s="157"/>
      <c r="QVT6" s="157"/>
      <c r="QVU6" s="157"/>
      <c r="QVV6" s="157"/>
      <c r="QVW6" s="157"/>
      <c r="QVX6" s="157"/>
      <c r="QVY6" s="157"/>
      <c r="QVZ6" s="157"/>
      <c r="QWA6" s="157"/>
      <c r="QWB6" s="157"/>
      <c r="QWC6" s="157"/>
      <c r="QWD6" s="157"/>
      <c r="QWE6" s="157"/>
      <c r="QWF6" s="157"/>
      <c r="QWG6" s="157"/>
      <c r="QWH6" s="157"/>
      <c r="QWI6" s="157"/>
      <c r="QWJ6" s="157"/>
      <c r="QWK6" s="157"/>
      <c r="QWL6" s="157"/>
      <c r="QWM6" s="157"/>
      <c r="QWN6" s="157"/>
      <c r="QWO6" s="157"/>
      <c r="QWP6" s="157"/>
      <c r="QWQ6" s="157"/>
      <c r="QWR6" s="157"/>
      <c r="QWS6" s="157"/>
      <c r="QWT6" s="157"/>
      <c r="QWU6" s="157"/>
      <c r="QWV6" s="157"/>
      <c r="QWW6" s="157"/>
      <c r="QWX6" s="157"/>
      <c r="QWY6" s="157"/>
      <c r="QWZ6" s="157"/>
      <c r="QXA6" s="157"/>
      <c r="QXB6" s="157"/>
      <c r="QXC6" s="157"/>
      <c r="QXD6" s="157"/>
      <c r="QXE6" s="157"/>
      <c r="QXF6" s="157"/>
      <c r="QXG6" s="157"/>
      <c r="QXH6" s="157"/>
      <c r="QXI6" s="157"/>
      <c r="QXJ6" s="157"/>
      <c r="QXK6" s="157"/>
      <c r="QXL6" s="157"/>
      <c r="QXM6" s="157"/>
      <c r="QXN6" s="157"/>
      <c r="QXO6" s="157"/>
      <c r="QXP6" s="157"/>
      <c r="QXQ6" s="157"/>
      <c r="QXR6" s="157"/>
      <c r="QXS6" s="157"/>
      <c r="QXT6" s="157"/>
      <c r="QXU6" s="157"/>
      <c r="QXV6" s="157"/>
      <c r="QXW6" s="157"/>
      <c r="QXX6" s="157"/>
      <c r="QXY6" s="157"/>
      <c r="QXZ6" s="157"/>
      <c r="QYA6" s="157"/>
      <c r="QYB6" s="157"/>
      <c r="QYC6" s="157"/>
      <c r="QYD6" s="157"/>
      <c r="QYE6" s="157"/>
      <c r="QYF6" s="157"/>
      <c r="QYG6" s="157"/>
      <c r="QYH6" s="157"/>
      <c r="QYI6" s="157"/>
      <c r="QYJ6" s="157"/>
      <c r="QYK6" s="157"/>
      <c r="QYL6" s="157"/>
      <c r="QYM6" s="157"/>
      <c r="QYN6" s="157"/>
      <c r="QYO6" s="157"/>
      <c r="QYP6" s="157"/>
      <c r="QYQ6" s="157"/>
      <c r="QYR6" s="157"/>
      <c r="QYS6" s="157"/>
      <c r="QYT6" s="157"/>
      <c r="QYU6" s="157"/>
      <c r="QYV6" s="157"/>
      <c r="QYW6" s="157"/>
      <c r="QYX6" s="157"/>
      <c r="QYY6" s="157"/>
      <c r="QYZ6" s="157"/>
      <c r="QZA6" s="157"/>
      <c r="QZB6" s="157"/>
      <c r="QZC6" s="157"/>
      <c r="QZD6" s="157"/>
      <c r="QZE6" s="157"/>
      <c r="QZF6" s="157"/>
      <c r="QZG6" s="157"/>
      <c r="QZH6" s="157"/>
      <c r="QZI6" s="157"/>
      <c r="QZJ6" s="157"/>
      <c r="QZK6" s="157"/>
      <c r="QZL6" s="157"/>
      <c r="QZM6" s="157"/>
      <c r="QZN6" s="157"/>
      <c r="QZO6" s="157"/>
      <c r="QZP6" s="157"/>
      <c r="QZQ6" s="157"/>
      <c r="QZR6" s="157"/>
      <c r="QZS6" s="157"/>
      <c r="QZT6" s="157"/>
      <c r="QZU6" s="157"/>
      <c r="QZV6" s="157"/>
      <c r="QZW6" s="157"/>
      <c r="QZX6" s="157"/>
      <c r="QZY6" s="157"/>
      <c r="QZZ6" s="157"/>
      <c r="RAA6" s="157"/>
      <c r="RAB6" s="157"/>
      <c r="RAC6" s="157"/>
      <c r="RAD6" s="157"/>
      <c r="RAE6" s="157"/>
      <c r="RAF6" s="157"/>
      <c r="RAG6" s="157"/>
      <c r="RAH6" s="157"/>
      <c r="RAI6" s="157"/>
      <c r="RAJ6" s="157"/>
      <c r="RAK6" s="157"/>
      <c r="RAL6" s="157"/>
      <c r="RAM6" s="157"/>
      <c r="RAN6" s="157"/>
      <c r="RAO6" s="157"/>
      <c r="RAP6" s="157"/>
      <c r="RAQ6" s="157"/>
      <c r="RAR6" s="157"/>
      <c r="RAS6" s="157"/>
      <c r="RAT6" s="157"/>
      <c r="RAU6" s="157"/>
      <c r="RAV6" s="157"/>
      <c r="RAW6" s="157"/>
      <c r="RAX6" s="157"/>
      <c r="RAY6" s="157"/>
      <c r="RAZ6" s="157"/>
      <c r="RBA6" s="157"/>
      <c r="RBB6" s="157"/>
      <c r="RBC6" s="157"/>
      <c r="RBD6" s="157"/>
      <c r="RBE6" s="157"/>
      <c r="RBF6" s="157"/>
      <c r="RBG6" s="157"/>
      <c r="RBH6" s="157"/>
      <c r="RBI6" s="157"/>
      <c r="RBJ6" s="157"/>
      <c r="RBK6" s="157"/>
      <c r="RBL6" s="157"/>
      <c r="RBM6" s="157"/>
      <c r="RBN6" s="157"/>
      <c r="RBO6" s="157"/>
      <c r="RBP6" s="157"/>
      <c r="RBQ6" s="157"/>
      <c r="RBR6" s="157"/>
      <c r="RBS6" s="157"/>
      <c r="RBT6" s="157"/>
      <c r="RBU6" s="157"/>
      <c r="RBV6" s="157"/>
      <c r="RBW6" s="157"/>
      <c r="RBX6" s="157"/>
      <c r="RBY6" s="157"/>
      <c r="RBZ6" s="157"/>
      <c r="RCA6" s="157"/>
      <c r="RCB6" s="157"/>
      <c r="RCC6" s="157"/>
      <c r="RCD6" s="157"/>
      <c r="RCE6" s="157"/>
      <c r="RCF6" s="157"/>
      <c r="RCG6" s="157"/>
      <c r="RCH6" s="157"/>
      <c r="RCI6" s="157"/>
      <c r="RCJ6" s="157"/>
      <c r="RCK6" s="157"/>
      <c r="RCL6" s="157"/>
      <c r="RCM6" s="157"/>
      <c r="RCN6" s="157"/>
      <c r="RCO6" s="157"/>
      <c r="RCP6" s="157"/>
      <c r="RCQ6" s="157"/>
      <c r="RCR6" s="157"/>
      <c r="RCS6" s="157"/>
      <c r="RCT6" s="157"/>
      <c r="RCU6" s="157"/>
      <c r="RCV6" s="157"/>
      <c r="RCW6" s="157"/>
      <c r="RCX6" s="157"/>
      <c r="RCY6" s="157"/>
      <c r="RCZ6" s="157"/>
      <c r="RDA6" s="157"/>
      <c r="RDB6" s="157"/>
      <c r="RDC6" s="157"/>
      <c r="RDD6" s="157"/>
      <c r="RDE6" s="157"/>
      <c r="RDF6" s="157"/>
      <c r="RDG6" s="157"/>
      <c r="RDH6" s="157"/>
      <c r="RDI6" s="157"/>
      <c r="RDJ6" s="157"/>
      <c r="RDK6" s="157"/>
      <c r="RDL6" s="157"/>
      <c r="RDM6" s="157"/>
      <c r="RDN6" s="157"/>
      <c r="RDO6" s="157"/>
      <c r="RDP6" s="157"/>
      <c r="RDQ6" s="157"/>
      <c r="RDR6" s="157"/>
      <c r="RDS6" s="157"/>
      <c r="RDT6" s="157"/>
      <c r="RDU6" s="157"/>
      <c r="RDV6" s="157"/>
      <c r="RDW6" s="157"/>
      <c r="RDX6" s="157"/>
      <c r="RDY6" s="157"/>
      <c r="RDZ6" s="157"/>
      <c r="REA6" s="157"/>
      <c r="REB6" s="157"/>
      <c r="REC6" s="157"/>
      <c r="RED6" s="157"/>
      <c r="REE6" s="157"/>
      <c r="REF6" s="157"/>
      <c r="REG6" s="157"/>
      <c r="REH6" s="157"/>
      <c r="REI6" s="157"/>
      <c r="REJ6" s="157"/>
      <c r="REK6" s="157"/>
      <c r="REL6" s="157"/>
      <c r="REM6" s="157"/>
      <c r="REN6" s="157"/>
      <c r="REO6" s="157"/>
      <c r="REP6" s="157"/>
      <c r="REQ6" s="157"/>
      <c r="RER6" s="157"/>
      <c r="RES6" s="157"/>
      <c r="RET6" s="157"/>
      <c r="REU6" s="157"/>
      <c r="REV6" s="157"/>
      <c r="REW6" s="157"/>
      <c r="REX6" s="157"/>
      <c r="REY6" s="157"/>
      <c r="REZ6" s="157"/>
      <c r="RFA6" s="157"/>
      <c r="RFB6" s="157"/>
      <c r="RFC6" s="157"/>
      <c r="RFD6" s="157"/>
      <c r="RFE6" s="157"/>
      <c r="RFF6" s="157"/>
      <c r="RFG6" s="157"/>
      <c r="RFH6" s="157"/>
      <c r="RFI6" s="157"/>
      <c r="RFJ6" s="157"/>
      <c r="RFK6" s="157"/>
      <c r="RFL6" s="157"/>
      <c r="RFM6" s="157"/>
      <c r="RFN6" s="157"/>
      <c r="RFO6" s="157"/>
      <c r="RFP6" s="157"/>
      <c r="RFQ6" s="157"/>
      <c r="RFR6" s="157"/>
      <c r="RFS6" s="157"/>
      <c r="RFT6" s="157"/>
      <c r="RFU6" s="157"/>
      <c r="RFV6" s="157"/>
      <c r="RFW6" s="157"/>
      <c r="RFX6" s="157"/>
      <c r="RFY6" s="157"/>
      <c r="RFZ6" s="157"/>
      <c r="RGA6" s="157"/>
      <c r="RGB6" s="157"/>
      <c r="RGC6" s="157"/>
      <c r="RGD6" s="157"/>
      <c r="RGE6" s="157"/>
      <c r="RGF6" s="157"/>
      <c r="RGG6" s="157"/>
      <c r="RGH6" s="157"/>
      <c r="RGI6" s="157"/>
      <c r="RGJ6" s="157"/>
      <c r="RGK6" s="157"/>
      <c r="RGL6" s="157"/>
      <c r="RGM6" s="157"/>
      <c r="RGN6" s="157"/>
      <c r="RGO6" s="157"/>
      <c r="RGP6" s="157"/>
      <c r="RGQ6" s="157"/>
      <c r="RGR6" s="157"/>
      <c r="RGS6" s="157"/>
      <c r="RGT6" s="157"/>
      <c r="RGU6" s="157"/>
      <c r="RGV6" s="157"/>
      <c r="RGW6" s="157"/>
      <c r="RGX6" s="157"/>
      <c r="RGY6" s="157"/>
      <c r="RGZ6" s="157"/>
      <c r="RHA6" s="157"/>
      <c r="RHB6" s="157"/>
      <c r="RHC6" s="157"/>
      <c r="RHD6" s="157"/>
      <c r="RHE6" s="157"/>
      <c r="RHF6" s="157"/>
      <c r="RHG6" s="157"/>
      <c r="RHH6" s="157"/>
      <c r="RHI6" s="157"/>
      <c r="RHJ6" s="157"/>
      <c r="RHK6" s="157"/>
      <c r="RHL6" s="157"/>
      <c r="RHM6" s="157"/>
      <c r="RHN6" s="157"/>
      <c r="RHO6" s="157"/>
      <c r="RHP6" s="157"/>
      <c r="RHQ6" s="157"/>
      <c r="RHR6" s="157"/>
      <c r="RHS6" s="157"/>
      <c r="RHT6" s="157"/>
      <c r="RHU6" s="157"/>
      <c r="RHV6" s="157"/>
      <c r="RHW6" s="157"/>
      <c r="RHX6" s="157"/>
      <c r="RHY6" s="157"/>
      <c r="RHZ6" s="157"/>
      <c r="RIA6" s="157"/>
      <c r="RIB6" s="157"/>
      <c r="RIC6" s="157"/>
      <c r="RID6" s="157"/>
      <c r="RIE6" s="157"/>
      <c r="RIF6" s="157"/>
      <c r="RIG6" s="157"/>
      <c r="RIH6" s="157"/>
      <c r="RII6" s="157"/>
      <c r="RIJ6" s="157"/>
      <c r="RIK6" s="157"/>
      <c r="RIL6" s="157"/>
      <c r="RIM6" s="157"/>
      <c r="RIN6" s="157"/>
      <c r="RIO6" s="157"/>
      <c r="RIP6" s="157"/>
      <c r="RIQ6" s="157"/>
      <c r="RIR6" s="157"/>
      <c r="RIS6" s="157"/>
      <c r="RIT6" s="157"/>
      <c r="RIU6" s="157"/>
      <c r="RIV6" s="157"/>
      <c r="RIW6" s="157"/>
      <c r="RIX6" s="157"/>
      <c r="RIY6" s="157"/>
      <c r="RIZ6" s="157"/>
      <c r="RJA6" s="157"/>
      <c r="RJB6" s="157"/>
      <c r="RJC6" s="157"/>
      <c r="RJD6" s="157"/>
      <c r="RJE6" s="157"/>
      <c r="RJF6" s="157"/>
      <c r="RJG6" s="157"/>
      <c r="RJH6" s="157"/>
      <c r="RJI6" s="157"/>
      <c r="RJJ6" s="157"/>
      <c r="RJK6" s="157"/>
      <c r="RJL6" s="157"/>
      <c r="RJM6" s="157"/>
      <c r="RJN6" s="157"/>
      <c r="RJO6" s="157"/>
      <c r="RJP6" s="157"/>
      <c r="RJQ6" s="157"/>
      <c r="RJR6" s="157"/>
      <c r="RJS6" s="157"/>
      <c r="RJT6" s="157"/>
      <c r="RJU6" s="157"/>
      <c r="RJV6" s="157"/>
      <c r="RJW6" s="157"/>
      <c r="RJX6" s="157"/>
      <c r="RJY6" s="157"/>
      <c r="RJZ6" s="157"/>
      <c r="RKA6" s="157"/>
      <c r="RKB6" s="157"/>
      <c r="RKC6" s="157"/>
      <c r="RKD6" s="157"/>
      <c r="RKE6" s="157"/>
      <c r="RKF6" s="157"/>
      <c r="RKG6" s="157"/>
      <c r="RKH6" s="157"/>
      <c r="RKI6" s="157"/>
      <c r="RKJ6" s="157"/>
      <c r="RKK6" s="157"/>
      <c r="RKL6" s="157"/>
      <c r="RKM6" s="157"/>
      <c r="RKN6" s="157"/>
      <c r="RKO6" s="157"/>
      <c r="RKP6" s="157"/>
      <c r="RKQ6" s="157"/>
      <c r="RKR6" s="157"/>
      <c r="RKS6" s="157"/>
      <c r="RKT6" s="157"/>
      <c r="RKU6" s="157"/>
      <c r="RKV6" s="157"/>
      <c r="RKW6" s="157"/>
      <c r="RKX6" s="157"/>
      <c r="RKY6" s="157"/>
      <c r="RKZ6" s="157"/>
      <c r="RLA6" s="157"/>
      <c r="RLB6" s="157"/>
      <c r="RLC6" s="157"/>
      <c r="RLD6" s="157"/>
      <c r="RLE6" s="157"/>
      <c r="RLF6" s="157"/>
      <c r="RLG6" s="157"/>
      <c r="RLH6" s="157"/>
      <c r="RLI6" s="157"/>
      <c r="RLJ6" s="157"/>
      <c r="RLK6" s="157"/>
      <c r="RLL6" s="157"/>
      <c r="RLM6" s="157"/>
      <c r="RLN6" s="157"/>
      <c r="RLO6" s="157"/>
      <c r="RLP6" s="157"/>
      <c r="RLQ6" s="157"/>
      <c r="RLR6" s="157"/>
      <c r="RLS6" s="157"/>
      <c r="RLT6" s="157"/>
      <c r="RLU6" s="157"/>
      <c r="RLV6" s="157"/>
      <c r="RLW6" s="157"/>
      <c r="RLX6" s="157"/>
      <c r="RLY6" s="157"/>
      <c r="RLZ6" s="157"/>
      <c r="RMA6" s="157"/>
      <c r="RMB6" s="157"/>
      <c r="RMC6" s="157"/>
      <c r="RMD6" s="157"/>
      <c r="RME6" s="157"/>
      <c r="RMF6" s="157"/>
      <c r="RMG6" s="157"/>
      <c r="RMH6" s="157"/>
      <c r="RMI6" s="157"/>
      <c r="RMJ6" s="157"/>
      <c r="RMK6" s="157"/>
      <c r="RML6" s="157"/>
      <c r="RMM6" s="157"/>
      <c r="RMN6" s="157"/>
      <c r="RMO6" s="157"/>
      <c r="RMP6" s="157"/>
      <c r="RMQ6" s="157"/>
      <c r="RMR6" s="157"/>
      <c r="RMS6" s="157"/>
      <c r="RMT6" s="157"/>
      <c r="RMU6" s="157"/>
      <c r="RMV6" s="157"/>
      <c r="RMW6" s="157"/>
      <c r="RMX6" s="157"/>
      <c r="RMY6" s="157"/>
      <c r="RMZ6" s="157"/>
      <c r="RNA6" s="157"/>
      <c r="RNB6" s="157"/>
      <c r="RNC6" s="157"/>
      <c r="RND6" s="157"/>
      <c r="RNE6" s="157"/>
      <c r="RNF6" s="157"/>
      <c r="RNG6" s="157"/>
      <c r="RNH6" s="157"/>
      <c r="RNI6" s="157"/>
      <c r="RNJ6" s="157"/>
      <c r="RNK6" s="157"/>
      <c r="RNL6" s="157"/>
      <c r="RNM6" s="157"/>
      <c r="RNN6" s="157"/>
      <c r="RNO6" s="157"/>
      <c r="RNP6" s="157"/>
      <c r="RNQ6" s="157"/>
      <c r="RNR6" s="157"/>
      <c r="RNS6" s="157"/>
      <c r="RNT6" s="157"/>
      <c r="RNU6" s="157"/>
      <c r="RNV6" s="157"/>
      <c r="RNW6" s="157"/>
      <c r="RNX6" s="157"/>
      <c r="RNY6" s="157"/>
      <c r="RNZ6" s="157"/>
      <c r="ROA6" s="157"/>
      <c r="ROB6" s="157"/>
      <c r="ROC6" s="157"/>
      <c r="ROD6" s="157"/>
      <c r="ROE6" s="157"/>
      <c r="ROF6" s="157"/>
      <c r="ROG6" s="157"/>
      <c r="ROH6" s="157"/>
      <c r="ROI6" s="157"/>
      <c r="ROJ6" s="157"/>
      <c r="ROK6" s="157"/>
      <c r="ROL6" s="157"/>
      <c r="ROM6" s="157"/>
      <c r="RON6" s="157"/>
      <c r="ROO6" s="157"/>
      <c r="ROP6" s="157"/>
      <c r="ROQ6" s="157"/>
      <c r="ROR6" s="157"/>
      <c r="ROS6" s="157"/>
      <c r="ROT6" s="157"/>
      <c r="ROU6" s="157"/>
      <c r="ROV6" s="157"/>
      <c r="ROW6" s="157"/>
      <c r="ROX6" s="157"/>
      <c r="ROY6" s="157"/>
      <c r="ROZ6" s="157"/>
      <c r="RPA6" s="157"/>
      <c r="RPB6" s="157"/>
      <c r="RPC6" s="157"/>
      <c r="RPD6" s="157"/>
      <c r="RPE6" s="157"/>
      <c r="RPF6" s="157"/>
      <c r="RPG6" s="157"/>
      <c r="RPH6" s="157"/>
      <c r="RPI6" s="157"/>
      <c r="RPJ6" s="157"/>
      <c r="RPK6" s="157"/>
      <c r="RPL6" s="157"/>
      <c r="RPM6" s="157"/>
      <c r="RPN6" s="157"/>
      <c r="RPO6" s="157"/>
      <c r="RPP6" s="157"/>
      <c r="RPQ6" s="157"/>
      <c r="RPR6" s="157"/>
      <c r="RPS6" s="157"/>
      <c r="RPT6" s="157"/>
      <c r="RPU6" s="157"/>
      <c r="RPV6" s="157"/>
      <c r="RPW6" s="157"/>
      <c r="RPX6" s="157"/>
      <c r="RPY6" s="157"/>
      <c r="RPZ6" s="157"/>
      <c r="RQA6" s="157"/>
      <c r="RQB6" s="157"/>
      <c r="RQC6" s="157"/>
      <c r="RQD6" s="157"/>
      <c r="RQE6" s="157"/>
      <c r="RQF6" s="157"/>
      <c r="RQG6" s="157"/>
      <c r="RQH6" s="157"/>
      <c r="RQI6" s="157"/>
      <c r="RQJ6" s="157"/>
      <c r="RQK6" s="157"/>
      <c r="RQL6" s="157"/>
      <c r="RQM6" s="157"/>
      <c r="RQN6" s="157"/>
      <c r="RQO6" s="157"/>
      <c r="RQP6" s="157"/>
      <c r="RQQ6" s="157"/>
      <c r="RQR6" s="157"/>
      <c r="RQS6" s="157"/>
      <c r="RQT6" s="157"/>
      <c r="RQU6" s="157"/>
      <c r="RQV6" s="157"/>
      <c r="RQW6" s="157"/>
      <c r="RQX6" s="157"/>
      <c r="RQY6" s="157"/>
      <c r="RQZ6" s="157"/>
      <c r="RRA6" s="157"/>
      <c r="RRB6" s="157"/>
      <c r="RRC6" s="157"/>
      <c r="RRD6" s="157"/>
      <c r="RRE6" s="157"/>
      <c r="RRF6" s="157"/>
      <c r="RRG6" s="157"/>
      <c r="RRH6" s="157"/>
      <c r="RRI6" s="157"/>
      <c r="RRJ6" s="157"/>
      <c r="RRK6" s="157"/>
      <c r="RRL6" s="157"/>
      <c r="RRM6" s="157"/>
      <c r="RRN6" s="157"/>
      <c r="RRO6" s="157"/>
      <c r="RRP6" s="157"/>
      <c r="RRQ6" s="157"/>
      <c r="RRR6" s="157"/>
      <c r="RRS6" s="157"/>
      <c r="RRT6" s="157"/>
      <c r="RRU6" s="157"/>
      <c r="RRV6" s="157"/>
      <c r="RRW6" s="157"/>
      <c r="RRX6" s="157"/>
      <c r="RRY6" s="157"/>
      <c r="RRZ6" s="157"/>
      <c r="RSA6" s="157"/>
      <c r="RSB6" s="157"/>
      <c r="RSC6" s="157"/>
      <c r="RSD6" s="157"/>
      <c r="RSE6" s="157"/>
      <c r="RSF6" s="157"/>
      <c r="RSG6" s="157"/>
      <c r="RSH6" s="157"/>
      <c r="RSI6" s="157"/>
      <c r="RSJ6" s="157"/>
      <c r="RSK6" s="157"/>
      <c r="RSL6" s="157"/>
      <c r="RSM6" s="157"/>
      <c r="RSN6" s="157"/>
      <c r="RSO6" s="157"/>
      <c r="RSP6" s="157"/>
      <c r="RSQ6" s="157"/>
      <c r="RSR6" s="157"/>
      <c r="RSS6" s="157"/>
      <c r="RST6" s="157"/>
      <c r="RSU6" s="157"/>
      <c r="RSV6" s="157"/>
      <c r="RSW6" s="157"/>
      <c r="RSX6" s="157"/>
      <c r="RSY6" s="157"/>
      <c r="RSZ6" s="157"/>
      <c r="RTA6" s="157"/>
      <c r="RTB6" s="157"/>
      <c r="RTC6" s="157"/>
      <c r="RTD6" s="157"/>
      <c r="RTE6" s="157"/>
      <c r="RTF6" s="157"/>
      <c r="RTG6" s="157"/>
      <c r="RTH6" s="157"/>
      <c r="RTI6" s="157"/>
      <c r="RTJ6" s="157"/>
      <c r="RTK6" s="157"/>
      <c r="RTL6" s="157"/>
      <c r="RTM6" s="157"/>
      <c r="RTN6" s="157"/>
      <c r="RTO6" s="157"/>
      <c r="RTP6" s="157"/>
      <c r="RTQ6" s="157"/>
      <c r="RTR6" s="157"/>
      <c r="RTS6" s="157"/>
      <c r="RTT6" s="157"/>
      <c r="RTU6" s="157"/>
      <c r="RTV6" s="157"/>
      <c r="RTW6" s="157"/>
      <c r="RTX6" s="157"/>
      <c r="RTY6" s="157"/>
      <c r="RTZ6" s="157"/>
      <c r="RUA6" s="157"/>
      <c r="RUB6" s="157"/>
      <c r="RUC6" s="157"/>
      <c r="RUD6" s="157"/>
      <c r="RUE6" s="157"/>
      <c r="RUF6" s="157"/>
      <c r="RUG6" s="157"/>
      <c r="RUH6" s="157"/>
      <c r="RUI6" s="157"/>
      <c r="RUJ6" s="157"/>
      <c r="RUK6" s="157"/>
      <c r="RUL6" s="157"/>
      <c r="RUM6" s="157"/>
      <c r="RUN6" s="157"/>
      <c r="RUO6" s="157"/>
      <c r="RUP6" s="157"/>
      <c r="RUQ6" s="157"/>
      <c r="RUR6" s="157"/>
      <c r="RUS6" s="157"/>
      <c r="RUT6" s="157"/>
      <c r="RUU6" s="157"/>
      <c r="RUV6" s="157"/>
      <c r="RUW6" s="157"/>
      <c r="RUX6" s="157"/>
      <c r="RUY6" s="157"/>
      <c r="RUZ6" s="157"/>
      <c r="RVA6" s="157"/>
      <c r="RVB6" s="157"/>
      <c r="RVC6" s="157"/>
      <c r="RVD6" s="157"/>
      <c r="RVE6" s="157"/>
      <c r="RVF6" s="157"/>
      <c r="RVG6" s="157"/>
      <c r="RVH6" s="157"/>
      <c r="RVI6" s="157"/>
      <c r="RVJ6" s="157"/>
      <c r="RVK6" s="157"/>
      <c r="RVL6" s="157"/>
      <c r="RVM6" s="157"/>
      <c r="RVN6" s="157"/>
      <c r="RVO6" s="157"/>
      <c r="RVP6" s="157"/>
      <c r="RVQ6" s="157"/>
      <c r="RVR6" s="157"/>
      <c r="RVS6" s="157"/>
      <c r="RVT6" s="157"/>
      <c r="RVU6" s="157"/>
      <c r="RVV6" s="157"/>
      <c r="RVW6" s="157"/>
      <c r="RVX6" s="157"/>
      <c r="RVY6" s="157"/>
      <c r="RVZ6" s="157"/>
      <c r="RWA6" s="157"/>
      <c r="RWB6" s="157"/>
      <c r="RWC6" s="157"/>
      <c r="RWD6" s="157"/>
      <c r="RWE6" s="157"/>
      <c r="RWF6" s="157"/>
      <c r="RWG6" s="157"/>
      <c r="RWH6" s="157"/>
      <c r="RWI6" s="157"/>
      <c r="RWJ6" s="157"/>
      <c r="RWK6" s="157"/>
      <c r="RWL6" s="157"/>
      <c r="RWM6" s="157"/>
      <c r="RWN6" s="157"/>
      <c r="RWO6" s="157"/>
      <c r="RWP6" s="157"/>
      <c r="RWQ6" s="157"/>
      <c r="RWR6" s="157"/>
      <c r="RWS6" s="157"/>
      <c r="RWT6" s="157"/>
      <c r="RWU6" s="157"/>
      <c r="RWV6" s="157"/>
      <c r="RWW6" s="157"/>
      <c r="RWX6" s="157"/>
      <c r="RWY6" s="157"/>
      <c r="RWZ6" s="157"/>
      <c r="RXA6" s="157"/>
      <c r="RXB6" s="157"/>
      <c r="RXC6" s="157"/>
      <c r="RXD6" s="157"/>
      <c r="RXE6" s="157"/>
      <c r="RXF6" s="157"/>
      <c r="RXG6" s="157"/>
      <c r="RXH6" s="157"/>
      <c r="RXI6" s="157"/>
      <c r="RXJ6" s="157"/>
      <c r="RXK6" s="157"/>
      <c r="RXL6" s="157"/>
      <c r="RXM6" s="157"/>
      <c r="RXN6" s="157"/>
      <c r="RXO6" s="157"/>
      <c r="RXP6" s="157"/>
      <c r="RXQ6" s="157"/>
      <c r="RXR6" s="157"/>
      <c r="RXS6" s="157"/>
      <c r="RXT6" s="157"/>
      <c r="RXU6" s="157"/>
      <c r="RXV6" s="157"/>
      <c r="RXW6" s="157"/>
      <c r="RXX6" s="157"/>
      <c r="RXY6" s="157"/>
      <c r="RXZ6" s="157"/>
      <c r="RYA6" s="157"/>
      <c r="RYB6" s="157"/>
      <c r="RYC6" s="157"/>
      <c r="RYD6" s="157"/>
      <c r="RYE6" s="157"/>
      <c r="RYF6" s="157"/>
      <c r="RYG6" s="157"/>
      <c r="RYH6" s="157"/>
      <c r="RYI6" s="157"/>
      <c r="RYJ6" s="157"/>
      <c r="RYK6" s="157"/>
      <c r="RYL6" s="157"/>
      <c r="RYM6" s="157"/>
      <c r="RYN6" s="157"/>
      <c r="RYO6" s="157"/>
      <c r="RYP6" s="157"/>
      <c r="RYQ6" s="157"/>
      <c r="RYR6" s="157"/>
      <c r="RYS6" s="157"/>
      <c r="RYT6" s="157"/>
      <c r="RYU6" s="157"/>
      <c r="RYV6" s="157"/>
      <c r="RYW6" s="157"/>
      <c r="RYX6" s="157"/>
      <c r="RYY6" s="157"/>
      <c r="RYZ6" s="157"/>
      <c r="RZA6" s="157"/>
      <c r="RZB6" s="157"/>
      <c r="RZC6" s="157"/>
      <c r="RZD6" s="157"/>
      <c r="RZE6" s="157"/>
      <c r="RZF6" s="157"/>
      <c r="RZG6" s="157"/>
      <c r="RZH6" s="157"/>
      <c r="RZI6" s="157"/>
      <c r="RZJ6" s="157"/>
      <c r="RZK6" s="157"/>
      <c r="RZL6" s="157"/>
      <c r="RZM6" s="157"/>
      <c r="RZN6" s="157"/>
      <c r="RZO6" s="157"/>
      <c r="RZP6" s="157"/>
      <c r="RZQ6" s="157"/>
      <c r="RZR6" s="157"/>
      <c r="RZS6" s="157"/>
      <c r="RZT6" s="157"/>
      <c r="RZU6" s="157"/>
      <c r="RZV6" s="157"/>
      <c r="RZW6" s="157"/>
      <c r="RZX6" s="157"/>
      <c r="RZY6" s="157"/>
      <c r="RZZ6" s="157"/>
      <c r="SAA6" s="157"/>
      <c r="SAB6" s="157"/>
      <c r="SAC6" s="157"/>
      <c r="SAD6" s="157"/>
      <c r="SAE6" s="157"/>
      <c r="SAF6" s="157"/>
      <c r="SAG6" s="157"/>
      <c r="SAH6" s="157"/>
      <c r="SAI6" s="157"/>
      <c r="SAJ6" s="157"/>
      <c r="SAK6" s="157"/>
      <c r="SAL6" s="157"/>
      <c r="SAM6" s="157"/>
      <c r="SAN6" s="157"/>
      <c r="SAO6" s="157"/>
      <c r="SAP6" s="157"/>
      <c r="SAQ6" s="157"/>
      <c r="SAR6" s="157"/>
      <c r="SAS6" s="157"/>
      <c r="SAT6" s="157"/>
      <c r="SAU6" s="157"/>
      <c r="SAV6" s="157"/>
      <c r="SAW6" s="157"/>
      <c r="SAX6" s="157"/>
      <c r="SAY6" s="157"/>
      <c r="SAZ6" s="157"/>
      <c r="SBA6" s="157"/>
      <c r="SBB6" s="157"/>
      <c r="SBC6" s="157"/>
      <c r="SBD6" s="157"/>
      <c r="SBE6" s="157"/>
      <c r="SBF6" s="157"/>
      <c r="SBG6" s="157"/>
      <c r="SBH6" s="157"/>
      <c r="SBI6" s="157"/>
      <c r="SBJ6" s="157"/>
      <c r="SBK6" s="157"/>
      <c r="SBL6" s="157"/>
      <c r="SBM6" s="157"/>
      <c r="SBN6" s="157"/>
      <c r="SBO6" s="157"/>
      <c r="SBP6" s="157"/>
      <c r="SBQ6" s="157"/>
      <c r="SBR6" s="157"/>
      <c r="SBS6" s="157"/>
      <c r="SBT6" s="157"/>
      <c r="SBU6" s="157"/>
      <c r="SBV6" s="157"/>
      <c r="SBW6" s="157"/>
      <c r="SBX6" s="157"/>
      <c r="SBY6" s="157"/>
      <c r="SBZ6" s="157"/>
      <c r="SCA6" s="157"/>
      <c r="SCB6" s="157"/>
      <c r="SCC6" s="157"/>
      <c r="SCD6" s="157"/>
      <c r="SCE6" s="157"/>
      <c r="SCF6" s="157"/>
      <c r="SCG6" s="157"/>
      <c r="SCH6" s="157"/>
      <c r="SCI6" s="157"/>
      <c r="SCJ6" s="157"/>
      <c r="SCK6" s="157"/>
      <c r="SCL6" s="157"/>
      <c r="SCM6" s="157"/>
      <c r="SCN6" s="157"/>
      <c r="SCO6" s="157"/>
      <c r="SCP6" s="157"/>
      <c r="SCQ6" s="157"/>
      <c r="SCR6" s="157"/>
      <c r="SCS6" s="157"/>
      <c r="SCT6" s="157"/>
      <c r="SCU6" s="157"/>
      <c r="SCV6" s="157"/>
      <c r="SCW6" s="157"/>
      <c r="SCX6" s="157"/>
      <c r="SCY6" s="157"/>
      <c r="SCZ6" s="157"/>
      <c r="SDA6" s="157"/>
      <c r="SDB6" s="157"/>
      <c r="SDC6" s="157"/>
      <c r="SDD6" s="157"/>
      <c r="SDE6" s="157"/>
      <c r="SDF6" s="157"/>
      <c r="SDG6" s="157"/>
      <c r="SDH6" s="157"/>
      <c r="SDI6" s="157"/>
      <c r="SDJ6" s="157"/>
      <c r="SDK6" s="157"/>
      <c r="SDL6" s="157"/>
      <c r="SDM6" s="157"/>
      <c r="SDN6" s="157"/>
      <c r="SDO6" s="157"/>
      <c r="SDP6" s="157"/>
      <c r="SDQ6" s="157"/>
      <c r="SDR6" s="157"/>
      <c r="SDS6" s="157"/>
      <c r="SDT6" s="157"/>
      <c r="SDU6" s="157"/>
      <c r="SDV6" s="157"/>
      <c r="SDW6" s="157"/>
      <c r="SDX6" s="157"/>
      <c r="SDY6" s="157"/>
      <c r="SDZ6" s="157"/>
      <c r="SEA6" s="157"/>
      <c r="SEB6" s="157"/>
      <c r="SEC6" s="157"/>
      <c r="SED6" s="157"/>
      <c r="SEE6" s="157"/>
      <c r="SEF6" s="157"/>
      <c r="SEG6" s="157"/>
      <c r="SEH6" s="157"/>
      <c r="SEI6" s="157"/>
      <c r="SEJ6" s="157"/>
      <c r="SEK6" s="157"/>
      <c r="SEL6" s="157"/>
      <c r="SEM6" s="157"/>
      <c r="SEN6" s="157"/>
      <c r="SEO6" s="157"/>
      <c r="SEP6" s="157"/>
      <c r="SEQ6" s="157"/>
      <c r="SER6" s="157"/>
      <c r="SES6" s="157"/>
      <c r="SET6" s="157"/>
      <c r="SEU6" s="157"/>
      <c r="SEV6" s="157"/>
      <c r="SEW6" s="157"/>
      <c r="SEX6" s="157"/>
      <c r="SEY6" s="157"/>
      <c r="SEZ6" s="157"/>
      <c r="SFA6" s="157"/>
      <c r="SFB6" s="157"/>
      <c r="SFC6" s="157"/>
      <c r="SFD6" s="157"/>
      <c r="SFE6" s="157"/>
      <c r="SFF6" s="157"/>
      <c r="SFG6" s="157"/>
      <c r="SFH6" s="157"/>
      <c r="SFI6" s="157"/>
      <c r="SFJ6" s="157"/>
      <c r="SFK6" s="157"/>
      <c r="SFL6" s="157"/>
      <c r="SFM6" s="157"/>
      <c r="SFN6" s="157"/>
      <c r="SFO6" s="157"/>
      <c r="SFP6" s="157"/>
      <c r="SFQ6" s="157"/>
      <c r="SFR6" s="157"/>
      <c r="SFS6" s="157"/>
      <c r="SFT6" s="157"/>
      <c r="SFU6" s="157"/>
      <c r="SFV6" s="157"/>
      <c r="SFW6" s="157"/>
      <c r="SFX6" s="157"/>
      <c r="SFY6" s="157"/>
      <c r="SFZ6" s="157"/>
      <c r="SGA6" s="157"/>
      <c r="SGB6" s="157"/>
      <c r="SGC6" s="157"/>
      <c r="SGD6" s="157"/>
      <c r="SGE6" s="157"/>
      <c r="SGF6" s="157"/>
      <c r="SGG6" s="157"/>
      <c r="SGH6" s="157"/>
      <c r="SGI6" s="157"/>
      <c r="SGJ6" s="157"/>
      <c r="SGK6" s="157"/>
      <c r="SGL6" s="157"/>
      <c r="SGM6" s="157"/>
      <c r="SGN6" s="157"/>
      <c r="SGO6" s="157"/>
      <c r="SGP6" s="157"/>
      <c r="SGQ6" s="157"/>
      <c r="SGR6" s="157"/>
      <c r="SGS6" s="157"/>
      <c r="SGT6" s="157"/>
      <c r="SGU6" s="157"/>
      <c r="SGV6" s="157"/>
      <c r="SGW6" s="157"/>
      <c r="SGX6" s="157"/>
      <c r="SGY6" s="157"/>
      <c r="SGZ6" s="157"/>
      <c r="SHA6" s="157"/>
      <c r="SHB6" s="157"/>
      <c r="SHC6" s="157"/>
      <c r="SHD6" s="157"/>
      <c r="SHE6" s="157"/>
      <c r="SHF6" s="157"/>
      <c r="SHG6" s="157"/>
      <c r="SHH6" s="157"/>
      <c r="SHI6" s="157"/>
      <c r="SHJ6" s="157"/>
      <c r="SHK6" s="157"/>
      <c r="SHL6" s="157"/>
      <c r="SHM6" s="157"/>
      <c r="SHN6" s="157"/>
      <c r="SHO6" s="157"/>
      <c r="SHP6" s="157"/>
      <c r="SHQ6" s="157"/>
      <c r="SHR6" s="157"/>
      <c r="SHS6" s="157"/>
      <c r="SHT6" s="157"/>
      <c r="SHU6" s="157"/>
      <c r="SHV6" s="157"/>
      <c r="SHW6" s="157"/>
      <c r="SHX6" s="157"/>
      <c r="SHY6" s="157"/>
      <c r="SHZ6" s="157"/>
      <c r="SIA6" s="157"/>
      <c r="SIB6" s="157"/>
      <c r="SIC6" s="157"/>
      <c r="SID6" s="157"/>
      <c r="SIE6" s="157"/>
      <c r="SIF6" s="157"/>
      <c r="SIG6" s="157"/>
      <c r="SIH6" s="157"/>
      <c r="SII6" s="157"/>
      <c r="SIJ6" s="157"/>
      <c r="SIK6" s="157"/>
      <c r="SIL6" s="157"/>
      <c r="SIM6" s="157"/>
      <c r="SIN6" s="157"/>
      <c r="SIO6" s="157"/>
      <c r="SIP6" s="157"/>
      <c r="SIQ6" s="157"/>
      <c r="SIR6" s="157"/>
      <c r="SIS6" s="157"/>
      <c r="SIT6" s="157"/>
      <c r="SIU6" s="157"/>
      <c r="SIV6" s="157"/>
      <c r="SIW6" s="157"/>
      <c r="SIX6" s="157"/>
      <c r="SIY6" s="157"/>
      <c r="SIZ6" s="157"/>
      <c r="SJA6" s="157"/>
      <c r="SJB6" s="157"/>
      <c r="SJC6" s="157"/>
      <c r="SJD6" s="157"/>
      <c r="SJE6" s="157"/>
      <c r="SJF6" s="157"/>
      <c r="SJG6" s="157"/>
      <c r="SJH6" s="157"/>
      <c r="SJI6" s="157"/>
      <c r="SJJ6" s="157"/>
      <c r="SJK6" s="157"/>
      <c r="SJL6" s="157"/>
      <c r="SJM6" s="157"/>
      <c r="SJN6" s="157"/>
      <c r="SJO6" s="157"/>
      <c r="SJP6" s="157"/>
      <c r="SJQ6" s="157"/>
      <c r="SJR6" s="157"/>
      <c r="SJS6" s="157"/>
      <c r="SJT6" s="157"/>
      <c r="SJU6" s="157"/>
      <c r="SJV6" s="157"/>
      <c r="SJW6" s="157"/>
      <c r="SJX6" s="157"/>
      <c r="SJY6" s="157"/>
      <c r="SJZ6" s="157"/>
      <c r="SKA6" s="157"/>
      <c r="SKB6" s="157"/>
      <c r="SKC6" s="157"/>
      <c r="SKD6" s="157"/>
      <c r="SKE6" s="157"/>
      <c r="SKF6" s="157"/>
      <c r="SKG6" s="157"/>
      <c r="SKH6" s="157"/>
      <c r="SKI6" s="157"/>
      <c r="SKJ6" s="157"/>
      <c r="SKK6" s="157"/>
      <c r="SKL6" s="157"/>
      <c r="SKM6" s="157"/>
      <c r="SKN6" s="157"/>
      <c r="SKO6" s="157"/>
      <c r="SKP6" s="157"/>
      <c r="SKQ6" s="157"/>
      <c r="SKR6" s="157"/>
      <c r="SKS6" s="157"/>
      <c r="SKT6" s="157"/>
      <c r="SKU6" s="157"/>
      <c r="SKV6" s="157"/>
      <c r="SKW6" s="157"/>
      <c r="SKX6" s="157"/>
      <c r="SKY6" s="157"/>
      <c r="SKZ6" s="157"/>
      <c r="SLA6" s="157"/>
      <c r="SLB6" s="157"/>
      <c r="SLC6" s="157"/>
      <c r="SLD6" s="157"/>
      <c r="SLE6" s="157"/>
      <c r="SLF6" s="157"/>
      <c r="SLG6" s="157"/>
      <c r="SLH6" s="157"/>
      <c r="SLI6" s="157"/>
      <c r="SLJ6" s="157"/>
      <c r="SLK6" s="157"/>
      <c r="SLL6" s="157"/>
      <c r="SLM6" s="157"/>
      <c r="SLN6" s="157"/>
      <c r="SLO6" s="157"/>
      <c r="SLP6" s="157"/>
      <c r="SLQ6" s="157"/>
      <c r="SLR6" s="157"/>
      <c r="SLS6" s="157"/>
      <c r="SLT6" s="157"/>
      <c r="SLU6" s="157"/>
      <c r="SLV6" s="157"/>
      <c r="SLW6" s="157"/>
      <c r="SLX6" s="157"/>
      <c r="SLY6" s="157"/>
      <c r="SLZ6" s="157"/>
      <c r="SMA6" s="157"/>
      <c r="SMB6" s="157"/>
      <c r="SMC6" s="157"/>
      <c r="SMD6" s="157"/>
      <c r="SME6" s="157"/>
      <c r="SMF6" s="157"/>
      <c r="SMG6" s="157"/>
      <c r="SMH6" s="157"/>
      <c r="SMI6" s="157"/>
      <c r="SMJ6" s="157"/>
      <c r="SMK6" s="157"/>
      <c r="SML6" s="157"/>
      <c r="SMM6" s="157"/>
      <c r="SMN6" s="157"/>
      <c r="SMO6" s="157"/>
      <c r="SMP6" s="157"/>
      <c r="SMQ6" s="157"/>
      <c r="SMR6" s="157"/>
      <c r="SMS6" s="157"/>
      <c r="SMT6" s="157"/>
      <c r="SMU6" s="157"/>
      <c r="SMV6" s="157"/>
      <c r="SMW6" s="157"/>
      <c r="SMX6" s="157"/>
      <c r="SMY6" s="157"/>
      <c r="SMZ6" s="157"/>
      <c r="SNA6" s="157"/>
      <c r="SNB6" s="157"/>
      <c r="SNC6" s="157"/>
      <c r="SND6" s="157"/>
      <c r="SNE6" s="157"/>
      <c r="SNF6" s="157"/>
      <c r="SNG6" s="157"/>
      <c r="SNH6" s="157"/>
      <c r="SNI6" s="157"/>
      <c r="SNJ6" s="157"/>
      <c r="SNK6" s="157"/>
      <c r="SNL6" s="157"/>
      <c r="SNM6" s="157"/>
      <c r="SNN6" s="157"/>
      <c r="SNO6" s="157"/>
      <c r="SNP6" s="157"/>
      <c r="SNQ6" s="157"/>
      <c r="SNR6" s="157"/>
      <c r="SNS6" s="157"/>
      <c r="SNT6" s="157"/>
      <c r="SNU6" s="157"/>
      <c r="SNV6" s="157"/>
      <c r="SNW6" s="157"/>
      <c r="SNX6" s="157"/>
      <c r="SNY6" s="157"/>
      <c r="SNZ6" s="157"/>
      <c r="SOA6" s="157"/>
      <c r="SOB6" s="157"/>
      <c r="SOC6" s="157"/>
      <c r="SOD6" s="157"/>
      <c r="SOE6" s="157"/>
      <c r="SOF6" s="157"/>
      <c r="SOG6" s="157"/>
      <c r="SOH6" s="157"/>
      <c r="SOI6" s="157"/>
      <c r="SOJ6" s="157"/>
      <c r="SOK6" s="157"/>
      <c r="SOL6" s="157"/>
      <c r="SOM6" s="157"/>
      <c r="SON6" s="157"/>
      <c r="SOO6" s="157"/>
      <c r="SOP6" s="157"/>
      <c r="SOQ6" s="157"/>
      <c r="SOR6" s="157"/>
      <c r="SOS6" s="157"/>
      <c r="SOT6" s="157"/>
      <c r="SOU6" s="157"/>
      <c r="SOV6" s="157"/>
      <c r="SOW6" s="157"/>
      <c r="SOX6" s="157"/>
      <c r="SOY6" s="157"/>
      <c r="SOZ6" s="157"/>
      <c r="SPA6" s="157"/>
      <c r="SPB6" s="157"/>
      <c r="SPC6" s="157"/>
      <c r="SPD6" s="157"/>
      <c r="SPE6" s="157"/>
      <c r="SPF6" s="157"/>
      <c r="SPG6" s="157"/>
      <c r="SPH6" s="157"/>
      <c r="SPI6" s="157"/>
      <c r="SPJ6" s="157"/>
      <c r="SPK6" s="157"/>
      <c r="SPL6" s="157"/>
      <c r="SPM6" s="157"/>
      <c r="SPN6" s="157"/>
      <c r="SPO6" s="157"/>
      <c r="SPP6" s="157"/>
      <c r="SPQ6" s="157"/>
      <c r="SPR6" s="157"/>
      <c r="SPS6" s="157"/>
      <c r="SPT6" s="157"/>
      <c r="SPU6" s="157"/>
      <c r="SPV6" s="157"/>
      <c r="SPW6" s="157"/>
      <c r="SPX6" s="157"/>
      <c r="SPY6" s="157"/>
      <c r="SPZ6" s="157"/>
      <c r="SQA6" s="157"/>
      <c r="SQB6" s="157"/>
      <c r="SQC6" s="157"/>
      <c r="SQD6" s="157"/>
      <c r="SQE6" s="157"/>
      <c r="SQF6" s="157"/>
      <c r="SQG6" s="157"/>
      <c r="SQH6" s="157"/>
      <c r="SQI6" s="157"/>
      <c r="SQJ6" s="157"/>
      <c r="SQK6" s="157"/>
      <c r="SQL6" s="157"/>
      <c r="SQM6" s="157"/>
      <c r="SQN6" s="157"/>
      <c r="SQO6" s="157"/>
      <c r="SQP6" s="157"/>
      <c r="SQQ6" s="157"/>
      <c r="SQR6" s="157"/>
      <c r="SQS6" s="157"/>
      <c r="SQT6" s="157"/>
      <c r="SQU6" s="157"/>
      <c r="SQV6" s="157"/>
      <c r="SQW6" s="157"/>
      <c r="SQX6" s="157"/>
      <c r="SQY6" s="157"/>
      <c r="SQZ6" s="157"/>
      <c r="SRA6" s="157"/>
      <c r="SRB6" s="157"/>
      <c r="SRC6" s="157"/>
      <c r="SRD6" s="157"/>
      <c r="SRE6" s="157"/>
      <c r="SRF6" s="157"/>
      <c r="SRG6" s="157"/>
      <c r="SRH6" s="157"/>
      <c r="SRI6" s="157"/>
      <c r="SRJ6" s="157"/>
      <c r="SRK6" s="157"/>
      <c r="SRL6" s="157"/>
      <c r="SRM6" s="157"/>
      <c r="SRN6" s="157"/>
      <c r="SRO6" s="157"/>
      <c r="SRP6" s="157"/>
      <c r="SRQ6" s="157"/>
      <c r="SRR6" s="157"/>
      <c r="SRS6" s="157"/>
      <c r="SRT6" s="157"/>
      <c r="SRU6" s="157"/>
      <c r="SRV6" s="157"/>
      <c r="SRW6" s="157"/>
      <c r="SRX6" s="157"/>
      <c r="SRY6" s="157"/>
      <c r="SRZ6" s="157"/>
      <c r="SSA6" s="157"/>
      <c r="SSB6" s="157"/>
      <c r="SSC6" s="157"/>
      <c r="SSD6" s="157"/>
      <c r="SSE6" s="157"/>
      <c r="SSF6" s="157"/>
      <c r="SSG6" s="157"/>
      <c r="SSH6" s="157"/>
      <c r="SSI6" s="157"/>
      <c r="SSJ6" s="157"/>
      <c r="SSK6" s="157"/>
      <c r="SSL6" s="157"/>
      <c r="SSM6" s="157"/>
      <c r="SSN6" s="157"/>
      <c r="SSO6" s="157"/>
      <c r="SSP6" s="157"/>
      <c r="SSQ6" s="157"/>
      <c r="SSR6" s="157"/>
      <c r="SSS6" s="157"/>
      <c r="SST6" s="157"/>
      <c r="SSU6" s="157"/>
      <c r="SSV6" s="157"/>
      <c r="SSW6" s="157"/>
      <c r="SSX6" s="157"/>
      <c r="SSY6" s="157"/>
      <c r="SSZ6" s="157"/>
      <c r="STA6" s="157"/>
      <c r="STB6" s="157"/>
      <c r="STC6" s="157"/>
      <c r="STD6" s="157"/>
      <c r="STE6" s="157"/>
      <c r="STF6" s="157"/>
      <c r="STG6" s="157"/>
      <c r="STH6" s="157"/>
      <c r="STI6" s="157"/>
      <c r="STJ6" s="157"/>
      <c r="STK6" s="157"/>
      <c r="STL6" s="157"/>
      <c r="STM6" s="157"/>
      <c r="STN6" s="157"/>
      <c r="STO6" s="157"/>
      <c r="STP6" s="157"/>
      <c r="STQ6" s="157"/>
      <c r="STR6" s="157"/>
      <c r="STS6" s="157"/>
      <c r="STT6" s="157"/>
      <c r="STU6" s="157"/>
      <c r="STV6" s="157"/>
      <c r="STW6" s="157"/>
      <c r="STX6" s="157"/>
      <c r="STY6" s="157"/>
      <c r="STZ6" s="157"/>
      <c r="SUA6" s="157"/>
      <c r="SUB6" s="157"/>
      <c r="SUC6" s="157"/>
      <c r="SUD6" s="157"/>
      <c r="SUE6" s="157"/>
      <c r="SUF6" s="157"/>
      <c r="SUG6" s="157"/>
      <c r="SUH6" s="157"/>
      <c r="SUI6" s="157"/>
      <c r="SUJ6" s="157"/>
      <c r="SUK6" s="157"/>
      <c r="SUL6" s="157"/>
      <c r="SUM6" s="157"/>
      <c r="SUN6" s="157"/>
      <c r="SUO6" s="157"/>
      <c r="SUP6" s="157"/>
      <c r="SUQ6" s="157"/>
      <c r="SUR6" s="157"/>
      <c r="SUS6" s="157"/>
      <c r="SUT6" s="157"/>
      <c r="SUU6" s="157"/>
      <c r="SUV6" s="157"/>
      <c r="SUW6" s="157"/>
      <c r="SUX6" s="157"/>
      <c r="SUY6" s="157"/>
      <c r="SUZ6" s="157"/>
      <c r="SVA6" s="157"/>
      <c r="SVB6" s="157"/>
      <c r="SVC6" s="157"/>
      <c r="SVD6" s="157"/>
      <c r="SVE6" s="157"/>
      <c r="SVF6" s="157"/>
      <c r="SVG6" s="157"/>
      <c r="SVH6" s="157"/>
      <c r="SVI6" s="157"/>
      <c r="SVJ6" s="157"/>
      <c r="SVK6" s="157"/>
      <c r="SVL6" s="157"/>
      <c r="SVM6" s="157"/>
      <c r="SVN6" s="157"/>
      <c r="SVO6" s="157"/>
      <c r="SVP6" s="157"/>
      <c r="SVQ6" s="157"/>
      <c r="SVR6" s="157"/>
      <c r="SVS6" s="157"/>
      <c r="SVT6" s="157"/>
      <c r="SVU6" s="157"/>
      <c r="SVV6" s="157"/>
      <c r="SVW6" s="157"/>
      <c r="SVX6" s="157"/>
      <c r="SVY6" s="157"/>
      <c r="SVZ6" s="157"/>
      <c r="SWA6" s="157"/>
      <c r="SWB6" s="157"/>
      <c r="SWC6" s="157"/>
      <c r="SWD6" s="157"/>
      <c r="SWE6" s="157"/>
      <c r="SWF6" s="157"/>
      <c r="SWG6" s="157"/>
      <c r="SWH6" s="157"/>
      <c r="SWI6" s="157"/>
      <c r="SWJ6" s="157"/>
      <c r="SWK6" s="157"/>
      <c r="SWL6" s="157"/>
      <c r="SWM6" s="157"/>
      <c r="SWN6" s="157"/>
      <c r="SWO6" s="157"/>
      <c r="SWP6" s="157"/>
      <c r="SWQ6" s="157"/>
      <c r="SWR6" s="157"/>
      <c r="SWS6" s="157"/>
      <c r="SWT6" s="157"/>
      <c r="SWU6" s="157"/>
      <c r="SWV6" s="157"/>
      <c r="SWW6" s="157"/>
      <c r="SWX6" s="157"/>
      <c r="SWY6" s="157"/>
      <c r="SWZ6" s="157"/>
      <c r="SXA6" s="157"/>
      <c r="SXB6" s="157"/>
      <c r="SXC6" s="157"/>
      <c r="SXD6" s="157"/>
      <c r="SXE6" s="157"/>
      <c r="SXF6" s="157"/>
      <c r="SXG6" s="157"/>
      <c r="SXH6" s="157"/>
      <c r="SXI6" s="157"/>
      <c r="SXJ6" s="157"/>
      <c r="SXK6" s="157"/>
      <c r="SXL6" s="157"/>
      <c r="SXM6" s="157"/>
      <c r="SXN6" s="157"/>
      <c r="SXO6" s="157"/>
      <c r="SXP6" s="157"/>
      <c r="SXQ6" s="157"/>
      <c r="SXR6" s="157"/>
      <c r="SXS6" s="157"/>
      <c r="SXT6" s="157"/>
      <c r="SXU6" s="157"/>
      <c r="SXV6" s="157"/>
      <c r="SXW6" s="157"/>
      <c r="SXX6" s="157"/>
      <c r="SXY6" s="157"/>
      <c r="SXZ6" s="157"/>
      <c r="SYA6" s="157"/>
      <c r="SYB6" s="157"/>
      <c r="SYC6" s="157"/>
      <c r="SYD6" s="157"/>
      <c r="SYE6" s="157"/>
      <c r="SYF6" s="157"/>
      <c r="SYG6" s="157"/>
      <c r="SYH6" s="157"/>
      <c r="SYI6" s="157"/>
      <c r="SYJ6" s="157"/>
      <c r="SYK6" s="157"/>
      <c r="SYL6" s="157"/>
      <c r="SYM6" s="157"/>
      <c r="SYN6" s="157"/>
      <c r="SYO6" s="157"/>
      <c r="SYP6" s="157"/>
      <c r="SYQ6" s="157"/>
      <c r="SYR6" s="157"/>
      <c r="SYS6" s="157"/>
      <c r="SYT6" s="157"/>
      <c r="SYU6" s="157"/>
      <c r="SYV6" s="157"/>
      <c r="SYW6" s="157"/>
      <c r="SYX6" s="157"/>
      <c r="SYY6" s="157"/>
      <c r="SYZ6" s="157"/>
      <c r="SZA6" s="157"/>
      <c r="SZB6" s="157"/>
      <c r="SZC6" s="157"/>
      <c r="SZD6" s="157"/>
      <c r="SZE6" s="157"/>
      <c r="SZF6" s="157"/>
      <c r="SZG6" s="157"/>
      <c r="SZH6" s="157"/>
      <c r="SZI6" s="157"/>
      <c r="SZJ6" s="157"/>
      <c r="SZK6" s="157"/>
      <c r="SZL6" s="157"/>
      <c r="SZM6" s="157"/>
      <c r="SZN6" s="157"/>
      <c r="SZO6" s="157"/>
      <c r="SZP6" s="157"/>
      <c r="SZQ6" s="157"/>
      <c r="SZR6" s="157"/>
      <c r="SZS6" s="157"/>
      <c r="SZT6" s="157"/>
      <c r="SZU6" s="157"/>
      <c r="SZV6" s="157"/>
      <c r="SZW6" s="157"/>
      <c r="SZX6" s="157"/>
      <c r="SZY6" s="157"/>
      <c r="SZZ6" s="157"/>
      <c r="TAA6" s="157"/>
      <c r="TAB6" s="157"/>
      <c r="TAC6" s="157"/>
      <c r="TAD6" s="157"/>
      <c r="TAE6" s="157"/>
      <c r="TAF6" s="157"/>
      <c r="TAG6" s="157"/>
      <c r="TAH6" s="157"/>
      <c r="TAI6" s="157"/>
      <c r="TAJ6" s="157"/>
      <c r="TAK6" s="157"/>
      <c r="TAL6" s="157"/>
      <c r="TAM6" s="157"/>
      <c r="TAN6" s="157"/>
      <c r="TAO6" s="157"/>
      <c r="TAP6" s="157"/>
      <c r="TAQ6" s="157"/>
      <c r="TAR6" s="157"/>
      <c r="TAS6" s="157"/>
      <c r="TAT6" s="157"/>
      <c r="TAU6" s="157"/>
      <c r="TAV6" s="157"/>
      <c r="TAW6" s="157"/>
      <c r="TAX6" s="157"/>
      <c r="TAY6" s="157"/>
      <c r="TAZ6" s="157"/>
      <c r="TBA6" s="157"/>
      <c r="TBB6" s="157"/>
      <c r="TBC6" s="157"/>
      <c r="TBD6" s="157"/>
      <c r="TBE6" s="157"/>
      <c r="TBF6" s="157"/>
      <c r="TBG6" s="157"/>
      <c r="TBH6" s="157"/>
      <c r="TBI6" s="157"/>
      <c r="TBJ6" s="157"/>
      <c r="TBK6" s="157"/>
      <c r="TBL6" s="157"/>
      <c r="TBM6" s="157"/>
      <c r="TBN6" s="157"/>
      <c r="TBO6" s="157"/>
      <c r="TBP6" s="157"/>
      <c r="TBQ6" s="157"/>
      <c r="TBR6" s="157"/>
      <c r="TBS6" s="157"/>
      <c r="TBT6" s="157"/>
      <c r="TBU6" s="157"/>
      <c r="TBV6" s="157"/>
      <c r="TBW6" s="157"/>
      <c r="TBX6" s="157"/>
      <c r="TBY6" s="157"/>
      <c r="TBZ6" s="157"/>
      <c r="TCA6" s="157"/>
      <c r="TCB6" s="157"/>
      <c r="TCC6" s="157"/>
      <c r="TCD6" s="157"/>
      <c r="TCE6" s="157"/>
      <c r="TCF6" s="157"/>
      <c r="TCG6" s="157"/>
      <c r="TCH6" s="157"/>
      <c r="TCI6" s="157"/>
      <c r="TCJ6" s="157"/>
      <c r="TCK6" s="157"/>
      <c r="TCL6" s="157"/>
      <c r="TCM6" s="157"/>
      <c r="TCN6" s="157"/>
      <c r="TCO6" s="157"/>
      <c r="TCP6" s="157"/>
      <c r="TCQ6" s="157"/>
      <c r="TCR6" s="157"/>
      <c r="TCS6" s="157"/>
      <c r="TCT6" s="157"/>
      <c r="TCU6" s="157"/>
      <c r="TCV6" s="157"/>
      <c r="TCW6" s="157"/>
      <c r="TCX6" s="157"/>
      <c r="TCY6" s="157"/>
      <c r="TCZ6" s="157"/>
      <c r="TDA6" s="157"/>
      <c r="TDB6" s="157"/>
      <c r="TDC6" s="157"/>
      <c r="TDD6" s="157"/>
      <c r="TDE6" s="157"/>
      <c r="TDF6" s="157"/>
      <c r="TDG6" s="157"/>
      <c r="TDH6" s="157"/>
      <c r="TDI6" s="157"/>
      <c r="TDJ6" s="157"/>
      <c r="TDK6" s="157"/>
      <c r="TDL6" s="157"/>
      <c r="TDM6" s="157"/>
      <c r="TDN6" s="157"/>
      <c r="TDO6" s="157"/>
      <c r="TDP6" s="157"/>
      <c r="TDQ6" s="157"/>
      <c r="TDR6" s="157"/>
      <c r="TDS6" s="157"/>
      <c r="TDT6" s="157"/>
      <c r="TDU6" s="157"/>
      <c r="TDV6" s="157"/>
      <c r="TDW6" s="157"/>
      <c r="TDX6" s="157"/>
      <c r="TDY6" s="157"/>
      <c r="TDZ6" s="157"/>
      <c r="TEA6" s="157"/>
      <c r="TEB6" s="157"/>
      <c r="TEC6" s="157"/>
      <c r="TED6" s="157"/>
      <c r="TEE6" s="157"/>
      <c r="TEF6" s="157"/>
      <c r="TEG6" s="157"/>
      <c r="TEH6" s="157"/>
      <c r="TEI6" s="157"/>
      <c r="TEJ6" s="157"/>
      <c r="TEK6" s="157"/>
      <c r="TEL6" s="157"/>
      <c r="TEM6" s="157"/>
      <c r="TEN6" s="157"/>
      <c r="TEO6" s="157"/>
      <c r="TEP6" s="157"/>
      <c r="TEQ6" s="157"/>
      <c r="TER6" s="157"/>
      <c r="TES6" s="157"/>
      <c r="TET6" s="157"/>
      <c r="TEU6" s="157"/>
      <c r="TEV6" s="157"/>
      <c r="TEW6" s="157"/>
      <c r="TEX6" s="157"/>
      <c r="TEY6" s="157"/>
      <c r="TEZ6" s="157"/>
      <c r="TFA6" s="157"/>
      <c r="TFB6" s="157"/>
      <c r="TFC6" s="157"/>
      <c r="TFD6" s="157"/>
      <c r="TFE6" s="157"/>
      <c r="TFF6" s="157"/>
      <c r="TFG6" s="157"/>
      <c r="TFH6" s="157"/>
      <c r="TFI6" s="157"/>
      <c r="TFJ6" s="157"/>
      <c r="TFK6" s="157"/>
      <c r="TFL6" s="157"/>
      <c r="TFM6" s="157"/>
      <c r="TFN6" s="157"/>
      <c r="TFO6" s="157"/>
      <c r="TFP6" s="157"/>
      <c r="TFQ6" s="157"/>
      <c r="TFR6" s="157"/>
      <c r="TFS6" s="157"/>
      <c r="TFT6" s="157"/>
      <c r="TFU6" s="157"/>
      <c r="TFV6" s="157"/>
      <c r="TFW6" s="157"/>
      <c r="TFX6" s="157"/>
      <c r="TFY6" s="157"/>
      <c r="TFZ6" s="157"/>
      <c r="TGA6" s="157"/>
      <c r="TGB6" s="157"/>
      <c r="TGC6" s="157"/>
      <c r="TGD6" s="157"/>
      <c r="TGE6" s="157"/>
      <c r="TGF6" s="157"/>
      <c r="TGG6" s="157"/>
      <c r="TGH6" s="157"/>
      <c r="TGI6" s="157"/>
      <c r="TGJ6" s="157"/>
      <c r="TGK6" s="157"/>
      <c r="TGL6" s="157"/>
      <c r="TGM6" s="157"/>
      <c r="TGN6" s="157"/>
      <c r="TGO6" s="157"/>
      <c r="TGP6" s="157"/>
      <c r="TGQ6" s="157"/>
      <c r="TGR6" s="157"/>
      <c r="TGS6" s="157"/>
      <c r="TGT6" s="157"/>
      <c r="TGU6" s="157"/>
      <c r="TGV6" s="157"/>
      <c r="TGW6" s="157"/>
      <c r="TGX6" s="157"/>
      <c r="TGY6" s="157"/>
      <c r="TGZ6" s="157"/>
      <c r="THA6" s="157"/>
      <c r="THB6" s="157"/>
      <c r="THC6" s="157"/>
      <c r="THD6" s="157"/>
      <c r="THE6" s="157"/>
      <c r="THF6" s="157"/>
      <c r="THG6" s="157"/>
      <c r="THH6" s="157"/>
      <c r="THI6" s="157"/>
      <c r="THJ6" s="157"/>
      <c r="THK6" s="157"/>
      <c r="THL6" s="157"/>
      <c r="THM6" s="157"/>
      <c r="THN6" s="157"/>
      <c r="THO6" s="157"/>
      <c r="THP6" s="157"/>
      <c r="THQ6" s="157"/>
      <c r="THR6" s="157"/>
      <c r="THS6" s="157"/>
      <c r="THT6" s="157"/>
      <c r="THU6" s="157"/>
      <c r="THV6" s="157"/>
      <c r="THW6" s="157"/>
      <c r="THX6" s="157"/>
      <c r="THY6" s="157"/>
      <c r="THZ6" s="157"/>
      <c r="TIA6" s="157"/>
      <c r="TIB6" s="157"/>
      <c r="TIC6" s="157"/>
      <c r="TID6" s="157"/>
      <c r="TIE6" s="157"/>
      <c r="TIF6" s="157"/>
      <c r="TIG6" s="157"/>
      <c r="TIH6" s="157"/>
      <c r="TII6" s="157"/>
      <c r="TIJ6" s="157"/>
      <c r="TIK6" s="157"/>
      <c r="TIL6" s="157"/>
      <c r="TIM6" s="157"/>
      <c r="TIN6" s="157"/>
      <c r="TIO6" s="157"/>
      <c r="TIP6" s="157"/>
      <c r="TIQ6" s="157"/>
      <c r="TIR6" s="157"/>
      <c r="TIS6" s="157"/>
      <c r="TIT6" s="157"/>
      <c r="TIU6" s="157"/>
      <c r="TIV6" s="157"/>
      <c r="TIW6" s="157"/>
      <c r="TIX6" s="157"/>
      <c r="TIY6" s="157"/>
      <c r="TIZ6" s="157"/>
      <c r="TJA6" s="157"/>
      <c r="TJB6" s="157"/>
      <c r="TJC6" s="157"/>
      <c r="TJD6" s="157"/>
      <c r="TJE6" s="157"/>
      <c r="TJF6" s="157"/>
      <c r="TJG6" s="157"/>
      <c r="TJH6" s="157"/>
      <c r="TJI6" s="157"/>
      <c r="TJJ6" s="157"/>
      <c r="TJK6" s="157"/>
      <c r="TJL6" s="157"/>
      <c r="TJM6" s="157"/>
      <c r="TJN6" s="157"/>
      <c r="TJO6" s="157"/>
      <c r="TJP6" s="157"/>
      <c r="TJQ6" s="157"/>
      <c r="TJR6" s="157"/>
      <c r="TJS6" s="157"/>
      <c r="TJT6" s="157"/>
      <c r="TJU6" s="157"/>
      <c r="TJV6" s="157"/>
      <c r="TJW6" s="157"/>
      <c r="TJX6" s="157"/>
      <c r="TJY6" s="157"/>
      <c r="TJZ6" s="157"/>
      <c r="TKA6" s="157"/>
      <c r="TKB6" s="157"/>
      <c r="TKC6" s="157"/>
      <c r="TKD6" s="157"/>
      <c r="TKE6" s="157"/>
      <c r="TKF6" s="157"/>
      <c r="TKG6" s="157"/>
      <c r="TKH6" s="157"/>
      <c r="TKI6" s="157"/>
      <c r="TKJ6" s="157"/>
      <c r="TKK6" s="157"/>
      <c r="TKL6" s="157"/>
      <c r="TKM6" s="157"/>
      <c r="TKN6" s="157"/>
      <c r="TKO6" s="157"/>
      <c r="TKP6" s="157"/>
      <c r="TKQ6" s="157"/>
      <c r="TKR6" s="157"/>
      <c r="TKS6" s="157"/>
      <c r="TKT6" s="157"/>
      <c r="TKU6" s="157"/>
      <c r="TKV6" s="157"/>
      <c r="TKW6" s="157"/>
      <c r="TKX6" s="157"/>
      <c r="TKY6" s="157"/>
      <c r="TKZ6" s="157"/>
      <c r="TLA6" s="157"/>
      <c r="TLB6" s="157"/>
      <c r="TLC6" s="157"/>
      <c r="TLD6" s="157"/>
      <c r="TLE6" s="157"/>
      <c r="TLF6" s="157"/>
      <c r="TLG6" s="157"/>
      <c r="TLH6" s="157"/>
      <c r="TLI6" s="157"/>
      <c r="TLJ6" s="157"/>
      <c r="TLK6" s="157"/>
      <c r="TLL6" s="157"/>
      <c r="TLM6" s="157"/>
      <c r="TLN6" s="157"/>
      <c r="TLO6" s="157"/>
      <c r="TLP6" s="157"/>
      <c r="TLQ6" s="157"/>
      <c r="TLR6" s="157"/>
      <c r="TLS6" s="157"/>
      <c r="TLT6" s="157"/>
      <c r="TLU6" s="157"/>
      <c r="TLV6" s="157"/>
      <c r="TLW6" s="157"/>
      <c r="TLX6" s="157"/>
      <c r="TLY6" s="157"/>
      <c r="TLZ6" s="157"/>
      <c r="TMA6" s="157"/>
      <c r="TMB6" s="157"/>
      <c r="TMC6" s="157"/>
      <c r="TMD6" s="157"/>
      <c r="TME6" s="157"/>
      <c r="TMF6" s="157"/>
      <c r="TMG6" s="157"/>
      <c r="TMH6" s="157"/>
      <c r="TMI6" s="157"/>
      <c r="TMJ6" s="157"/>
      <c r="TMK6" s="157"/>
      <c r="TML6" s="157"/>
      <c r="TMM6" s="157"/>
      <c r="TMN6" s="157"/>
      <c r="TMO6" s="157"/>
      <c r="TMP6" s="157"/>
      <c r="TMQ6" s="157"/>
      <c r="TMR6" s="157"/>
      <c r="TMS6" s="157"/>
      <c r="TMT6" s="157"/>
      <c r="TMU6" s="157"/>
      <c r="TMV6" s="157"/>
      <c r="TMW6" s="157"/>
      <c r="TMX6" s="157"/>
      <c r="TMY6" s="157"/>
      <c r="TMZ6" s="157"/>
      <c r="TNA6" s="157"/>
      <c r="TNB6" s="157"/>
      <c r="TNC6" s="157"/>
      <c r="TND6" s="157"/>
      <c r="TNE6" s="157"/>
      <c r="TNF6" s="157"/>
      <c r="TNG6" s="157"/>
      <c r="TNH6" s="157"/>
      <c r="TNI6" s="157"/>
      <c r="TNJ6" s="157"/>
      <c r="TNK6" s="157"/>
      <c r="TNL6" s="157"/>
      <c r="TNM6" s="157"/>
      <c r="TNN6" s="157"/>
      <c r="TNO6" s="157"/>
      <c r="TNP6" s="157"/>
      <c r="TNQ6" s="157"/>
      <c r="TNR6" s="157"/>
      <c r="TNS6" s="157"/>
      <c r="TNT6" s="157"/>
      <c r="TNU6" s="157"/>
      <c r="TNV6" s="157"/>
      <c r="TNW6" s="157"/>
      <c r="TNX6" s="157"/>
      <c r="TNY6" s="157"/>
      <c r="TNZ6" s="157"/>
      <c r="TOA6" s="157"/>
      <c r="TOB6" s="157"/>
      <c r="TOC6" s="157"/>
      <c r="TOD6" s="157"/>
      <c r="TOE6" s="157"/>
      <c r="TOF6" s="157"/>
      <c r="TOG6" s="157"/>
      <c r="TOH6" s="157"/>
      <c r="TOI6" s="157"/>
      <c r="TOJ6" s="157"/>
      <c r="TOK6" s="157"/>
      <c r="TOL6" s="157"/>
      <c r="TOM6" s="157"/>
      <c r="TON6" s="157"/>
      <c r="TOO6" s="157"/>
      <c r="TOP6" s="157"/>
      <c r="TOQ6" s="157"/>
      <c r="TOR6" s="157"/>
      <c r="TOS6" s="157"/>
      <c r="TOT6" s="157"/>
      <c r="TOU6" s="157"/>
      <c r="TOV6" s="157"/>
      <c r="TOW6" s="157"/>
      <c r="TOX6" s="157"/>
      <c r="TOY6" s="157"/>
      <c r="TOZ6" s="157"/>
      <c r="TPA6" s="157"/>
      <c r="TPB6" s="157"/>
      <c r="TPC6" s="157"/>
      <c r="TPD6" s="157"/>
      <c r="TPE6" s="157"/>
      <c r="TPF6" s="157"/>
      <c r="TPG6" s="157"/>
      <c r="TPH6" s="157"/>
      <c r="TPI6" s="157"/>
      <c r="TPJ6" s="157"/>
      <c r="TPK6" s="157"/>
      <c r="TPL6" s="157"/>
      <c r="TPM6" s="157"/>
      <c r="TPN6" s="157"/>
      <c r="TPO6" s="157"/>
      <c r="TPP6" s="157"/>
      <c r="TPQ6" s="157"/>
      <c r="TPR6" s="157"/>
      <c r="TPS6" s="157"/>
      <c r="TPT6" s="157"/>
      <c r="TPU6" s="157"/>
      <c r="TPV6" s="157"/>
      <c r="TPW6" s="157"/>
      <c r="TPX6" s="157"/>
      <c r="TPY6" s="157"/>
      <c r="TPZ6" s="157"/>
      <c r="TQA6" s="157"/>
      <c r="TQB6" s="157"/>
      <c r="TQC6" s="157"/>
      <c r="TQD6" s="157"/>
      <c r="TQE6" s="157"/>
      <c r="TQF6" s="157"/>
      <c r="TQG6" s="157"/>
      <c r="TQH6" s="157"/>
      <c r="TQI6" s="157"/>
      <c r="TQJ6" s="157"/>
      <c r="TQK6" s="157"/>
      <c r="TQL6" s="157"/>
      <c r="TQM6" s="157"/>
      <c r="TQN6" s="157"/>
      <c r="TQO6" s="157"/>
      <c r="TQP6" s="157"/>
      <c r="TQQ6" s="157"/>
      <c r="TQR6" s="157"/>
      <c r="TQS6" s="157"/>
      <c r="TQT6" s="157"/>
      <c r="TQU6" s="157"/>
      <c r="TQV6" s="157"/>
      <c r="TQW6" s="157"/>
      <c r="TQX6" s="157"/>
      <c r="TQY6" s="157"/>
      <c r="TQZ6" s="157"/>
      <c r="TRA6" s="157"/>
      <c r="TRB6" s="157"/>
      <c r="TRC6" s="157"/>
      <c r="TRD6" s="157"/>
      <c r="TRE6" s="157"/>
      <c r="TRF6" s="157"/>
      <c r="TRG6" s="157"/>
      <c r="TRH6" s="157"/>
      <c r="TRI6" s="157"/>
      <c r="TRJ6" s="157"/>
      <c r="TRK6" s="157"/>
      <c r="TRL6" s="157"/>
      <c r="TRM6" s="157"/>
      <c r="TRN6" s="157"/>
      <c r="TRO6" s="157"/>
      <c r="TRP6" s="157"/>
      <c r="TRQ6" s="157"/>
      <c r="TRR6" s="157"/>
      <c r="TRS6" s="157"/>
      <c r="TRT6" s="157"/>
      <c r="TRU6" s="157"/>
      <c r="TRV6" s="157"/>
      <c r="TRW6" s="157"/>
      <c r="TRX6" s="157"/>
      <c r="TRY6" s="157"/>
      <c r="TRZ6" s="157"/>
      <c r="TSA6" s="157"/>
      <c r="TSB6" s="157"/>
      <c r="TSC6" s="157"/>
      <c r="TSD6" s="157"/>
      <c r="TSE6" s="157"/>
      <c r="TSF6" s="157"/>
      <c r="TSG6" s="157"/>
      <c r="TSH6" s="157"/>
      <c r="TSI6" s="157"/>
      <c r="TSJ6" s="157"/>
      <c r="TSK6" s="157"/>
      <c r="TSL6" s="157"/>
      <c r="TSM6" s="157"/>
      <c r="TSN6" s="157"/>
      <c r="TSO6" s="157"/>
      <c r="TSP6" s="157"/>
      <c r="TSQ6" s="157"/>
      <c r="TSR6" s="157"/>
      <c r="TSS6" s="157"/>
      <c r="TST6" s="157"/>
      <c r="TSU6" s="157"/>
      <c r="TSV6" s="157"/>
      <c r="TSW6" s="157"/>
      <c r="TSX6" s="157"/>
      <c r="TSY6" s="157"/>
      <c r="TSZ6" s="157"/>
      <c r="TTA6" s="157"/>
      <c r="TTB6" s="157"/>
      <c r="TTC6" s="157"/>
      <c r="TTD6" s="157"/>
      <c r="TTE6" s="157"/>
      <c r="TTF6" s="157"/>
      <c r="TTG6" s="157"/>
      <c r="TTH6" s="157"/>
      <c r="TTI6" s="157"/>
      <c r="TTJ6" s="157"/>
      <c r="TTK6" s="157"/>
      <c r="TTL6" s="157"/>
      <c r="TTM6" s="157"/>
      <c r="TTN6" s="157"/>
      <c r="TTO6" s="157"/>
      <c r="TTP6" s="157"/>
      <c r="TTQ6" s="157"/>
      <c r="TTR6" s="157"/>
      <c r="TTS6" s="157"/>
      <c r="TTT6" s="157"/>
      <c r="TTU6" s="157"/>
      <c r="TTV6" s="157"/>
      <c r="TTW6" s="157"/>
      <c r="TTX6" s="157"/>
      <c r="TTY6" s="157"/>
      <c r="TTZ6" s="157"/>
      <c r="TUA6" s="157"/>
      <c r="TUB6" s="157"/>
      <c r="TUC6" s="157"/>
      <c r="TUD6" s="157"/>
      <c r="TUE6" s="157"/>
      <c r="TUF6" s="157"/>
      <c r="TUG6" s="157"/>
      <c r="TUH6" s="157"/>
      <c r="TUI6" s="157"/>
      <c r="TUJ6" s="157"/>
      <c r="TUK6" s="157"/>
      <c r="TUL6" s="157"/>
      <c r="TUM6" s="157"/>
      <c r="TUN6" s="157"/>
      <c r="TUO6" s="157"/>
      <c r="TUP6" s="157"/>
      <c r="TUQ6" s="157"/>
      <c r="TUR6" s="157"/>
      <c r="TUS6" s="157"/>
      <c r="TUT6" s="157"/>
      <c r="TUU6" s="157"/>
      <c r="TUV6" s="157"/>
      <c r="TUW6" s="157"/>
      <c r="TUX6" s="157"/>
      <c r="TUY6" s="157"/>
      <c r="TUZ6" s="157"/>
      <c r="TVA6" s="157"/>
      <c r="TVB6" s="157"/>
      <c r="TVC6" s="157"/>
      <c r="TVD6" s="157"/>
      <c r="TVE6" s="157"/>
      <c r="TVF6" s="157"/>
      <c r="TVG6" s="157"/>
      <c r="TVH6" s="157"/>
      <c r="TVI6" s="157"/>
      <c r="TVJ6" s="157"/>
      <c r="TVK6" s="157"/>
      <c r="TVL6" s="157"/>
      <c r="TVM6" s="157"/>
      <c r="TVN6" s="157"/>
      <c r="TVO6" s="157"/>
      <c r="TVP6" s="157"/>
      <c r="TVQ6" s="157"/>
      <c r="TVR6" s="157"/>
      <c r="TVS6" s="157"/>
      <c r="TVT6" s="157"/>
      <c r="TVU6" s="157"/>
      <c r="TVV6" s="157"/>
      <c r="TVW6" s="157"/>
      <c r="TVX6" s="157"/>
      <c r="TVY6" s="157"/>
      <c r="TVZ6" s="157"/>
      <c r="TWA6" s="157"/>
      <c r="TWB6" s="157"/>
      <c r="TWC6" s="157"/>
      <c r="TWD6" s="157"/>
      <c r="TWE6" s="157"/>
      <c r="TWF6" s="157"/>
      <c r="TWG6" s="157"/>
      <c r="TWH6" s="157"/>
      <c r="TWI6" s="157"/>
      <c r="TWJ6" s="157"/>
      <c r="TWK6" s="157"/>
      <c r="TWL6" s="157"/>
      <c r="TWM6" s="157"/>
      <c r="TWN6" s="157"/>
      <c r="TWO6" s="157"/>
      <c r="TWP6" s="157"/>
      <c r="TWQ6" s="157"/>
      <c r="TWR6" s="157"/>
      <c r="TWS6" s="157"/>
      <c r="TWT6" s="157"/>
      <c r="TWU6" s="157"/>
      <c r="TWV6" s="157"/>
      <c r="TWW6" s="157"/>
      <c r="TWX6" s="157"/>
      <c r="TWY6" s="157"/>
      <c r="TWZ6" s="157"/>
      <c r="TXA6" s="157"/>
      <c r="TXB6" s="157"/>
      <c r="TXC6" s="157"/>
      <c r="TXD6" s="157"/>
      <c r="TXE6" s="157"/>
      <c r="TXF6" s="157"/>
      <c r="TXG6" s="157"/>
      <c r="TXH6" s="157"/>
      <c r="TXI6" s="157"/>
      <c r="TXJ6" s="157"/>
      <c r="TXK6" s="157"/>
      <c r="TXL6" s="157"/>
      <c r="TXM6" s="157"/>
      <c r="TXN6" s="157"/>
      <c r="TXO6" s="157"/>
      <c r="TXP6" s="157"/>
      <c r="TXQ6" s="157"/>
      <c r="TXR6" s="157"/>
      <c r="TXS6" s="157"/>
      <c r="TXT6" s="157"/>
      <c r="TXU6" s="157"/>
      <c r="TXV6" s="157"/>
      <c r="TXW6" s="157"/>
      <c r="TXX6" s="157"/>
      <c r="TXY6" s="157"/>
      <c r="TXZ6" s="157"/>
      <c r="TYA6" s="157"/>
      <c r="TYB6" s="157"/>
      <c r="TYC6" s="157"/>
      <c r="TYD6" s="157"/>
      <c r="TYE6" s="157"/>
      <c r="TYF6" s="157"/>
      <c r="TYG6" s="157"/>
      <c r="TYH6" s="157"/>
      <c r="TYI6" s="157"/>
      <c r="TYJ6" s="157"/>
      <c r="TYK6" s="157"/>
      <c r="TYL6" s="157"/>
      <c r="TYM6" s="157"/>
      <c r="TYN6" s="157"/>
      <c r="TYO6" s="157"/>
      <c r="TYP6" s="157"/>
      <c r="TYQ6" s="157"/>
      <c r="TYR6" s="157"/>
      <c r="TYS6" s="157"/>
      <c r="TYT6" s="157"/>
      <c r="TYU6" s="157"/>
      <c r="TYV6" s="157"/>
      <c r="TYW6" s="157"/>
      <c r="TYX6" s="157"/>
      <c r="TYY6" s="157"/>
      <c r="TYZ6" s="157"/>
      <c r="TZA6" s="157"/>
      <c r="TZB6" s="157"/>
      <c r="TZC6" s="157"/>
      <c r="TZD6" s="157"/>
      <c r="TZE6" s="157"/>
      <c r="TZF6" s="157"/>
      <c r="TZG6" s="157"/>
      <c r="TZH6" s="157"/>
      <c r="TZI6" s="157"/>
      <c r="TZJ6" s="157"/>
      <c r="TZK6" s="157"/>
      <c r="TZL6" s="157"/>
      <c r="TZM6" s="157"/>
      <c r="TZN6" s="157"/>
      <c r="TZO6" s="157"/>
      <c r="TZP6" s="157"/>
      <c r="TZQ6" s="157"/>
      <c r="TZR6" s="157"/>
      <c r="TZS6" s="157"/>
      <c r="TZT6" s="157"/>
      <c r="TZU6" s="157"/>
      <c r="TZV6" s="157"/>
      <c r="TZW6" s="157"/>
      <c r="TZX6" s="157"/>
      <c r="TZY6" s="157"/>
      <c r="TZZ6" s="157"/>
      <c r="UAA6" s="157"/>
      <c r="UAB6" s="157"/>
      <c r="UAC6" s="157"/>
      <c r="UAD6" s="157"/>
      <c r="UAE6" s="157"/>
      <c r="UAF6" s="157"/>
      <c r="UAG6" s="157"/>
      <c r="UAH6" s="157"/>
      <c r="UAI6" s="157"/>
      <c r="UAJ6" s="157"/>
      <c r="UAK6" s="157"/>
      <c r="UAL6" s="157"/>
      <c r="UAM6" s="157"/>
      <c r="UAN6" s="157"/>
      <c r="UAO6" s="157"/>
      <c r="UAP6" s="157"/>
      <c r="UAQ6" s="157"/>
      <c r="UAR6" s="157"/>
      <c r="UAS6" s="157"/>
      <c r="UAT6" s="157"/>
      <c r="UAU6" s="157"/>
      <c r="UAV6" s="157"/>
      <c r="UAW6" s="157"/>
      <c r="UAX6" s="157"/>
      <c r="UAY6" s="157"/>
      <c r="UAZ6" s="157"/>
      <c r="UBA6" s="157"/>
      <c r="UBB6" s="157"/>
      <c r="UBC6" s="157"/>
      <c r="UBD6" s="157"/>
      <c r="UBE6" s="157"/>
      <c r="UBF6" s="157"/>
      <c r="UBG6" s="157"/>
      <c r="UBH6" s="157"/>
      <c r="UBI6" s="157"/>
      <c r="UBJ6" s="157"/>
      <c r="UBK6" s="157"/>
      <c r="UBL6" s="157"/>
      <c r="UBM6" s="157"/>
      <c r="UBN6" s="157"/>
      <c r="UBO6" s="157"/>
      <c r="UBP6" s="157"/>
      <c r="UBQ6" s="157"/>
      <c r="UBR6" s="157"/>
      <c r="UBS6" s="157"/>
      <c r="UBT6" s="157"/>
      <c r="UBU6" s="157"/>
      <c r="UBV6" s="157"/>
      <c r="UBW6" s="157"/>
      <c r="UBX6" s="157"/>
      <c r="UBY6" s="157"/>
      <c r="UBZ6" s="157"/>
      <c r="UCA6" s="157"/>
      <c r="UCB6" s="157"/>
      <c r="UCC6" s="157"/>
      <c r="UCD6" s="157"/>
      <c r="UCE6" s="157"/>
      <c r="UCF6" s="157"/>
      <c r="UCG6" s="157"/>
      <c r="UCH6" s="157"/>
      <c r="UCI6" s="157"/>
      <c r="UCJ6" s="157"/>
      <c r="UCK6" s="157"/>
      <c r="UCL6" s="157"/>
      <c r="UCM6" s="157"/>
      <c r="UCN6" s="157"/>
      <c r="UCO6" s="157"/>
      <c r="UCP6" s="157"/>
      <c r="UCQ6" s="157"/>
      <c r="UCR6" s="157"/>
      <c r="UCS6" s="157"/>
      <c r="UCT6" s="157"/>
      <c r="UCU6" s="157"/>
      <c r="UCV6" s="157"/>
      <c r="UCW6" s="157"/>
      <c r="UCX6" s="157"/>
      <c r="UCY6" s="157"/>
      <c r="UCZ6" s="157"/>
      <c r="UDA6" s="157"/>
      <c r="UDB6" s="157"/>
      <c r="UDC6" s="157"/>
      <c r="UDD6" s="157"/>
      <c r="UDE6" s="157"/>
      <c r="UDF6" s="157"/>
      <c r="UDG6" s="157"/>
      <c r="UDH6" s="157"/>
      <c r="UDI6" s="157"/>
      <c r="UDJ6" s="157"/>
      <c r="UDK6" s="157"/>
      <c r="UDL6" s="157"/>
      <c r="UDM6" s="157"/>
      <c r="UDN6" s="157"/>
      <c r="UDO6" s="157"/>
      <c r="UDP6" s="157"/>
      <c r="UDQ6" s="157"/>
      <c r="UDR6" s="157"/>
      <c r="UDS6" s="157"/>
      <c r="UDT6" s="157"/>
      <c r="UDU6" s="157"/>
      <c r="UDV6" s="157"/>
      <c r="UDW6" s="157"/>
      <c r="UDX6" s="157"/>
      <c r="UDY6" s="157"/>
      <c r="UDZ6" s="157"/>
      <c r="UEA6" s="157"/>
      <c r="UEB6" s="157"/>
      <c r="UEC6" s="157"/>
      <c r="UED6" s="157"/>
      <c r="UEE6" s="157"/>
      <c r="UEF6" s="157"/>
      <c r="UEG6" s="157"/>
      <c r="UEH6" s="157"/>
      <c r="UEI6" s="157"/>
      <c r="UEJ6" s="157"/>
      <c r="UEK6" s="157"/>
      <c r="UEL6" s="157"/>
      <c r="UEM6" s="157"/>
      <c r="UEN6" s="157"/>
      <c r="UEO6" s="157"/>
      <c r="UEP6" s="157"/>
      <c r="UEQ6" s="157"/>
      <c r="UER6" s="157"/>
      <c r="UES6" s="157"/>
      <c r="UET6" s="157"/>
      <c r="UEU6" s="157"/>
      <c r="UEV6" s="157"/>
      <c r="UEW6" s="157"/>
      <c r="UEX6" s="157"/>
      <c r="UEY6" s="157"/>
      <c r="UEZ6" s="157"/>
      <c r="UFA6" s="157"/>
      <c r="UFB6" s="157"/>
      <c r="UFC6" s="157"/>
      <c r="UFD6" s="157"/>
      <c r="UFE6" s="157"/>
      <c r="UFF6" s="157"/>
      <c r="UFG6" s="157"/>
      <c r="UFH6" s="157"/>
      <c r="UFI6" s="157"/>
      <c r="UFJ6" s="157"/>
      <c r="UFK6" s="157"/>
      <c r="UFL6" s="157"/>
      <c r="UFM6" s="157"/>
      <c r="UFN6" s="157"/>
      <c r="UFO6" s="157"/>
      <c r="UFP6" s="157"/>
      <c r="UFQ6" s="157"/>
      <c r="UFR6" s="157"/>
      <c r="UFS6" s="157"/>
      <c r="UFT6" s="157"/>
      <c r="UFU6" s="157"/>
      <c r="UFV6" s="157"/>
      <c r="UFW6" s="157"/>
      <c r="UFX6" s="157"/>
      <c r="UFY6" s="157"/>
      <c r="UFZ6" s="157"/>
      <c r="UGA6" s="157"/>
      <c r="UGB6" s="157"/>
      <c r="UGC6" s="157"/>
      <c r="UGD6" s="157"/>
      <c r="UGE6" s="157"/>
      <c r="UGF6" s="157"/>
      <c r="UGG6" s="157"/>
      <c r="UGH6" s="157"/>
      <c r="UGI6" s="157"/>
      <c r="UGJ6" s="157"/>
      <c r="UGK6" s="157"/>
      <c r="UGL6" s="157"/>
      <c r="UGM6" s="157"/>
      <c r="UGN6" s="157"/>
      <c r="UGO6" s="157"/>
      <c r="UGP6" s="157"/>
      <c r="UGQ6" s="157"/>
      <c r="UGR6" s="157"/>
      <c r="UGS6" s="157"/>
      <c r="UGT6" s="157"/>
      <c r="UGU6" s="157"/>
      <c r="UGV6" s="157"/>
      <c r="UGW6" s="157"/>
      <c r="UGX6" s="157"/>
      <c r="UGY6" s="157"/>
      <c r="UGZ6" s="157"/>
      <c r="UHA6" s="157"/>
      <c r="UHB6" s="157"/>
      <c r="UHC6" s="157"/>
      <c r="UHD6" s="157"/>
      <c r="UHE6" s="157"/>
      <c r="UHF6" s="157"/>
      <c r="UHG6" s="157"/>
      <c r="UHH6" s="157"/>
      <c r="UHI6" s="157"/>
      <c r="UHJ6" s="157"/>
      <c r="UHK6" s="157"/>
      <c r="UHL6" s="157"/>
      <c r="UHM6" s="157"/>
      <c r="UHN6" s="157"/>
      <c r="UHO6" s="157"/>
      <c r="UHP6" s="157"/>
      <c r="UHQ6" s="157"/>
      <c r="UHR6" s="157"/>
      <c r="UHS6" s="157"/>
      <c r="UHT6" s="157"/>
      <c r="UHU6" s="157"/>
      <c r="UHV6" s="157"/>
      <c r="UHW6" s="157"/>
      <c r="UHX6" s="157"/>
      <c r="UHY6" s="157"/>
      <c r="UHZ6" s="157"/>
      <c r="UIA6" s="157"/>
      <c r="UIB6" s="157"/>
      <c r="UIC6" s="157"/>
      <c r="UID6" s="157"/>
      <c r="UIE6" s="157"/>
      <c r="UIF6" s="157"/>
      <c r="UIG6" s="157"/>
      <c r="UIH6" s="157"/>
      <c r="UII6" s="157"/>
      <c r="UIJ6" s="157"/>
      <c r="UIK6" s="157"/>
      <c r="UIL6" s="157"/>
      <c r="UIM6" s="157"/>
      <c r="UIN6" s="157"/>
      <c r="UIO6" s="157"/>
      <c r="UIP6" s="157"/>
      <c r="UIQ6" s="157"/>
      <c r="UIR6" s="157"/>
      <c r="UIS6" s="157"/>
      <c r="UIT6" s="157"/>
      <c r="UIU6" s="157"/>
      <c r="UIV6" s="157"/>
      <c r="UIW6" s="157"/>
      <c r="UIX6" s="157"/>
      <c r="UIY6" s="157"/>
      <c r="UIZ6" s="157"/>
      <c r="UJA6" s="157"/>
      <c r="UJB6" s="157"/>
      <c r="UJC6" s="157"/>
      <c r="UJD6" s="157"/>
      <c r="UJE6" s="157"/>
      <c r="UJF6" s="157"/>
      <c r="UJG6" s="157"/>
      <c r="UJH6" s="157"/>
      <c r="UJI6" s="157"/>
      <c r="UJJ6" s="157"/>
      <c r="UJK6" s="157"/>
      <c r="UJL6" s="157"/>
      <c r="UJM6" s="157"/>
      <c r="UJN6" s="157"/>
      <c r="UJO6" s="157"/>
      <c r="UJP6" s="157"/>
      <c r="UJQ6" s="157"/>
      <c r="UJR6" s="157"/>
      <c r="UJS6" s="157"/>
      <c r="UJT6" s="157"/>
      <c r="UJU6" s="157"/>
      <c r="UJV6" s="157"/>
      <c r="UJW6" s="157"/>
      <c r="UJX6" s="157"/>
      <c r="UJY6" s="157"/>
      <c r="UJZ6" s="157"/>
      <c r="UKA6" s="157"/>
      <c r="UKB6" s="157"/>
      <c r="UKC6" s="157"/>
      <c r="UKD6" s="157"/>
      <c r="UKE6" s="157"/>
      <c r="UKF6" s="157"/>
      <c r="UKG6" s="157"/>
      <c r="UKH6" s="157"/>
      <c r="UKI6" s="157"/>
      <c r="UKJ6" s="157"/>
      <c r="UKK6" s="157"/>
      <c r="UKL6" s="157"/>
      <c r="UKM6" s="157"/>
      <c r="UKN6" s="157"/>
      <c r="UKO6" s="157"/>
      <c r="UKP6" s="157"/>
      <c r="UKQ6" s="157"/>
      <c r="UKR6" s="157"/>
      <c r="UKS6" s="157"/>
      <c r="UKT6" s="157"/>
      <c r="UKU6" s="157"/>
      <c r="UKV6" s="157"/>
      <c r="UKW6" s="157"/>
      <c r="UKX6" s="157"/>
      <c r="UKY6" s="157"/>
      <c r="UKZ6" s="157"/>
      <c r="ULA6" s="157"/>
      <c r="ULB6" s="157"/>
      <c r="ULC6" s="157"/>
      <c r="ULD6" s="157"/>
      <c r="ULE6" s="157"/>
      <c r="ULF6" s="157"/>
      <c r="ULG6" s="157"/>
      <c r="ULH6" s="157"/>
      <c r="ULI6" s="157"/>
      <c r="ULJ6" s="157"/>
      <c r="ULK6" s="157"/>
      <c r="ULL6" s="157"/>
      <c r="ULM6" s="157"/>
      <c r="ULN6" s="157"/>
      <c r="ULO6" s="157"/>
      <c r="ULP6" s="157"/>
      <c r="ULQ6" s="157"/>
      <c r="ULR6" s="157"/>
      <c r="ULS6" s="157"/>
      <c r="ULT6" s="157"/>
      <c r="ULU6" s="157"/>
      <c r="ULV6" s="157"/>
      <c r="ULW6" s="157"/>
      <c r="ULX6" s="157"/>
      <c r="ULY6" s="157"/>
      <c r="ULZ6" s="157"/>
      <c r="UMA6" s="157"/>
      <c r="UMB6" s="157"/>
      <c r="UMC6" s="157"/>
      <c r="UMD6" s="157"/>
      <c r="UME6" s="157"/>
      <c r="UMF6" s="157"/>
      <c r="UMG6" s="157"/>
      <c r="UMH6" s="157"/>
      <c r="UMI6" s="157"/>
      <c r="UMJ6" s="157"/>
      <c r="UMK6" s="157"/>
      <c r="UML6" s="157"/>
      <c r="UMM6" s="157"/>
      <c r="UMN6" s="157"/>
      <c r="UMO6" s="157"/>
      <c r="UMP6" s="157"/>
      <c r="UMQ6" s="157"/>
      <c r="UMR6" s="157"/>
      <c r="UMS6" s="157"/>
      <c r="UMT6" s="157"/>
      <c r="UMU6" s="157"/>
      <c r="UMV6" s="157"/>
      <c r="UMW6" s="157"/>
      <c r="UMX6" s="157"/>
      <c r="UMY6" s="157"/>
      <c r="UMZ6" s="157"/>
      <c r="UNA6" s="157"/>
      <c r="UNB6" s="157"/>
      <c r="UNC6" s="157"/>
      <c r="UND6" s="157"/>
      <c r="UNE6" s="157"/>
      <c r="UNF6" s="157"/>
      <c r="UNG6" s="157"/>
      <c r="UNH6" s="157"/>
      <c r="UNI6" s="157"/>
      <c r="UNJ6" s="157"/>
      <c r="UNK6" s="157"/>
      <c r="UNL6" s="157"/>
      <c r="UNM6" s="157"/>
      <c r="UNN6" s="157"/>
      <c r="UNO6" s="157"/>
      <c r="UNP6" s="157"/>
      <c r="UNQ6" s="157"/>
      <c r="UNR6" s="157"/>
      <c r="UNS6" s="157"/>
      <c r="UNT6" s="157"/>
      <c r="UNU6" s="157"/>
      <c r="UNV6" s="157"/>
      <c r="UNW6" s="157"/>
      <c r="UNX6" s="157"/>
      <c r="UNY6" s="157"/>
      <c r="UNZ6" s="157"/>
      <c r="UOA6" s="157"/>
      <c r="UOB6" s="157"/>
      <c r="UOC6" s="157"/>
      <c r="UOD6" s="157"/>
      <c r="UOE6" s="157"/>
      <c r="UOF6" s="157"/>
      <c r="UOG6" s="157"/>
      <c r="UOH6" s="157"/>
      <c r="UOI6" s="157"/>
      <c r="UOJ6" s="157"/>
      <c r="UOK6" s="157"/>
      <c r="UOL6" s="157"/>
      <c r="UOM6" s="157"/>
      <c r="UON6" s="157"/>
      <c r="UOO6" s="157"/>
      <c r="UOP6" s="157"/>
      <c r="UOQ6" s="157"/>
      <c r="UOR6" s="157"/>
      <c r="UOS6" s="157"/>
      <c r="UOT6" s="157"/>
      <c r="UOU6" s="157"/>
      <c r="UOV6" s="157"/>
      <c r="UOW6" s="157"/>
      <c r="UOX6" s="157"/>
      <c r="UOY6" s="157"/>
      <c r="UOZ6" s="157"/>
      <c r="UPA6" s="157"/>
      <c r="UPB6" s="157"/>
      <c r="UPC6" s="157"/>
      <c r="UPD6" s="157"/>
      <c r="UPE6" s="157"/>
      <c r="UPF6" s="157"/>
      <c r="UPG6" s="157"/>
      <c r="UPH6" s="157"/>
      <c r="UPI6" s="157"/>
      <c r="UPJ6" s="157"/>
      <c r="UPK6" s="157"/>
      <c r="UPL6" s="157"/>
      <c r="UPM6" s="157"/>
      <c r="UPN6" s="157"/>
      <c r="UPO6" s="157"/>
      <c r="UPP6" s="157"/>
      <c r="UPQ6" s="157"/>
      <c r="UPR6" s="157"/>
      <c r="UPS6" s="157"/>
      <c r="UPT6" s="157"/>
      <c r="UPU6" s="157"/>
      <c r="UPV6" s="157"/>
      <c r="UPW6" s="157"/>
      <c r="UPX6" s="157"/>
      <c r="UPY6" s="157"/>
      <c r="UPZ6" s="157"/>
      <c r="UQA6" s="157"/>
      <c r="UQB6" s="157"/>
      <c r="UQC6" s="157"/>
      <c r="UQD6" s="157"/>
      <c r="UQE6" s="157"/>
      <c r="UQF6" s="157"/>
      <c r="UQG6" s="157"/>
      <c r="UQH6" s="157"/>
      <c r="UQI6" s="157"/>
      <c r="UQJ6" s="157"/>
      <c r="UQK6" s="157"/>
      <c r="UQL6" s="157"/>
      <c r="UQM6" s="157"/>
      <c r="UQN6" s="157"/>
      <c r="UQO6" s="157"/>
      <c r="UQP6" s="157"/>
      <c r="UQQ6" s="157"/>
      <c r="UQR6" s="157"/>
      <c r="UQS6" s="157"/>
      <c r="UQT6" s="157"/>
      <c r="UQU6" s="157"/>
      <c r="UQV6" s="157"/>
      <c r="UQW6" s="157"/>
      <c r="UQX6" s="157"/>
      <c r="UQY6" s="157"/>
      <c r="UQZ6" s="157"/>
      <c r="URA6" s="157"/>
      <c r="URB6" s="157"/>
      <c r="URC6" s="157"/>
      <c r="URD6" s="157"/>
      <c r="URE6" s="157"/>
      <c r="URF6" s="157"/>
      <c r="URG6" s="157"/>
      <c r="URH6" s="157"/>
      <c r="URI6" s="157"/>
      <c r="URJ6" s="157"/>
      <c r="URK6" s="157"/>
      <c r="URL6" s="157"/>
      <c r="URM6" s="157"/>
      <c r="URN6" s="157"/>
      <c r="URO6" s="157"/>
      <c r="URP6" s="157"/>
      <c r="URQ6" s="157"/>
      <c r="URR6" s="157"/>
      <c r="URS6" s="157"/>
      <c r="URT6" s="157"/>
      <c r="URU6" s="157"/>
      <c r="URV6" s="157"/>
      <c r="URW6" s="157"/>
      <c r="URX6" s="157"/>
      <c r="URY6" s="157"/>
      <c r="URZ6" s="157"/>
      <c r="USA6" s="157"/>
      <c r="USB6" s="157"/>
      <c r="USC6" s="157"/>
      <c r="USD6" s="157"/>
      <c r="USE6" s="157"/>
      <c r="USF6" s="157"/>
      <c r="USG6" s="157"/>
      <c r="USH6" s="157"/>
      <c r="USI6" s="157"/>
      <c r="USJ6" s="157"/>
      <c r="USK6" s="157"/>
      <c r="USL6" s="157"/>
      <c r="USM6" s="157"/>
      <c r="USN6" s="157"/>
      <c r="USO6" s="157"/>
      <c r="USP6" s="157"/>
      <c r="USQ6" s="157"/>
      <c r="USR6" s="157"/>
      <c r="USS6" s="157"/>
      <c r="UST6" s="157"/>
      <c r="USU6" s="157"/>
      <c r="USV6" s="157"/>
      <c r="USW6" s="157"/>
      <c r="USX6" s="157"/>
      <c r="USY6" s="157"/>
      <c r="USZ6" s="157"/>
      <c r="UTA6" s="157"/>
      <c r="UTB6" s="157"/>
      <c r="UTC6" s="157"/>
      <c r="UTD6" s="157"/>
      <c r="UTE6" s="157"/>
      <c r="UTF6" s="157"/>
      <c r="UTG6" s="157"/>
      <c r="UTH6" s="157"/>
      <c r="UTI6" s="157"/>
      <c r="UTJ6" s="157"/>
      <c r="UTK6" s="157"/>
      <c r="UTL6" s="157"/>
      <c r="UTM6" s="157"/>
      <c r="UTN6" s="157"/>
      <c r="UTO6" s="157"/>
      <c r="UTP6" s="157"/>
      <c r="UTQ6" s="157"/>
      <c r="UTR6" s="157"/>
      <c r="UTS6" s="157"/>
      <c r="UTT6" s="157"/>
      <c r="UTU6" s="157"/>
      <c r="UTV6" s="157"/>
      <c r="UTW6" s="157"/>
      <c r="UTX6" s="157"/>
      <c r="UTY6" s="157"/>
      <c r="UTZ6" s="157"/>
      <c r="UUA6" s="157"/>
      <c r="UUB6" s="157"/>
      <c r="UUC6" s="157"/>
      <c r="UUD6" s="157"/>
      <c r="UUE6" s="157"/>
      <c r="UUF6" s="157"/>
      <c r="UUG6" s="157"/>
      <c r="UUH6" s="157"/>
      <c r="UUI6" s="157"/>
      <c r="UUJ6" s="157"/>
      <c r="UUK6" s="157"/>
      <c r="UUL6" s="157"/>
      <c r="UUM6" s="157"/>
      <c r="UUN6" s="157"/>
      <c r="UUO6" s="157"/>
      <c r="UUP6" s="157"/>
      <c r="UUQ6" s="157"/>
      <c r="UUR6" s="157"/>
      <c r="UUS6" s="157"/>
      <c r="UUT6" s="157"/>
      <c r="UUU6" s="157"/>
      <c r="UUV6" s="157"/>
      <c r="UUW6" s="157"/>
      <c r="UUX6" s="157"/>
      <c r="UUY6" s="157"/>
      <c r="UUZ6" s="157"/>
      <c r="UVA6" s="157"/>
      <c r="UVB6" s="157"/>
      <c r="UVC6" s="157"/>
      <c r="UVD6" s="157"/>
      <c r="UVE6" s="157"/>
      <c r="UVF6" s="157"/>
      <c r="UVG6" s="157"/>
      <c r="UVH6" s="157"/>
      <c r="UVI6" s="157"/>
      <c r="UVJ6" s="157"/>
      <c r="UVK6" s="157"/>
      <c r="UVL6" s="157"/>
      <c r="UVM6" s="157"/>
      <c r="UVN6" s="157"/>
      <c r="UVO6" s="157"/>
      <c r="UVP6" s="157"/>
      <c r="UVQ6" s="157"/>
      <c r="UVR6" s="157"/>
      <c r="UVS6" s="157"/>
      <c r="UVT6" s="157"/>
      <c r="UVU6" s="157"/>
      <c r="UVV6" s="157"/>
      <c r="UVW6" s="157"/>
      <c r="UVX6" s="157"/>
      <c r="UVY6" s="157"/>
      <c r="UVZ6" s="157"/>
      <c r="UWA6" s="157"/>
      <c r="UWB6" s="157"/>
      <c r="UWC6" s="157"/>
      <c r="UWD6" s="157"/>
      <c r="UWE6" s="157"/>
      <c r="UWF6" s="157"/>
      <c r="UWG6" s="157"/>
      <c r="UWH6" s="157"/>
      <c r="UWI6" s="157"/>
      <c r="UWJ6" s="157"/>
      <c r="UWK6" s="157"/>
      <c r="UWL6" s="157"/>
      <c r="UWM6" s="157"/>
      <c r="UWN6" s="157"/>
      <c r="UWO6" s="157"/>
      <c r="UWP6" s="157"/>
      <c r="UWQ6" s="157"/>
      <c r="UWR6" s="157"/>
      <c r="UWS6" s="157"/>
      <c r="UWT6" s="157"/>
      <c r="UWU6" s="157"/>
      <c r="UWV6" s="157"/>
      <c r="UWW6" s="157"/>
      <c r="UWX6" s="157"/>
      <c r="UWY6" s="157"/>
      <c r="UWZ6" s="157"/>
      <c r="UXA6" s="157"/>
      <c r="UXB6" s="157"/>
      <c r="UXC6" s="157"/>
      <c r="UXD6" s="157"/>
      <c r="UXE6" s="157"/>
      <c r="UXF6" s="157"/>
      <c r="UXG6" s="157"/>
      <c r="UXH6" s="157"/>
      <c r="UXI6" s="157"/>
      <c r="UXJ6" s="157"/>
      <c r="UXK6" s="157"/>
      <c r="UXL6" s="157"/>
      <c r="UXM6" s="157"/>
      <c r="UXN6" s="157"/>
      <c r="UXO6" s="157"/>
      <c r="UXP6" s="157"/>
      <c r="UXQ6" s="157"/>
      <c r="UXR6" s="157"/>
      <c r="UXS6" s="157"/>
      <c r="UXT6" s="157"/>
      <c r="UXU6" s="157"/>
      <c r="UXV6" s="157"/>
      <c r="UXW6" s="157"/>
      <c r="UXX6" s="157"/>
      <c r="UXY6" s="157"/>
      <c r="UXZ6" s="157"/>
      <c r="UYA6" s="157"/>
      <c r="UYB6" s="157"/>
      <c r="UYC6" s="157"/>
      <c r="UYD6" s="157"/>
      <c r="UYE6" s="157"/>
      <c r="UYF6" s="157"/>
      <c r="UYG6" s="157"/>
      <c r="UYH6" s="157"/>
      <c r="UYI6" s="157"/>
      <c r="UYJ6" s="157"/>
      <c r="UYK6" s="157"/>
      <c r="UYL6" s="157"/>
      <c r="UYM6" s="157"/>
      <c r="UYN6" s="157"/>
      <c r="UYO6" s="157"/>
      <c r="UYP6" s="157"/>
      <c r="UYQ6" s="157"/>
      <c r="UYR6" s="157"/>
      <c r="UYS6" s="157"/>
      <c r="UYT6" s="157"/>
      <c r="UYU6" s="157"/>
      <c r="UYV6" s="157"/>
      <c r="UYW6" s="157"/>
      <c r="UYX6" s="157"/>
      <c r="UYY6" s="157"/>
      <c r="UYZ6" s="157"/>
      <c r="UZA6" s="157"/>
      <c r="UZB6" s="157"/>
      <c r="UZC6" s="157"/>
      <c r="UZD6" s="157"/>
      <c r="UZE6" s="157"/>
      <c r="UZF6" s="157"/>
      <c r="UZG6" s="157"/>
      <c r="UZH6" s="157"/>
      <c r="UZI6" s="157"/>
      <c r="UZJ6" s="157"/>
      <c r="UZK6" s="157"/>
      <c r="UZL6" s="157"/>
      <c r="UZM6" s="157"/>
      <c r="UZN6" s="157"/>
      <c r="UZO6" s="157"/>
      <c r="UZP6" s="157"/>
      <c r="UZQ6" s="157"/>
      <c r="UZR6" s="157"/>
      <c r="UZS6" s="157"/>
      <c r="UZT6" s="157"/>
      <c r="UZU6" s="157"/>
      <c r="UZV6" s="157"/>
      <c r="UZW6" s="157"/>
      <c r="UZX6" s="157"/>
      <c r="UZY6" s="157"/>
      <c r="UZZ6" s="157"/>
      <c r="VAA6" s="157"/>
      <c r="VAB6" s="157"/>
      <c r="VAC6" s="157"/>
      <c r="VAD6" s="157"/>
      <c r="VAE6" s="157"/>
      <c r="VAF6" s="157"/>
      <c r="VAG6" s="157"/>
      <c r="VAH6" s="157"/>
      <c r="VAI6" s="157"/>
      <c r="VAJ6" s="157"/>
      <c r="VAK6" s="157"/>
      <c r="VAL6" s="157"/>
      <c r="VAM6" s="157"/>
      <c r="VAN6" s="157"/>
      <c r="VAO6" s="157"/>
      <c r="VAP6" s="157"/>
      <c r="VAQ6" s="157"/>
      <c r="VAR6" s="157"/>
      <c r="VAS6" s="157"/>
      <c r="VAT6" s="157"/>
      <c r="VAU6" s="157"/>
      <c r="VAV6" s="157"/>
      <c r="VAW6" s="157"/>
      <c r="VAX6" s="157"/>
      <c r="VAY6" s="157"/>
      <c r="VAZ6" s="157"/>
      <c r="VBA6" s="157"/>
      <c r="VBB6" s="157"/>
      <c r="VBC6" s="157"/>
      <c r="VBD6" s="157"/>
      <c r="VBE6" s="157"/>
      <c r="VBF6" s="157"/>
      <c r="VBG6" s="157"/>
      <c r="VBH6" s="157"/>
      <c r="VBI6" s="157"/>
      <c r="VBJ6" s="157"/>
      <c r="VBK6" s="157"/>
      <c r="VBL6" s="157"/>
      <c r="VBM6" s="157"/>
      <c r="VBN6" s="157"/>
      <c r="VBO6" s="157"/>
      <c r="VBP6" s="157"/>
      <c r="VBQ6" s="157"/>
      <c r="VBR6" s="157"/>
      <c r="VBS6" s="157"/>
      <c r="VBT6" s="157"/>
      <c r="VBU6" s="157"/>
      <c r="VBV6" s="157"/>
      <c r="VBW6" s="157"/>
      <c r="VBX6" s="157"/>
      <c r="VBY6" s="157"/>
      <c r="VBZ6" s="157"/>
      <c r="VCA6" s="157"/>
      <c r="VCB6" s="157"/>
      <c r="VCC6" s="157"/>
      <c r="VCD6" s="157"/>
      <c r="VCE6" s="157"/>
      <c r="VCF6" s="157"/>
      <c r="VCG6" s="157"/>
      <c r="VCH6" s="157"/>
      <c r="VCI6" s="157"/>
      <c r="VCJ6" s="157"/>
      <c r="VCK6" s="157"/>
      <c r="VCL6" s="157"/>
      <c r="VCM6" s="157"/>
      <c r="VCN6" s="157"/>
      <c r="VCO6" s="157"/>
      <c r="VCP6" s="157"/>
      <c r="VCQ6" s="157"/>
      <c r="VCR6" s="157"/>
      <c r="VCS6" s="157"/>
      <c r="VCT6" s="157"/>
      <c r="VCU6" s="157"/>
      <c r="VCV6" s="157"/>
      <c r="VCW6" s="157"/>
      <c r="VCX6" s="157"/>
      <c r="VCY6" s="157"/>
      <c r="VCZ6" s="157"/>
      <c r="VDA6" s="157"/>
      <c r="VDB6" s="157"/>
      <c r="VDC6" s="157"/>
      <c r="VDD6" s="157"/>
      <c r="VDE6" s="157"/>
      <c r="VDF6" s="157"/>
      <c r="VDG6" s="157"/>
      <c r="VDH6" s="157"/>
      <c r="VDI6" s="157"/>
      <c r="VDJ6" s="157"/>
      <c r="VDK6" s="157"/>
      <c r="VDL6" s="157"/>
      <c r="VDM6" s="157"/>
      <c r="VDN6" s="157"/>
      <c r="VDO6" s="157"/>
      <c r="VDP6" s="157"/>
      <c r="VDQ6" s="157"/>
      <c r="VDR6" s="157"/>
      <c r="VDS6" s="157"/>
      <c r="VDT6" s="157"/>
      <c r="VDU6" s="157"/>
      <c r="VDV6" s="157"/>
      <c r="VDW6" s="157"/>
      <c r="VDX6" s="157"/>
      <c r="VDY6" s="157"/>
      <c r="VDZ6" s="157"/>
      <c r="VEA6" s="157"/>
      <c r="VEB6" s="157"/>
      <c r="VEC6" s="157"/>
      <c r="VED6" s="157"/>
      <c r="VEE6" s="157"/>
      <c r="VEF6" s="157"/>
      <c r="VEG6" s="157"/>
      <c r="VEH6" s="157"/>
      <c r="VEI6" s="157"/>
      <c r="VEJ6" s="157"/>
      <c r="VEK6" s="157"/>
      <c r="VEL6" s="157"/>
      <c r="VEM6" s="157"/>
      <c r="VEN6" s="157"/>
      <c r="VEO6" s="157"/>
      <c r="VEP6" s="157"/>
      <c r="VEQ6" s="157"/>
      <c r="VER6" s="157"/>
      <c r="VES6" s="157"/>
      <c r="VET6" s="157"/>
      <c r="VEU6" s="157"/>
      <c r="VEV6" s="157"/>
      <c r="VEW6" s="157"/>
      <c r="VEX6" s="157"/>
      <c r="VEY6" s="157"/>
      <c r="VEZ6" s="157"/>
      <c r="VFA6" s="157"/>
      <c r="VFB6" s="157"/>
      <c r="VFC6" s="157"/>
      <c r="VFD6" s="157"/>
      <c r="VFE6" s="157"/>
      <c r="VFF6" s="157"/>
      <c r="VFG6" s="157"/>
      <c r="VFH6" s="157"/>
      <c r="VFI6" s="157"/>
      <c r="VFJ6" s="157"/>
      <c r="VFK6" s="157"/>
      <c r="VFL6" s="157"/>
      <c r="VFM6" s="157"/>
      <c r="VFN6" s="157"/>
      <c r="VFO6" s="157"/>
      <c r="VFP6" s="157"/>
      <c r="VFQ6" s="157"/>
      <c r="VFR6" s="157"/>
      <c r="VFS6" s="157"/>
      <c r="VFT6" s="157"/>
      <c r="VFU6" s="157"/>
      <c r="VFV6" s="157"/>
      <c r="VFW6" s="157"/>
      <c r="VFX6" s="157"/>
      <c r="VFY6" s="157"/>
      <c r="VFZ6" s="157"/>
      <c r="VGA6" s="157"/>
      <c r="VGB6" s="157"/>
      <c r="VGC6" s="157"/>
      <c r="VGD6" s="157"/>
      <c r="VGE6" s="157"/>
      <c r="VGF6" s="157"/>
      <c r="VGG6" s="157"/>
      <c r="VGH6" s="157"/>
      <c r="VGI6" s="157"/>
      <c r="VGJ6" s="157"/>
      <c r="VGK6" s="157"/>
      <c r="VGL6" s="157"/>
      <c r="VGM6" s="157"/>
      <c r="VGN6" s="157"/>
      <c r="VGO6" s="157"/>
      <c r="VGP6" s="157"/>
      <c r="VGQ6" s="157"/>
      <c r="VGR6" s="157"/>
      <c r="VGS6" s="157"/>
      <c r="VGT6" s="157"/>
      <c r="VGU6" s="157"/>
      <c r="VGV6" s="157"/>
      <c r="VGW6" s="157"/>
      <c r="VGX6" s="157"/>
      <c r="VGY6" s="157"/>
      <c r="VGZ6" s="157"/>
      <c r="VHA6" s="157"/>
      <c r="VHB6" s="157"/>
      <c r="VHC6" s="157"/>
      <c r="VHD6" s="157"/>
      <c r="VHE6" s="157"/>
      <c r="VHF6" s="157"/>
      <c r="VHG6" s="157"/>
      <c r="VHH6" s="157"/>
      <c r="VHI6" s="157"/>
      <c r="VHJ6" s="157"/>
      <c r="VHK6" s="157"/>
      <c r="VHL6" s="157"/>
      <c r="VHM6" s="157"/>
      <c r="VHN6" s="157"/>
      <c r="VHO6" s="157"/>
      <c r="VHP6" s="157"/>
      <c r="VHQ6" s="157"/>
      <c r="VHR6" s="157"/>
      <c r="VHS6" s="157"/>
      <c r="VHT6" s="157"/>
      <c r="VHU6" s="157"/>
      <c r="VHV6" s="157"/>
      <c r="VHW6" s="157"/>
      <c r="VHX6" s="157"/>
      <c r="VHY6" s="157"/>
      <c r="VHZ6" s="157"/>
      <c r="VIA6" s="157"/>
      <c r="VIB6" s="157"/>
      <c r="VIC6" s="157"/>
      <c r="VID6" s="157"/>
      <c r="VIE6" s="157"/>
      <c r="VIF6" s="157"/>
      <c r="VIG6" s="157"/>
      <c r="VIH6" s="157"/>
      <c r="VII6" s="157"/>
      <c r="VIJ6" s="157"/>
      <c r="VIK6" s="157"/>
      <c r="VIL6" s="157"/>
      <c r="VIM6" s="157"/>
      <c r="VIN6" s="157"/>
      <c r="VIO6" s="157"/>
      <c r="VIP6" s="157"/>
      <c r="VIQ6" s="157"/>
      <c r="VIR6" s="157"/>
      <c r="VIS6" s="157"/>
      <c r="VIT6" s="157"/>
      <c r="VIU6" s="157"/>
      <c r="VIV6" s="157"/>
      <c r="VIW6" s="157"/>
      <c r="VIX6" s="157"/>
      <c r="VIY6" s="157"/>
      <c r="VIZ6" s="157"/>
      <c r="VJA6" s="157"/>
      <c r="VJB6" s="157"/>
      <c r="VJC6" s="157"/>
      <c r="VJD6" s="157"/>
      <c r="VJE6" s="157"/>
      <c r="VJF6" s="157"/>
      <c r="VJG6" s="157"/>
      <c r="VJH6" s="157"/>
      <c r="VJI6" s="157"/>
      <c r="VJJ6" s="157"/>
      <c r="VJK6" s="157"/>
      <c r="VJL6" s="157"/>
      <c r="VJM6" s="157"/>
      <c r="VJN6" s="157"/>
      <c r="VJO6" s="157"/>
      <c r="VJP6" s="157"/>
      <c r="VJQ6" s="157"/>
      <c r="VJR6" s="157"/>
      <c r="VJS6" s="157"/>
      <c r="VJT6" s="157"/>
      <c r="VJU6" s="157"/>
      <c r="VJV6" s="157"/>
      <c r="VJW6" s="157"/>
      <c r="VJX6" s="157"/>
      <c r="VJY6" s="157"/>
      <c r="VJZ6" s="157"/>
      <c r="VKA6" s="157"/>
      <c r="VKB6" s="157"/>
      <c r="VKC6" s="157"/>
      <c r="VKD6" s="157"/>
      <c r="VKE6" s="157"/>
      <c r="VKF6" s="157"/>
      <c r="VKG6" s="157"/>
      <c r="VKH6" s="157"/>
      <c r="VKI6" s="157"/>
      <c r="VKJ6" s="157"/>
      <c r="VKK6" s="157"/>
      <c r="VKL6" s="157"/>
      <c r="VKM6" s="157"/>
      <c r="VKN6" s="157"/>
      <c r="VKO6" s="157"/>
      <c r="VKP6" s="157"/>
      <c r="VKQ6" s="157"/>
      <c r="VKR6" s="157"/>
      <c r="VKS6" s="157"/>
      <c r="VKT6" s="157"/>
      <c r="VKU6" s="157"/>
      <c r="VKV6" s="157"/>
      <c r="VKW6" s="157"/>
      <c r="VKX6" s="157"/>
      <c r="VKY6" s="157"/>
      <c r="VKZ6" s="157"/>
      <c r="VLA6" s="157"/>
      <c r="VLB6" s="157"/>
      <c r="VLC6" s="157"/>
      <c r="VLD6" s="157"/>
      <c r="VLE6" s="157"/>
      <c r="VLF6" s="157"/>
      <c r="VLG6" s="157"/>
      <c r="VLH6" s="157"/>
      <c r="VLI6" s="157"/>
      <c r="VLJ6" s="157"/>
      <c r="VLK6" s="157"/>
      <c r="VLL6" s="157"/>
      <c r="VLM6" s="157"/>
      <c r="VLN6" s="157"/>
      <c r="VLO6" s="157"/>
      <c r="VLP6" s="157"/>
      <c r="VLQ6" s="157"/>
      <c r="VLR6" s="157"/>
      <c r="VLS6" s="157"/>
      <c r="VLT6" s="157"/>
      <c r="VLU6" s="157"/>
      <c r="VLV6" s="157"/>
      <c r="VLW6" s="157"/>
      <c r="VLX6" s="157"/>
      <c r="VLY6" s="157"/>
      <c r="VLZ6" s="157"/>
      <c r="VMA6" s="157"/>
      <c r="VMB6" s="157"/>
      <c r="VMC6" s="157"/>
      <c r="VMD6" s="157"/>
      <c r="VME6" s="157"/>
      <c r="VMF6" s="157"/>
      <c r="VMG6" s="157"/>
      <c r="VMH6" s="157"/>
      <c r="VMI6" s="157"/>
      <c r="VMJ6" s="157"/>
      <c r="VMK6" s="157"/>
      <c r="VML6" s="157"/>
      <c r="VMM6" s="157"/>
      <c r="VMN6" s="157"/>
      <c r="VMO6" s="157"/>
      <c r="VMP6" s="157"/>
      <c r="VMQ6" s="157"/>
      <c r="VMR6" s="157"/>
      <c r="VMS6" s="157"/>
      <c r="VMT6" s="157"/>
      <c r="VMU6" s="157"/>
      <c r="VMV6" s="157"/>
      <c r="VMW6" s="157"/>
      <c r="VMX6" s="157"/>
      <c r="VMY6" s="157"/>
      <c r="VMZ6" s="157"/>
      <c r="VNA6" s="157"/>
      <c r="VNB6" s="157"/>
      <c r="VNC6" s="157"/>
      <c r="VND6" s="157"/>
      <c r="VNE6" s="157"/>
      <c r="VNF6" s="157"/>
      <c r="VNG6" s="157"/>
      <c r="VNH6" s="157"/>
      <c r="VNI6" s="157"/>
      <c r="VNJ6" s="157"/>
      <c r="VNK6" s="157"/>
      <c r="VNL6" s="157"/>
      <c r="VNM6" s="157"/>
      <c r="VNN6" s="157"/>
      <c r="VNO6" s="157"/>
      <c r="VNP6" s="157"/>
      <c r="VNQ6" s="157"/>
      <c r="VNR6" s="157"/>
      <c r="VNS6" s="157"/>
      <c r="VNT6" s="157"/>
      <c r="VNU6" s="157"/>
      <c r="VNV6" s="157"/>
      <c r="VNW6" s="157"/>
      <c r="VNX6" s="157"/>
      <c r="VNY6" s="157"/>
      <c r="VNZ6" s="157"/>
      <c r="VOA6" s="157"/>
      <c r="VOB6" s="157"/>
      <c r="VOC6" s="157"/>
      <c r="VOD6" s="157"/>
      <c r="VOE6" s="157"/>
      <c r="VOF6" s="157"/>
      <c r="VOG6" s="157"/>
      <c r="VOH6" s="157"/>
      <c r="VOI6" s="157"/>
      <c r="VOJ6" s="157"/>
      <c r="VOK6" s="157"/>
      <c r="VOL6" s="157"/>
      <c r="VOM6" s="157"/>
      <c r="VON6" s="157"/>
      <c r="VOO6" s="157"/>
      <c r="VOP6" s="157"/>
      <c r="VOQ6" s="157"/>
      <c r="VOR6" s="157"/>
      <c r="VOS6" s="157"/>
      <c r="VOT6" s="157"/>
      <c r="VOU6" s="157"/>
      <c r="VOV6" s="157"/>
      <c r="VOW6" s="157"/>
      <c r="VOX6" s="157"/>
      <c r="VOY6" s="157"/>
      <c r="VOZ6" s="157"/>
      <c r="VPA6" s="157"/>
      <c r="VPB6" s="157"/>
      <c r="VPC6" s="157"/>
      <c r="VPD6" s="157"/>
      <c r="VPE6" s="157"/>
      <c r="VPF6" s="157"/>
      <c r="VPG6" s="157"/>
      <c r="VPH6" s="157"/>
      <c r="VPI6" s="157"/>
      <c r="VPJ6" s="157"/>
      <c r="VPK6" s="157"/>
      <c r="VPL6" s="157"/>
      <c r="VPM6" s="157"/>
      <c r="VPN6" s="157"/>
      <c r="VPO6" s="157"/>
      <c r="VPP6" s="157"/>
      <c r="VPQ6" s="157"/>
      <c r="VPR6" s="157"/>
      <c r="VPS6" s="157"/>
      <c r="VPT6" s="157"/>
      <c r="VPU6" s="157"/>
      <c r="VPV6" s="157"/>
      <c r="VPW6" s="157"/>
      <c r="VPX6" s="157"/>
      <c r="VPY6" s="157"/>
      <c r="VPZ6" s="157"/>
      <c r="VQA6" s="157"/>
      <c r="VQB6" s="157"/>
      <c r="VQC6" s="157"/>
      <c r="VQD6" s="157"/>
      <c r="VQE6" s="157"/>
      <c r="VQF6" s="157"/>
      <c r="VQG6" s="157"/>
      <c r="VQH6" s="157"/>
      <c r="VQI6" s="157"/>
      <c r="VQJ6" s="157"/>
      <c r="VQK6" s="157"/>
      <c r="VQL6" s="157"/>
      <c r="VQM6" s="157"/>
      <c r="VQN6" s="157"/>
      <c r="VQO6" s="157"/>
      <c r="VQP6" s="157"/>
      <c r="VQQ6" s="157"/>
      <c r="VQR6" s="157"/>
      <c r="VQS6" s="157"/>
      <c r="VQT6" s="157"/>
      <c r="VQU6" s="157"/>
      <c r="VQV6" s="157"/>
      <c r="VQW6" s="157"/>
      <c r="VQX6" s="157"/>
      <c r="VQY6" s="157"/>
      <c r="VQZ6" s="157"/>
      <c r="VRA6" s="157"/>
      <c r="VRB6" s="157"/>
      <c r="VRC6" s="157"/>
      <c r="VRD6" s="157"/>
      <c r="VRE6" s="157"/>
      <c r="VRF6" s="157"/>
      <c r="VRG6" s="157"/>
      <c r="VRH6" s="157"/>
      <c r="VRI6" s="157"/>
      <c r="VRJ6" s="157"/>
      <c r="VRK6" s="157"/>
      <c r="VRL6" s="157"/>
      <c r="VRM6" s="157"/>
      <c r="VRN6" s="157"/>
      <c r="VRO6" s="157"/>
      <c r="VRP6" s="157"/>
      <c r="VRQ6" s="157"/>
      <c r="VRR6" s="157"/>
      <c r="VRS6" s="157"/>
      <c r="VRT6" s="157"/>
      <c r="VRU6" s="157"/>
      <c r="VRV6" s="157"/>
      <c r="VRW6" s="157"/>
      <c r="VRX6" s="157"/>
      <c r="VRY6" s="157"/>
      <c r="VRZ6" s="157"/>
      <c r="VSA6" s="157"/>
      <c r="VSB6" s="157"/>
      <c r="VSC6" s="157"/>
      <c r="VSD6" s="157"/>
      <c r="VSE6" s="157"/>
      <c r="VSF6" s="157"/>
      <c r="VSG6" s="157"/>
      <c r="VSH6" s="157"/>
      <c r="VSI6" s="157"/>
      <c r="VSJ6" s="157"/>
      <c r="VSK6" s="157"/>
      <c r="VSL6" s="157"/>
      <c r="VSM6" s="157"/>
      <c r="VSN6" s="157"/>
      <c r="VSO6" s="157"/>
      <c r="VSP6" s="157"/>
      <c r="VSQ6" s="157"/>
      <c r="VSR6" s="157"/>
      <c r="VSS6" s="157"/>
      <c r="VST6" s="157"/>
      <c r="VSU6" s="157"/>
      <c r="VSV6" s="157"/>
      <c r="VSW6" s="157"/>
      <c r="VSX6" s="157"/>
      <c r="VSY6" s="157"/>
      <c r="VSZ6" s="157"/>
      <c r="VTA6" s="157"/>
      <c r="VTB6" s="157"/>
      <c r="VTC6" s="157"/>
      <c r="VTD6" s="157"/>
      <c r="VTE6" s="157"/>
      <c r="VTF6" s="157"/>
      <c r="VTG6" s="157"/>
      <c r="VTH6" s="157"/>
      <c r="VTI6" s="157"/>
      <c r="VTJ6" s="157"/>
      <c r="VTK6" s="157"/>
      <c r="VTL6" s="157"/>
      <c r="VTM6" s="157"/>
      <c r="VTN6" s="157"/>
      <c r="VTO6" s="157"/>
      <c r="VTP6" s="157"/>
      <c r="VTQ6" s="157"/>
      <c r="VTR6" s="157"/>
      <c r="VTS6" s="157"/>
      <c r="VTT6" s="157"/>
      <c r="VTU6" s="157"/>
      <c r="VTV6" s="157"/>
      <c r="VTW6" s="157"/>
      <c r="VTX6" s="157"/>
      <c r="VTY6" s="157"/>
      <c r="VTZ6" s="157"/>
      <c r="VUA6" s="157"/>
      <c r="VUB6" s="157"/>
      <c r="VUC6" s="157"/>
      <c r="VUD6" s="157"/>
      <c r="VUE6" s="157"/>
      <c r="VUF6" s="157"/>
      <c r="VUG6" s="157"/>
      <c r="VUH6" s="157"/>
      <c r="VUI6" s="157"/>
      <c r="VUJ6" s="157"/>
      <c r="VUK6" s="157"/>
      <c r="VUL6" s="157"/>
      <c r="VUM6" s="157"/>
      <c r="VUN6" s="157"/>
      <c r="VUO6" s="157"/>
      <c r="VUP6" s="157"/>
      <c r="VUQ6" s="157"/>
      <c r="VUR6" s="157"/>
      <c r="VUS6" s="157"/>
      <c r="VUT6" s="157"/>
      <c r="VUU6" s="157"/>
      <c r="VUV6" s="157"/>
      <c r="VUW6" s="157"/>
      <c r="VUX6" s="157"/>
      <c r="VUY6" s="157"/>
      <c r="VUZ6" s="157"/>
      <c r="VVA6" s="157"/>
      <c r="VVB6" s="157"/>
      <c r="VVC6" s="157"/>
      <c r="VVD6" s="157"/>
      <c r="VVE6" s="157"/>
      <c r="VVF6" s="157"/>
      <c r="VVG6" s="157"/>
      <c r="VVH6" s="157"/>
      <c r="VVI6" s="157"/>
      <c r="VVJ6" s="157"/>
      <c r="VVK6" s="157"/>
      <c r="VVL6" s="157"/>
      <c r="VVM6" s="157"/>
      <c r="VVN6" s="157"/>
      <c r="VVO6" s="157"/>
      <c r="VVP6" s="157"/>
      <c r="VVQ6" s="157"/>
      <c r="VVR6" s="157"/>
      <c r="VVS6" s="157"/>
      <c r="VVT6" s="157"/>
      <c r="VVU6" s="157"/>
      <c r="VVV6" s="157"/>
      <c r="VVW6" s="157"/>
      <c r="VVX6" s="157"/>
      <c r="VVY6" s="157"/>
      <c r="VVZ6" s="157"/>
      <c r="VWA6" s="157"/>
      <c r="VWB6" s="157"/>
      <c r="VWC6" s="157"/>
      <c r="VWD6" s="157"/>
      <c r="VWE6" s="157"/>
      <c r="VWF6" s="157"/>
      <c r="VWG6" s="157"/>
      <c r="VWH6" s="157"/>
      <c r="VWI6" s="157"/>
      <c r="VWJ6" s="157"/>
      <c r="VWK6" s="157"/>
      <c r="VWL6" s="157"/>
      <c r="VWM6" s="157"/>
      <c r="VWN6" s="157"/>
      <c r="VWO6" s="157"/>
      <c r="VWP6" s="157"/>
      <c r="VWQ6" s="157"/>
      <c r="VWR6" s="157"/>
      <c r="VWS6" s="157"/>
      <c r="VWT6" s="157"/>
      <c r="VWU6" s="157"/>
      <c r="VWV6" s="157"/>
      <c r="VWW6" s="157"/>
      <c r="VWX6" s="157"/>
      <c r="VWY6" s="157"/>
      <c r="VWZ6" s="157"/>
      <c r="VXA6" s="157"/>
      <c r="VXB6" s="157"/>
      <c r="VXC6" s="157"/>
      <c r="VXD6" s="157"/>
      <c r="VXE6" s="157"/>
      <c r="VXF6" s="157"/>
      <c r="VXG6" s="157"/>
      <c r="VXH6" s="157"/>
      <c r="VXI6" s="157"/>
      <c r="VXJ6" s="157"/>
      <c r="VXK6" s="157"/>
      <c r="VXL6" s="157"/>
      <c r="VXM6" s="157"/>
      <c r="VXN6" s="157"/>
      <c r="VXO6" s="157"/>
      <c r="VXP6" s="157"/>
      <c r="VXQ6" s="157"/>
      <c r="VXR6" s="157"/>
      <c r="VXS6" s="157"/>
      <c r="VXT6" s="157"/>
      <c r="VXU6" s="157"/>
      <c r="VXV6" s="157"/>
      <c r="VXW6" s="157"/>
      <c r="VXX6" s="157"/>
      <c r="VXY6" s="157"/>
      <c r="VXZ6" s="157"/>
      <c r="VYA6" s="157"/>
      <c r="VYB6" s="157"/>
      <c r="VYC6" s="157"/>
      <c r="VYD6" s="157"/>
      <c r="VYE6" s="157"/>
      <c r="VYF6" s="157"/>
      <c r="VYG6" s="157"/>
      <c r="VYH6" s="157"/>
      <c r="VYI6" s="157"/>
      <c r="VYJ6" s="157"/>
      <c r="VYK6" s="157"/>
      <c r="VYL6" s="157"/>
      <c r="VYM6" s="157"/>
      <c r="VYN6" s="157"/>
      <c r="VYO6" s="157"/>
      <c r="VYP6" s="157"/>
      <c r="VYQ6" s="157"/>
      <c r="VYR6" s="157"/>
      <c r="VYS6" s="157"/>
      <c r="VYT6" s="157"/>
      <c r="VYU6" s="157"/>
      <c r="VYV6" s="157"/>
      <c r="VYW6" s="157"/>
      <c r="VYX6" s="157"/>
      <c r="VYY6" s="157"/>
      <c r="VYZ6" s="157"/>
      <c r="VZA6" s="157"/>
      <c r="VZB6" s="157"/>
      <c r="VZC6" s="157"/>
      <c r="VZD6" s="157"/>
      <c r="VZE6" s="157"/>
      <c r="VZF6" s="157"/>
      <c r="VZG6" s="157"/>
      <c r="VZH6" s="157"/>
      <c r="VZI6" s="157"/>
      <c r="VZJ6" s="157"/>
      <c r="VZK6" s="157"/>
      <c r="VZL6" s="157"/>
      <c r="VZM6" s="157"/>
      <c r="VZN6" s="157"/>
      <c r="VZO6" s="157"/>
      <c r="VZP6" s="157"/>
      <c r="VZQ6" s="157"/>
      <c r="VZR6" s="157"/>
      <c r="VZS6" s="157"/>
      <c r="VZT6" s="157"/>
      <c r="VZU6" s="157"/>
      <c r="VZV6" s="157"/>
      <c r="VZW6" s="157"/>
      <c r="VZX6" s="157"/>
      <c r="VZY6" s="157"/>
      <c r="VZZ6" s="157"/>
      <c r="WAA6" s="157"/>
      <c r="WAB6" s="157"/>
      <c r="WAC6" s="157"/>
      <c r="WAD6" s="157"/>
      <c r="WAE6" s="157"/>
      <c r="WAF6" s="157"/>
      <c r="WAG6" s="157"/>
      <c r="WAH6" s="157"/>
      <c r="WAI6" s="157"/>
      <c r="WAJ6" s="157"/>
      <c r="WAK6" s="157"/>
      <c r="WAL6" s="157"/>
      <c r="WAM6" s="157"/>
      <c r="WAN6" s="157"/>
      <c r="WAO6" s="157"/>
      <c r="WAP6" s="157"/>
      <c r="WAQ6" s="157"/>
      <c r="WAR6" s="157"/>
      <c r="WAS6" s="157"/>
      <c r="WAT6" s="157"/>
      <c r="WAU6" s="157"/>
      <c r="WAV6" s="157"/>
      <c r="WAW6" s="157"/>
      <c r="WAX6" s="157"/>
      <c r="WAY6" s="157"/>
      <c r="WAZ6" s="157"/>
      <c r="WBA6" s="157"/>
      <c r="WBB6" s="157"/>
      <c r="WBC6" s="157"/>
      <c r="WBD6" s="157"/>
      <c r="WBE6" s="157"/>
      <c r="WBF6" s="157"/>
      <c r="WBG6" s="157"/>
      <c r="WBH6" s="157"/>
      <c r="WBI6" s="157"/>
      <c r="WBJ6" s="157"/>
      <c r="WBK6" s="157"/>
      <c r="WBL6" s="157"/>
      <c r="WBM6" s="157"/>
      <c r="WBN6" s="157"/>
      <c r="WBO6" s="157"/>
      <c r="WBP6" s="157"/>
      <c r="WBQ6" s="157"/>
      <c r="WBR6" s="157"/>
      <c r="WBS6" s="157"/>
      <c r="WBT6" s="157"/>
      <c r="WBU6" s="157"/>
      <c r="WBV6" s="157"/>
      <c r="WBW6" s="157"/>
      <c r="WBX6" s="157"/>
      <c r="WBY6" s="157"/>
      <c r="WBZ6" s="157"/>
      <c r="WCA6" s="157"/>
      <c r="WCB6" s="157"/>
      <c r="WCC6" s="157"/>
      <c r="WCD6" s="157"/>
      <c r="WCE6" s="157"/>
      <c r="WCF6" s="157"/>
      <c r="WCG6" s="157"/>
      <c r="WCH6" s="157"/>
      <c r="WCI6" s="157"/>
      <c r="WCJ6" s="157"/>
      <c r="WCK6" s="157"/>
      <c r="WCL6" s="157"/>
      <c r="WCM6" s="157"/>
      <c r="WCN6" s="157"/>
      <c r="WCO6" s="157"/>
      <c r="WCP6" s="157"/>
      <c r="WCQ6" s="157"/>
      <c r="WCR6" s="157"/>
      <c r="WCS6" s="157"/>
      <c r="WCT6" s="157"/>
      <c r="WCU6" s="157"/>
      <c r="WCV6" s="157"/>
      <c r="WCW6" s="157"/>
      <c r="WCX6" s="157"/>
      <c r="WCY6" s="157"/>
      <c r="WCZ6" s="157"/>
      <c r="WDA6" s="157"/>
      <c r="WDB6" s="157"/>
      <c r="WDC6" s="157"/>
      <c r="WDD6" s="157"/>
      <c r="WDE6" s="157"/>
      <c r="WDF6" s="157"/>
      <c r="WDG6" s="157"/>
      <c r="WDH6" s="157"/>
      <c r="WDI6" s="157"/>
      <c r="WDJ6" s="157"/>
      <c r="WDK6" s="157"/>
      <c r="WDL6" s="157"/>
      <c r="WDM6" s="157"/>
      <c r="WDN6" s="157"/>
      <c r="WDO6" s="157"/>
      <c r="WDP6" s="157"/>
      <c r="WDQ6" s="157"/>
      <c r="WDR6" s="157"/>
      <c r="WDS6" s="157"/>
      <c r="WDT6" s="157"/>
      <c r="WDU6" s="157"/>
      <c r="WDV6" s="157"/>
      <c r="WDW6" s="157"/>
      <c r="WDX6" s="157"/>
      <c r="WDY6" s="157"/>
      <c r="WDZ6" s="157"/>
      <c r="WEA6" s="157"/>
      <c r="WEB6" s="157"/>
      <c r="WEC6" s="157"/>
      <c r="WED6" s="157"/>
      <c r="WEE6" s="157"/>
      <c r="WEF6" s="157"/>
      <c r="WEG6" s="157"/>
      <c r="WEH6" s="157"/>
      <c r="WEI6" s="157"/>
      <c r="WEJ6" s="157"/>
      <c r="WEK6" s="157"/>
      <c r="WEL6" s="157"/>
      <c r="WEM6" s="157"/>
      <c r="WEN6" s="157"/>
      <c r="WEO6" s="157"/>
      <c r="WEP6" s="157"/>
      <c r="WEQ6" s="157"/>
      <c r="WER6" s="157"/>
      <c r="WES6" s="157"/>
      <c r="WET6" s="157"/>
      <c r="WEU6" s="157"/>
      <c r="WEV6" s="157"/>
      <c r="WEW6" s="157"/>
      <c r="WEX6" s="157"/>
      <c r="WEY6" s="157"/>
      <c r="WEZ6" s="157"/>
      <c r="WFA6" s="157"/>
      <c r="WFB6" s="157"/>
      <c r="WFC6" s="157"/>
      <c r="WFD6" s="157"/>
      <c r="WFE6" s="157"/>
      <c r="WFF6" s="157"/>
      <c r="WFG6" s="157"/>
      <c r="WFH6" s="157"/>
      <c r="WFI6" s="157"/>
      <c r="WFJ6" s="157"/>
      <c r="WFK6" s="157"/>
      <c r="WFL6" s="157"/>
      <c r="WFM6" s="157"/>
      <c r="WFN6" s="157"/>
      <c r="WFO6" s="157"/>
      <c r="WFP6" s="157"/>
      <c r="WFQ6" s="157"/>
      <c r="WFR6" s="157"/>
      <c r="WFS6" s="157"/>
      <c r="WFT6" s="157"/>
      <c r="WFU6" s="157"/>
      <c r="WFV6" s="157"/>
      <c r="WFW6" s="157"/>
      <c r="WFX6" s="157"/>
      <c r="WFY6" s="157"/>
      <c r="WFZ6" s="157"/>
      <c r="WGA6" s="157"/>
      <c r="WGB6" s="157"/>
      <c r="WGC6" s="157"/>
      <c r="WGD6" s="157"/>
      <c r="WGE6" s="157"/>
      <c r="WGF6" s="157"/>
      <c r="WGG6" s="157"/>
      <c r="WGH6" s="157"/>
      <c r="WGI6" s="157"/>
      <c r="WGJ6" s="157"/>
      <c r="WGK6" s="157"/>
      <c r="WGL6" s="157"/>
      <c r="WGM6" s="157"/>
      <c r="WGN6" s="157"/>
      <c r="WGO6" s="157"/>
      <c r="WGP6" s="157"/>
      <c r="WGQ6" s="157"/>
      <c r="WGR6" s="157"/>
      <c r="WGS6" s="157"/>
      <c r="WGT6" s="157"/>
      <c r="WGU6" s="157"/>
      <c r="WGV6" s="157"/>
      <c r="WGW6" s="157"/>
      <c r="WGX6" s="157"/>
      <c r="WGY6" s="157"/>
      <c r="WGZ6" s="157"/>
      <c r="WHA6" s="157"/>
      <c r="WHB6" s="157"/>
      <c r="WHC6" s="157"/>
      <c r="WHD6" s="157"/>
      <c r="WHE6" s="157"/>
      <c r="WHF6" s="157"/>
      <c r="WHG6" s="157"/>
      <c r="WHH6" s="157"/>
      <c r="WHI6" s="157"/>
      <c r="WHJ6" s="157"/>
      <c r="WHK6" s="157"/>
      <c r="WHL6" s="157"/>
      <c r="WHM6" s="157"/>
      <c r="WHN6" s="157"/>
      <c r="WHO6" s="157"/>
      <c r="WHP6" s="157"/>
      <c r="WHQ6" s="157"/>
      <c r="WHR6" s="157"/>
      <c r="WHS6" s="157"/>
      <c r="WHT6" s="157"/>
      <c r="WHU6" s="157"/>
      <c r="WHV6" s="157"/>
      <c r="WHW6" s="157"/>
      <c r="WHX6" s="157"/>
      <c r="WHY6" s="157"/>
      <c r="WHZ6" s="157"/>
      <c r="WIA6" s="157"/>
      <c r="WIB6" s="157"/>
      <c r="WIC6" s="157"/>
      <c r="WID6" s="157"/>
      <c r="WIE6" s="157"/>
      <c r="WIF6" s="157"/>
      <c r="WIG6" s="157"/>
      <c r="WIH6" s="157"/>
      <c r="WII6" s="157"/>
      <c r="WIJ6" s="157"/>
      <c r="WIK6" s="157"/>
      <c r="WIL6" s="157"/>
      <c r="WIM6" s="157"/>
      <c r="WIN6" s="157"/>
      <c r="WIO6" s="157"/>
      <c r="WIP6" s="157"/>
      <c r="WIQ6" s="157"/>
      <c r="WIR6" s="157"/>
      <c r="WIS6" s="157"/>
      <c r="WIT6" s="157"/>
      <c r="WIU6" s="157"/>
      <c r="WIV6" s="157"/>
      <c r="WIW6" s="157"/>
      <c r="WIX6" s="157"/>
      <c r="WIY6" s="157"/>
      <c r="WIZ6" s="157"/>
      <c r="WJA6" s="157"/>
      <c r="WJB6" s="157"/>
      <c r="WJC6" s="157"/>
      <c r="WJD6" s="157"/>
      <c r="WJE6" s="157"/>
      <c r="WJF6" s="157"/>
      <c r="WJG6" s="157"/>
      <c r="WJH6" s="157"/>
      <c r="WJI6" s="157"/>
      <c r="WJJ6" s="157"/>
      <c r="WJK6" s="157"/>
      <c r="WJL6" s="157"/>
      <c r="WJM6" s="157"/>
      <c r="WJN6" s="157"/>
      <c r="WJO6" s="157"/>
      <c r="WJP6" s="157"/>
      <c r="WJQ6" s="157"/>
      <c r="WJR6" s="157"/>
      <c r="WJS6" s="157"/>
      <c r="WJT6" s="157"/>
      <c r="WJU6" s="157"/>
      <c r="WJV6" s="157"/>
      <c r="WJW6" s="157"/>
      <c r="WJX6" s="157"/>
      <c r="WJY6" s="157"/>
      <c r="WJZ6" s="157"/>
      <c r="WKA6" s="157"/>
      <c r="WKB6" s="157"/>
      <c r="WKC6" s="157"/>
      <c r="WKD6" s="157"/>
      <c r="WKE6" s="157"/>
      <c r="WKF6" s="157"/>
      <c r="WKG6" s="157"/>
      <c r="WKH6" s="157"/>
      <c r="WKI6" s="157"/>
      <c r="WKJ6" s="157"/>
      <c r="WKK6" s="157"/>
      <c r="WKL6" s="157"/>
      <c r="WKM6" s="157"/>
      <c r="WKN6" s="157"/>
      <c r="WKO6" s="157"/>
      <c r="WKP6" s="157"/>
      <c r="WKQ6" s="157"/>
      <c r="WKR6" s="157"/>
      <c r="WKS6" s="157"/>
      <c r="WKT6" s="157"/>
      <c r="WKU6" s="157"/>
      <c r="WKV6" s="157"/>
      <c r="WKW6" s="157"/>
      <c r="WKX6" s="157"/>
      <c r="WKY6" s="157"/>
      <c r="WKZ6" s="157"/>
      <c r="WLA6" s="157"/>
      <c r="WLB6" s="157"/>
      <c r="WLC6" s="157"/>
      <c r="WLD6" s="157"/>
      <c r="WLE6" s="157"/>
      <c r="WLF6" s="157"/>
      <c r="WLG6" s="157"/>
      <c r="WLH6" s="157"/>
      <c r="WLI6" s="157"/>
      <c r="WLJ6" s="157"/>
      <c r="WLK6" s="157"/>
      <c r="WLL6" s="157"/>
      <c r="WLM6" s="157"/>
      <c r="WLN6" s="157"/>
      <c r="WLO6" s="157"/>
      <c r="WLP6" s="157"/>
      <c r="WLQ6" s="157"/>
      <c r="WLR6" s="157"/>
      <c r="WLS6" s="157"/>
      <c r="WLT6" s="157"/>
      <c r="WLU6" s="157"/>
      <c r="WLV6" s="157"/>
      <c r="WLW6" s="157"/>
      <c r="WLX6" s="157"/>
      <c r="WLY6" s="157"/>
      <c r="WLZ6" s="157"/>
      <c r="WMA6" s="157"/>
      <c r="WMB6" s="157"/>
      <c r="WMC6" s="157"/>
      <c r="WMD6" s="157"/>
      <c r="WME6" s="157"/>
      <c r="WMF6" s="157"/>
      <c r="WMG6" s="157"/>
      <c r="WMH6" s="157"/>
      <c r="WMI6" s="157"/>
      <c r="WMJ6" s="157"/>
      <c r="WMK6" s="157"/>
      <c r="WML6" s="157"/>
      <c r="WMM6" s="157"/>
      <c r="WMN6" s="157"/>
      <c r="WMO6" s="157"/>
      <c r="WMP6" s="157"/>
      <c r="WMQ6" s="157"/>
      <c r="WMR6" s="157"/>
      <c r="WMS6" s="157"/>
      <c r="WMT6" s="157"/>
      <c r="WMU6" s="157"/>
      <c r="WMV6" s="157"/>
      <c r="WMW6" s="157"/>
      <c r="WMX6" s="157"/>
      <c r="WMY6" s="157"/>
      <c r="WMZ6" s="157"/>
      <c r="WNA6" s="157"/>
      <c r="WNB6" s="157"/>
      <c r="WNC6" s="157"/>
      <c r="WND6" s="157"/>
      <c r="WNE6" s="157"/>
      <c r="WNF6" s="157"/>
      <c r="WNG6" s="157"/>
      <c r="WNH6" s="157"/>
      <c r="WNI6" s="157"/>
      <c r="WNJ6" s="157"/>
      <c r="WNK6" s="157"/>
      <c r="WNL6" s="157"/>
      <c r="WNM6" s="157"/>
      <c r="WNN6" s="157"/>
      <c r="WNO6" s="157"/>
      <c r="WNP6" s="157"/>
      <c r="WNQ6" s="157"/>
      <c r="WNR6" s="157"/>
      <c r="WNS6" s="157"/>
      <c r="WNT6" s="157"/>
      <c r="WNU6" s="157"/>
      <c r="WNV6" s="157"/>
      <c r="WNW6" s="157"/>
      <c r="WNX6" s="157"/>
      <c r="WNY6" s="157"/>
      <c r="WNZ6" s="157"/>
      <c r="WOA6" s="157"/>
      <c r="WOB6" s="157"/>
      <c r="WOC6" s="157"/>
      <c r="WOD6" s="157"/>
      <c r="WOE6" s="157"/>
      <c r="WOF6" s="157"/>
      <c r="WOG6" s="157"/>
      <c r="WOH6" s="157"/>
      <c r="WOI6" s="157"/>
      <c r="WOJ6" s="157"/>
      <c r="WOK6" s="157"/>
      <c r="WOL6" s="157"/>
      <c r="WOM6" s="157"/>
      <c r="WON6" s="157"/>
      <c r="WOO6" s="157"/>
      <c r="WOP6" s="157"/>
      <c r="WOQ6" s="157"/>
      <c r="WOR6" s="157"/>
      <c r="WOS6" s="157"/>
      <c r="WOT6" s="157"/>
      <c r="WOU6" s="157"/>
      <c r="WOV6" s="157"/>
      <c r="WOW6" s="157"/>
      <c r="WOX6" s="157"/>
      <c r="WOY6" s="157"/>
      <c r="WOZ6" s="157"/>
      <c r="WPA6" s="157"/>
      <c r="WPB6" s="157"/>
      <c r="WPC6" s="157"/>
      <c r="WPD6" s="157"/>
      <c r="WPE6" s="157"/>
      <c r="WPF6" s="157"/>
      <c r="WPG6" s="157"/>
      <c r="WPH6" s="157"/>
      <c r="WPI6" s="157"/>
      <c r="WPJ6" s="157"/>
      <c r="WPK6" s="157"/>
      <c r="WPL6" s="157"/>
      <c r="WPM6" s="157"/>
      <c r="WPN6" s="157"/>
      <c r="WPO6" s="157"/>
      <c r="WPP6" s="157"/>
      <c r="WPQ6" s="157"/>
      <c r="WPR6" s="157"/>
      <c r="WPS6" s="157"/>
      <c r="WPT6" s="157"/>
      <c r="WPU6" s="157"/>
      <c r="WPV6" s="157"/>
      <c r="WPW6" s="157"/>
      <c r="WPX6" s="157"/>
      <c r="WPY6" s="157"/>
      <c r="WPZ6" s="157"/>
      <c r="WQA6" s="157"/>
      <c r="WQB6" s="157"/>
      <c r="WQC6" s="157"/>
      <c r="WQD6" s="157"/>
      <c r="WQE6" s="157"/>
      <c r="WQF6" s="157"/>
      <c r="WQG6" s="157"/>
      <c r="WQH6" s="157"/>
      <c r="WQI6" s="157"/>
      <c r="WQJ6" s="157"/>
      <c r="WQK6" s="157"/>
      <c r="WQL6" s="157"/>
      <c r="WQM6" s="157"/>
      <c r="WQN6" s="157"/>
      <c r="WQO6" s="157"/>
      <c r="WQP6" s="157"/>
      <c r="WQQ6" s="157"/>
      <c r="WQR6" s="157"/>
      <c r="WQS6" s="157"/>
      <c r="WQT6" s="157"/>
      <c r="WQU6" s="157"/>
      <c r="WQV6" s="157"/>
      <c r="WQW6" s="157"/>
      <c r="WQX6" s="157"/>
      <c r="WQY6" s="157"/>
      <c r="WQZ6" s="157"/>
      <c r="WRA6" s="157"/>
      <c r="WRB6" s="157"/>
      <c r="WRC6" s="157"/>
      <c r="WRD6" s="157"/>
      <c r="WRE6" s="157"/>
      <c r="WRF6" s="157"/>
      <c r="WRG6" s="157"/>
      <c r="WRH6" s="157"/>
      <c r="WRI6" s="157"/>
      <c r="WRJ6" s="157"/>
      <c r="WRK6" s="157"/>
      <c r="WRL6" s="157"/>
      <c r="WRM6" s="157"/>
      <c r="WRN6" s="157"/>
      <c r="WRO6" s="157"/>
      <c r="WRP6" s="157"/>
      <c r="WRQ6" s="157"/>
      <c r="WRR6" s="157"/>
      <c r="WRS6" s="157"/>
      <c r="WRT6" s="157"/>
      <c r="WRU6" s="157"/>
      <c r="WRV6" s="157"/>
      <c r="WRW6" s="157"/>
      <c r="WRX6" s="157"/>
      <c r="WRY6" s="157"/>
      <c r="WRZ6" s="157"/>
      <c r="WSA6" s="157"/>
      <c r="WSB6" s="157"/>
      <c r="WSC6" s="157"/>
      <c r="WSD6" s="157"/>
      <c r="WSE6" s="157"/>
      <c r="WSF6" s="157"/>
      <c r="WSG6" s="157"/>
      <c r="WSH6" s="157"/>
      <c r="WSI6" s="157"/>
      <c r="WSJ6" s="157"/>
      <c r="WSK6" s="157"/>
      <c r="WSL6" s="157"/>
      <c r="WSM6" s="157"/>
      <c r="WSN6" s="157"/>
      <c r="WSO6" s="157"/>
      <c r="WSP6" s="157"/>
      <c r="WSQ6" s="157"/>
      <c r="WSR6" s="157"/>
      <c r="WSS6" s="157"/>
      <c r="WST6" s="157"/>
      <c r="WSU6" s="157"/>
      <c r="WSV6" s="157"/>
      <c r="WSW6" s="157"/>
      <c r="WSX6" s="157"/>
      <c r="WSY6" s="157"/>
      <c r="WSZ6" s="157"/>
      <c r="WTA6" s="157"/>
      <c r="WTB6" s="157"/>
      <c r="WTC6" s="157"/>
      <c r="WTD6" s="157"/>
      <c r="WTE6" s="157"/>
      <c r="WTF6" s="157"/>
      <c r="WTG6" s="157"/>
      <c r="WTH6" s="157"/>
      <c r="WTI6" s="157"/>
      <c r="WTJ6" s="157"/>
      <c r="WTK6" s="157"/>
      <c r="WTL6" s="157"/>
      <c r="WTM6" s="157"/>
      <c r="WTN6" s="157"/>
      <c r="WTO6" s="157"/>
      <c r="WTP6" s="157"/>
      <c r="WTQ6" s="157"/>
      <c r="WTR6" s="157"/>
      <c r="WTS6" s="157"/>
      <c r="WTT6" s="157"/>
      <c r="WTU6" s="157"/>
      <c r="WTV6" s="157"/>
      <c r="WTW6" s="157"/>
      <c r="WTX6" s="157"/>
      <c r="WTY6" s="157"/>
      <c r="WTZ6" s="157"/>
      <c r="WUA6" s="157"/>
      <c r="WUB6" s="157"/>
      <c r="WUC6" s="157"/>
      <c r="WUD6" s="157"/>
      <c r="WUE6" s="157"/>
      <c r="WUF6" s="157"/>
      <c r="WUG6" s="157"/>
      <c r="WUH6" s="157"/>
      <c r="WUI6" s="157"/>
      <c r="WUJ6" s="157"/>
      <c r="WUK6" s="157"/>
      <c r="WUL6" s="157"/>
      <c r="WUM6" s="157"/>
      <c r="WUN6" s="157"/>
      <c r="WUO6" s="157"/>
      <c r="WUP6" s="157"/>
      <c r="WUQ6" s="157"/>
      <c r="WUR6" s="157"/>
      <c r="WUS6" s="157"/>
      <c r="WUT6" s="157"/>
      <c r="WUU6" s="157"/>
      <c r="WUV6" s="157"/>
      <c r="WUW6" s="157"/>
      <c r="WUX6" s="157"/>
      <c r="WUY6" s="157"/>
      <c r="WUZ6" s="157"/>
      <c r="WVA6" s="157"/>
      <c r="WVB6" s="157"/>
      <c r="WVC6" s="157"/>
      <c r="WVD6" s="157"/>
      <c r="WVE6" s="157"/>
      <c r="WVF6" s="157"/>
      <c r="WVG6" s="157"/>
      <c r="WVH6" s="157"/>
      <c r="WVI6" s="157"/>
      <c r="WVJ6" s="157"/>
      <c r="WVK6" s="157"/>
      <c r="WVL6" s="157"/>
      <c r="WVM6" s="157"/>
      <c r="WVN6" s="157"/>
      <c r="WVO6" s="157"/>
      <c r="WVP6" s="157"/>
      <c r="WVQ6" s="157"/>
      <c r="WVR6" s="157"/>
      <c r="WVS6" s="157"/>
      <c r="WVT6" s="157"/>
      <c r="WVU6" s="157"/>
      <c r="WVV6" s="157"/>
      <c r="WVW6" s="157"/>
      <c r="WVX6" s="157"/>
      <c r="WVY6" s="157"/>
      <c r="WVZ6" s="157"/>
      <c r="WWA6" s="157"/>
      <c r="WWB6" s="157"/>
      <c r="WWC6" s="157"/>
      <c r="WWD6" s="157"/>
      <c r="WWE6" s="157"/>
      <c r="WWF6" s="157"/>
      <c r="WWG6" s="157"/>
      <c r="WWH6" s="157"/>
      <c r="WWI6" s="157"/>
      <c r="WWJ6" s="157"/>
      <c r="WWK6" s="157"/>
      <c r="WWL6" s="157"/>
      <c r="WWM6" s="157"/>
      <c r="WWN6" s="157"/>
      <c r="WWO6" s="157"/>
      <c r="WWP6" s="157"/>
      <c r="WWQ6" s="157"/>
      <c r="WWR6" s="157"/>
      <c r="WWS6" s="157"/>
      <c r="WWT6" s="157"/>
      <c r="WWU6" s="157"/>
      <c r="WWV6" s="157"/>
      <c r="WWW6" s="157"/>
      <c r="WWX6" s="157"/>
      <c r="WWY6" s="157"/>
      <c r="WWZ6" s="157"/>
      <c r="WXA6" s="157"/>
      <c r="WXB6" s="157"/>
      <c r="WXC6" s="157"/>
      <c r="WXD6" s="157"/>
      <c r="WXE6" s="157"/>
      <c r="WXF6" s="157"/>
      <c r="WXG6" s="157"/>
      <c r="WXH6" s="157"/>
      <c r="WXI6" s="157"/>
      <c r="WXJ6" s="157"/>
      <c r="WXK6" s="157"/>
      <c r="WXL6" s="157"/>
      <c r="WXM6" s="157"/>
      <c r="WXN6" s="157"/>
      <c r="WXO6" s="157"/>
      <c r="WXP6" s="157"/>
      <c r="WXQ6" s="157"/>
      <c r="WXR6" s="157"/>
      <c r="WXS6" s="157"/>
      <c r="WXT6" s="157"/>
      <c r="WXU6" s="157"/>
      <c r="WXV6" s="157"/>
      <c r="WXW6" s="157"/>
      <c r="WXX6" s="157"/>
      <c r="WXY6" s="157"/>
      <c r="WXZ6" s="157"/>
      <c r="WYA6" s="157"/>
      <c r="WYB6" s="157"/>
      <c r="WYC6" s="157"/>
      <c r="WYD6" s="157"/>
      <c r="WYE6" s="157"/>
      <c r="WYF6" s="157"/>
      <c r="WYG6" s="157"/>
      <c r="WYH6" s="157"/>
      <c r="WYI6" s="157"/>
      <c r="WYJ6" s="157"/>
      <c r="WYK6" s="157"/>
      <c r="WYL6" s="157"/>
      <c r="WYM6" s="157"/>
      <c r="WYN6" s="157"/>
      <c r="WYO6" s="157"/>
      <c r="WYP6" s="157"/>
      <c r="WYQ6" s="157"/>
      <c r="WYR6" s="157"/>
      <c r="WYS6" s="157"/>
      <c r="WYT6" s="157"/>
      <c r="WYU6" s="157"/>
      <c r="WYV6" s="157"/>
      <c r="WYW6" s="157"/>
      <c r="WYX6" s="157"/>
      <c r="WYY6" s="157"/>
      <c r="WYZ6" s="157"/>
      <c r="WZA6" s="157"/>
      <c r="WZB6" s="157"/>
      <c r="WZC6" s="157"/>
      <c r="WZD6" s="157"/>
      <c r="WZE6" s="157"/>
      <c r="WZF6" s="157"/>
      <c r="WZG6" s="157"/>
      <c r="WZH6" s="157"/>
      <c r="WZI6" s="157"/>
      <c r="WZJ6" s="157"/>
      <c r="WZK6" s="157"/>
      <c r="WZL6" s="157"/>
      <c r="WZM6" s="157"/>
      <c r="WZN6" s="157"/>
      <c r="WZO6" s="157"/>
      <c r="WZP6" s="157"/>
      <c r="WZQ6" s="157"/>
      <c r="WZR6" s="157"/>
      <c r="WZS6" s="157"/>
      <c r="WZT6" s="157"/>
      <c r="WZU6" s="157"/>
      <c r="WZV6" s="157"/>
      <c r="WZW6" s="157"/>
      <c r="WZX6" s="157"/>
      <c r="WZY6" s="157"/>
      <c r="WZZ6" s="157"/>
      <c r="XAA6" s="157"/>
      <c r="XAB6" s="157"/>
      <c r="XAC6" s="157"/>
      <c r="XAD6" s="157"/>
      <c r="XAE6" s="157"/>
      <c r="XAF6" s="157"/>
      <c r="XAG6" s="157"/>
      <c r="XAH6" s="157"/>
      <c r="XAI6" s="157"/>
      <c r="XAJ6" s="157"/>
      <c r="XAK6" s="157"/>
      <c r="XAL6" s="157"/>
      <c r="XAM6" s="157"/>
      <c r="XAN6" s="157"/>
      <c r="XAO6" s="157"/>
      <c r="XAP6" s="157"/>
      <c r="XAQ6" s="157"/>
      <c r="XAR6" s="157"/>
      <c r="XAS6" s="157"/>
      <c r="XAT6" s="157"/>
      <c r="XAU6" s="157"/>
      <c r="XAV6" s="157"/>
      <c r="XAW6" s="157"/>
      <c r="XAX6" s="157"/>
      <c r="XAY6" s="157"/>
      <c r="XAZ6" s="157"/>
      <c r="XBA6" s="157"/>
      <c r="XBB6" s="157"/>
      <c r="XBC6" s="157"/>
      <c r="XBD6" s="157"/>
      <c r="XBE6" s="157"/>
      <c r="XBF6" s="157"/>
      <c r="XBG6" s="157"/>
      <c r="XBH6" s="157"/>
      <c r="XBI6" s="157"/>
      <c r="XBJ6" s="157"/>
      <c r="XBK6" s="157"/>
      <c r="XBL6" s="157"/>
      <c r="XBM6" s="157"/>
      <c r="XBN6" s="157"/>
      <c r="XBO6" s="157"/>
      <c r="XBP6" s="157"/>
      <c r="XBQ6" s="157"/>
      <c r="XBR6" s="157"/>
      <c r="XBS6" s="157"/>
      <c r="XBT6" s="157"/>
      <c r="XBU6" s="157"/>
      <c r="XBV6" s="157"/>
      <c r="XBW6" s="157"/>
      <c r="XBX6" s="157"/>
      <c r="XBY6" s="157"/>
      <c r="XBZ6" s="157"/>
      <c r="XCA6" s="157"/>
      <c r="XCB6" s="157"/>
      <c r="XCC6" s="157"/>
      <c r="XCD6" s="157"/>
      <c r="XCE6" s="157"/>
      <c r="XCF6" s="157"/>
      <c r="XCG6" s="157"/>
      <c r="XCH6" s="157"/>
      <c r="XCI6" s="157"/>
      <c r="XCJ6" s="157"/>
      <c r="XCK6" s="157"/>
      <c r="XCL6" s="157"/>
      <c r="XCM6" s="157"/>
      <c r="XCN6" s="157"/>
      <c r="XCO6" s="157"/>
      <c r="XCP6" s="157"/>
      <c r="XCQ6" s="157"/>
      <c r="XCR6" s="157"/>
      <c r="XCS6" s="157"/>
      <c r="XCT6" s="157"/>
      <c r="XCU6" s="157"/>
      <c r="XCV6" s="157"/>
      <c r="XCW6" s="157"/>
      <c r="XCX6" s="157"/>
      <c r="XCY6" s="157"/>
      <c r="XCZ6" s="157"/>
      <c r="XDA6" s="157"/>
      <c r="XDB6" s="157"/>
      <c r="XDC6" s="157"/>
      <c r="XDD6" s="157"/>
      <c r="XDE6" s="157"/>
      <c r="XDF6" s="157"/>
      <c r="XDG6" s="157"/>
      <c r="XDH6" s="157"/>
      <c r="XDI6" s="157"/>
      <c r="XDJ6" s="157"/>
      <c r="XDK6" s="157"/>
      <c r="XDL6" s="157"/>
      <c r="XDM6" s="157"/>
      <c r="XDN6" s="157"/>
      <c r="XDO6" s="157"/>
      <c r="XDP6" s="157"/>
      <c r="XDQ6" s="157"/>
      <c r="XDR6" s="157"/>
      <c r="XDS6" s="157"/>
      <c r="XDT6" s="157"/>
      <c r="XDU6" s="157"/>
      <c r="XDV6" s="157"/>
      <c r="XDW6" s="157"/>
      <c r="XDX6" s="157"/>
      <c r="XDY6" s="157"/>
      <c r="XDZ6" s="157"/>
      <c r="XEA6" s="157"/>
      <c r="XEB6" s="157"/>
      <c r="XEC6" s="157"/>
      <c r="XED6" s="157"/>
      <c r="XEE6" s="157"/>
      <c r="XEF6" s="157"/>
      <c r="XEG6" s="157"/>
      <c r="XEH6" s="157"/>
      <c r="XEI6" s="157"/>
      <c r="XEJ6" s="157"/>
      <c r="XEK6" s="157"/>
      <c r="XEL6" s="157"/>
      <c r="XEM6" s="157"/>
      <c r="XEN6" s="157"/>
      <c r="XEO6" s="157"/>
      <c r="XEP6" s="157"/>
      <c r="XEQ6" s="157"/>
      <c r="XER6" s="157"/>
      <c r="XES6" s="157"/>
      <c r="XET6" s="157"/>
      <c r="XEU6" s="157"/>
      <c r="XEV6" s="157"/>
      <c r="XEW6" s="157"/>
      <c r="XEX6" s="157"/>
      <c r="XEY6" s="157"/>
      <c r="XEZ6" s="157"/>
      <c r="XFA6" s="157"/>
      <c r="XFB6" s="157"/>
      <c r="XFC6" s="157"/>
    </row>
    <row r="7" spans="2:16383" ht="19.149999999999999" customHeight="1" x14ac:dyDescent="0.25">
      <c r="F7" s="162" t="s">
        <v>381</v>
      </c>
      <c r="G7" s="163"/>
      <c r="H7" s="172"/>
      <c r="J7" s="162" t="s">
        <v>381</v>
      </c>
      <c r="K7" s="163"/>
      <c r="L7" s="172"/>
      <c r="N7" s="162" t="s">
        <v>382</v>
      </c>
      <c r="O7" s="163"/>
      <c r="P7" s="172"/>
      <c r="R7" s="162" t="s">
        <v>382</v>
      </c>
      <c r="S7" s="163"/>
      <c r="T7" s="172"/>
      <c r="V7" s="235" t="s">
        <v>382</v>
      </c>
      <c r="W7" s="163"/>
      <c r="X7" s="172"/>
      <c r="Z7" s="235" t="s">
        <v>382</v>
      </c>
      <c r="AA7" s="163"/>
      <c r="AB7" s="172"/>
      <c r="AD7" s="235" t="s">
        <v>382</v>
      </c>
      <c r="AE7" s="163"/>
      <c r="AF7" s="172"/>
      <c r="AH7" s="235" t="s">
        <v>576</v>
      </c>
      <c r="AI7" s="163"/>
      <c r="AJ7" s="172"/>
    </row>
    <row r="8" spans="2:16383" s="151" customFormat="1" ht="19.149999999999999" customHeight="1" x14ac:dyDescent="0.25">
      <c r="B8" s="1094" t="s">
        <v>2</v>
      </c>
      <c r="C8" s="1093" t="s">
        <v>29</v>
      </c>
      <c r="D8" s="1093"/>
      <c r="F8" s="164" t="s">
        <v>596</v>
      </c>
      <c r="G8" s="164"/>
      <c r="H8" s="173"/>
      <c r="J8" s="164" t="s">
        <v>384</v>
      </c>
      <c r="K8" s="164"/>
      <c r="L8" s="173"/>
      <c r="N8" s="165" t="str">
        <f>F8</f>
        <v xml:space="preserve">CÔNG TY A </v>
      </c>
      <c r="O8" s="165"/>
      <c r="P8" s="174"/>
      <c r="R8" s="165" t="str">
        <f>J8</f>
        <v>CÔNG TY B</v>
      </c>
      <c r="S8" s="165"/>
      <c r="T8" s="174"/>
      <c r="V8" s="236" t="s">
        <v>375</v>
      </c>
      <c r="W8" s="166"/>
      <c r="X8" s="175" t="s">
        <v>404</v>
      </c>
      <c r="Z8" s="236" t="s">
        <v>375</v>
      </c>
      <c r="AA8" s="166"/>
      <c r="AB8" s="175" t="s">
        <v>405</v>
      </c>
      <c r="AD8" s="236" t="s">
        <v>375</v>
      </c>
      <c r="AE8" s="166"/>
      <c r="AF8" s="175" t="s">
        <v>407</v>
      </c>
      <c r="AH8" s="236" t="s">
        <v>375</v>
      </c>
      <c r="AI8" s="166"/>
      <c r="AJ8" s="175" t="s">
        <v>407</v>
      </c>
    </row>
    <row r="9" spans="2:16383" s="167" customFormat="1" ht="25.15" customHeight="1" x14ac:dyDescent="0.25">
      <c r="B9" s="1094"/>
      <c r="C9" s="1093"/>
      <c r="D9" s="1093"/>
      <c r="F9" s="168" t="s">
        <v>368</v>
      </c>
      <c r="G9" s="168" t="str">
        <f>$C$6&amp;"/"&amp;"tấn"</f>
        <v>USD/tấn</v>
      </c>
      <c r="H9" s="176" t="s">
        <v>385</v>
      </c>
      <c r="I9" s="169"/>
      <c r="J9" s="168" t="s">
        <v>368</v>
      </c>
      <c r="K9" s="168" t="str">
        <f>$C$6&amp;"/"&amp;"tấn"</f>
        <v>USD/tấn</v>
      </c>
      <c r="L9" s="176" t="s">
        <v>385</v>
      </c>
      <c r="M9" s="169"/>
      <c r="N9" s="170" t="s">
        <v>368</v>
      </c>
      <c r="O9" s="170" t="s">
        <v>369</v>
      </c>
      <c r="P9" s="170" t="str">
        <f>L9</f>
        <v>Tỷ lệ %</v>
      </c>
      <c r="Q9" s="169"/>
      <c r="R9" s="170" t="s">
        <v>368</v>
      </c>
      <c r="S9" s="170" t="s">
        <v>369</v>
      </c>
      <c r="T9" s="170" t="str">
        <f>P9</f>
        <v>Tỷ lệ %</v>
      </c>
      <c r="U9" s="169"/>
      <c r="V9" s="237" t="s">
        <v>368</v>
      </c>
      <c r="W9" s="171" t="s">
        <v>369</v>
      </c>
      <c r="X9" s="177" t="str">
        <f>T9</f>
        <v>Tỷ lệ %</v>
      </c>
      <c r="Y9" s="169"/>
      <c r="Z9" s="237" t="s">
        <v>368</v>
      </c>
      <c r="AA9" s="171" t="s">
        <v>369</v>
      </c>
      <c r="AB9" s="177" t="str">
        <f>X9</f>
        <v>Tỷ lệ %</v>
      </c>
      <c r="AC9" s="169"/>
      <c r="AD9" s="237" t="s">
        <v>368</v>
      </c>
      <c r="AE9" s="171" t="s">
        <v>369</v>
      </c>
      <c r="AF9" s="177" t="str">
        <f>AB9</f>
        <v>Tỷ lệ %</v>
      </c>
      <c r="AG9" s="169"/>
      <c r="AH9" s="237" t="s">
        <v>368</v>
      </c>
      <c r="AI9" s="171" t="s">
        <v>369</v>
      </c>
      <c r="AJ9" s="177" t="str">
        <f>AF9</f>
        <v>Tỷ lệ %</v>
      </c>
    </row>
    <row r="10" spans="2:16383" ht="19.149999999999999" customHeight="1" x14ac:dyDescent="0.25">
      <c r="B10" s="191">
        <v>0</v>
      </c>
      <c r="C10" s="192" t="s">
        <v>388</v>
      </c>
      <c r="D10" s="192"/>
      <c r="E10" s="181"/>
      <c r="F10" s="193"/>
      <c r="G10" s="193"/>
      <c r="H10" s="194"/>
      <c r="I10" s="181"/>
      <c r="J10" s="193"/>
      <c r="K10" s="193"/>
      <c r="L10" s="194"/>
      <c r="M10" s="181"/>
      <c r="N10" s="193"/>
      <c r="O10" s="193"/>
      <c r="P10" s="194"/>
      <c r="Q10" s="181"/>
      <c r="R10" s="193"/>
      <c r="S10" s="193"/>
      <c r="T10" s="194"/>
      <c r="U10" s="181"/>
      <c r="V10" s="238">
        <f>W10*V$6/(V$4*10^3)</f>
        <v>367.2</v>
      </c>
      <c r="W10" s="201" cm="1">
        <f t="array" ref="W10">SUMPRODUCT('W3'!$L$18:$AJ$1018*('W3'!$L$14:$AJ$14='W4'!X$1)*('W3'!$A$18:$A$1018='W4'!X$8)*('W3'!$C$18:$C$1018='W4'!$C10))/$AO$1</f>
        <v>979.2</v>
      </c>
      <c r="X10" s="194"/>
      <c r="Y10" s="181"/>
      <c r="Z10" s="238">
        <f>AA10*Z$6/(Z$4*10^3)</f>
        <v>379.97259514021255</v>
      </c>
      <c r="AA10" s="201" cm="1">
        <f t="array" ref="AA10">SUMPRODUCT('W3'!$L$18:$AJ$1018*('W3'!$L$14:$AJ$14='W4'!AB$1)*('W3'!$A$18:$A$1018='W4'!AB$8)*('W3'!$C$18:$C$1018='W4'!$C10))/$AO$1</f>
        <v>1013.2602537072336</v>
      </c>
      <c r="AB10" s="194"/>
      <c r="AC10" s="181"/>
      <c r="AD10" s="238">
        <f>AE10*AD$6/(AD$4*10^3)</f>
        <v>379.97259514021255</v>
      </c>
      <c r="AE10" s="201" cm="1">
        <f t="array" ref="AE10">SUMPRODUCT('W3'!$L$18:$AJ$1018*('W3'!$L$14:$AJ$14='W4'!AF$1)*('W3'!$A$18:$A$1018='W4'!AF$8)*('W3'!$C$18:$C$1018='W4'!$C10))/$AO$1</f>
        <v>1013.2602537072336</v>
      </c>
      <c r="AF10" s="194"/>
      <c r="AG10" s="181"/>
      <c r="AH10" s="238">
        <f>AI10*AH$6/(AH$4*10^3)</f>
        <v>379.97259514021255</v>
      </c>
      <c r="AI10" s="201" cm="1">
        <f t="array" ref="AI10">SUMPRODUCT('W3'!$L$18:$AJ$1018*('W3'!$L$14:$AJ$14='W4'!AJ$1)*('W3'!$A$18:$A$1018='W4'!AJ$8)*('W3'!$C$18:$C$1018='W4'!$C10))/$AO$1</f>
        <v>1013.2602537072336</v>
      </c>
      <c r="AJ10" s="194"/>
    </row>
    <row r="11" spans="2:16383" s="151" customFormat="1" ht="19.149999999999999" customHeight="1" x14ac:dyDescent="0.25">
      <c r="B11" s="195">
        <v>1</v>
      </c>
      <c r="C11" s="196" t="s">
        <v>379</v>
      </c>
      <c r="D11" s="196"/>
      <c r="E11" s="196"/>
      <c r="F11" s="197">
        <f>460.125*$D$3/18</f>
        <v>383.4375</v>
      </c>
      <c r="G11" s="197">
        <f>F11*($D$4*$D$5)/$D$6</f>
        <v>1022.5</v>
      </c>
      <c r="H11" s="198"/>
      <c r="I11" s="196"/>
      <c r="J11" s="197">
        <f>490.8465*$D$3/18</f>
        <v>409.03874999999999</v>
      </c>
      <c r="K11" s="197">
        <f>J11*($D$4*$D$5)/$D$6</f>
        <v>1090.77</v>
      </c>
      <c r="L11" s="198"/>
      <c r="M11" s="196"/>
      <c r="N11" s="197">
        <f>639*$D$3/18</f>
        <v>532.5</v>
      </c>
      <c r="O11" s="200">
        <f>N11*($D$4*$D$5)/$D$6</f>
        <v>1420</v>
      </c>
      <c r="P11" s="198"/>
      <c r="Q11" s="196"/>
      <c r="R11" s="197">
        <f>639*$D$3/18</f>
        <v>532.5</v>
      </c>
      <c r="S11" s="200">
        <f>R11*($D$4*$D$5)/$D$6</f>
        <v>1420</v>
      </c>
      <c r="T11" s="198"/>
      <c r="U11" s="196"/>
      <c r="V11" s="239"/>
      <c r="W11" s="197"/>
      <c r="X11" s="198"/>
      <c r="Y11" s="196"/>
      <c r="Z11" s="239"/>
      <c r="AA11" s="197"/>
      <c r="AB11" s="198"/>
      <c r="AC11" s="196"/>
      <c r="AD11" s="239"/>
      <c r="AE11" s="197"/>
      <c r="AF11" s="198"/>
      <c r="AG11" s="196"/>
      <c r="AH11" s="239"/>
      <c r="AI11" s="197"/>
      <c r="AJ11" s="198"/>
    </row>
    <row r="12" spans="2:16383" ht="19.149999999999999" customHeight="1" x14ac:dyDescent="0.25">
      <c r="B12" s="187">
        <v>2</v>
      </c>
      <c r="C12" s="188" t="s">
        <v>374</v>
      </c>
      <c r="D12" s="188"/>
      <c r="E12" s="188"/>
      <c r="F12" s="189">
        <f>-F11*$H$12</f>
        <v>-28.7578125</v>
      </c>
      <c r="G12" s="189">
        <f>-G11*$H$12</f>
        <v>-76.6875</v>
      </c>
      <c r="H12" s="199">
        <v>7.4999999999999997E-2</v>
      </c>
      <c r="I12" s="188"/>
      <c r="J12" s="189">
        <f>-J11*$L12</f>
        <v>-28.632712500000004</v>
      </c>
      <c r="K12" s="189">
        <f>-K11*$L$12</f>
        <v>-76.35390000000001</v>
      </c>
      <c r="L12" s="199">
        <v>7.0000000000000007E-2</v>
      </c>
      <c r="M12" s="188"/>
      <c r="N12" s="189">
        <f>N11*$P12</f>
        <v>0</v>
      </c>
      <c r="O12" s="189">
        <f>-O11*$P$12</f>
        <v>0</v>
      </c>
      <c r="P12" s="199">
        <v>0</v>
      </c>
      <c r="Q12" s="188"/>
      <c r="R12" s="189">
        <f>R11*$P12</f>
        <v>0</v>
      </c>
      <c r="S12" s="189">
        <f>-S11*$P$12</f>
        <v>0</v>
      </c>
      <c r="T12" s="199">
        <v>0</v>
      </c>
      <c r="U12" s="188"/>
      <c r="V12" s="240">
        <f>V11*$X12</f>
        <v>0</v>
      </c>
      <c r="W12" s="189">
        <f>-W11*$X$12</f>
        <v>0</v>
      </c>
      <c r="X12" s="199">
        <v>0</v>
      </c>
      <c r="Y12" s="188"/>
      <c r="Z12" s="240">
        <f>Z11*$X12</f>
        <v>0</v>
      </c>
      <c r="AA12" s="189">
        <f>-AA11*$X$12</f>
        <v>0</v>
      </c>
      <c r="AB12" s="199">
        <v>0</v>
      </c>
      <c r="AC12" s="188"/>
      <c r="AD12" s="240">
        <f>AD11*$X12</f>
        <v>0</v>
      </c>
      <c r="AE12" s="189">
        <f>-AE11*$X$12</f>
        <v>0</v>
      </c>
      <c r="AF12" s="199">
        <v>0</v>
      </c>
      <c r="AG12" s="188"/>
      <c r="AH12" s="240">
        <f>AH11*$X12</f>
        <v>0</v>
      </c>
      <c r="AI12" s="189">
        <f>-AI11*$X$12</f>
        <v>0</v>
      </c>
      <c r="AJ12" s="199">
        <v>0</v>
      </c>
    </row>
    <row r="13" spans="2:16383" s="151" customFormat="1" ht="19.149999999999999" customHeight="1" x14ac:dyDescent="0.25">
      <c r="B13" s="148">
        <v>3</v>
      </c>
      <c r="C13" s="149" t="s">
        <v>389</v>
      </c>
      <c r="D13" s="149"/>
      <c r="F13" s="179">
        <f>F11+F12</f>
        <v>354.6796875</v>
      </c>
      <c r="G13" s="179">
        <f>G11+G12</f>
        <v>945.8125</v>
      </c>
      <c r="H13" s="180">
        <f>F13/F$19</f>
        <v>0.74458360895925479</v>
      </c>
      <c r="J13" s="179">
        <f>J11+J12</f>
        <v>380.40603749999997</v>
      </c>
      <c r="K13" s="179">
        <f>K11+K12</f>
        <v>1014.4160999999999</v>
      </c>
      <c r="L13" s="180">
        <f>J13/J$19</f>
        <v>0.6849152004401825</v>
      </c>
      <c r="N13" s="179">
        <f>N11+N12</f>
        <v>532.5</v>
      </c>
      <c r="O13" s="179">
        <f>O11+O12</f>
        <v>1420</v>
      </c>
      <c r="P13" s="180">
        <f>N13/N$19</f>
        <v>0.81401273885350311</v>
      </c>
      <c r="R13" s="179">
        <f>R11+R12</f>
        <v>532.5</v>
      </c>
      <c r="S13" s="179">
        <f>S11+S12</f>
        <v>1420</v>
      </c>
      <c r="T13" s="180">
        <f>R13/R$19</f>
        <v>0.75265017667844525</v>
      </c>
      <c r="V13" s="241">
        <f>SUM(V10:V12)</f>
        <v>367.2</v>
      </c>
      <c r="W13" s="179">
        <f>SUM(W10:W12)</f>
        <v>979.2</v>
      </c>
      <c r="X13" s="180">
        <f>V13/V$19</f>
        <v>0.58642118828846312</v>
      </c>
      <c r="Z13" s="241">
        <f>SUM(Z10:Z12)</f>
        <v>379.97259514021255</v>
      </c>
      <c r="AA13" s="179">
        <f>SUM(AA10:AA12)</f>
        <v>1013.2602537072336</v>
      </c>
      <c r="AB13" s="180">
        <f>Z13/Z$19</f>
        <v>0.53454918426588593</v>
      </c>
      <c r="AD13" s="241">
        <f>SUM(AD10:AD12)</f>
        <v>379.97259514021255</v>
      </c>
      <c r="AE13" s="179">
        <f>SUM(AE10:AE12)</f>
        <v>1013.2602537072336</v>
      </c>
      <c r="AF13" s="180">
        <f>AD13/AD$19</f>
        <v>0.53454918426588593</v>
      </c>
      <c r="AH13" s="241">
        <f>SUM(AH10:AH12)</f>
        <v>379.97259514021255</v>
      </c>
      <c r="AI13" s="179">
        <f>SUM(AI10:AI12)</f>
        <v>1013.2602537072336</v>
      </c>
      <c r="AJ13" s="180">
        <f>AH13/AH$19</f>
        <v>0.53454918426588593</v>
      </c>
    </row>
    <row r="14" spans="2:16383" ht="19.149999999999999" customHeight="1" x14ac:dyDescent="0.25">
      <c r="B14" s="187">
        <v>4</v>
      </c>
      <c r="C14" s="188" t="s">
        <v>367</v>
      </c>
      <c r="D14" s="188"/>
      <c r="E14" s="188"/>
      <c r="F14" s="189">
        <f>SUM(F15:F16)</f>
        <v>118.33333333333333</v>
      </c>
      <c r="G14" s="189">
        <f>SUM(G15:G16)</f>
        <v>315.55555555555554</v>
      </c>
      <c r="H14" s="199">
        <f>F14/F$19</f>
        <v>0.24841868169716319</v>
      </c>
      <c r="I14" s="188"/>
      <c r="J14" s="189">
        <f t="shared" ref="J14:K14" si="0">SUM(J15:J16)</f>
        <v>170.83333333333334</v>
      </c>
      <c r="K14" s="189">
        <f t="shared" si="0"/>
        <v>455.5555555555556</v>
      </c>
      <c r="L14" s="199">
        <f>J14/J$19</f>
        <v>0.30758278052267907</v>
      </c>
      <c r="M14" s="188"/>
      <c r="N14" s="189">
        <f t="shared" ref="N14:O14" si="1">SUM(N15:N16)</f>
        <v>118.33333333333333</v>
      </c>
      <c r="O14" s="189">
        <f t="shared" si="1"/>
        <v>315.55555555555554</v>
      </c>
      <c r="P14" s="199">
        <f>N14/N$19</f>
        <v>0.18089171974522289</v>
      </c>
      <c r="Q14" s="188"/>
      <c r="R14" s="189">
        <f t="shared" ref="R14:S14" si="2">SUM(R15:R16)</f>
        <v>170.83333333333334</v>
      </c>
      <c r="S14" s="189">
        <f t="shared" si="2"/>
        <v>455.5555555555556</v>
      </c>
      <c r="T14" s="199">
        <f>R14/R$19</f>
        <v>0.24146054181389873</v>
      </c>
      <c r="U14" s="188"/>
      <c r="V14" s="240">
        <f>SUM(V15:V16)</f>
        <v>215.06777719134593</v>
      </c>
      <c r="W14" s="189">
        <f t="shared" ref="W14" si="3">SUM(W15:W16)</f>
        <v>573.51407251025591</v>
      </c>
      <c r="X14" s="199">
        <f>V14/V$19</f>
        <v>0.34346487326554331</v>
      </c>
      <c r="Y14" s="188"/>
      <c r="Z14" s="240">
        <f>SUM(Z15:Z16)</f>
        <v>281.42276377920643</v>
      </c>
      <c r="AA14" s="189">
        <f t="shared" ref="AA14" si="4">SUM(AA15:AA16)</f>
        <v>750.46070341121708</v>
      </c>
      <c r="AB14" s="199">
        <f>Z14/Z$19</f>
        <v>0.39590831216791988</v>
      </c>
      <c r="AC14" s="188"/>
      <c r="AD14" s="240">
        <f>SUM(AD15:AD16)</f>
        <v>281.42276377920643</v>
      </c>
      <c r="AE14" s="189">
        <f t="shared" ref="AE14" si="5">SUM(AE15:AE16)</f>
        <v>750.46070341121708</v>
      </c>
      <c r="AF14" s="199">
        <f>AD14/AD$19</f>
        <v>0.39590831216791988</v>
      </c>
      <c r="AG14" s="188"/>
      <c r="AH14" s="240">
        <f>SUM(AH15:AH16)</f>
        <v>281.42276377920643</v>
      </c>
      <c r="AI14" s="189">
        <f t="shared" ref="AI14" si="6">SUM(AI15:AI16)</f>
        <v>750.46070341121708</v>
      </c>
      <c r="AJ14" s="199">
        <f>AH14/AH$19</f>
        <v>0.39590831216791988</v>
      </c>
    </row>
    <row r="15" spans="2:16383" s="206" customFormat="1" ht="19.149999999999999" customHeight="1" outlineLevel="1" x14ac:dyDescent="0.25">
      <c r="B15" s="202">
        <v>4.0999999999999996</v>
      </c>
      <c r="C15" s="207" t="s">
        <v>367</v>
      </c>
      <c r="D15" s="203"/>
      <c r="E15" s="203"/>
      <c r="F15" s="204">
        <f>142*$D$3/18</f>
        <v>118.33333333333333</v>
      </c>
      <c r="G15" s="204">
        <f t="shared" ref="G15" si="7">F15*($D$4*$D$5)/$D$6</f>
        <v>315.55555555555554</v>
      </c>
      <c r="H15" s="205">
        <f t="shared" ref="H15:H16" si="8">F15/F$19</f>
        <v>0.24841868169716319</v>
      </c>
      <c r="I15" s="203"/>
      <c r="J15" s="204">
        <f>205*$D$3/18</f>
        <v>170.83333333333334</v>
      </c>
      <c r="K15" s="204">
        <f t="shared" ref="K15" si="9">J15*($D$4*$D$5)/$D$6</f>
        <v>455.5555555555556</v>
      </c>
      <c r="L15" s="205">
        <f t="shared" ref="L15" si="10">J15/J$19</f>
        <v>0.30758278052267907</v>
      </c>
      <c r="M15" s="203"/>
      <c r="N15" s="204">
        <f t="shared" ref="N15:N16" si="11">F15</f>
        <v>118.33333333333333</v>
      </c>
      <c r="O15" s="204">
        <f t="shared" ref="O15:O18" si="12">N15*($D$4*$D$5)/$D$6</f>
        <v>315.55555555555554</v>
      </c>
      <c r="P15" s="205">
        <f>N15/N$19</f>
        <v>0.18089171974522289</v>
      </c>
      <c r="Q15" s="203"/>
      <c r="R15" s="204">
        <f t="shared" ref="R15:R16" si="13">J15</f>
        <v>170.83333333333334</v>
      </c>
      <c r="S15" s="204">
        <f t="shared" ref="S15:S18" si="14">R15*($D$4*$D$5)/$D$6</f>
        <v>455.5555555555556</v>
      </c>
      <c r="T15" s="205">
        <f t="shared" ref="T15:T16" si="15">R15/R$19</f>
        <v>0.24146054181389873</v>
      </c>
      <c r="U15" s="203"/>
      <c r="V15" s="242">
        <f t="shared" ref="V15:V18" si="16">W15*V$6/(V$4*10^3)</f>
        <v>187.42906751392653</v>
      </c>
      <c r="W15" s="204" cm="1">
        <f t="array" ref="W15">SUMPRODUCT('W3'!$L$18:$AJ$1018*('W3'!$L$14:$AJ$14='W4'!X$1)*('W3'!$A$18:$A$1018='W4'!X$8)*('W3'!$C$18:$C$1018='W4'!$C15))/$AO$1</f>
        <v>499.81084670380415</v>
      </c>
      <c r="X15" s="205">
        <f t="shared" ref="X15" si="17">V15/V$19</f>
        <v>0.29932564403952988</v>
      </c>
      <c r="Y15" s="203"/>
      <c r="Z15" s="242">
        <f t="shared" ref="Z15:Z18" si="18">AA15*Z$6/(Z$4*10^3)</f>
        <v>252.82267597295387</v>
      </c>
      <c r="AA15" s="204" cm="1">
        <f t="array" ref="AA15">SUMPRODUCT('W3'!$L$18:$AJ$1018*('W3'!$L$14:$AJ$14='W4'!AB$1)*('W3'!$A$18:$A$1018='W4'!AB$8)*('W3'!$C$18:$C$1018='W4'!$C15))/$AO$1</f>
        <v>674.19380259454363</v>
      </c>
      <c r="AB15" s="205">
        <f t="shared" ref="AB15" si="19">Z15/Z$19</f>
        <v>0.35567342733070262</v>
      </c>
      <c r="AC15" s="203"/>
      <c r="AD15" s="242">
        <f t="shared" ref="AD15:AD18" si="20">AE15*AD$6/(AD$4*10^3)</f>
        <v>252.82267597295387</v>
      </c>
      <c r="AE15" s="204" cm="1">
        <f t="array" ref="AE15">SUMPRODUCT('W3'!$L$18:$AJ$1018*('W3'!$L$14:$AJ$14='W4'!AF$1)*('W3'!$A$18:$A$1018='W4'!AF$8)*('W3'!$C$18:$C$1018='W4'!$C15))/$AO$1</f>
        <v>674.19380259454363</v>
      </c>
      <c r="AF15" s="205">
        <f t="shared" ref="AF15" si="21">AD15/AD$19</f>
        <v>0.35567342733070262</v>
      </c>
      <c r="AG15" s="203"/>
      <c r="AH15" s="242">
        <f t="shared" ref="AH15:AH18" si="22">AI15*AH$6/(AH$4*10^3)</f>
        <v>252.82267597295387</v>
      </c>
      <c r="AI15" s="400">
        <f>MD!B26</f>
        <v>674.19380259454363</v>
      </c>
      <c r="AJ15" s="205">
        <f t="shared" ref="AJ15" si="23">AH15/AH$19</f>
        <v>0.35567342733070262</v>
      </c>
      <c r="AK15" s="404"/>
    </row>
    <row r="16" spans="2:16383" s="206" customFormat="1" ht="19.149999999999999" customHeight="1" outlineLevel="1" x14ac:dyDescent="0.25">
      <c r="B16" s="202">
        <v>4.2</v>
      </c>
      <c r="C16" s="207" t="s">
        <v>387</v>
      </c>
      <c r="D16" s="203"/>
      <c r="E16" s="203"/>
      <c r="F16" s="204"/>
      <c r="G16" s="204"/>
      <c r="H16" s="205">
        <f t="shared" si="8"/>
        <v>0</v>
      </c>
      <c r="I16" s="203"/>
      <c r="J16" s="204"/>
      <c r="K16" s="204"/>
      <c r="L16" s="205"/>
      <c r="M16" s="203"/>
      <c r="N16" s="204">
        <f t="shared" si="11"/>
        <v>0</v>
      </c>
      <c r="O16" s="204">
        <f t="shared" si="12"/>
        <v>0</v>
      </c>
      <c r="P16" s="205">
        <f t="shared" ref="P16" si="24">N16/N$19</f>
        <v>0</v>
      </c>
      <c r="Q16" s="203"/>
      <c r="R16" s="204">
        <f t="shared" si="13"/>
        <v>0</v>
      </c>
      <c r="S16" s="204">
        <f t="shared" si="14"/>
        <v>0</v>
      </c>
      <c r="T16" s="205">
        <f t="shared" si="15"/>
        <v>0</v>
      </c>
      <c r="U16" s="203"/>
      <c r="V16" s="242">
        <f t="shared" si="16"/>
        <v>27.638709677419406</v>
      </c>
      <c r="W16" s="204" cm="1">
        <f t="array" ref="W16">SUMPRODUCT('W3'!$L$18:$AJ$1018*('W3'!$L$14:$AJ$14='W4'!X$1)*('W3'!$A$18:$A$1018='W4'!X$8)*('W3'!$C$18:$C$1018='W4'!$C16))/$AO$1</f>
        <v>73.703225806451755</v>
      </c>
      <c r="X16" s="205"/>
      <c r="Y16" s="203"/>
      <c r="Z16" s="242">
        <f t="shared" si="18"/>
        <v>28.60008780625256</v>
      </c>
      <c r="AA16" s="204" cm="1">
        <f t="array" ref="AA16">SUMPRODUCT('W3'!$L$18:$AJ$1018*('W3'!$L$14:$AJ$14='W4'!AB$1)*('W3'!$A$18:$A$1018='W4'!AB$8)*('W3'!$C$18:$C$1018='W4'!$C16))/$AO$1</f>
        <v>76.266900816673498</v>
      </c>
      <c r="AB16" s="205"/>
      <c r="AC16" s="203"/>
      <c r="AD16" s="242">
        <f t="shared" si="20"/>
        <v>28.60008780625256</v>
      </c>
      <c r="AE16" s="204" cm="1">
        <f t="array" ref="AE16">SUMPRODUCT('W3'!$L$18:$AJ$1018*('W3'!$L$14:$AJ$14='W4'!AF$1)*('W3'!$A$18:$A$1018='W4'!AF$8)*('W3'!$C$18:$C$1018='W4'!$C16))/$AO$1</f>
        <v>76.266900816673498</v>
      </c>
      <c r="AF16" s="205"/>
      <c r="AG16" s="203"/>
      <c r="AH16" s="242">
        <f t="shared" si="22"/>
        <v>28.60008780625256</v>
      </c>
      <c r="AI16" s="204" cm="1">
        <f t="array" ref="AI16">SUMPRODUCT('W3'!$L$18:$AJ$1018*('W3'!$L$14:$AJ$14='W4'!AJ$1)*('W3'!$A$18:$A$1018='W4'!AJ$8)*('W3'!$C$18:$C$1018='W4'!$C16))/$AO$1</f>
        <v>76.266900816673498</v>
      </c>
      <c r="AJ16" s="205"/>
    </row>
    <row r="17" spans="2:36" ht="19.149999999999999" customHeight="1" x14ac:dyDescent="0.25">
      <c r="B17" s="187">
        <v>5</v>
      </c>
      <c r="C17" s="188" t="s">
        <v>370</v>
      </c>
      <c r="D17" s="188"/>
      <c r="E17" s="188"/>
      <c r="F17" s="189">
        <f>4*$D$3/18</f>
        <v>3.3333333333333335</v>
      </c>
      <c r="G17" s="189">
        <f t="shared" ref="G17" si="25">F17*($D$4*$D$5)/$D$6</f>
        <v>8.8888888888888893</v>
      </c>
      <c r="H17" s="190">
        <f>F17/F$19</f>
        <v>6.9977093435820625E-3</v>
      </c>
      <c r="I17" s="189"/>
      <c r="J17" s="189">
        <f>5*$D$3/18</f>
        <v>4.166666666666667</v>
      </c>
      <c r="K17" s="189">
        <f t="shared" ref="K17" si="26">J17*($D$4*$D$5)/$D$6</f>
        <v>11.111111111111112</v>
      </c>
      <c r="L17" s="190">
        <f>J17/J$19</f>
        <v>7.502019037138514E-3</v>
      </c>
      <c r="M17" s="189"/>
      <c r="N17" s="189">
        <f>F17</f>
        <v>3.3333333333333335</v>
      </c>
      <c r="O17" s="189">
        <f t="shared" si="12"/>
        <v>8.8888888888888893</v>
      </c>
      <c r="P17" s="190">
        <f>N17/N$19</f>
        <v>5.0955414012738851E-3</v>
      </c>
      <c r="Q17" s="189"/>
      <c r="R17" s="189">
        <f>J17</f>
        <v>4.166666666666667</v>
      </c>
      <c r="S17" s="189">
        <f t="shared" si="14"/>
        <v>11.111111111111112</v>
      </c>
      <c r="T17" s="190">
        <f>R17/R$19</f>
        <v>5.8892815076560662E-3</v>
      </c>
      <c r="U17" s="189"/>
      <c r="V17" s="240">
        <f t="shared" si="16"/>
        <v>4.7676282051282062</v>
      </c>
      <c r="W17" s="189" cm="1">
        <f t="array" ref="W17">SUMPRODUCT('W3'!$L$18:$AJ$1018*('W3'!$L$14:$AJ$14='W4'!X$1)*('W3'!$A$18:$A$1018='W4'!X$8)*('W3'!$C$18:$C$1018='W4'!$C17))/$AO$1</f>
        <v>12.713675213675216</v>
      </c>
      <c r="X17" s="190">
        <f>V17/V$19</f>
        <v>7.6139384459936697E-3</v>
      </c>
      <c r="Y17" s="189"/>
      <c r="Z17" s="240">
        <f t="shared" si="18"/>
        <v>5.0060096153846159</v>
      </c>
      <c r="AA17" s="189" cm="1">
        <f t="array" ref="AA17">SUMPRODUCT('W3'!$L$18:$AJ$1018*('W3'!$L$14:$AJ$14='W4'!AB$1)*('W3'!$A$18:$A$1018='W4'!AB$8)*('W3'!$C$18:$C$1018='W4'!$C17))/$AO$1</f>
        <v>13.349358974358976</v>
      </c>
      <c r="AB17" s="190">
        <f>Z17/Z$19</f>
        <v>7.0425035661942411E-3</v>
      </c>
      <c r="AC17" s="189"/>
      <c r="AD17" s="240">
        <f t="shared" si="20"/>
        <v>5.0060096153846159</v>
      </c>
      <c r="AE17" s="189" cm="1">
        <f t="array" ref="AE17">SUMPRODUCT('W3'!$L$18:$AJ$1018*('W3'!$L$14:$AJ$14='W4'!AF$1)*('W3'!$A$18:$A$1018='W4'!AF$8)*('W3'!$C$18:$C$1018='W4'!$C17))/$AO$1</f>
        <v>13.349358974358976</v>
      </c>
      <c r="AF17" s="190">
        <f>AD17/AD$19</f>
        <v>7.0425035661942411E-3</v>
      </c>
      <c r="AG17" s="189"/>
      <c r="AH17" s="240">
        <f t="shared" si="22"/>
        <v>5.0060096153846159</v>
      </c>
      <c r="AI17" s="189" cm="1">
        <f t="array" ref="AI17">SUMPRODUCT('W3'!$L$18:$AJ$1018*('W3'!$L$14:$AJ$14='W4'!AJ$1)*('W3'!$A$18:$A$1018='W4'!AJ$8)*('W3'!$C$18:$C$1018='W4'!$C17))/$AO$1</f>
        <v>13.349358974358976</v>
      </c>
      <c r="AJ17" s="190">
        <f>AH17/AH$19</f>
        <v>7.0425035661942411E-3</v>
      </c>
    </row>
    <row r="18" spans="2:36" ht="19.149999999999999" customHeight="1" x14ac:dyDescent="0.25">
      <c r="B18" s="187">
        <v>7</v>
      </c>
      <c r="C18" s="188" t="s">
        <v>291</v>
      </c>
      <c r="D18" s="188"/>
      <c r="E18" s="188"/>
      <c r="F18" s="189"/>
      <c r="G18" s="189"/>
      <c r="H18" s="190">
        <f>F18/F$19</f>
        <v>0</v>
      </c>
      <c r="I18" s="189"/>
      <c r="J18" s="189"/>
      <c r="K18" s="189"/>
      <c r="L18" s="190">
        <f>J18/J$19</f>
        <v>0</v>
      </c>
      <c r="M18" s="189"/>
      <c r="N18" s="189">
        <f>F18</f>
        <v>0</v>
      </c>
      <c r="O18" s="189">
        <f t="shared" si="12"/>
        <v>0</v>
      </c>
      <c r="P18" s="190">
        <f>N18/N$19</f>
        <v>0</v>
      </c>
      <c r="Q18" s="189"/>
      <c r="R18" s="189">
        <f>J18</f>
        <v>0</v>
      </c>
      <c r="S18" s="189">
        <f t="shared" si="14"/>
        <v>0</v>
      </c>
      <c r="T18" s="190">
        <f>R18/R$19</f>
        <v>0</v>
      </c>
      <c r="U18" s="189"/>
      <c r="V18" s="240">
        <f t="shared" si="16"/>
        <v>39.135693693098276</v>
      </c>
      <c r="W18" s="189">
        <f>SUM(,W13:W14,W17)*X18</f>
        <v>104.36184984826207</v>
      </c>
      <c r="X18" s="397">
        <f>INDEX('Cover Page'!$H$12:$W$12,MATCH('W4'!X$8,'Cover Page'!$H$5:$W$5,0))</f>
        <v>6.6666666666666666E-2</v>
      </c>
      <c r="Y18" s="189"/>
      <c r="Z18" s="240">
        <f t="shared" si="18"/>
        <v>44.42675790232024</v>
      </c>
      <c r="AA18" s="189">
        <f>SUM(,AA13:AA14,AA17)*AB18</f>
        <v>118.4713544061873</v>
      </c>
      <c r="AB18" s="397">
        <f>INDEX('Cover Page'!$H$12:$W$12,MATCH('W4'!AB$8,'Cover Page'!$H$5:$W$5,0))</f>
        <v>6.6666666666666666E-2</v>
      </c>
      <c r="AC18" s="398"/>
      <c r="AD18" s="240">
        <f t="shared" si="20"/>
        <v>44.42675790232024</v>
      </c>
      <c r="AE18" s="189">
        <f>SUM(,AE13:AE14,AE17)*AF18</f>
        <v>118.4713544061873</v>
      </c>
      <c r="AF18" s="397">
        <f>INDEX('Cover Page'!$H$12:$W$12,MATCH('W4'!AF$8,'Cover Page'!$H$5:$W$5,0))</f>
        <v>6.6666666666666666E-2</v>
      </c>
      <c r="AG18" s="398"/>
      <c r="AH18" s="240">
        <f t="shared" si="22"/>
        <v>44.42675790232024</v>
      </c>
      <c r="AI18" s="189">
        <f>SUM(,AI13:AI14,AI17)*AJ18</f>
        <v>118.4713544061873</v>
      </c>
      <c r="AJ18" s="397">
        <f>INDEX('Cover Page'!$H$12:$W$12,MATCH('W4'!AJ$8,'Cover Page'!$H$5:$W$5,0))</f>
        <v>6.6666666666666666E-2</v>
      </c>
    </row>
    <row r="19" spans="2:36" s="184" customFormat="1" ht="19.149999999999999" customHeight="1" x14ac:dyDescent="0.25">
      <c r="B19" s="182">
        <v>8</v>
      </c>
      <c r="C19" s="183" t="s">
        <v>371</v>
      </c>
      <c r="D19" s="183"/>
      <c r="F19" s="185">
        <f t="shared" ref="F19:G19" si="27">SUM(F13,F14,F17,F18)</f>
        <v>476.34635416666663</v>
      </c>
      <c r="G19" s="185">
        <f t="shared" si="27"/>
        <v>1270.2569444444446</v>
      </c>
      <c r="H19" s="186">
        <f>F19/F$19</f>
        <v>1</v>
      </c>
      <c r="J19" s="185">
        <f t="shared" ref="J19:K19" si="28">SUM(J13,J14,J17,J18)</f>
        <v>555.40603749999991</v>
      </c>
      <c r="K19" s="185">
        <f t="shared" si="28"/>
        <v>1481.0827666666667</v>
      </c>
      <c r="L19" s="186">
        <f>J19/J$19</f>
        <v>1</v>
      </c>
      <c r="N19" s="185">
        <f t="shared" ref="N19:O19" si="29">SUM(N13,N14,N17,N18)</f>
        <v>654.16666666666674</v>
      </c>
      <c r="O19" s="185">
        <f t="shared" si="29"/>
        <v>1744.4444444444446</v>
      </c>
      <c r="P19" s="186">
        <f>N19/N$19</f>
        <v>1</v>
      </c>
      <c r="R19" s="185">
        <f>SUM(R13,R14,R17,R18)</f>
        <v>707.5</v>
      </c>
      <c r="S19" s="185">
        <f>SUM(S13,S14,S17,S18)</f>
        <v>1886.6666666666667</v>
      </c>
      <c r="T19" s="186">
        <f>R19/R$19</f>
        <v>1</v>
      </c>
      <c r="V19" s="241">
        <f>SUM(V13,V14,V17,V18)</f>
        <v>626.17109908957229</v>
      </c>
      <c r="W19" s="185">
        <f t="shared" ref="W19" si="30">SUM(W13,W14,W17,W18)</f>
        <v>1669.7895975721931</v>
      </c>
      <c r="X19" s="186">
        <f>V19/V$19</f>
        <v>1</v>
      </c>
      <c r="Z19" s="241">
        <f>SUM(Z13,Z14,Z17,Z18)</f>
        <v>710.82812643712384</v>
      </c>
      <c r="AA19" s="185">
        <f t="shared" ref="AA19" si="31">SUM(AA13,AA14,AA17,AA18)</f>
        <v>1895.5416704989971</v>
      </c>
      <c r="AB19" s="186">
        <f>Z19/Z$19</f>
        <v>1</v>
      </c>
      <c r="AD19" s="241">
        <f>SUM(AD13,AD14,AD17,AD18)</f>
        <v>710.82812643712384</v>
      </c>
      <c r="AE19" s="185">
        <f t="shared" ref="AE19" si="32">SUM(AE13,AE14,AE17,AE18)</f>
        <v>1895.5416704989971</v>
      </c>
      <c r="AF19" s="186">
        <f>AD19/AD$19</f>
        <v>1</v>
      </c>
      <c r="AH19" s="241">
        <f>SUM(AH13,AH14,AH17,AH18)</f>
        <v>710.82812643712384</v>
      </c>
      <c r="AI19" s="185">
        <f t="shared" ref="AI19" si="33">SUM(AI13,AI14,AI17,AI18)</f>
        <v>1895.5416704989971</v>
      </c>
      <c r="AJ19" s="186">
        <f>AH19/AH$19</f>
        <v>1</v>
      </c>
    </row>
    <row r="20" spans="2:36" s="151" customFormat="1" ht="19.149999999999999" customHeight="1" x14ac:dyDescent="0.25">
      <c r="B20" s="161">
        <v>9</v>
      </c>
      <c r="C20" s="151" t="s">
        <v>546</v>
      </c>
      <c r="F20" s="353"/>
      <c r="G20" s="353"/>
      <c r="H20" s="152"/>
      <c r="J20" s="353"/>
      <c r="K20" s="353"/>
      <c r="L20" s="152"/>
      <c r="P20" s="152"/>
      <c r="T20" s="152"/>
      <c r="V20" s="354">
        <f>V19-V18</f>
        <v>587.03540539647406</v>
      </c>
      <c r="W20" s="354">
        <f>W19-W18</f>
        <v>1565.4277477239311</v>
      </c>
      <c r="X20" s="152"/>
      <c r="Z20" s="354">
        <f t="shared" ref="Z20:AA20" si="34">Z19-Z18</f>
        <v>666.40136853480362</v>
      </c>
      <c r="AA20" s="354">
        <f t="shared" si="34"/>
        <v>1777.0703160928097</v>
      </c>
      <c r="AB20" s="152"/>
      <c r="AD20" s="354">
        <f>AD19-AD18</f>
        <v>666.40136853480362</v>
      </c>
      <c r="AE20" s="354">
        <f>AE19-AE18</f>
        <v>1777.0703160928097</v>
      </c>
      <c r="AF20" s="152"/>
      <c r="AH20" s="354">
        <f>AH19-AH18</f>
        <v>666.40136853480362</v>
      </c>
      <c r="AI20" s="354">
        <f>AI19-AI18</f>
        <v>1777.0703160928097</v>
      </c>
      <c r="AJ20" s="152"/>
    </row>
    <row r="21" spans="2:36" s="151" customFormat="1" ht="19.149999999999999" hidden="1" customHeight="1" x14ac:dyDescent="0.25">
      <c r="B21" s="437"/>
      <c r="C21" s="151" t="s">
        <v>597</v>
      </c>
      <c r="N21" s="354"/>
      <c r="R21" s="354"/>
      <c r="X21" s="152"/>
      <c r="Z21" s="354"/>
      <c r="AA21" s="354"/>
      <c r="AB21" s="152"/>
      <c r="AD21" s="354"/>
      <c r="AE21" s="354"/>
      <c r="AF21" s="152"/>
    </row>
    <row r="22" spans="2:36" ht="19.149999999999999" customHeight="1" x14ac:dyDescent="0.25">
      <c r="B22" s="178"/>
      <c r="H22" s="154"/>
      <c r="L22" s="154"/>
      <c r="P22" s="154"/>
      <c r="T22" s="154"/>
      <c r="V22" s="154"/>
      <c r="Y22" s="151"/>
      <c r="Z22" s="352"/>
      <c r="AA22" s="352"/>
      <c r="AC22" s="151"/>
      <c r="AD22" s="352"/>
      <c r="AE22" s="352"/>
      <c r="AG22" s="151"/>
    </row>
    <row r="23" spans="2:36" ht="19.149999999999999" customHeight="1" x14ac:dyDescent="0.25">
      <c r="B23" s="178"/>
      <c r="H23" s="154"/>
      <c r="L23" s="154"/>
      <c r="P23" s="154"/>
      <c r="T23" s="154"/>
      <c r="V23" s="154"/>
      <c r="Y23" s="151"/>
      <c r="Z23" s="352"/>
      <c r="AA23" s="352"/>
      <c r="AC23" s="151"/>
      <c r="AD23" s="352"/>
      <c r="AE23" s="352"/>
      <c r="AG23" s="151"/>
    </row>
    <row r="24" spans="2:36" ht="19.149999999999999" customHeight="1" x14ac:dyDescent="0.25">
      <c r="B24" s="178"/>
      <c r="H24" s="154"/>
      <c r="L24" s="154"/>
      <c r="P24" s="154"/>
      <c r="T24" s="154"/>
      <c r="V24" s="154"/>
      <c r="Y24" s="151"/>
      <c r="Z24" s="352"/>
      <c r="AA24" s="352"/>
      <c r="AC24" s="151"/>
      <c r="AD24" s="352"/>
      <c r="AE24" s="352"/>
      <c r="AG24" s="151"/>
    </row>
    <row r="25" spans="2:36" ht="19.149999999999999" customHeight="1" x14ac:dyDescent="0.25">
      <c r="B25" s="178"/>
      <c r="H25" s="154"/>
      <c r="L25" s="154"/>
      <c r="P25" s="154"/>
      <c r="T25" s="154"/>
      <c r="V25" s="154"/>
      <c r="Y25" s="151"/>
      <c r="Z25" s="352"/>
      <c r="AA25" s="352"/>
      <c r="AC25" s="151"/>
      <c r="AD25" s="352"/>
      <c r="AE25" s="352"/>
      <c r="AG25" s="151"/>
    </row>
    <row r="26" spans="2:36" ht="19.149999999999999" customHeight="1" x14ac:dyDescent="0.25">
      <c r="B26" s="178"/>
      <c r="H26" s="154"/>
      <c r="L26" s="154"/>
      <c r="P26" s="154"/>
      <c r="T26" s="154"/>
      <c r="V26" s="154"/>
      <c r="Y26" s="151"/>
      <c r="Z26" s="352"/>
      <c r="AA26" s="352"/>
      <c r="AC26" s="151"/>
      <c r="AD26" s="352"/>
      <c r="AE26" s="352"/>
      <c r="AG26" s="151"/>
    </row>
    <row r="27" spans="2:36" ht="19.149999999999999" customHeight="1" x14ac:dyDescent="0.25">
      <c r="B27" s="178"/>
      <c r="H27" s="154"/>
      <c r="L27" s="154"/>
      <c r="P27" s="154"/>
      <c r="T27" s="154"/>
      <c r="V27" s="154"/>
      <c r="Y27" s="151"/>
      <c r="Z27" s="352"/>
      <c r="AA27" s="352"/>
      <c r="AC27" s="151"/>
      <c r="AD27" s="352"/>
      <c r="AE27" s="352"/>
      <c r="AG27" s="151"/>
    </row>
    <row r="28" spans="2:36" ht="19.149999999999999" customHeight="1" x14ac:dyDescent="0.25">
      <c r="B28" s="178"/>
      <c r="H28" s="154"/>
      <c r="L28" s="154"/>
      <c r="P28" s="154"/>
      <c r="T28" s="154"/>
      <c r="V28" s="154"/>
      <c r="Y28" s="151"/>
      <c r="Z28" s="352"/>
      <c r="AA28" s="352"/>
      <c r="AC28" s="151"/>
      <c r="AD28" s="352"/>
      <c r="AE28" s="352"/>
      <c r="AG28" s="151"/>
    </row>
    <row r="29" spans="2:36" ht="19.149999999999999" customHeight="1" x14ac:dyDescent="0.25">
      <c r="B29" s="178"/>
      <c r="H29" s="154"/>
      <c r="L29" s="154"/>
      <c r="P29" s="154"/>
      <c r="T29" s="154"/>
      <c r="V29" s="154"/>
      <c r="Y29" s="151"/>
      <c r="Z29" s="352"/>
      <c r="AA29" s="352"/>
      <c r="AC29" s="151"/>
      <c r="AD29" s="352"/>
      <c r="AE29" s="352"/>
      <c r="AG29" s="151"/>
    </row>
    <row r="30" spans="2:36" ht="19.149999999999999" customHeight="1" x14ac:dyDescent="0.25">
      <c r="B30" s="178"/>
      <c r="H30" s="154"/>
      <c r="L30" s="154"/>
      <c r="P30" s="154"/>
      <c r="T30" s="154"/>
      <c r="V30" s="154"/>
      <c r="Y30" s="151"/>
      <c r="Z30" s="352"/>
      <c r="AA30" s="352"/>
      <c r="AC30" s="151"/>
      <c r="AD30" s="352"/>
      <c r="AE30" s="352"/>
      <c r="AG30" s="151"/>
    </row>
    <row r="31" spans="2:36" ht="19.149999999999999" customHeight="1" x14ac:dyDescent="0.25">
      <c r="B31" s="178"/>
      <c r="H31" s="154"/>
      <c r="L31" s="154"/>
      <c r="P31" s="154"/>
      <c r="T31" s="154"/>
      <c r="V31" s="154"/>
      <c r="Y31" s="151"/>
      <c r="Z31" s="352"/>
      <c r="AA31" s="352"/>
      <c r="AC31" s="151"/>
      <c r="AD31" s="352"/>
      <c r="AE31" s="352"/>
      <c r="AG31" s="151"/>
    </row>
    <row r="32" spans="2:36" ht="19.149999999999999" customHeight="1" x14ac:dyDescent="0.25">
      <c r="B32" s="178"/>
      <c r="C32" s="154" t="s">
        <v>390</v>
      </c>
      <c r="F32" s="159"/>
      <c r="G32" s="159"/>
      <c r="J32" s="159"/>
      <c r="K32" s="159"/>
      <c r="N32" s="151"/>
      <c r="O32" s="151"/>
      <c r="P32" s="152"/>
      <c r="Q32" s="151"/>
      <c r="R32" s="151"/>
      <c r="T32" s="152"/>
      <c r="U32" s="151"/>
      <c r="Y32" s="151"/>
      <c r="AC32" s="151"/>
      <c r="AG32" s="151"/>
    </row>
    <row r="33" spans="3:3" ht="19.149999999999999" customHeight="1" x14ac:dyDescent="0.25">
      <c r="C33" s="208" t="s">
        <v>386</v>
      </c>
    </row>
    <row r="35" spans="3:3" ht="19.149999999999999" customHeight="1" x14ac:dyDescent="0.25">
      <c r="C35" s="151" t="s">
        <v>391</v>
      </c>
    </row>
    <row r="36" spans="3:3" ht="19.149999999999999" customHeight="1" x14ac:dyDescent="0.25">
      <c r="C36" s="209" t="s">
        <v>392</v>
      </c>
    </row>
    <row r="37" spans="3:3" ht="19.149999999999999" customHeight="1" x14ac:dyDescent="0.25">
      <c r="C37" s="209" t="s">
        <v>395</v>
      </c>
    </row>
    <row r="39" spans="3:3" ht="19.149999999999999" customHeight="1" x14ac:dyDescent="0.25">
      <c r="C39" s="151" t="s">
        <v>393</v>
      </c>
    </row>
    <row r="40" spans="3:3" ht="19.149999999999999" customHeight="1" x14ac:dyDescent="0.25">
      <c r="C40" s="209" t="s">
        <v>399</v>
      </c>
    </row>
    <row r="41" spans="3:3" ht="19.149999999999999" customHeight="1" x14ac:dyDescent="0.25">
      <c r="C41" s="209" t="s">
        <v>394</v>
      </c>
    </row>
    <row r="42" spans="3:3" ht="19.149999999999999" customHeight="1" x14ac:dyDescent="0.25">
      <c r="C42" s="209" t="s">
        <v>396</v>
      </c>
    </row>
    <row r="43" spans="3:3" ht="19.149999999999999" customHeight="1" x14ac:dyDescent="0.25">
      <c r="C43" s="209" t="s">
        <v>397</v>
      </c>
    </row>
    <row r="44" spans="3:3" ht="19.149999999999999" customHeight="1" x14ac:dyDescent="0.25">
      <c r="C44" s="209" t="s">
        <v>398</v>
      </c>
    </row>
    <row r="45" spans="3:3" ht="19.149999999999999" customHeight="1" x14ac:dyDescent="0.25">
      <c r="C45" s="209" t="s">
        <v>400</v>
      </c>
    </row>
  </sheetData>
  <mergeCells count="3">
    <mergeCell ref="D8:D9"/>
    <mergeCell ref="C8:C9"/>
    <mergeCell ref="B8:B9"/>
  </mergeCells>
  <dataValidations disablePrompts="1" count="2">
    <dataValidation type="list" allowBlank="1" showInputMessage="1" showErrorMessage="1" sqref="C6" xr:uid="{B1FC2EA3-A24C-4D64-A235-3BDB8D82F8A2}">
      <formula1>"USD,VND"</formula1>
    </dataValidation>
    <dataValidation type="list" allowBlank="1" showInputMessage="1" showErrorMessage="1" sqref="D3" xr:uid="{7B12A2CF-4CB2-4EE9-AB3A-496467B1628E}">
      <formula1>"15,18"</formula1>
    </dataValidation>
  </dataValidation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A50A-6D23-4762-B8A2-B703871B534C}">
  <dimension ref="A1:AK120"/>
  <sheetViews>
    <sheetView zoomScale="85" zoomScaleNormal="85" workbookViewId="0">
      <pane xSplit="4" ySplit="3" topLeftCell="E57" activePane="bottomRight" state="frozen"/>
      <selection pane="topRight" activeCell="E1" sqref="E1"/>
      <selection pane="bottomLeft" activeCell="A4" sqref="A4"/>
      <selection pane="bottomRight" activeCell="F61" sqref="F61"/>
    </sheetView>
  </sheetViews>
  <sheetFormatPr defaultColWidth="7.75" defaultRowHeight="14.25" outlineLevelRow="1" outlineLevelCol="1" x14ac:dyDescent="0.2"/>
  <cols>
    <col min="1" max="1" width="6.125" style="105" customWidth="1"/>
    <col min="2" max="2" width="7.75" style="105" customWidth="1"/>
    <col min="3" max="3" width="16" style="105" customWidth="1"/>
    <col min="4" max="4" width="24.875" style="105" customWidth="1"/>
    <col min="5" max="5" width="16" style="105" customWidth="1"/>
    <col min="6" max="6" width="13.125" style="105" customWidth="1"/>
    <col min="7" max="10" width="16" style="105" hidden="1" customWidth="1" outlineLevel="1"/>
    <col min="11" max="11" width="16" style="105" customWidth="1" collapsed="1"/>
    <col min="12" max="12" width="16" style="105" customWidth="1"/>
    <col min="13" max="15" width="16" style="105" hidden="1" customWidth="1" outlineLevel="1"/>
    <col min="16" max="16" width="18.625" style="105" hidden="1" customWidth="1" outlineLevel="1"/>
    <col min="17" max="17" width="26" style="105" customWidth="1" collapsed="1"/>
    <col min="18" max="18" width="7.75" style="105"/>
    <col min="19" max="19" width="50.5" style="105" customWidth="1"/>
    <col min="20" max="20" width="14.5" style="105" customWidth="1"/>
    <col min="21" max="25" width="8.5" style="105" customWidth="1"/>
    <col min="26" max="26" width="9.125" style="105" customWidth="1"/>
    <col min="27" max="30" width="7.75" style="105"/>
    <col min="31" max="33" width="9.375" style="105" bestFit="1" customWidth="1"/>
    <col min="34" max="37" width="7.75" style="105"/>
    <col min="38" max="38" width="6.625" style="105" bestFit="1" customWidth="1"/>
    <col min="39" max="16384" width="7.75" style="105"/>
  </cols>
  <sheetData>
    <row r="1" spans="2:37" s="125" customFormat="1" ht="20.25" customHeight="1" outlineLevel="1" thickBot="1" x14ac:dyDescent="0.3">
      <c r="B1" s="104"/>
      <c r="C1" s="104"/>
      <c r="D1" s="126" t="s">
        <v>339</v>
      </c>
      <c r="E1" s="330">
        <f>Summary!I6</f>
        <v>680</v>
      </c>
      <c r="F1" s="861" t="s">
        <v>368</v>
      </c>
      <c r="G1" s="330">
        <f>725+13.5+N("chi phí vận chuyển")</f>
        <v>738.5</v>
      </c>
      <c r="H1" s="861" t="s">
        <v>368</v>
      </c>
      <c r="I1" s="330">
        <f>725+13.5+N("chi phí vận chuyển")-19.5+N("giảm giá")</f>
        <v>719</v>
      </c>
      <c r="J1" s="861" t="s">
        <v>368</v>
      </c>
      <c r="K1" s="330">
        <f>Summary!I6</f>
        <v>680</v>
      </c>
      <c r="L1" s="861" t="s">
        <v>368</v>
      </c>
      <c r="M1" s="330">
        <f>Summary!L12</f>
        <v>680</v>
      </c>
      <c r="N1" s="861" t="s">
        <v>368</v>
      </c>
      <c r="O1" s="330">
        <f>Summary!K12</f>
        <v>680</v>
      </c>
      <c r="P1" s="861" t="s">
        <v>368</v>
      </c>
      <c r="Q1" s="879">
        <v>3</v>
      </c>
      <c r="S1" s="359"/>
      <c r="U1" s="436" t="s">
        <v>404</v>
      </c>
      <c r="V1" s="436" t="s">
        <v>405</v>
      </c>
      <c r="W1" s="436" t="s">
        <v>407</v>
      </c>
      <c r="X1" s="436" t="s">
        <v>692</v>
      </c>
      <c r="Y1" s="436" t="s">
        <v>693</v>
      </c>
      <c r="Z1" s="436" t="s">
        <v>694</v>
      </c>
      <c r="AD1" s="476"/>
      <c r="AJ1" s="440" t="str">
        <f>MD!$A$7</f>
        <v>VND</v>
      </c>
      <c r="AK1" s="441">
        <f>IF(AJ1="VND",1,EXR/1000)</f>
        <v>1</v>
      </c>
    </row>
    <row r="2" spans="2:37" s="371" customFormat="1" ht="34.15" customHeight="1" x14ac:dyDescent="0.2">
      <c r="B2" s="373" t="s">
        <v>2</v>
      </c>
      <c r="C2" s="368" t="s">
        <v>556</v>
      </c>
      <c r="D2" s="368"/>
      <c r="E2" s="772" t="s">
        <v>738</v>
      </c>
      <c r="F2" s="773"/>
      <c r="G2" s="904" t="s">
        <v>757</v>
      </c>
      <c r="H2" s="370"/>
      <c r="I2" s="903" t="s">
        <v>756</v>
      </c>
      <c r="J2" s="702"/>
      <c r="K2" s="859" t="s">
        <v>864</v>
      </c>
      <c r="L2" s="859"/>
      <c r="M2" s="701" t="s">
        <v>758</v>
      </c>
      <c r="N2" s="702"/>
      <c r="O2" s="774" t="s">
        <v>764</v>
      </c>
      <c r="P2" s="369"/>
      <c r="Q2" s="105"/>
      <c r="U2" s="442">
        <f>E1</f>
        <v>680</v>
      </c>
      <c r="V2" s="442">
        <f>G1</f>
        <v>738.5</v>
      </c>
      <c r="W2" s="442">
        <f>I1</f>
        <v>719</v>
      </c>
      <c r="X2" s="442">
        <f>K1</f>
        <v>680</v>
      </c>
      <c r="Y2" s="442">
        <f>M1</f>
        <v>680</v>
      </c>
      <c r="Z2" s="442">
        <f>O1</f>
        <v>680</v>
      </c>
    </row>
    <row r="3" spans="2:37" ht="9.6" customHeight="1" x14ac:dyDescent="0.2">
      <c r="E3" s="775"/>
      <c r="F3" s="123"/>
      <c r="G3" s="776"/>
      <c r="H3" s="360"/>
      <c r="I3" s="361"/>
      <c r="J3" s="360"/>
      <c r="K3" s="698"/>
      <c r="L3" s="698"/>
      <c r="M3" s="361"/>
      <c r="N3" s="360"/>
      <c r="O3" s="777"/>
      <c r="P3" s="123"/>
      <c r="U3" s="105">
        <v>715</v>
      </c>
      <c r="V3" s="105">
        <v>725</v>
      </c>
      <c r="Z3" s="105">
        <f>725-19.5</f>
        <v>705.5</v>
      </c>
    </row>
    <row r="4" spans="2:37" s="359" customFormat="1" ht="15" x14ac:dyDescent="0.25">
      <c r="B4" s="383">
        <v>1</v>
      </c>
      <c r="C4" s="384" t="s">
        <v>759</v>
      </c>
      <c r="D4" s="384"/>
      <c r="E4" s="385">
        <f>E64</f>
        <v>680</v>
      </c>
      <c r="F4" s="385"/>
      <c r="G4" s="386">
        <f>G64</f>
        <v>738.5</v>
      </c>
      <c r="H4" s="387"/>
      <c r="I4" s="386">
        <f>I64</f>
        <v>719</v>
      </c>
      <c r="J4" s="387"/>
      <c r="K4" s="386">
        <f>K64</f>
        <v>680</v>
      </c>
      <c r="L4" s="699"/>
      <c r="M4" s="386">
        <f>M64</f>
        <v>680</v>
      </c>
      <c r="N4" s="387"/>
      <c r="O4" s="385">
        <f>O64</f>
        <v>680</v>
      </c>
      <c r="P4" s="384"/>
      <c r="Q4" s="105"/>
      <c r="U4" s="334">
        <f>E61*(1-Tax_rate)/(1-Tax_rate-5%)</f>
        <v>651.21794305315541</v>
      </c>
      <c r="V4" s="334">
        <f>G61*(1-Tax_rate)/(1-Tax_rate-5%)</f>
        <v>739.26125149460893</v>
      </c>
      <c r="W4" s="334"/>
      <c r="X4" s="334"/>
      <c r="Y4" s="334"/>
      <c r="Z4" s="334">
        <f>O61*(1-Tax_rate)/(1-Tax_rate-5%)</f>
        <v>678.26200389872156</v>
      </c>
    </row>
    <row r="5" spans="2:37" x14ac:dyDescent="0.2">
      <c r="B5" s="372">
        <v>2</v>
      </c>
      <c r="C5" s="105" t="s">
        <v>760</v>
      </c>
      <c r="E5" s="123">
        <f>E86</f>
        <v>1743.5897435897436</v>
      </c>
      <c r="F5" s="123"/>
      <c r="G5" s="361">
        <f>G86</f>
        <v>1893.5897435897436</v>
      </c>
      <c r="H5" s="360"/>
      <c r="I5" s="361">
        <f>I86</f>
        <v>1843.5897435897436</v>
      </c>
      <c r="J5" s="360"/>
      <c r="K5" s="361">
        <f>K86</f>
        <v>1743.5897435897436</v>
      </c>
      <c r="L5" s="698"/>
      <c r="M5" s="361">
        <f>M86</f>
        <v>1743.5897435897436</v>
      </c>
      <c r="N5" s="360"/>
      <c r="O5" s="123">
        <f>O86</f>
        <v>1743.5897435897436</v>
      </c>
    </row>
    <row r="6" spans="2:37" ht="15" x14ac:dyDescent="0.25">
      <c r="B6" s="383">
        <v>3</v>
      </c>
      <c r="C6" s="384" t="s">
        <v>761</v>
      </c>
      <c r="D6" s="384"/>
      <c r="E6" s="385">
        <f>E61</f>
        <v>610.51682161233316</v>
      </c>
      <c r="F6" s="385"/>
      <c r="G6" s="386">
        <f>G61</f>
        <v>693.05742327619578</v>
      </c>
      <c r="H6" s="387"/>
      <c r="I6" s="386">
        <f>I61</f>
        <v>693.05742327619578</v>
      </c>
      <c r="J6" s="387"/>
      <c r="K6" s="386">
        <f>K61</f>
        <v>643.79227770702119</v>
      </c>
      <c r="L6" s="699"/>
      <c r="M6" s="386">
        <f>M61</f>
        <v>671.70534548463684</v>
      </c>
      <c r="N6" s="387"/>
      <c r="O6" s="385">
        <f>O61</f>
        <v>635.87062865505141</v>
      </c>
      <c r="P6" s="384"/>
      <c r="R6" s="860"/>
    </row>
    <row r="7" spans="2:37" x14ac:dyDescent="0.2">
      <c r="B7" s="372">
        <v>4</v>
      </c>
      <c r="C7" s="105" t="s">
        <v>762</v>
      </c>
      <c r="E7" s="123">
        <f>E83</f>
        <v>1565.4277477239311</v>
      </c>
      <c r="F7" s="360"/>
      <c r="G7" s="698">
        <f>G83</f>
        <v>1777.0703160928097</v>
      </c>
      <c r="H7" s="360"/>
      <c r="I7" s="361">
        <f>I83</f>
        <v>1777.0703160928097</v>
      </c>
      <c r="J7" s="360"/>
      <c r="K7" s="361">
        <f>K83</f>
        <v>1650.7494300180028</v>
      </c>
      <c r="L7" s="698"/>
      <c r="M7" s="361">
        <f>M83</f>
        <v>1722.3213986785559</v>
      </c>
      <c r="N7" s="360"/>
      <c r="O7" s="123">
        <f>O83</f>
        <v>1630.4375093719268</v>
      </c>
      <c r="Q7" s="860"/>
      <c r="S7" s="123"/>
    </row>
    <row r="8" spans="2:37" s="906" customFormat="1" ht="15" x14ac:dyDescent="0.25">
      <c r="B8" s="905">
        <v>5</v>
      </c>
      <c r="C8" s="906" t="s">
        <v>766</v>
      </c>
      <c r="E8" s="907">
        <f>E63</f>
        <v>55.586542710133472</v>
      </c>
      <c r="F8" s="908"/>
      <c r="G8" s="907">
        <f>G63</f>
        <v>36.35406137904338</v>
      </c>
      <c r="H8" s="908"/>
      <c r="I8" s="907">
        <f>I63</f>
        <v>20.754061379043378</v>
      </c>
      <c r="J8" s="908"/>
      <c r="K8" s="909">
        <f>K63</f>
        <v>28.966177834383053</v>
      </c>
      <c r="L8" s="908"/>
      <c r="M8" s="910">
        <f>M63</f>
        <v>6.6357236122905308</v>
      </c>
      <c r="N8" s="908"/>
      <c r="O8" s="907">
        <f>O63</f>
        <v>35.30349707595888</v>
      </c>
      <c r="S8" s="907"/>
    </row>
    <row r="9" spans="2:37" s="906" customFormat="1" ht="15" x14ac:dyDescent="0.25">
      <c r="B9" s="905">
        <v>6</v>
      </c>
      <c r="C9" s="906" t="s">
        <v>767</v>
      </c>
      <c r="E9" s="907">
        <f>E85</f>
        <v>142.52959669265002</v>
      </c>
      <c r="F9" s="908"/>
      <c r="G9" s="907">
        <f>G85</f>
        <v>93.215541997547191</v>
      </c>
      <c r="H9" s="908"/>
      <c r="I9" s="907">
        <f>I85</f>
        <v>53.215541997547191</v>
      </c>
      <c r="J9" s="908"/>
      <c r="K9" s="909">
        <f>K85</f>
        <v>74.272250857392649</v>
      </c>
      <c r="L9" s="908"/>
      <c r="M9" s="910">
        <f>M85</f>
        <v>17.014675928950236</v>
      </c>
      <c r="N9" s="908"/>
      <c r="O9" s="907">
        <f>O85</f>
        <v>90.521787374253478</v>
      </c>
      <c r="S9" s="907"/>
    </row>
    <row r="10" spans="2:37" x14ac:dyDescent="0.2">
      <c r="B10" s="382">
        <v>7</v>
      </c>
      <c r="C10" s="364" t="s">
        <v>562</v>
      </c>
      <c r="D10" s="364"/>
      <c r="E10" s="388">
        <f>F85</f>
        <v>8.1744915750196337E-2</v>
      </c>
      <c r="F10" s="390"/>
      <c r="G10" s="396">
        <f>H85</f>
        <v>4.9226894216714154E-2</v>
      </c>
      <c r="H10" s="390"/>
      <c r="I10" s="389">
        <f>J85</f>
        <v>2.8865175770574972E-2</v>
      </c>
      <c r="J10" s="390"/>
      <c r="K10" s="389">
        <f>L85</f>
        <v>4.2597320344681076E-2</v>
      </c>
      <c r="L10" s="390"/>
      <c r="M10" s="396">
        <f>N85</f>
        <v>9.7584170768979291E-3</v>
      </c>
      <c r="N10" s="390"/>
      <c r="O10" s="396">
        <f>P85</f>
        <v>5.1916907464645376E-2</v>
      </c>
      <c r="P10" s="364"/>
      <c r="S10" s="123"/>
    </row>
    <row r="11" spans="2:37" x14ac:dyDescent="0.2">
      <c r="B11" s="372">
        <v>8</v>
      </c>
      <c r="C11" s="105" t="s">
        <v>573</v>
      </c>
      <c r="E11" s="358">
        <f>'Cover Page'!H17</f>
        <v>0.02</v>
      </c>
      <c r="F11" s="362"/>
      <c r="G11" s="358">
        <f>'Cover Page'!K17</f>
        <v>0.02</v>
      </c>
      <c r="H11" s="362"/>
      <c r="I11" s="363">
        <f>'Cover Page'!N17</f>
        <v>0.02</v>
      </c>
      <c r="J11" s="362"/>
      <c r="K11" s="363">
        <f>'Cover Page'!Q17</f>
        <v>0.02</v>
      </c>
      <c r="L11" s="362"/>
      <c r="M11" s="358">
        <f>'Cover Page'!T17</f>
        <v>0.02</v>
      </c>
      <c r="N11" s="362"/>
      <c r="O11" s="358">
        <f>'Cover Page'!W17</f>
        <v>0.02</v>
      </c>
      <c r="S11" s="860"/>
    </row>
    <row r="12" spans="2:37" x14ac:dyDescent="0.2">
      <c r="B12" s="372">
        <v>9</v>
      </c>
      <c r="C12" s="105" t="s">
        <v>763</v>
      </c>
      <c r="E12" s="358">
        <f>Inflation</f>
        <v>0.05</v>
      </c>
      <c r="F12" s="362"/>
      <c r="G12" s="358">
        <f>Inflation</f>
        <v>0.05</v>
      </c>
      <c r="H12" s="362"/>
      <c r="I12" s="363">
        <f>Inflation</f>
        <v>0.05</v>
      </c>
      <c r="J12" s="362"/>
      <c r="K12" s="363">
        <f>Inflation</f>
        <v>0.05</v>
      </c>
      <c r="M12" s="363">
        <f>Inflation</f>
        <v>0.05</v>
      </c>
      <c r="N12" s="362"/>
      <c r="O12" s="358">
        <f>Inflation</f>
        <v>0.05</v>
      </c>
    </row>
    <row r="13" spans="2:37" x14ac:dyDescent="0.2">
      <c r="B13" s="382">
        <v>10</v>
      </c>
      <c r="C13" s="364" t="s">
        <v>554</v>
      </c>
      <c r="D13" s="364"/>
      <c r="E13" s="365" t="str">
        <f>'Cover Page'!H36</f>
        <v>6 năm 11 tháng</v>
      </c>
      <c r="F13" s="367"/>
      <c r="G13" s="365" t="str">
        <f>'Cover Page'!K36</f>
        <v>10 năm 04 tháng</v>
      </c>
      <c r="H13" s="367"/>
      <c r="I13" s="703" t="str">
        <f>'Cover Page'!N36</f>
        <v>11 năm 08 tháng</v>
      </c>
      <c r="J13" s="367"/>
      <c r="K13" s="700" t="str">
        <f>'Cover Page'!Q36</f>
        <v>10 năm 11 tháng</v>
      </c>
      <c r="L13" s="700"/>
      <c r="M13" s="703" t="str">
        <f>'Cover Page'!T36</f>
        <v>13 năm 08 tháng</v>
      </c>
      <c r="N13" s="367"/>
      <c r="O13" s="365" t="str">
        <f>'Cover Page'!W36</f>
        <v>8 năm 02 tháng</v>
      </c>
      <c r="P13" s="366"/>
    </row>
    <row r="14" spans="2:37" x14ac:dyDescent="0.2">
      <c r="B14" s="862">
        <v>11</v>
      </c>
      <c r="C14" s="863" t="s">
        <v>402</v>
      </c>
      <c r="D14" s="863"/>
      <c r="E14" s="864">
        <f>'Cover Page'!H37</f>
        <v>0.19092375284645668</v>
      </c>
      <c r="F14" s="866"/>
      <c r="G14" s="864">
        <f>'Cover Page'!K37</f>
        <v>0.13870388131184574</v>
      </c>
      <c r="H14" s="866"/>
      <c r="I14" s="867">
        <f>'Cover Page'!N37</f>
        <v>0.12432693572564824</v>
      </c>
      <c r="J14" s="866"/>
      <c r="K14" s="868">
        <f>'Cover Page'!Q37</f>
        <v>0.12851890486329265</v>
      </c>
      <c r="L14" s="868"/>
      <c r="M14" s="867">
        <f>'Cover Page'!T37</f>
        <v>0.10937321578809911</v>
      </c>
      <c r="N14" s="866"/>
      <c r="O14" s="864">
        <f>'Cover Page'!W37</f>
        <v>0.16522194305779858</v>
      </c>
      <c r="P14" s="865"/>
    </row>
    <row r="15" spans="2:37" x14ac:dyDescent="0.2">
      <c r="B15" s="862">
        <v>12</v>
      </c>
      <c r="C15" s="863" t="s">
        <v>772</v>
      </c>
      <c r="D15" s="863"/>
      <c r="E15" s="931">
        <f>'Cover Page'!H42</f>
        <v>399543.43303233001</v>
      </c>
      <c r="F15" s="933"/>
      <c r="G15" s="931">
        <f>'Cover Page'!K42</f>
        <v>293022.76027699729</v>
      </c>
      <c r="H15" s="932"/>
      <c r="I15" s="931">
        <f>'Cover Page'!N42</f>
        <v>214928.89480032682</v>
      </c>
      <c r="J15" s="932"/>
      <c r="K15" s="931">
        <f>'Cover Page'!Q42</f>
        <v>258173.70240424084</v>
      </c>
      <c r="L15" s="932"/>
      <c r="M15" s="931">
        <f>'Cover Page'!Q42</f>
        <v>258173.70240424084</v>
      </c>
      <c r="N15" s="932"/>
      <c r="O15" s="931">
        <f>'Cover Page'!T42</f>
        <v>131841.01554431149</v>
      </c>
      <c r="P15" s="932"/>
    </row>
    <row r="16" spans="2:37" ht="9.6" customHeight="1" x14ac:dyDescent="0.2">
      <c r="E16" s="775"/>
      <c r="F16" s="123"/>
      <c r="G16" s="775"/>
      <c r="H16" s="123"/>
      <c r="I16" s="775"/>
      <c r="J16" s="123"/>
      <c r="K16" s="775"/>
      <c r="L16" s="123"/>
      <c r="M16" s="775"/>
      <c r="N16" s="123"/>
      <c r="O16" s="775"/>
      <c r="P16" s="123"/>
      <c r="Q16" s="123"/>
    </row>
    <row r="17" spans="2:16" ht="15" x14ac:dyDescent="0.25">
      <c r="B17" s="372">
        <v>13</v>
      </c>
      <c r="C17" s="374" t="s">
        <v>566</v>
      </c>
      <c r="D17" s="379"/>
      <c r="E17" s="375">
        <f t="shared" ref="E17:P17" si="0">SUM(E19:E43)</f>
        <v>1029205.8813190861</v>
      </c>
      <c r="F17" s="375">
        <f t="shared" si="0"/>
        <v>39584841.589195624</v>
      </c>
      <c r="G17" s="376">
        <f t="shared" si="0"/>
        <v>914820.16555138177</v>
      </c>
      <c r="H17" s="377">
        <f t="shared" si="0"/>
        <v>35185390.982745461</v>
      </c>
      <c r="I17" s="376">
        <f t="shared" ref="I17:N17" si="1">SUM(I19:I43)</f>
        <v>713675.03852303524</v>
      </c>
      <c r="J17" s="377">
        <f t="shared" si="1"/>
        <v>27449039.94319367</v>
      </c>
      <c r="K17" s="376">
        <f t="shared" si="1"/>
        <v>785179.14008167875</v>
      </c>
      <c r="L17" s="377">
        <f t="shared" si="1"/>
        <v>30199197.695449188</v>
      </c>
      <c r="M17" s="376">
        <f t="shared" si="1"/>
        <v>485708.60156893026</v>
      </c>
      <c r="N17" s="377">
        <f t="shared" si="1"/>
        <v>18681100.06034347</v>
      </c>
      <c r="O17" s="375">
        <f t="shared" si="0"/>
        <v>749077.83520987467</v>
      </c>
      <c r="P17" s="375">
        <f t="shared" si="0"/>
        <v>28810685.969610564</v>
      </c>
    </row>
    <row r="18" spans="2:16" ht="15.75" thickBot="1" x14ac:dyDescent="0.3">
      <c r="B18" s="378" t="s">
        <v>558</v>
      </c>
      <c r="C18" s="378" t="s">
        <v>559</v>
      </c>
      <c r="D18" s="378" t="s">
        <v>557</v>
      </c>
      <c r="E18" s="405" t="s">
        <v>555</v>
      </c>
      <c r="F18" s="405" t="s">
        <v>380</v>
      </c>
      <c r="G18" s="406" t="s">
        <v>555</v>
      </c>
      <c r="H18" s="407" t="s">
        <v>380</v>
      </c>
      <c r="I18" s="406" t="s">
        <v>555</v>
      </c>
      <c r="J18" s="407" t="s">
        <v>380</v>
      </c>
      <c r="K18" s="406" t="s">
        <v>555</v>
      </c>
      <c r="L18" s="407" t="s">
        <v>380</v>
      </c>
      <c r="M18" s="406" t="s">
        <v>555</v>
      </c>
      <c r="N18" s="407" t="s">
        <v>380</v>
      </c>
      <c r="O18" s="405" t="s">
        <v>555</v>
      </c>
      <c r="P18" s="405" t="s">
        <v>380</v>
      </c>
    </row>
    <row r="19" spans="2:16" hidden="1" outlineLevel="1" x14ac:dyDescent="0.2">
      <c r="B19" s="525">
        <v>1</v>
      </c>
      <c r="C19" s="526">
        <v>2026</v>
      </c>
      <c r="D19" s="527">
        <v>0.5</v>
      </c>
      <c r="E19" s="528" cm="1">
        <f t="array" ref="E19">IF(Currency="VND",SUMPRODUCT('W3'!$K$18:$AJ$1018*('W3'!$A$18:$A$1018='W5'!E$47)*('W3'!$K$14:$AJ$14='W5'!$B19)*('W3'!$D$18:$D$1018="LNST")),SUMPRODUCT('W3'!$K$18:$AJ$1018*('W3'!$A$18:$A$1018='W5'!E$47)*('W3'!$K$14:$AJ$14='W5'!$B19)*('W3'!$D$18:$D$1018="LNST"))*$AK$1/10^3)</f>
        <v>-10585.927709728085</v>
      </c>
      <c r="F19" s="528">
        <f t="shared" ref="F19:F43" si="2">E19/EXR*10^6</f>
        <v>-407151.06575877249</v>
      </c>
      <c r="G19" s="529" cm="1">
        <f t="array" ref="G19">IF(Currency="VND",SUMPRODUCT('W3'!$K$18:$AJ$1018*('W3'!$A$18:$A$1018='W5'!G$47)*('W3'!$K$14:$AJ$14='W5'!$B19)*('W3'!$D$18:$D$1018="LNST")),SUMPRODUCT('W3'!$K$18:$AJ$1018*('W3'!$A$18:$A$1018='W5'!G$47)*('W3'!$K$14:$AJ$14='W5'!$B19)*('W3'!$D$18:$D$1018="LNST"))*$AK$1/10^3)</f>
        <v>-24683.573610381434</v>
      </c>
      <c r="H19" s="530">
        <f t="shared" ref="H19:H43" si="3">G19/EXR*10^6</f>
        <v>-949368.21578390128</v>
      </c>
      <c r="I19" s="529" cm="1">
        <f t="array" ref="I19">IF(Currency="VND",SUMPRODUCT('W3'!$K$18:$AJ$1018*('W3'!$A$18:$A$1018='W5'!I$47)*('W3'!$K$14:$AJ$14='W5'!$B19)*('W3'!$D$18:$D$1018="LNST")),SUMPRODUCT('W3'!$K$18:$AJ$1018*('W3'!$A$18:$A$1018='W5'!I$47)*('W3'!$K$14:$AJ$14='W5'!$B19)*('W3'!$D$18:$D$1018="LNST"))*$AK$1/10^3)</f>
        <v>-27904.544597901429</v>
      </c>
      <c r="J19" s="530">
        <f t="shared" ref="J19:J43" si="4">I19/EXR*10^6</f>
        <v>-1073251.7153039011</v>
      </c>
      <c r="K19" s="529" cm="1">
        <f t="array" ref="K19">IF(Currency="VND",SUMPRODUCT('W3'!$K$18:$AJ$1018*('W3'!$A$18:$A$1018='W5'!K$47)*('W3'!$K$14:$AJ$14='W5'!$B19)*('W3'!$D$18:$D$1018="LNST")),SUMPRODUCT('W3'!$K$18:$AJ$1018*('W3'!$A$18:$A$1018='W5'!K$47)*('W3'!$K$14:$AJ$14='W5'!$B19)*('W3'!$D$18:$D$1018="LNST"))*$AK$1/10^3)</f>
        <v>-21707.527709728085</v>
      </c>
      <c r="L19" s="530">
        <f t="shared" ref="L19:L43" si="5">K19/EXR*10^6</f>
        <v>-834904.91191261867</v>
      </c>
      <c r="M19" s="529" cm="1">
        <f t="array" ref="M19">IF(Currency="VND",SUMPRODUCT('W3'!$K$18:$AJ$1018*('W3'!$A$18:$A$1018='W5'!M$47)*('W3'!$K$14:$AJ$14='W5'!$B19)*('W3'!$D$18:$D$1018="LNST")),SUMPRODUCT('W3'!$K$18:$AJ$1018*('W3'!$A$18:$A$1018='W5'!M$47)*('W3'!$K$14:$AJ$14='W5'!$B19)*('W3'!$D$18:$D$1018="LNST"))*$AK$1/10^3)</f>
        <v>-29301.63979257087</v>
      </c>
      <c r="N19" s="530">
        <f t="shared" ref="N19:N43" si="6">M19/EXR*10^6</f>
        <v>-1126986.1458681102</v>
      </c>
      <c r="O19" s="528" cm="1">
        <f t="array" ref="O19">IF(Currency="VND",SUMPRODUCT('W3'!$K$18:$AJ$1018*('W3'!$A$18:$A$1018='W5'!O$47)*('W3'!$K$14:$AJ$14='W5'!$B19)*('W3'!$D$18:$D$1018="LNST")),SUMPRODUCT('W3'!$K$18:$AJ$1018*('W3'!$A$18:$A$1018='W5'!O$47)*('W3'!$K$14:$AJ$14='W5'!$B19)*('W3'!$D$18:$D$1018="LNST"))*$AK$1/10^3)</f>
        <v>-17340.039792570868</v>
      </c>
      <c r="P19" s="528">
        <f t="shared" ref="P19:P43" si="7">O19/EXR*10^6</f>
        <v>-666924.60740657174</v>
      </c>
    </row>
    <row r="20" spans="2:16" hidden="1" outlineLevel="1" x14ac:dyDescent="0.2">
      <c r="B20" s="531">
        <v>2</v>
      </c>
      <c r="C20" s="532">
        <v>2027</v>
      </c>
      <c r="D20" s="533">
        <v>0.7</v>
      </c>
      <c r="E20" s="534" cm="1">
        <f t="array" ref="E20">IF(Currency="VND",SUMPRODUCT('W3'!$K$18:$AJ$1018*('W3'!$A$18:$A$1018='W5'!E$47)*('W3'!$K$14:$AJ$14='W5'!$B20)*('W3'!$D$18:$D$1018="LNST")),SUMPRODUCT('W3'!$K$18:$AJ$1018*('W3'!$A$18:$A$1018='W5'!E$47)*('W3'!$K$14:$AJ$14='W5'!$B20)*('W3'!$D$18:$D$1018="LNST"))*$AK$1/10^3)</f>
        <v>7691.9534521648893</v>
      </c>
      <c r="F20" s="534">
        <f t="shared" si="2"/>
        <v>295844.3635448034</v>
      </c>
      <c r="G20" s="535" cm="1">
        <f t="array" ref="G20">IF(Currency="VND",SUMPRODUCT('W3'!$K$18:$AJ$1018*('W3'!$A$18:$A$1018='W5'!G$47)*('W3'!$K$14:$AJ$14='W5'!$B20)*('W3'!$D$18:$D$1018="LNST")),SUMPRODUCT('W3'!$K$18:$AJ$1018*('W3'!$A$18:$A$1018='W5'!G$47)*('W3'!$K$14:$AJ$14='W5'!$B20)*('W3'!$D$18:$D$1018="LNST"))*$AK$1/10^3)</f>
        <v>-3531.3713451410181</v>
      </c>
      <c r="H20" s="536">
        <f t="shared" si="3"/>
        <v>-135821.97481311607</v>
      </c>
      <c r="I20" s="535" cm="1">
        <f t="array" ref="I20">IF(Currency="VND",SUMPRODUCT('W3'!$K$18:$AJ$1018*('W3'!$A$18:$A$1018='W5'!I$47)*('W3'!$K$14:$AJ$14='W5'!$B20)*('W3'!$D$18:$D$1018="LNST")),SUMPRODUCT('W3'!$K$18:$AJ$1018*('W3'!$A$18:$A$1018='W5'!I$47)*('W3'!$K$14:$AJ$14='W5'!$B20)*('W3'!$D$18:$D$1018="LNST"))*$AK$1/10^3)</f>
        <v>-8130.9179153195819</v>
      </c>
      <c r="J20" s="536">
        <f t="shared" si="4"/>
        <v>-312727.61212767626</v>
      </c>
      <c r="K20" s="535" cm="1">
        <f t="array" ref="K20">IF(Currency="VND",SUMPRODUCT('W3'!$K$18:$AJ$1018*('W3'!$A$18:$A$1018='W5'!K$47)*('W3'!$K$14:$AJ$14='W5'!$B20)*('W3'!$D$18:$D$1018="LNST")),SUMPRODUCT('W3'!$K$18:$AJ$1018*('W3'!$A$18:$A$1018='W5'!K$47)*('W3'!$K$14:$AJ$14='W5'!$B20)*('W3'!$D$18:$D$1018="LNST"))*$AK$1/10^3)</f>
        <v>-3367.398495189776</v>
      </c>
      <c r="L20" s="536">
        <f t="shared" si="5"/>
        <v>-129515.32673806831</v>
      </c>
      <c r="M20" s="535" cm="1">
        <f t="array" ref="M20">IF(Currency="VND",SUMPRODUCT('W3'!$K$18:$AJ$1018*('W3'!$A$18:$A$1018='W5'!M$47)*('W3'!$K$14:$AJ$14='W5'!$B20)*('W3'!$D$18:$D$1018="LNST")),SUMPRODUCT('W3'!$K$18:$AJ$1018*('W3'!$A$18:$A$1018='W5'!M$47)*('W3'!$K$14:$AJ$14='W5'!$B20)*('W3'!$D$18:$D$1018="LNST"))*$AK$1/10^3)</f>
        <v>-11517.58167108465</v>
      </c>
      <c r="N20" s="536">
        <f t="shared" si="6"/>
        <v>-442983.91042633273</v>
      </c>
      <c r="O20" s="534" cm="1">
        <f t="array" ref="O20">IF(Currency="VND",SUMPRODUCT('W3'!$K$18:$AJ$1018*('W3'!$A$18:$A$1018='W5'!O$47)*('W3'!$K$14:$AJ$14='W5'!$B20)*('W3'!$D$18:$D$1018="LNST")),SUMPRODUCT('W3'!$K$18:$AJ$1018*('W3'!$A$18:$A$1018='W5'!O$47)*('W3'!$K$14:$AJ$14='W5'!$B20)*('W3'!$D$18:$D$1018="LNST"))*$AK$1/10^3)</f>
        <v>384.6979765528813</v>
      </c>
      <c r="P20" s="534">
        <f t="shared" si="7"/>
        <v>14796.076021264666</v>
      </c>
    </row>
    <row r="21" spans="2:16" hidden="1" outlineLevel="1" x14ac:dyDescent="0.2">
      <c r="B21" s="531">
        <f>B20+1</f>
        <v>3</v>
      </c>
      <c r="C21" s="532">
        <v>2028</v>
      </c>
      <c r="D21" s="533">
        <v>1</v>
      </c>
      <c r="E21" s="534" cm="1">
        <f t="array" ref="E21">IF(Currency="VND",SUMPRODUCT('W3'!$K$18:$AJ$1018*('W3'!$A$18:$A$1018='W5'!E$47)*('W3'!$K$14:$AJ$14='W5'!$B21)*('W3'!$D$18:$D$1018="LNST")),SUMPRODUCT('W3'!$K$18:$AJ$1018*('W3'!$A$18:$A$1018='W5'!E$47)*('W3'!$K$14:$AJ$14='W5'!$B21)*('W3'!$D$18:$D$1018="LNST"))*$AK$1/10^3)</f>
        <v>32029.724787333424</v>
      </c>
      <c r="F21" s="534">
        <f t="shared" si="2"/>
        <v>1231912.4918205163</v>
      </c>
      <c r="G21" s="535" cm="1">
        <f t="array" ref="G21">IF(Currency="VND",SUMPRODUCT('W3'!$K$18:$AJ$1018*('W3'!$A$18:$A$1018='W5'!G$47)*('W3'!$K$14:$AJ$14='W5'!$B21)*('W3'!$D$18:$D$1018="LNST")),SUMPRODUCT('W3'!$K$18:$AJ$1018*('W3'!$A$18:$A$1018='W5'!G$47)*('W3'!$K$14:$AJ$14='W5'!$B21)*('W3'!$D$18:$D$1018="LNST"))*$AK$1/10^3)</f>
        <v>24868.531182213363</v>
      </c>
      <c r="H21" s="536">
        <f t="shared" si="3"/>
        <v>956481.96854666783</v>
      </c>
      <c r="I21" s="535" cm="1">
        <f t="array" ref="I21">IF(Currency="VND",SUMPRODUCT('W3'!$K$18:$AJ$1018*('W3'!$A$18:$A$1018='W5'!I$47)*('W3'!$K$14:$AJ$14='W5'!$B21)*('W3'!$D$18:$D$1018="LNST")),SUMPRODUCT('W3'!$K$18:$AJ$1018*('W3'!$A$18:$A$1018='W5'!I$47)*('W3'!$K$14:$AJ$14='W5'!$B21)*('W3'!$D$18:$D$1018="LNST"))*$AK$1/10^3)</f>
        <v>18166.334751381724</v>
      </c>
      <c r="J21" s="536">
        <f t="shared" si="4"/>
        <v>698705.18274545087</v>
      </c>
      <c r="K21" s="535" cm="1">
        <f t="array" ref="K21">IF(Currency="VND",SUMPRODUCT('W3'!$K$18:$AJ$1018*('W3'!$A$18:$A$1018='W5'!K$47)*('W3'!$K$14:$AJ$14='W5'!$B21)*('W3'!$D$18:$D$1018="LNST")),SUMPRODUCT('W3'!$K$18:$AJ$1018*('W3'!$A$18:$A$1018='W5'!K$47)*('W3'!$K$14:$AJ$14='W5'!$B21)*('W3'!$D$18:$D$1018="LNST"))*$AK$1/10^3)</f>
        <v>21036.978256309267</v>
      </c>
      <c r="L21" s="536">
        <f t="shared" si="5"/>
        <v>809114.54831958713</v>
      </c>
      <c r="M21" s="535" cm="1">
        <f t="array" ref="M21">IF(Currency="VND",SUMPRODUCT('W3'!$K$18:$AJ$1018*('W3'!$A$18:$A$1018='W5'!M$47)*('W3'!$K$14:$AJ$14='W5'!$B21)*('W3'!$D$18:$D$1018="LNST")),SUMPRODUCT('W3'!$K$18:$AJ$1018*('W3'!$A$18:$A$1018='W5'!M$47)*('W3'!$K$14:$AJ$14='W5'!$B21)*('W3'!$D$18:$D$1018="LNST"))*$AK$1/10^3)</f>
        <v>11815.728873296037</v>
      </c>
      <c r="N21" s="536">
        <f t="shared" si="6"/>
        <v>454451.11051138601</v>
      </c>
      <c r="O21" s="534" cm="1">
        <f t="array" ref="O21">IF(Currency="VND",SUMPRODUCT('W3'!$K$18:$AJ$1018*('W3'!$A$18:$A$1018='W5'!O$47)*('W3'!$K$14:$AJ$14='W5'!$B21)*('W3'!$D$18:$D$1018="LNST")),SUMPRODUCT('W3'!$K$18:$AJ$1018*('W3'!$A$18:$A$1018='W5'!O$47)*('W3'!$K$14:$AJ$14='W5'!$B21)*('W3'!$D$18:$D$1018="LNST"))*$AK$1/10^3)</f>
        <v>23653.942540382082</v>
      </c>
      <c r="P21" s="534">
        <f t="shared" si="7"/>
        <v>909767.02078392624</v>
      </c>
    </row>
    <row r="22" spans="2:16" hidden="1" outlineLevel="1" x14ac:dyDescent="0.2">
      <c r="B22" s="531">
        <f t="shared" ref="B22:B43" si="8">B21+1</f>
        <v>4</v>
      </c>
      <c r="C22" s="532">
        <v>2029</v>
      </c>
      <c r="D22" s="533">
        <v>1</v>
      </c>
      <c r="E22" s="534" cm="1">
        <f t="array" ref="E22">IF(Currency="VND",SUMPRODUCT('W3'!$K$18:$AJ$1018*('W3'!$A$18:$A$1018='W5'!E$47)*('W3'!$K$14:$AJ$14='W5'!$B22)*('W3'!$D$18:$D$1018="LNST")),SUMPRODUCT('W3'!$K$18:$AJ$1018*('W3'!$A$18:$A$1018='W5'!E$47)*('W3'!$K$14:$AJ$14='W5'!$B22)*('W3'!$D$18:$D$1018="LNST"))*$AK$1/10^3)</f>
        <v>32476.392925746601</v>
      </c>
      <c r="F22" s="534">
        <f t="shared" si="2"/>
        <v>1249092.0356056385</v>
      </c>
      <c r="G22" s="535" cm="1">
        <f t="array" ref="G22">IF(Currency="VND",SUMPRODUCT('W3'!$K$18:$AJ$1018*('W3'!$A$18:$A$1018='W5'!G$47)*('W3'!$K$14:$AJ$14='W5'!$B22)*('W3'!$D$18:$D$1018="LNST")),SUMPRODUCT('W3'!$K$18:$AJ$1018*('W3'!$A$18:$A$1018='W5'!G$47)*('W3'!$K$14:$AJ$14='W5'!$B22)*('W3'!$D$18:$D$1018="LNST"))*$AK$1/10^3)</f>
        <v>25458.671153134666</v>
      </c>
      <c r="H22" s="536">
        <f t="shared" si="3"/>
        <v>979179.65973594866</v>
      </c>
      <c r="I22" s="535" cm="1">
        <f t="array" ref="I22">IF(Currency="VND",SUMPRODUCT('W3'!$K$18:$AJ$1018*('W3'!$A$18:$A$1018='W5'!I$47)*('W3'!$K$14:$AJ$14='W5'!$B22)*('W3'!$D$18:$D$1018="LNST")),SUMPRODUCT('W3'!$K$18:$AJ$1018*('W3'!$A$18:$A$1018='W5'!I$47)*('W3'!$K$14:$AJ$14='W5'!$B22)*('W3'!$D$18:$D$1018="LNST"))*$AK$1/10^3)</f>
        <v>18622.430793686352</v>
      </c>
      <c r="J22" s="536">
        <f t="shared" si="4"/>
        <v>716247.33821870573</v>
      </c>
      <c r="K22" s="535" cm="1">
        <f t="array" ref="K22">IF(Currency="VND",SUMPRODUCT('W3'!$K$18:$AJ$1018*('W3'!$A$18:$A$1018='W5'!K$47)*('W3'!$K$14:$AJ$14='W5'!$B22)*('W3'!$D$18:$D$1018="LNST")),SUMPRODUCT('W3'!$K$18:$AJ$1018*('W3'!$A$18:$A$1018='W5'!K$47)*('W3'!$K$14:$AJ$14='W5'!$B22)*('W3'!$D$18:$D$1018="LNST"))*$AK$1/10^3)</f>
        <v>21554.914190196108</v>
      </c>
      <c r="L22" s="536">
        <f t="shared" si="5"/>
        <v>829035.16116138874</v>
      </c>
      <c r="M22" s="535" cm="1">
        <f t="array" ref="M22">IF(Currency="VND",SUMPRODUCT('W3'!$K$18:$AJ$1018*('W3'!$A$18:$A$1018='W5'!M$47)*('W3'!$K$14:$AJ$14='W5'!$B22)*('W3'!$D$18:$D$1018="LNST")),SUMPRODUCT('W3'!$K$18:$AJ$1018*('W3'!$A$18:$A$1018='W5'!M$47)*('W3'!$K$14:$AJ$14='W5'!$B22)*('W3'!$D$18:$D$1018="LNST"))*$AK$1/10^3)</f>
        <v>12081.825555909472</v>
      </c>
      <c r="N22" s="536">
        <f t="shared" si="6"/>
        <v>464685.59830421046</v>
      </c>
      <c r="O22" s="534" cm="1">
        <f t="array" ref="O22">IF(Currency="VND",SUMPRODUCT('W3'!$K$18:$AJ$1018*('W3'!$A$18:$A$1018='W5'!O$47)*('W3'!$K$14:$AJ$14='W5'!$B22)*('W3'!$D$18:$D$1018="LNST")),SUMPRODUCT('W3'!$K$18:$AJ$1018*('W3'!$A$18:$A$1018='W5'!O$47)*('W3'!$K$14:$AJ$14='W5'!$B22)*('W3'!$D$18:$D$1018="LNST"))*$AK$1/10^3)</f>
        <v>23850.847963999957</v>
      </c>
      <c r="P22" s="534">
        <f t="shared" si="7"/>
        <v>917340.30630769068</v>
      </c>
    </row>
    <row r="23" spans="2:16" hidden="1" outlineLevel="1" x14ac:dyDescent="0.2">
      <c r="B23" s="531">
        <f t="shared" si="8"/>
        <v>5</v>
      </c>
      <c r="C23" s="532">
        <v>2030</v>
      </c>
      <c r="D23" s="533">
        <v>1</v>
      </c>
      <c r="E23" s="534" cm="1">
        <f t="array" ref="E23">IF(Currency="VND",SUMPRODUCT('W3'!$K$18:$AJ$1018*('W3'!$A$18:$A$1018='W5'!E$47)*('W3'!$K$14:$AJ$14='W5'!$B23)*('W3'!$D$18:$D$1018="LNST")),SUMPRODUCT('W3'!$K$18:$AJ$1018*('W3'!$A$18:$A$1018='W5'!E$47)*('W3'!$K$14:$AJ$14='W5'!$B23)*('W3'!$D$18:$D$1018="LNST"))*$AK$1/10^3)</f>
        <v>32889.414634134293</v>
      </c>
      <c r="F23" s="534">
        <f t="shared" si="2"/>
        <v>1264977.4859282421</v>
      </c>
      <c r="G23" s="535" cm="1">
        <f t="array" ref="G23">IF(Currency="VND",SUMPRODUCT('W3'!$K$18:$AJ$1018*('W3'!$A$18:$A$1018='W5'!G$47)*('W3'!$K$14:$AJ$14='W5'!$B23)*('W3'!$D$18:$D$1018="LNST")),SUMPRODUCT('W3'!$K$18:$AJ$1018*('W3'!$A$18:$A$1018='W5'!G$47)*('W3'!$K$14:$AJ$14='W5'!$B23)*('W3'!$D$18:$D$1018="LNST"))*$AK$1/10^3)</f>
        <v>26016.978765477383</v>
      </c>
      <c r="H23" s="536">
        <f t="shared" si="3"/>
        <v>1000653.0294414378</v>
      </c>
      <c r="I23" s="535" cm="1">
        <f t="array" ref="I23">IF(Currency="VND",SUMPRODUCT('W3'!$K$18:$AJ$1018*('W3'!$A$18:$A$1018='W5'!I$47)*('W3'!$K$14:$AJ$14='W5'!$B23)*('W3'!$D$18:$D$1018="LNST")),SUMPRODUCT('W3'!$K$18:$AJ$1018*('W3'!$A$18:$A$1018='W5'!I$47)*('W3'!$K$14:$AJ$14='W5'!$B23)*('W3'!$D$18:$D$1018="LNST"))*$AK$1/10^3)</f>
        <v>19044.013598840127</v>
      </c>
      <c r="J23" s="536">
        <f t="shared" si="4"/>
        <v>732462.06149385101</v>
      </c>
      <c r="K23" s="535" cm="1">
        <f t="array" ref="K23">IF(Currency="VND",SUMPRODUCT('W3'!$K$18:$AJ$1018*('W3'!$A$18:$A$1018='W5'!K$47)*('W3'!$K$14:$AJ$14='W5'!$B23)*('W3'!$D$18:$D$1018="LNST")),SUMPRODUCT('W3'!$K$18:$AJ$1018*('W3'!$A$18:$A$1018='W5'!K$47)*('W3'!$K$14:$AJ$14='W5'!$B23)*('W3'!$D$18:$D$1018="LNST"))*$AK$1/10^3)</f>
        <v>22044.192439740571</v>
      </c>
      <c r="L23" s="536">
        <f t="shared" si="5"/>
        <v>847853.55537463736</v>
      </c>
      <c r="M23" s="535" cm="1">
        <f t="array" ref="M23">IF(Currency="VND",SUMPRODUCT('W3'!$K$18:$AJ$1018*('W3'!$A$18:$A$1018='W5'!M$47)*('W3'!$K$14:$AJ$14='W5'!$B23)*('W3'!$D$18:$D$1018="LNST")),SUMPRODUCT('W3'!$K$18:$AJ$1018*('W3'!$A$18:$A$1018='W5'!M$47)*('W3'!$K$14:$AJ$14='W5'!$B23)*('W3'!$D$18:$D$1018="LNST"))*$AK$1/10^3)</f>
        <v>12308.824047713495</v>
      </c>
      <c r="N23" s="536">
        <f t="shared" si="6"/>
        <v>473416.30952744215</v>
      </c>
      <c r="O23" s="534" cm="1">
        <f t="array" ref="O23">IF(Currency="VND",SUMPRODUCT('W3'!$K$18:$AJ$1018*('W3'!$A$18:$A$1018='W5'!O$47)*('W3'!$K$14:$AJ$14='W5'!$B23)*('W3'!$D$18:$D$1018="LNST")),SUMPRODUCT('W3'!$K$18:$AJ$1018*('W3'!$A$18:$A$1018='W5'!O$47)*('W3'!$K$14:$AJ$14='W5'!$B23)*('W3'!$D$18:$D$1018="LNST"))*$AK$1/10^3)</f>
        <v>24003.119896088774</v>
      </c>
      <c r="P23" s="534">
        <f t="shared" si="7"/>
        <v>923196.91908033751</v>
      </c>
    </row>
    <row r="24" spans="2:16" hidden="1" outlineLevel="1" x14ac:dyDescent="0.2">
      <c r="B24" s="531">
        <f t="shared" si="8"/>
        <v>6</v>
      </c>
      <c r="C24" s="532">
        <v>2031</v>
      </c>
      <c r="D24" s="533">
        <v>1</v>
      </c>
      <c r="E24" s="534" cm="1">
        <f t="array" ref="E24">IF(Currency="VND",SUMPRODUCT('W3'!$K$18:$AJ$1018*('W3'!$A$18:$A$1018='W5'!E$47)*('W3'!$K$14:$AJ$14='W5'!$B24)*('W3'!$D$18:$D$1018="LNST")),SUMPRODUCT('W3'!$K$18:$AJ$1018*('W3'!$A$18:$A$1018='W5'!E$47)*('W3'!$K$14:$AJ$14='W5'!$B24)*('W3'!$D$18:$D$1018="LNST"))*$AK$1/10^3)</f>
        <v>33266.13088609129</v>
      </c>
      <c r="F24" s="534">
        <f t="shared" si="2"/>
        <v>1279466.5725419726</v>
      </c>
      <c r="G24" s="535" cm="1">
        <f t="array" ref="G24">IF(Currency="VND",SUMPRODUCT('W3'!$K$18:$AJ$1018*('W3'!$A$18:$A$1018='W5'!G$47)*('W3'!$K$14:$AJ$14='W5'!$B24)*('W3'!$D$18:$D$1018="LNST")),SUMPRODUCT('W3'!$K$18:$AJ$1018*('W3'!$A$18:$A$1018='W5'!G$47)*('W3'!$K$14:$AJ$14='W5'!$B24)*('W3'!$D$18:$D$1018="LNST"))*$AK$1/10^3)</f>
        <v>26541.039481334716</v>
      </c>
      <c r="H24" s="536">
        <f t="shared" si="3"/>
        <v>1020809.2108205659</v>
      </c>
      <c r="I24" s="535" cm="1">
        <f t="array" ref="I24">IF(Currency="VND",SUMPRODUCT('W3'!$K$18:$AJ$1018*('W3'!$A$18:$A$1018='W5'!I$47)*('W3'!$K$14:$AJ$14='W5'!$B24)*('W3'!$D$18:$D$1018="LNST")),SUMPRODUCT('W3'!$K$18:$AJ$1018*('W3'!$A$18:$A$1018='W5'!I$47)*('W3'!$K$14:$AJ$14='W5'!$B24)*('W3'!$D$18:$D$1018="LNST"))*$AK$1/10^3)</f>
        <v>19428.615011364735</v>
      </c>
      <c r="J24" s="536">
        <f t="shared" si="4"/>
        <v>747254.42351402831</v>
      </c>
      <c r="K24" s="535" cm="1">
        <f t="array" ref="K24">IF(Currency="VND",SUMPRODUCT('W3'!$K$18:$AJ$1018*('W3'!$A$18:$A$1018='W5'!K$47)*('W3'!$K$14:$AJ$14='W5'!$B24)*('W3'!$D$18:$D$1018="LNST")),SUMPRODUCT('W3'!$K$18:$AJ$1018*('W3'!$A$18:$A$1018='W5'!K$47)*('W3'!$K$14:$AJ$14='W5'!$B24)*('W3'!$D$18:$D$1018="LNST"))*$AK$1/10^3)</f>
        <v>22502.503190735311</v>
      </c>
      <c r="L24" s="536">
        <f t="shared" si="5"/>
        <v>865480.89195135818</v>
      </c>
      <c r="M24" s="535" cm="1">
        <f t="array" ref="M24">IF(Currency="VND",SUMPRODUCT('W3'!$K$18:$AJ$1018*('W3'!$A$18:$A$1018='W5'!M$47)*('W3'!$K$14:$AJ$14='W5'!$B24)*('W3'!$D$18:$D$1018="LNST")),SUMPRODUCT('W3'!$K$18:$AJ$1018*('W3'!$A$18:$A$1018='W5'!M$47)*('W3'!$K$14:$AJ$14='W5'!$B24)*('W3'!$D$18:$D$1018="LNST"))*$AK$1/10^3)</f>
        <v>12494.107457591221</v>
      </c>
      <c r="N24" s="536">
        <f t="shared" si="6"/>
        <v>480542.59452273929</v>
      </c>
      <c r="O24" s="534" cm="1">
        <f t="array" ref="O24">IF(Currency="VND",SUMPRODUCT('W3'!$K$18:$AJ$1018*('W3'!$A$18:$A$1018='W5'!O$47)*('W3'!$K$14:$AJ$14='W5'!$B24)*('W3'!$D$18:$D$1018="LNST")),SUMPRODUCT('W3'!$K$18:$AJ$1018*('W3'!$A$18:$A$1018='W5'!O$47)*('W3'!$K$14:$AJ$14='W5'!$B24)*('W3'!$D$18:$D$1018="LNST"))*$AK$1/10^3)</f>
        <v>24107.698621473974</v>
      </c>
      <c r="P24" s="534">
        <f t="shared" si="7"/>
        <v>927219.17774899898</v>
      </c>
    </row>
    <row r="25" spans="2:16" hidden="1" outlineLevel="1" x14ac:dyDescent="0.2">
      <c r="B25" s="531">
        <f t="shared" si="8"/>
        <v>7</v>
      </c>
      <c r="C25" s="532">
        <v>2032</v>
      </c>
      <c r="D25" s="533">
        <v>1</v>
      </c>
      <c r="E25" s="534" cm="1">
        <f t="array" ref="E25">IF(Currency="VND",SUMPRODUCT('W3'!$K$18:$AJ$1018*('W3'!$A$18:$A$1018='W5'!E$47)*('W3'!$K$14:$AJ$14='W5'!$B25)*('W3'!$D$18:$D$1018="LNST")),SUMPRODUCT('W3'!$K$18:$AJ$1018*('W3'!$A$18:$A$1018='W5'!E$47)*('W3'!$K$14:$AJ$14='W5'!$B25)*('W3'!$D$18:$D$1018="LNST"))*$AK$1/10^3)</f>
        <v>33603.740172222257</v>
      </c>
      <c r="F25" s="534">
        <f t="shared" si="2"/>
        <v>1292451.5450854714</v>
      </c>
      <c r="G25" s="535" cm="1">
        <f t="array" ref="G25">IF(Currency="VND",SUMPRODUCT('W3'!$K$18:$AJ$1018*('W3'!$A$18:$A$1018='W5'!G$47)*('W3'!$K$14:$AJ$14='W5'!$B25)*('W3'!$D$18:$D$1018="LNST")),SUMPRODUCT('W3'!$K$18:$AJ$1018*('W3'!$A$18:$A$1018='W5'!G$47)*('W3'!$K$14:$AJ$14='W5'!$B25)*('W3'!$D$18:$D$1018="LNST"))*$AK$1/10^3)</f>
        <v>27028.333886878194</v>
      </c>
      <c r="H25" s="536">
        <f t="shared" si="3"/>
        <v>1039551.3033414689</v>
      </c>
      <c r="I25" s="535" cm="1">
        <f t="array" ref="I25">IF(Currency="VND",SUMPRODUCT('W3'!$K$18:$AJ$1018*('W3'!$A$18:$A$1018='W5'!I$47)*('W3'!$K$14:$AJ$14='W5'!$B25)*('W3'!$D$18:$D$1018="LNST")),SUMPRODUCT('W3'!$K$18:$AJ$1018*('W3'!$A$18:$A$1018='W5'!I$47)*('W3'!$K$14:$AJ$14='W5'!$B25)*('W3'!$D$18:$D$1018="LNST"))*$AK$1/10^3)</f>
        <v>19773.660927508819</v>
      </c>
      <c r="J25" s="536">
        <f t="shared" si="4"/>
        <v>760525.42028880073</v>
      </c>
      <c r="K25" s="535" cm="1">
        <f t="array" ref="K25">IF(Currency="VND",SUMPRODUCT('W3'!$K$18:$AJ$1018*('W3'!$A$18:$A$1018='W5'!K$47)*('W3'!$K$14:$AJ$14='W5'!$B25)*('W3'!$D$18:$D$1018="LNST")),SUMPRODUCT('W3'!$K$18:$AJ$1018*('W3'!$A$18:$A$1018='W5'!K$47)*('W3'!$K$14:$AJ$14='W5'!$B25)*('W3'!$D$18:$D$1018="LNST"))*$AK$1/10^3)</f>
        <v>22927.41859083674</v>
      </c>
      <c r="L25" s="536">
        <f t="shared" si="5"/>
        <v>881823.79195525916</v>
      </c>
      <c r="M25" s="535" cm="1">
        <f t="array" ref="M25">IF(Currency="VND",SUMPRODUCT('W3'!$K$18:$AJ$1018*('W3'!$A$18:$A$1018='W5'!M$47)*('W3'!$K$14:$AJ$14='W5'!$B25)*('W3'!$D$18:$D$1018="LNST")),SUMPRODUCT('W3'!$K$18:$AJ$1018*('W3'!$A$18:$A$1018='W5'!M$47)*('W3'!$K$14:$AJ$14='W5'!$B25)*('W3'!$D$18:$D$1018="LNST"))*$AK$1/10^3)</f>
        <v>12634.945696551773</v>
      </c>
      <c r="N25" s="536">
        <f t="shared" si="6"/>
        <v>485959.44986737589</v>
      </c>
      <c r="O25" s="534" cm="1">
        <f t="array" ref="O25">IF(Currency="VND",SUMPRODUCT('W3'!$K$18:$AJ$1018*('W3'!$A$18:$A$1018='W5'!O$47)*('W3'!$K$14:$AJ$14='W5'!$B25)*('W3'!$D$18:$D$1018="LNST")),SUMPRODUCT('W3'!$K$18:$AJ$1018*('W3'!$A$18:$A$1018='W5'!O$47)*('W3'!$K$14:$AJ$14='W5'!$B25)*('W3'!$D$18:$D$1018="LNST"))*$AK$1/10^3)</f>
        <v>24161.375801182727</v>
      </c>
      <c r="P25" s="534">
        <f t="shared" si="7"/>
        <v>929283.68466087407</v>
      </c>
    </row>
    <row r="26" spans="2:16" hidden="1" outlineLevel="1" x14ac:dyDescent="0.2">
      <c r="B26" s="531">
        <f t="shared" si="8"/>
        <v>8</v>
      </c>
      <c r="C26" s="532">
        <v>2033</v>
      </c>
      <c r="D26" s="533">
        <v>1</v>
      </c>
      <c r="E26" s="534" cm="1">
        <f t="array" ref="E26">IF(Currency="VND",SUMPRODUCT('W3'!$K$18:$AJ$1018*('W3'!$A$18:$A$1018='W5'!E$47)*('W3'!$K$14:$AJ$14='W5'!$B26)*('W3'!$D$18:$D$1018="LNST")),SUMPRODUCT('W3'!$K$18:$AJ$1018*('W3'!$A$18:$A$1018='W5'!E$47)*('W3'!$K$14:$AJ$14='W5'!$B26)*('W3'!$D$18:$D$1018="LNST"))*$AK$1/10^3)</f>
        <v>33899.291885529317</v>
      </c>
      <c r="F26" s="534">
        <f t="shared" si="2"/>
        <v>1303818.9186742045</v>
      </c>
      <c r="G26" s="535" cm="1">
        <f t="array" ref="G26">IF(Currency="VND",SUMPRODUCT('W3'!$K$18:$AJ$1018*('W3'!$A$18:$A$1018='W5'!G$47)*('W3'!$K$14:$AJ$14='W5'!$B26)*('W3'!$D$18:$D$1018="LNST")),SUMPRODUCT('W3'!$K$18:$AJ$1018*('W3'!$A$18:$A$1018='W5'!G$47)*('W3'!$K$14:$AJ$14='W5'!$B26)*('W3'!$D$18:$D$1018="LNST"))*$AK$1/10^3)</f>
        <v>27476.235350330688</v>
      </c>
      <c r="H26" s="536">
        <f t="shared" si="3"/>
        <v>1056778.2827050264</v>
      </c>
      <c r="I26" s="535" cm="1">
        <f t="array" ref="I26">IF(Currency="VND",SUMPRODUCT('W3'!$K$18:$AJ$1018*('W3'!$A$18:$A$1018='W5'!I$47)*('W3'!$K$14:$AJ$14='W5'!$B26)*('W3'!$D$18:$D$1018="LNST")),SUMPRODUCT('W3'!$K$18:$AJ$1018*('W3'!$A$18:$A$1018='W5'!I$47)*('W3'!$K$14:$AJ$14='W5'!$B26)*('W3'!$D$18:$D$1018="LNST"))*$AK$1/10^3)</f>
        <v>20076.468931773958</v>
      </c>
      <c r="J26" s="536">
        <f t="shared" si="4"/>
        <v>772171.88199130609</v>
      </c>
      <c r="K26" s="535" cm="1">
        <f t="array" ref="K26">IF(Currency="VND",SUMPRODUCT('W3'!$K$18:$AJ$1018*('W3'!$A$18:$A$1018='W5'!K$47)*('W3'!$K$14:$AJ$14='W5'!$B26)*('W3'!$D$18:$D$1018="LNST")),SUMPRODUCT('W3'!$K$18:$AJ$1018*('W3'!$A$18:$A$1018='W5'!K$47)*('W3'!$K$14:$AJ$14='W5'!$B26)*('W3'!$D$18:$D$1018="LNST"))*$AK$1/10^3)</f>
        <v>23316.387846092137</v>
      </c>
      <c r="L26" s="536">
        <f t="shared" si="5"/>
        <v>896784.14792662067</v>
      </c>
      <c r="M26" s="535" cm="1">
        <f t="array" ref="M26">IF(Currency="VND",SUMPRODUCT('W3'!$K$18:$AJ$1018*('W3'!$A$18:$A$1018='W5'!M$47)*('W3'!$K$14:$AJ$14='W5'!$B26)*('W3'!$D$18:$D$1018="LNST")),SUMPRODUCT('W3'!$K$18:$AJ$1018*('W3'!$A$18:$A$1018='W5'!M$47)*('W3'!$K$14:$AJ$14='W5'!$B26)*('W3'!$D$18:$D$1018="LNST"))*$AK$1/10^3)</f>
        <v>12728.492641676172</v>
      </c>
      <c r="N26" s="536">
        <f t="shared" si="6"/>
        <v>489557.40929523739</v>
      </c>
      <c r="O26" s="534" cm="1">
        <f t="array" ref="O26">IF(Currency="VND",SUMPRODUCT('W3'!$K$18:$AJ$1018*('W3'!$A$18:$A$1018='W5'!O$47)*('W3'!$K$14:$AJ$14='W5'!$B26)*('W3'!$D$18:$D$1018="LNST")),SUMPRODUCT('W3'!$K$18:$AJ$1018*('W3'!$A$18:$A$1018='W5'!O$47)*('W3'!$K$14:$AJ$14='W5'!$B26)*('W3'!$D$18:$D$1018="LNST"))*$AK$1/10^3)</f>
        <v>24160.788802315157</v>
      </c>
      <c r="P26" s="534">
        <f t="shared" si="7"/>
        <v>929261.10778135213</v>
      </c>
    </row>
    <row r="27" spans="2:16" hidden="1" outlineLevel="1" x14ac:dyDescent="0.2">
      <c r="B27" s="531">
        <f t="shared" si="8"/>
        <v>9</v>
      </c>
      <c r="C27" s="532">
        <v>2034</v>
      </c>
      <c r="D27" s="533">
        <v>1</v>
      </c>
      <c r="E27" s="534" cm="1">
        <f t="array" ref="E27">IF(Currency="VND",SUMPRODUCT('W3'!$K$18:$AJ$1018*('W3'!$A$18:$A$1018='W5'!E$47)*('W3'!$K$14:$AJ$14='W5'!$B27)*('W3'!$D$18:$D$1018="LNST")),SUMPRODUCT('W3'!$K$18:$AJ$1018*('W3'!$A$18:$A$1018='W5'!E$47)*('W3'!$K$14:$AJ$14='W5'!$B27)*('W3'!$D$18:$D$1018="LNST"))*$AK$1/10^3)</f>
        <v>34149.679435270744</v>
      </c>
      <c r="F27" s="534">
        <f t="shared" si="2"/>
        <v>1313449.2090488747</v>
      </c>
      <c r="G27" s="535" cm="1">
        <f t="array" ref="G27">IF(Currency="VND",SUMPRODUCT('W3'!$K$18:$AJ$1018*('W3'!$A$18:$A$1018='W5'!G$47)*('W3'!$K$14:$AJ$14='W5'!$B27)*('W3'!$D$18:$D$1018="LNST")),SUMPRODUCT('W3'!$K$18:$AJ$1018*('W3'!$A$18:$A$1018='W5'!G$47)*('W3'!$K$14:$AJ$14='W5'!$B27)*('W3'!$D$18:$D$1018="LNST"))*$AK$1/10^3)</f>
        <v>27882.007827654248</v>
      </c>
      <c r="H27" s="536">
        <f t="shared" si="3"/>
        <v>1072384.9164482404</v>
      </c>
      <c r="I27" s="535" cm="1">
        <f t="array" ref="I27">IF(Currency="VND",SUMPRODUCT('W3'!$K$18:$AJ$1018*('W3'!$A$18:$A$1018='W5'!I$47)*('W3'!$K$14:$AJ$14='W5'!$B27)*('W3'!$D$18:$D$1018="LNST")),SUMPRODUCT('W3'!$K$18:$AJ$1018*('W3'!$A$18:$A$1018='W5'!I$47)*('W3'!$K$14:$AJ$14='W5'!$B27)*('W3'!$D$18:$D$1018="LNST"))*$AK$1/10^3)</f>
        <v>20334.246080726341</v>
      </c>
      <c r="J27" s="536">
        <f t="shared" si="4"/>
        <v>782086.38772024389</v>
      </c>
      <c r="K27" s="535" cm="1">
        <f t="array" ref="K27">IF(Currency="VND",SUMPRODUCT('W3'!$K$18:$AJ$1018*('W3'!$A$18:$A$1018='W5'!K$47)*('W3'!$K$14:$AJ$14='W5'!$B27)*('W3'!$D$18:$D$1018="LNST")),SUMPRODUCT('W3'!$K$18:$AJ$1018*('W3'!$A$18:$A$1018='W5'!K$47)*('W3'!$K$14:$AJ$14='W5'!$B27)*('W3'!$D$18:$D$1018="LNST"))*$AK$1/10^3)</f>
        <v>23666.732165718313</v>
      </c>
      <c r="L27" s="536">
        <f t="shared" si="5"/>
        <v>910258.92945070425</v>
      </c>
      <c r="M27" s="535" cm="1">
        <f t="array" ref="M27">IF(Currency="VND",SUMPRODUCT('W3'!$K$18:$AJ$1018*('W3'!$A$18:$A$1018='W5'!M$47)*('W3'!$K$14:$AJ$14='W5'!$B27)*('W3'!$D$18:$D$1018="LNST")),SUMPRODUCT('W3'!$K$18:$AJ$1018*('W3'!$A$18:$A$1018='W5'!M$47)*('W3'!$K$14:$AJ$14='W5'!$B27)*('W3'!$D$18:$D$1018="LNST"))*$AK$1/10^3)</f>
        <v>12771.783412408178</v>
      </c>
      <c r="N27" s="536">
        <f t="shared" si="6"/>
        <v>491222.43893877609</v>
      </c>
      <c r="O27" s="534" cm="1">
        <f t="array" ref="O27">IF(Currency="VND",SUMPRODUCT('W3'!$K$18:$AJ$1018*('W3'!$A$18:$A$1018='W5'!O$47)*('W3'!$K$14:$AJ$14='W5'!$B27)*('W3'!$D$18:$D$1018="LNST")),SUMPRODUCT('W3'!$K$18:$AJ$1018*('W3'!$A$18:$A$1018='W5'!O$47)*('W3'!$K$14:$AJ$14='W5'!$B27)*('W3'!$D$18:$D$1018="LNST"))*$AK$1/10^3)</f>
        <v>24102.414913535773</v>
      </c>
      <c r="P27" s="534">
        <f t="shared" si="7"/>
        <v>927015.95821291441</v>
      </c>
    </row>
    <row r="28" spans="2:16" hidden="1" outlineLevel="1" x14ac:dyDescent="0.2">
      <c r="B28" s="531">
        <f t="shared" si="8"/>
        <v>10</v>
      </c>
      <c r="C28" s="532">
        <v>2035</v>
      </c>
      <c r="D28" s="533">
        <v>1</v>
      </c>
      <c r="E28" s="534" cm="1">
        <f t="array" ref="E28">IF(Currency="VND",SUMPRODUCT('W3'!$K$18:$AJ$1018*('W3'!$A$18:$A$1018='W5'!E$47)*('W3'!$K$14:$AJ$14='W5'!$B28)*('W3'!$D$18:$D$1018="LNST")),SUMPRODUCT('W3'!$K$18:$AJ$1018*('W3'!$A$18:$A$1018='W5'!E$47)*('W3'!$K$14:$AJ$14='W5'!$B28)*('W3'!$D$18:$D$1018="LNST"))*$AK$1/10^3)</f>
        <v>34351.633080330677</v>
      </c>
      <c r="F28" s="534">
        <f t="shared" si="2"/>
        <v>1321216.6569357952</v>
      </c>
      <c r="G28" s="535" cm="1">
        <f t="array" ref="G28">IF(Currency="VND",SUMPRODUCT('W3'!$K$18:$AJ$1018*('W3'!$A$18:$A$1018='W5'!G$47)*('W3'!$K$14:$AJ$14='W5'!$B28)*('W3'!$D$18:$D$1018="LNST")),SUMPRODUCT('W3'!$K$18:$AJ$1018*('W3'!$A$18:$A$1018='W5'!G$47)*('W3'!$K$14:$AJ$14='W5'!$B28)*('W3'!$D$18:$D$1018="LNST"))*$AK$1/10^3)</f>
        <v>28242.803845174891</v>
      </c>
      <c r="H28" s="536">
        <f t="shared" si="3"/>
        <v>1086261.6863528804</v>
      </c>
      <c r="I28" s="535" cm="1">
        <f t="array" ref="I28">IF(Currency="VND",SUMPRODUCT('W3'!$K$18:$AJ$1018*('W3'!$A$18:$A$1018='W5'!I$47)*('W3'!$K$14:$AJ$14='W5'!$B28)*('W3'!$D$18:$D$1018="LNST")),SUMPRODUCT('W3'!$K$18:$AJ$1018*('W3'!$A$18:$A$1018='W5'!I$47)*('W3'!$K$14:$AJ$14='W5'!$B28)*('W3'!$D$18:$D$1018="LNST"))*$AK$1/10^3)</f>
        <v>20544.086863308494</v>
      </c>
      <c r="J28" s="536">
        <f t="shared" si="4"/>
        <v>790157.18705032673</v>
      </c>
      <c r="K28" s="535" cm="1">
        <f t="array" ref="K28">IF(Currency="VND",SUMPRODUCT('W3'!$K$18:$AJ$1018*('W3'!$A$18:$A$1018='W5'!K$47)*('W3'!$K$14:$AJ$14='W5'!$B28)*('W3'!$D$18:$D$1018="LNST")),SUMPRODUCT('W3'!$K$18:$AJ$1018*('W3'!$A$18:$A$1018='W5'!K$47)*('W3'!$K$14:$AJ$14='W5'!$B28)*('W3'!$D$18:$D$1018="LNST"))*$AK$1/10^3)</f>
        <v>23975.639554554877</v>
      </c>
      <c r="L28" s="536">
        <f t="shared" si="5"/>
        <v>922139.98286749516</v>
      </c>
      <c r="M28" s="535" cm="1">
        <f t="array" ref="M28">IF(Currency="VND",SUMPRODUCT('W3'!$K$18:$AJ$1018*('W3'!$A$18:$A$1018='W5'!M$47)*('W3'!$K$14:$AJ$14='W5'!$B28)*('W3'!$D$18:$D$1018="LNST")),SUMPRODUCT('W3'!$K$18:$AJ$1018*('W3'!$A$18:$A$1018='W5'!M$47)*('W3'!$K$14:$AJ$14='W5'!$B28)*('W3'!$D$18:$D$1018="LNST"))*$AK$1/10^3)</f>
        <v>12761.731785706617</v>
      </c>
      <c r="N28" s="536">
        <f t="shared" si="6"/>
        <v>490835.83791179297</v>
      </c>
      <c r="O28" s="534" cm="1">
        <f t="array" ref="O28">IF(Currency="VND",SUMPRODUCT('W3'!$K$18:$AJ$1018*('W3'!$A$18:$A$1018='W5'!O$47)*('W3'!$K$14:$AJ$14='W5'!$B28)*('W3'!$D$18:$D$1018="LNST")),SUMPRODUCT('W3'!$K$18:$AJ$1018*('W3'!$A$18:$A$1018='W5'!O$47)*('W3'!$K$14:$AJ$14='W5'!$B28)*('W3'!$D$18:$D$1018="LNST"))*$AK$1/10^3)</f>
        <v>23982.565454561962</v>
      </c>
      <c r="P28" s="534">
        <f t="shared" si="7"/>
        <v>922406.36363699858</v>
      </c>
    </row>
    <row r="29" spans="2:16" hidden="1" outlineLevel="1" x14ac:dyDescent="0.2">
      <c r="B29" s="531">
        <f t="shared" si="8"/>
        <v>11</v>
      </c>
      <c r="C29" s="532">
        <v>2036</v>
      </c>
      <c r="D29" s="533">
        <v>1</v>
      </c>
      <c r="E29" s="534" cm="1">
        <f t="array" ref="E29">IF(Currency="VND",SUMPRODUCT('W3'!$K$18:$AJ$1018*('W3'!$A$18:$A$1018='W5'!E$47)*('W3'!$K$14:$AJ$14='W5'!$B29)*('W3'!$D$18:$D$1018="LNST")),SUMPRODUCT('W3'!$K$18:$AJ$1018*('W3'!$A$18:$A$1018='W5'!E$47)*('W3'!$K$14:$AJ$14='W5'!$B29)*('W3'!$D$18:$D$1018="LNST"))*$AK$1/10^3)</f>
        <v>34501.712473022053</v>
      </c>
      <c r="F29" s="534">
        <f t="shared" si="2"/>
        <v>1326988.941270079</v>
      </c>
      <c r="G29" s="535" cm="1">
        <f t="array" ref="G29">IF(Currency="VND",SUMPRODUCT('W3'!$K$18:$AJ$1018*('W3'!$A$18:$A$1018='W5'!G$47)*('W3'!$K$14:$AJ$14='W5'!$B29)*('W3'!$D$18:$D$1018="LNST")),SUMPRODUCT('W3'!$K$18:$AJ$1018*('W3'!$A$18:$A$1018='W5'!G$47)*('W3'!$K$14:$AJ$14='W5'!$B29)*('W3'!$D$18:$D$1018="LNST"))*$AK$1/10^3)</f>
        <v>28555.662691593592</v>
      </c>
      <c r="H29" s="536">
        <f t="shared" si="3"/>
        <v>1098294.7189074459</v>
      </c>
      <c r="I29" s="535" cm="1">
        <f t="array" ref="I29">IF(Currency="VND",SUMPRODUCT('W3'!$K$18:$AJ$1018*('W3'!$A$18:$A$1018='W5'!I$47)*('W3'!$K$14:$AJ$14='W5'!$B29)*('W3'!$D$18:$D$1018="LNST")),SUMPRODUCT('W3'!$K$18:$AJ$1018*('W3'!$A$18:$A$1018='W5'!I$47)*('W3'!$K$14:$AJ$14='W5'!$B29)*('W3'!$D$18:$D$1018="LNST"))*$AK$1/10^3)</f>
        <v>20702.971370089894</v>
      </c>
      <c r="J29" s="536">
        <f t="shared" si="4"/>
        <v>796268.12961884204</v>
      </c>
      <c r="K29" s="535" cm="1">
        <f t="array" ref="K29">IF(Currency="VND",SUMPRODUCT('W3'!$K$18:$AJ$1018*('W3'!$A$18:$A$1018='W5'!K$47)*('W3'!$K$14:$AJ$14='W5'!$B29)*('W3'!$D$18:$D$1018="LNST")),SUMPRODUCT('W3'!$K$18:$AJ$1018*('W3'!$A$18:$A$1018='W5'!K$47)*('W3'!$K$14:$AJ$14='W5'!$B29)*('W3'!$D$18:$D$1018="LNST"))*$AK$1/10^3)</f>
        <v>24240.159453087301</v>
      </c>
      <c r="L29" s="536">
        <f t="shared" si="5"/>
        <v>932313.82511874242</v>
      </c>
      <c r="M29" s="535" cm="1">
        <f t="array" ref="M29">IF(Currency="VND",SUMPRODUCT('W3'!$K$18:$AJ$1018*('W3'!$A$18:$A$1018='W5'!M$47)*('W3'!$K$14:$AJ$14='W5'!$B29)*('W3'!$D$18:$D$1018="LNST")),SUMPRODUCT('W3'!$K$18:$AJ$1018*('W3'!$A$18:$A$1018='W5'!M$47)*('W3'!$K$14:$AJ$14='W5'!$B29)*('W3'!$D$18:$D$1018="LNST"))*$AK$1/10^3)</f>
        <v>12695.127779580653</v>
      </c>
      <c r="N29" s="536">
        <f t="shared" si="6"/>
        <v>488274.14536848664</v>
      </c>
      <c r="O29" s="534" cm="1">
        <f t="array" ref="O29">IF(Currency="VND",SUMPRODUCT('W3'!$K$18:$AJ$1018*('W3'!$A$18:$A$1018='W5'!O$47)*('W3'!$K$14:$AJ$14='W5'!$B29)*('W3'!$D$18:$D$1018="LNST")),SUMPRODUCT('W3'!$K$18:$AJ$1018*('W3'!$A$18:$A$1018='W5'!O$47)*('W3'!$K$14:$AJ$14='W5'!$B29)*('W3'!$D$18:$D$1018="LNST"))*$AK$1/10^3)</f>
        <v>23797.379789581944</v>
      </c>
      <c r="P29" s="534">
        <f t="shared" si="7"/>
        <v>915283.83806084399</v>
      </c>
    </row>
    <row r="30" spans="2:16" hidden="1" outlineLevel="1" x14ac:dyDescent="0.2">
      <c r="B30" s="531">
        <f t="shared" si="8"/>
        <v>12</v>
      </c>
      <c r="C30" s="532">
        <v>2037</v>
      </c>
      <c r="D30" s="533">
        <v>1</v>
      </c>
      <c r="E30" s="534" cm="1">
        <f t="array" ref="E30">IF(Currency="VND",SUMPRODUCT('W3'!$K$18:$AJ$1018*('W3'!$A$18:$A$1018='W5'!E$47)*('W3'!$K$14:$AJ$14='W5'!$B30)*('W3'!$D$18:$D$1018="LNST")),SUMPRODUCT('W3'!$K$18:$AJ$1018*('W3'!$A$18:$A$1018='W5'!E$47)*('W3'!$K$14:$AJ$14='W5'!$B30)*('W3'!$D$18:$D$1018="LNST"))*$AK$1/10^3)</f>
        <v>34596.298904147559</v>
      </c>
      <c r="F30" s="534">
        <f t="shared" si="2"/>
        <v>1330626.8809287522</v>
      </c>
      <c r="G30" s="535" cm="1">
        <f t="array" ref="G30">IF(Currency="VND",SUMPRODUCT('W3'!$K$18:$AJ$1018*('W3'!$A$18:$A$1018='W5'!G$47)*('W3'!$K$14:$AJ$14='W5'!$B30)*('W3'!$D$18:$D$1018="LNST")),SUMPRODUCT('W3'!$K$18:$AJ$1018*('W3'!$A$18:$A$1018='W5'!G$47)*('W3'!$K$14:$AJ$14='W5'!$B30)*('W3'!$D$18:$D$1018="LNST"))*$AK$1/10^3)</f>
        <v>28817.508855349013</v>
      </c>
      <c r="H30" s="536">
        <f t="shared" si="3"/>
        <v>1108365.7252057313</v>
      </c>
      <c r="I30" s="535" cm="1">
        <f t="array" ref="I30">IF(Currency="VND",SUMPRODUCT('W3'!$K$18:$AJ$1018*('W3'!$A$18:$A$1018='W5'!I$47)*('W3'!$K$14:$AJ$14='W5'!$B30)*('W3'!$D$18:$D$1018="LNST")),SUMPRODUCT('W3'!$K$18:$AJ$1018*('W3'!$A$18:$A$1018='W5'!I$47)*('W3'!$K$14:$AJ$14='W5'!$B30)*('W3'!$D$18:$D$1018="LNST"))*$AK$1/10^3)</f>
        <v>20807.763707415201</v>
      </c>
      <c r="J30" s="536">
        <f t="shared" si="4"/>
        <v>800298.6041313539</v>
      </c>
      <c r="K30" s="535" cm="1">
        <f t="array" ref="K30">IF(Currency="VND",SUMPRODUCT('W3'!$K$18:$AJ$1018*('W3'!$A$18:$A$1018='W5'!K$47)*('W3'!$K$14:$AJ$14='W5'!$B30)*('W3'!$D$18:$D$1018="LNST")),SUMPRODUCT('W3'!$K$18:$AJ$1018*('W3'!$A$18:$A$1018='W5'!K$47)*('W3'!$K$14:$AJ$14='W5'!$B30)*('W3'!$D$18:$D$1018="LNST"))*$AK$1/10^3)</f>
        <v>24457.197225462693</v>
      </c>
      <c r="L30" s="536">
        <f t="shared" si="5"/>
        <v>940661.43174856505</v>
      </c>
      <c r="M30" s="535" cm="1">
        <f t="array" ref="M30">IF(Currency="VND",SUMPRODUCT('W3'!$K$18:$AJ$1018*('W3'!$A$18:$A$1018='W5'!M$47)*('W3'!$K$14:$AJ$14='W5'!$B30)*('W3'!$D$18:$D$1018="LNST")),SUMPRODUCT('W3'!$K$18:$AJ$1018*('W3'!$A$18:$A$1018='W5'!M$47)*('W3'!$K$14:$AJ$14='W5'!$B30)*('W3'!$D$18:$D$1018="LNST"))*$AK$1/10^3)</f>
        <v>12568.635437825649</v>
      </c>
      <c r="N30" s="536">
        <f t="shared" si="6"/>
        <v>483409.05530098651</v>
      </c>
      <c r="O30" s="534" cm="1">
        <f t="array" ref="O30">IF(Currency="VND",SUMPRODUCT('W3'!$K$18:$AJ$1018*('W3'!$A$18:$A$1018='W5'!O$47)*('W3'!$K$14:$AJ$14='W5'!$B30)*('W3'!$D$18:$D$1018="LNST")),SUMPRODUCT('W3'!$K$18:$AJ$1018*('W3'!$A$18:$A$1018='W5'!O$47)*('W3'!$K$14:$AJ$14='W5'!$B30)*('W3'!$D$18:$D$1018="LNST"))*$AK$1/10^3)</f>
        <v>23542.819256264578</v>
      </c>
      <c r="P30" s="534">
        <f t="shared" si="7"/>
        <v>905493.04831786838</v>
      </c>
    </row>
    <row r="31" spans="2:16" hidden="1" outlineLevel="1" x14ac:dyDescent="0.2">
      <c r="B31" s="531">
        <f t="shared" si="8"/>
        <v>13</v>
      </c>
      <c r="C31" s="532">
        <v>2038</v>
      </c>
      <c r="D31" s="533">
        <v>1</v>
      </c>
      <c r="E31" s="534" cm="1">
        <f t="array" ref="E31">IF(Currency="VND",SUMPRODUCT('W3'!$K$18:$AJ$1018*('W3'!$A$18:$A$1018='W5'!E$47)*('W3'!$K$14:$AJ$14='W5'!$B31)*('W3'!$D$18:$D$1018="LNST")),SUMPRODUCT('W3'!$K$18:$AJ$1018*('W3'!$A$18:$A$1018='W5'!E$47)*('W3'!$K$14:$AJ$14='W5'!$B31)*('W3'!$D$18:$D$1018="LNST"))*$AK$1/10^3)</f>
        <v>55483.573373400002</v>
      </c>
      <c r="F31" s="534">
        <f t="shared" si="2"/>
        <v>2133983.5912846155</v>
      </c>
      <c r="G31" s="535" cm="1">
        <f t="array" ref="G31">IF(Currency="VND",SUMPRODUCT('W3'!$K$18:$AJ$1018*('W3'!$A$18:$A$1018='W5'!G$47)*('W3'!$K$14:$AJ$14='W5'!$B31)*('W3'!$D$18:$D$1018="LNST")),SUMPRODUCT('W3'!$K$18:$AJ$1018*('W3'!$A$18:$A$1018='W5'!G$47)*('W3'!$K$14:$AJ$14='W5'!$B31)*('W3'!$D$18:$D$1018="LNST"))*$AK$1/10^3)</f>
        <v>52349.854747156525</v>
      </c>
      <c r="H31" s="536">
        <f t="shared" si="3"/>
        <v>2013455.9518137127</v>
      </c>
      <c r="I31" s="535" cm="1">
        <f t="array" ref="I31">IF(Currency="VND",SUMPRODUCT('W3'!$K$18:$AJ$1018*('W3'!$A$18:$A$1018='W5'!I$47)*('W3'!$K$14:$AJ$14='W5'!$B31)*('W3'!$D$18:$D$1018="LNST")),SUMPRODUCT('W3'!$K$18:$AJ$1018*('W3'!$A$18:$A$1018='W5'!I$47)*('W3'!$K$14:$AJ$14='W5'!$B31)*('W3'!$D$18:$D$1018="LNST"))*$AK$1/10^3)</f>
        <v>44179.914696264037</v>
      </c>
      <c r="J31" s="536">
        <f t="shared" si="4"/>
        <v>1699227.4883178475</v>
      </c>
      <c r="K31" s="535" cm="1">
        <f t="array" ref="K31">IF(Currency="VND",SUMPRODUCT('W3'!$K$18:$AJ$1018*('W3'!$A$18:$A$1018='W5'!K$47)*('W3'!$K$14:$AJ$14='W5'!$B31)*('W3'!$D$18:$D$1018="LNST")),SUMPRODUCT('W3'!$K$18:$AJ$1018*('W3'!$A$18:$A$1018='W5'!K$47)*('W3'!$K$14:$AJ$14='W5'!$B31)*('W3'!$D$18:$D$1018="LNST"))*$AK$1/10^3)</f>
        <v>45475.494629852525</v>
      </c>
      <c r="L31" s="536">
        <f t="shared" si="5"/>
        <v>1749057.4857635587</v>
      </c>
      <c r="M31" s="535" cm="1">
        <f t="array" ref="M31">IF(Currency="VND",SUMPRODUCT('W3'!$K$18:$AJ$1018*('W3'!$A$18:$A$1018='W5'!M$47)*('W3'!$K$14:$AJ$14='W5'!$B31)*('W3'!$D$18:$D$1018="LNST")),SUMPRODUCT('W3'!$K$18:$AJ$1018*('W3'!$A$18:$A$1018='W5'!M$47)*('W3'!$K$14:$AJ$14='W5'!$B31)*('W3'!$D$18:$D$1018="LNST"))*$AK$1/10^3)</f>
        <v>34218.097519047049</v>
      </c>
      <c r="N31" s="536">
        <f t="shared" si="6"/>
        <v>1316080.6738095018</v>
      </c>
      <c r="O31" s="534" cm="1">
        <f t="array" ref="O31">IF(Currency="VND",SUMPRODUCT('W3'!$K$18:$AJ$1018*('W3'!$A$18:$A$1018='W5'!O$47)*('W3'!$K$14:$AJ$14='W5'!$B31)*('W3'!$D$18:$D$1018="LNST")),SUMPRODUCT('W3'!$K$18:$AJ$1018*('W3'!$A$18:$A$1018='W5'!O$47)*('W3'!$K$14:$AJ$14='W5'!$B31)*('W3'!$D$18:$D$1018="LNST"))*$AK$1/10^3)</f>
        <v>45053.967690598598</v>
      </c>
      <c r="P31" s="534">
        <f t="shared" si="7"/>
        <v>1732844.9111768692</v>
      </c>
    </row>
    <row r="32" spans="2:16" hidden="1" outlineLevel="1" x14ac:dyDescent="0.2">
      <c r="B32" s="531">
        <f t="shared" si="8"/>
        <v>14</v>
      </c>
      <c r="C32" s="532">
        <v>2039</v>
      </c>
      <c r="D32" s="533">
        <v>1</v>
      </c>
      <c r="E32" s="534" cm="1">
        <f t="array" ref="E32">IF(Currency="VND",SUMPRODUCT('W3'!$K$18:$AJ$1018*('W3'!$A$18:$A$1018='W5'!E$47)*('W3'!$K$14:$AJ$14='W5'!$B32)*('W3'!$D$18:$D$1018="LNST")),SUMPRODUCT('W3'!$K$18:$AJ$1018*('W3'!$A$18:$A$1018='W5'!E$47)*('W3'!$K$14:$AJ$14='W5'!$B32)*('W3'!$D$18:$D$1018="LNST"))*$AK$1/10^3)</f>
        <v>55455.563675792888</v>
      </c>
      <c r="F32" s="534">
        <f t="shared" si="2"/>
        <v>2132906.2952228035</v>
      </c>
      <c r="G32" s="535" cm="1">
        <f t="array" ref="G32">IF(Currency="VND",SUMPRODUCT('W3'!$K$18:$AJ$1018*('W3'!$A$18:$A$1018='W5'!G$47)*('W3'!$K$14:$AJ$14='W5'!$B32)*('W3'!$D$18:$D$1018="LNST")),SUMPRODUCT('W3'!$K$18:$AJ$1018*('W3'!$A$18:$A$1018='W5'!G$47)*('W3'!$K$14:$AJ$14='W5'!$B32)*('W3'!$D$18:$D$1018="LNST"))*$AK$1/10^3)</f>
        <v>52499.983751751904</v>
      </c>
      <c r="H32" s="536">
        <f t="shared" si="3"/>
        <v>2019230.1442981502</v>
      </c>
      <c r="I32" s="535" cm="1">
        <f t="array" ref="I32">IF(Currency="VND",SUMPRODUCT('W3'!$K$18:$AJ$1018*('W3'!$A$18:$A$1018='W5'!I$47)*('W3'!$K$14:$AJ$14='W5'!$B32)*('W3'!$D$18:$D$1018="LNST")),SUMPRODUCT('W3'!$K$18:$AJ$1018*('W3'!$A$18:$A$1018='W5'!I$47)*('W3'!$K$14:$AJ$14='W5'!$B32)*('W3'!$D$18:$D$1018="LNST"))*$AK$1/10^3)</f>
        <v>44166.644899841544</v>
      </c>
      <c r="J32" s="536">
        <f t="shared" si="4"/>
        <v>1698717.1115323671</v>
      </c>
      <c r="K32" s="535" cm="1">
        <f t="array" ref="K32">IF(Currency="VND",SUMPRODUCT('W3'!$K$18:$AJ$1018*('W3'!$A$18:$A$1018='W5'!K$47)*('W3'!$K$14:$AJ$14='W5'!$B32)*('W3'!$D$18:$D$1018="LNST")),SUMPRODUCT('W3'!$K$18:$AJ$1018*('W3'!$A$18:$A$1018='W5'!K$47)*('W3'!$K$14:$AJ$14='W5'!$B32)*('W3'!$D$18:$D$1018="LNST"))*$AK$1/10^3)</f>
        <v>45587.679472842443</v>
      </c>
      <c r="L32" s="536">
        <f t="shared" si="5"/>
        <v>1753372.2874170169</v>
      </c>
      <c r="M32" s="535" cm="1">
        <f t="array" ref="M32">IF(Currency="VND",SUMPRODUCT('W3'!$K$18:$AJ$1018*('W3'!$A$18:$A$1018='W5'!M$47)*('W3'!$K$14:$AJ$14='W5'!$B32)*('W3'!$D$18:$D$1018="LNST")),SUMPRODUCT('W3'!$K$18:$AJ$1018*('W3'!$A$18:$A$1018='W5'!M$47)*('W3'!$K$14:$AJ$14='W5'!$B32)*('W3'!$D$18:$D$1018="LNST"))*$AK$1/10^3)</f>
        <v>33961.307130335503</v>
      </c>
      <c r="N32" s="536">
        <f t="shared" si="6"/>
        <v>1306204.1203975193</v>
      </c>
      <c r="O32" s="534" cm="1">
        <f t="array" ref="O32">IF(Currency="VND",SUMPRODUCT('W3'!$K$18:$AJ$1018*('W3'!$A$18:$A$1018='W5'!O$47)*('W3'!$K$14:$AJ$14='W5'!$B32)*('W3'!$D$18:$D$1018="LNST")),SUMPRODUCT('W3'!$K$18:$AJ$1018*('W3'!$A$18:$A$1018='W5'!O$47)*('W3'!$K$14:$AJ$14='W5'!$B32)*('W3'!$D$18:$D$1018="LNST"))*$AK$1/10^3)</f>
        <v>44647.798563248711</v>
      </c>
      <c r="P32" s="534">
        <f t="shared" si="7"/>
        <v>1717223.021663412</v>
      </c>
    </row>
    <row r="33" spans="1:17" hidden="1" outlineLevel="1" x14ac:dyDescent="0.2">
      <c r="B33" s="531">
        <f t="shared" si="8"/>
        <v>15</v>
      </c>
      <c r="C33" s="532">
        <v>2040</v>
      </c>
      <c r="D33" s="533">
        <v>1</v>
      </c>
      <c r="E33" s="534" cm="1">
        <f t="array" ref="E33">IF(Currency="VND",SUMPRODUCT('W3'!$K$18:$AJ$1018*('W3'!$A$18:$A$1018='W5'!E$47)*('W3'!$K$14:$AJ$14='W5'!$B33)*('W3'!$D$18:$D$1018="LNST")),SUMPRODUCT('W3'!$K$18:$AJ$1018*('W3'!$A$18:$A$1018='W5'!E$47)*('W3'!$K$14:$AJ$14='W5'!$B33)*('W3'!$D$18:$D$1018="LNST"))*$AK$1/10^3)</f>
        <v>55360.052494787291</v>
      </c>
      <c r="F33" s="534">
        <f t="shared" si="2"/>
        <v>2129232.7882610499</v>
      </c>
      <c r="G33" s="535" cm="1">
        <f t="array" ref="G33">IF(Currency="VND",SUMPRODUCT('W3'!$K$18:$AJ$1018*('W3'!$A$18:$A$1018='W5'!G$47)*('W3'!$K$14:$AJ$14='W5'!$B33)*('W3'!$D$18:$D$1018="LNST")),SUMPRODUCT('W3'!$K$18:$AJ$1018*('W3'!$A$18:$A$1018='W5'!G$47)*('W3'!$K$14:$AJ$14='W5'!$B33)*('W3'!$D$18:$D$1018="LNST"))*$AK$1/10^3)</f>
        <v>52589.173657469408</v>
      </c>
      <c r="H33" s="536">
        <f t="shared" si="3"/>
        <v>2022660.525287285</v>
      </c>
      <c r="I33" s="535" cm="1">
        <f t="array" ref="I33">IF(Currency="VND",SUMPRODUCT('W3'!$K$18:$AJ$1018*('W3'!$A$18:$A$1018='W5'!I$47)*('W3'!$K$14:$AJ$14='W5'!$B33)*('W3'!$D$18:$D$1018="LNST")),SUMPRODUCT('W3'!$K$18:$AJ$1018*('W3'!$A$18:$A$1018='W5'!I$47)*('W3'!$K$14:$AJ$14='W5'!$B33)*('W3'!$D$18:$D$1018="LNST"))*$AK$1/10^3)</f>
        <v>44089.168028520937</v>
      </c>
      <c r="J33" s="536">
        <f t="shared" si="4"/>
        <v>1695737.2318661897</v>
      </c>
      <c r="K33" s="535" cm="1">
        <f t="array" ref="K33">IF(Currency="VND",SUMPRODUCT('W3'!$K$18:$AJ$1018*('W3'!$A$18:$A$1018='W5'!K$47)*('W3'!$K$14:$AJ$14='W5'!$B33)*('W3'!$D$18:$D$1018="LNST")),SUMPRODUCT('W3'!$K$18:$AJ$1018*('W3'!$A$18:$A$1018='W5'!K$47)*('W3'!$K$14:$AJ$14='W5'!$B33)*('W3'!$D$18:$D$1018="LNST"))*$AK$1/10^3)</f>
        <v>45642.176450275634</v>
      </c>
      <c r="L33" s="536">
        <f t="shared" si="5"/>
        <v>1755468.3250106014</v>
      </c>
      <c r="M33" s="535" cm="1">
        <f t="array" ref="M33">IF(Currency="VND",SUMPRODUCT('W3'!$K$18:$AJ$1018*('W3'!$A$18:$A$1018='W5'!M$47)*('W3'!$K$14:$AJ$14='W5'!$B33)*('W3'!$D$18:$D$1018="LNST")),SUMPRODUCT('W3'!$K$18:$AJ$1018*('W3'!$A$18:$A$1018='W5'!M$47)*('W3'!$K$14:$AJ$14='W5'!$B33)*('W3'!$D$18:$D$1018="LNST"))*$AK$1/10^3)</f>
        <v>33633.846350266693</v>
      </c>
      <c r="N33" s="536">
        <f t="shared" si="6"/>
        <v>1293609.4750102574</v>
      </c>
      <c r="O33" s="534" cm="1">
        <f t="array" ref="O33">IF(Currency="VND",SUMPRODUCT('W3'!$K$18:$AJ$1018*('W3'!$A$18:$A$1018='W5'!O$47)*('W3'!$K$14:$AJ$14='W5'!$B33)*('W3'!$D$18:$D$1018="LNST")),SUMPRODUCT('W3'!$K$18:$AJ$1018*('W3'!$A$18:$A$1018='W5'!O$47)*('W3'!$K$14:$AJ$14='W5'!$B33)*('W3'!$D$18:$D$1018="LNST"))*$AK$1/10^3)</f>
        <v>44159.008745450526</v>
      </c>
      <c r="P33" s="534">
        <f t="shared" si="7"/>
        <v>1698423.4132865588</v>
      </c>
    </row>
    <row r="34" spans="1:17" hidden="1" outlineLevel="1" x14ac:dyDescent="0.2">
      <c r="B34" s="531">
        <f t="shared" si="8"/>
        <v>16</v>
      </c>
      <c r="C34" s="532">
        <v>2041</v>
      </c>
      <c r="D34" s="533">
        <v>1</v>
      </c>
      <c r="E34" s="534" cm="1">
        <f t="array" ref="E34">IF(Currency="VND",SUMPRODUCT('W3'!$K$18:$AJ$1018*('W3'!$A$18:$A$1018='W5'!E$47)*('W3'!$K$14:$AJ$14='W5'!$B34)*('W3'!$D$18:$D$1018="LNST")),SUMPRODUCT('W3'!$K$18:$AJ$1018*('W3'!$A$18:$A$1018='W5'!E$47)*('W3'!$K$14:$AJ$14='W5'!$B34)*('W3'!$D$18:$D$1018="LNST"))*$AK$1/10^3)</f>
        <v>55192.623826109622</v>
      </c>
      <c r="F34" s="534">
        <f t="shared" si="2"/>
        <v>2122793.2240811391</v>
      </c>
      <c r="G34" s="535" cm="1">
        <f t="array" ref="G34">IF(Currency="VND",SUMPRODUCT('W3'!$K$18:$AJ$1018*('W3'!$A$18:$A$1018='W5'!G$47)*('W3'!$K$14:$AJ$14='W5'!$B34)*('W3'!$D$18:$D$1018="LNST")),SUMPRODUCT('W3'!$K$18:$AJ$1018*('W3'!$A$18:$A$1018='W5'!G$47)*('W3'!$K$14:$AJ$14='W5'!$B34)*('W3'!$D$18:$D$1018="LNST"))*$AK$1/10^3)</f>
        <v>52613.880517300175</v>
      </c>
      <c r="H34" s="536">
        <f t="shared" si="3"/>
        <v>2023610.7891269296</v>
      </c>
      <c r="I34" s="535" cm="1">
        <f t="array" ref="I34">IF(Currency="VND",SUMPRODUCT('W3'!$K$18:$AJ$1018*('W3'!$A$18:$A$1018='W5'!I$47)*('W3'!$K$14:$AJ$14='W5'!$B34)*('W3'!$D$18:$D$1018="LNST")),SUMPRODUCT('W3'!$K$18:$AJ$1018*('W3'!$A$18:$A$1018='W5'!I$47)*('W3'!$K$14:$AJ$14='W5'!$B34)*('W3'!$D$18:$D$1018="LNST"))*$AK$1/10^3)</f>
        <v>43943.874775772732</v>
      </c>
      <c r="J34" s="536">
        <f t="shared" si="4"/>
        <v>1690149.029837413</v>
      </c>
      <c r="K34" s="535" cm="1">
        <f t="array" ref="K34">IF(Currency="VND",SUMPRODUCT('W3'!$K$18:$AJ$1018*('W3'!$A$18:$A$1018='W5'!K$47)*('W3'!$K$14:$AJ$14='W5'!$B34)*('W3'!$D$18:$D$1018="LNST")),SUMPRODUCT('W3'!$K$18:$AJ$1018*('W3'!$A$18:$A$1018='W5'!K$47)*('W3'!$K$14:$AJ$14='W5'!$B34)*('W3'!$D$18:$D$1018="LNST"))*$AK$1/10^3)</f>
        <v>45635.256511127489</v>
      </c>
      <c r="L34" s="536">
        <f t="shared" si="5"/>
        <v>1755202.1735049034</v>
      </c>
      <c r="M34" s="535" cm="1">
        <f t="array" ref="M34">IF(Currency="VND",SUMPRODUCT('W3'!$K$18:$AJ$1018*('W3'!$A$18:$A$1018='W5'!M$47)*('W3'!$K$14:$AJ$14='W5'!$B34)*('W3'!$D$18:$D$1018="LNST")),SUMPRODUCT('W3'!$K$18:$AJ$1018*('W3'!$A$18:$A$1018='W5'!M$47)*('W3'!$K$14:$AJ$14='W5'!$B34)*('W3'!$D$18:$D$1018="LNST"))*$AK$1/10^3)</f>
        <v>33231.85855727028</v>
      </c>
      <c r="N34" s="536">
        <f t="shared" si="6"/>
        <v>1278148.4060488569</v>
      </c>
      <c r="O34" s="534" cm="1">
        <f t="array" ref="O34">IF(Currency="VND",SUMPRODUCT('W3'!$K$18:$AJ$1018*('W3'!$A$18:$A$1018='W5'!O$47)*('W3'!$K$14:$AJ$14='W5'!$B34)*('W3'!$D$18:$D$1018="LNST")),SUMPRODUCT('W3'!$K$18:$AJ$1018*('W3'!$A$18:$A$1018='W5'!O$47)*('W3'!$K$14:$AJ$14='W5'!$B34)*('W3'!$D$18:$D$1018="LNST"))*$AK$1/10^3)</f>
        <v>43582.785591706313</v>
      </c>
      <c r="P34" s="534">
        <f t="shared" si="7"/>
        <v>1676260.9842963966</v>
      </c>
    </row>
    <row r="35" spans="1:17" hidden="1" outlineLevel="1" x14ac:dyDescent="0.2">
      <c r="B35" s="531">
        <f t="shared" si="8"/>
        <v>17</v>
      </c>
      <c r="C35" s="532">
        <v>2042</v>
      </c>
      <c r="D35" s="533">
        <v>1</v>
      </c>
      <c r="E35" s="534" cm="1">
        <f t="array" ref="E35">IF(Currency="VND",SUMPRODUCT('W3'!$K$18:$AJ$1018*('W3'!$A$18:$A$1018='W5'!E$47)*('W3'!$K$14:$AJ$14='W5'!$B35)*('W3'!$D$18:$D$1018="LNST")),SUMPRODUCT('W3'!$K$18:$AJ$1018*('W3'!$A$18:$A$1018='W5'!E$47)*('W3'!$K$14:$AJ$14='W5'!$B35)*('W3'!$D$18:$D$1018="LNST"))*$AK$1/10^3)</f>
        <v>54948.639722961889</v>
      </c>
      <c r="F35" s="534">
        <f t="shared" si="2"/>
        <v>2113409.2201139191</v>
      </c>
      <c r="G35" s="535" cm="1">
        <f t="array" ref="G35">IF(Currency="VND",SUMPRODUCT('W3'!$K$18:$AJ$1018*('W3'!$A$18:$A$1018='W5'!G$47)*('W3'!$K$14:$AJ$14='W5'!$B35)*('W3'!$D$18:$D$1018="LNST")),SUMPRODUCT('W3'!$K$18:$AJ$1018*('W3'!$A$18:$A$1018='W5'!G$47)*('W3'!$K$14:$AJ$14='W5'!$B35)*('W3'!$D$18:$D$1018="LNST"))*$AK$1/10^3)</f>
        <v>52570.443000557367</v>
      </c>
      <c r="H35" s="536">
        <f t="shared" si="3"/>
        <v>2021940.1154060527</v>
      </c>
      <c r="I35" s="535" cm="1">
        <f t="array" ref="I35">IF(Currency="VND",SUMPRODUCT('W3'!$K$18:$AJ$1018*('W3'!$A$18:$A$1018='W5'!I$47)*('W3'!$K$14:$AJ$14='W5'!$B35)*('W3'!$D$18:$D$1018="LNST")),SUMPRODUCT('W3'!$K$18:$AJ$1018*('W3'!$A$18:$A$1018='W5'!I$47)*('W3'!$K$14:$AJ$14='W5'!$B35)*('W3'!$D$18:$D$1018="LNST"))*$AK$1/10^3)</f>
        <v>43727.037144199247</v>
      </c>
      <c r="J35" s="536">
        <f t="shared" si="4"/>
        <v>1681809.1209307401</v>
      </c>
      <c r="K35" s="535" cm="1">
        <f t="array" ref="K35">IF(Currency="VND",SUMPRODUCT('W3'!$K$18:$AJ$1018*('W3'!$A$18:$A$1018='W5'!K$47)*('W3'!$K$14:$AJ$14='W5'!$B35)*('W3'!$D$18:$D$1018="LNST")),SUMPRODUCT('W3'!$K$18:$AJ$1018*('W3'!$A$18:$A$1018='W5'!K$47)*('W3'!$K$14:$AJ$14='W5'!$B35)*('W3'!$D$18:$D$1018="LNST"))*$AK$1/10^3)</f>
        <v>45563.016748576338</v>
      </c>
      <c r="L35" s="536">
        <f t="shared" si="5"/>
        <v>1752423.7210990898</v>
      </c>
      <c r="M35" s="535" cm="1">
        <f t="array" ref="M35">IF(Currency="VND",SUMPRODUCT('W3'!$K$18:$AJ$1018*('W3'!$A$18:$A$1018='W5'!M$47)*('W3'!$K$14:$AJ$14='W5'!$B35)*('W3'!$D$18:$D$1018="LNST")),SUMPRODUCT('W3'!$K$18:$AJ$1018*('W3'!$A$18:$A$1018='W5'!M$47)*('W3'!$K$14:$AJ$14='W5'!$B35)*('W3'!$D$18:$D$1018="LNST"))*$AK$1/10^3)</f>
        <v>32751.354517892749</v>
      </c>
      <c r="N35" s="536">
        <f t="shared" si="6"/>
        <v>1259667.4814574134</v>
      </c>
      <c r="O35" s="534" cm="1">
        <f t="array" ref="O35">IF(Currency="VND",SUMPRODUCT('W3'!$K$18:$AJ$1018*('W3'!$A$18:$A$1018='W5'!O$47)*('W3'!$K$14:$AJ$14='W5'!$B35)*('W3'!$D$18:$D$1018="LNST")),SUMPRODUCT('W3'!$K$18:$AJ$1018*('W3'!$A$18:$A$1018='W5'!O$47)*('W3'!$K$14:$AJ$14='W5'!$B35)*('W3'!$D$18:$D$1018="LNST"))*$AK$1/10^3)</f>
        <v>42914.10736272121</v>
      </c>
      <c r="P35" s="534">
        <f t="shared" si="7"/>
        <v>1650542.5908738927</v>
      </c>
    </row>
    <row r="36" spans="1:17" hidden="1" outlineLevel="1" x14ac:dyDescent="0.2">
      <c r="B36" s="531">
        <f t="shared" si="8"/>
        <v>18</v>
      </c>
      <c r="C36" s="532">
        <v>2043</v>
      </c>
      <c r="D36" s="533">
        <v>1</v>
      </c>
      <c r="E36" s="534" cm="1">
        <f t="array" ref="E36">IF(Currency="VND",SUMPRODUCT('W3'!$K$18:$AJ$1018*('W3'!$A$18:$A$1018='W5'!E$47)*('W3'!$K$14:$AJ$14='W5'!$B36)*('W3'!$D$18:$D$1018="LNST")),SUMPRODUCT('W3'!$K$18:$AJ$1018*('W3'!$A$18:$A$1018='W5'!E$47)*('W3'!$K$14:$AJ$14='W5'!$B36)*('W3'!$D$18:$D$1018="LNST"))*$AK$1/10^3)</f>
        <v>54623.230553388181</v>
      </c>
      <c r="F36" s="534">
        <f t="shared" si="2"/>
        <v>2100893.4828226226</v>
      </c>
      <c r="G36" s="535" cm="1">
        <f t="array" ref="G36">IF(Currency="VND",SUMPRODUCT('W3'!$K$18:$AJ$1018*('W3'!$A$18:$A$1018='W5'!G$47)*('W3'!$K$14:$AJ$14='W5'!$B36)*('W3'!$D$18:$D$1018="LNST")),SUMPRODUCT('W3'!$K$18:$AJ$1018*('W3'!$A$18:$A$1018='W5'!G$47)*('W3'!$K$14:$AJ$14='W5'!$B36)*('W3'!$D$18:$D$1018="LNST"))*$AK$1/10^3)</f>
        <v>52455.083300245882</v>
      </c>
      <c r="H36" s="536">
        <f t="shared" si="3"/>
        <v>2017503.2038556107</v>
      </c>
      <c r="I36" s="535" cm="1">
        <f t="array" ref="I36">IF(Currency="VND",SUMPRODUCT('W3'!$K$18:$AJ$1018*('W3'!$A$18:$A$1018='W5'!I$47)*('W3'!$K$14:$AJ$14='W5'!$B36)*('W3'!$D$18:$D$1018="LNST")),SUMPRODUCT('W3'!$K$18:$AJ$1018*('W3'!$A$18:$A$1018='W5'!I$47)*('W3'!$K$14:$AJ$14='W5'!$B36)*('W3'!$D$18:$D$1018="LNST"))*$AK$1/10^3)</f>
        <v>43434.809326760704</v>
      </c>
      <c r="J36" s="536">
        <f t="shared" si="4"/>
        <v>1670569.5894907964</v>
      </c>
      <c r="K36" s="535" cm="1">
        <f t="array" ref="K36">IF(Currency="VND",SUMPRODUCT('W3'!$K$18:$AJ$1018*('W3'!$A$18:$A$1018='W5'!K$47)*('W3'!$K$14:$AJ$14='W5'!$B36)*('W3'!$D$18:$D$1018="LNST")),SUMPRODUCT('W3'!$K$18:$AJ$1018*('W3'!$A$18:$A$1018='W5'!K$47)*('W3'!$K$14:$AJ$14='W5'!$B36)*('W3'!$D$18:$D$1018="LNST"))*$AK$1/10^3)</f>
        <v>45421.374023440992</v>
      </c>
      <c r="L36" s="536">
        <f t="shared" si="5"/>
        <v>1746975.9239784996</v>
      </c>
      <c r="M36" s="535" cm="1">
        <f t="array" ref="M36">IF(Currency="VND",SUMPRODUCT('W3'!$K$18:$AJ$1018*('W3'!$A$18:$A$1018='W5'!M$47)*('W3'!$K$14:$AJ$14='W5'!$B36)*('W3'!$D$18:$D$1018="LNST")),SUMPRODUCT('W3'!$K$18:$AJ$1018*('W3'!$A$18:$A$1018='W5'!M$47)*('W3'!$K$14:$AJ$14='W5'!$B36)*('W3'!$D$18:$D$1018="LNST"))*$AK$1/10^3)</f>
        <v>32188.212295084821</v>
      </c>
      <c r="N36" s="536">
        <f t="shared" si="6"/>
        <v>1238008.1651955701</v>
      </c>
      <c r="O36" s="534" cm="1">
        <f t="array" ref="O36">IF(Currency="VND",SUMPRODUCT('W3'!$K$18:$AJ$1018*('W3'!$A$18:$A$1018='W5'!O$47)*('W3'!$K$14:$AJ$14='W5'!$B36)*('W3'!$D$18:$D$1018="LNST")),SUMPRODUCT('W3'!$K$18:$AJ$1018*('W3'!$A$18:$A$1018='W5'!O$47)*('W3'!$K$14:$AJ$14='W5'!$B36)*('W3'!$D$18:$D$1018="LNST"))*$AK$1/10^3)</f>
        <v>42147.737015137078</v>
      </c>
      <c r="P36" s="534">
        <f t="shared" si="7"/>
        <v>1621066.8082745031</v>
      </c>
    </row>
    <row r="37" spans="1:17" hidden="1" outlineLevel="1" x14ac:dyDescent="0.2">
      <c r="B37" s="531">
        <f t="shared" si="8"/>
        <v>19</v>
      </c>
      <c r="C37" s="532">
        <v>2044</v>
      </c>
      <c r="D37" s="533">
        <v>1</v>
      </c>
      <c r="E37" s="534" cm="1">
        <f t="array" ref="E37">IF(Currency="VND",SUMPRODUCT('W3'!$K$18:$AJ$1018*('W3'!$A$18:$A$1018='W5'!E$47)*('W3'!$K$14:$AJ$14='W5'!$B37)*('W3'!$D$18:$D$1018="LNST")),SUMPRODUCT('W3'!$K$18:$AJ$1018*('W3'!$A$18:$A$1018='W5'!E$47)*('W3'!$K$14:$AJ$14='W5'!$B37)*('W3'!$D$18:$D$1018="LNST"))*$AK$1/10^3)</f>
        <v>54211.284894015873</v>
      </c>
      <c r="F37" s="534">
        <f t="shared" si="2"/>
        <v>2085049.4190006105</v>
      </c>
      <c r="G37" s="535" cm="1">
        <f t="array" ref="G37">IF(Currency="VND",SUMPRODUCT('W3'!$K$18:$AJ$1018*('W3'!$A$18:$A$1018='W5'!G$47)*('W3'!$K$14:$AJ$14='W5'!$B37)*('W3'!$D$18:$D$1018="LNST")),SUMPRODUCT('W3'!$K$18:$AJ$1018*('W3'!$A$18:$A$1018='W5'!G$47)*('W3'!$K$14:$AJ$14='W5'!$B37)*('W3'!$D$18:$D$1018="LNST"))*$AK$1/10^3)</f>
        <v>52263.908667755873</v>
      </c>
      <c r="H37" s="536">
        <f t="shared" si="3"/>
        <v>2010150.333375226</v>
      </c>
      <c r="I37" s="535" cm="1">
        <f t="array" ref="I37">IF(Currency="VND",SUMPRODUCT('W3'!$K$18:$AJ$1018*('W3'!$A$18:$A$1018='W5'!I$47)*('W3'!$K$14:$AJ$14='W5'!$B37)*('W3'!$D$18:$D$1018="LNST")),SUMPRODUCT('W3'!$K$18:$AJ$1018*('W3'!$A$18:$A$1018='W5'!I$47)*('W3'!$K$14:$AJ$14='W5'!$B37)*('W3'!$D$18:$D$1018="LNST"))*$AK$1/10^3)</f>
        <v>43063.2292148009</v>
      </c>
      <c r="J37" s="536">
        <f t="shared" si="4"/>
        <v>1656278.0467231115</v>
      </c>
      <c r="K37" s="535" cm="1">
        <f t="array" ref="K37">IF(Currency="VND",SUMPRODUCT('W3'!$K$18:$AJ$1018*('W3'!$A$18:$A$1018='W5'!K$47)*('W3'!$K$14:$AJ$14='W5'!$B37)*('W3'!$D$18:$D$1018="LNST")),SUMPRODUCT('W3'!$K$18:$AJ$1018*('W3'!$A$18:$A$1018='W5'!K$47)*('W3'!$K$14:$AJ$14='W5'!$B37)*('W3'!$D$18:$D$1018="LNST"))*$AK$1/10^3)</f>
        <v>45206.058459617663</v>
      </c>
      <c r="L37" s="536">
        <f t="shared" si="5"/>
        <v>1738694.5561391409</v>
      </c>
      <c r="M37" s="535" cm="1">
        <f t="array" ref="M37">IF(Currency="VND",SUMPRODUCT('W3'!$K$18:$AJ$1018*('W3'!$A$18:$A$1018='W5'!M$47)*('W3'!$K$14:$AJ$14='W5'!$B37)*('W3'!$D$18:$D$1018="LNST")),SUMPRODUCT('W3'!$K$18:$AJ$1018*('W3'!$A$18:$A$1018='W5'!M$47)*('W3'!$K$14:$AJ$14='W5'!$B37)*('W3'!$D$18:$D$1018="LNST"))*$AK$1/10^3)</f>
        <v>31538.177709442891</v>
      </c>
      <c r="N37" s="536">
        <f t="shared" si="6"/>
        <v>1213006.8349785728</v>
      </c>
      <c r="O37" s="534" cm="1">
        <f t="array" ref="O37">IF(Currency="VND",SUMPRODUCT('W3'!$K$18:$AJ$1018*('W3'!$A$18:$A$1018='W5'!O$47)*('W3'!$K$14:$AJ$14='W5'!$B37)*('W3'!$D$18:$D$1018="LNST")),SUMPRODUCT('W3'!$K$18:$AJ$1018*('W3'!$A$18:$A$1018='W5'!O$47)*('W3'!$K$14:$AJ$14='W5'!$B37)*('W3'!$D$18:$D$1018="LNST"))*$AK$1/10^3)</f>
        <v>41278.216054736869</v>
      </c>
      <c r="P37" s="534">
        <f t="shared" si="7"/>
        <v>1587623.6944129565</v>
      </c>
    </row>
    <row r="38" spans="1:17" hidden="1" outlineLevel="1" x14ac:dyDescent="0.2">
      <c r="B38" s="531">
        <f t="shared" si="8"/>
        <v>20</v>
      </c>
      <c r="C38" s="532">
        <v>2045</v>
      </c>
      <c r="D38" s="533">
        <v>1</v>
      </c>
      <c r="E38" s="534" cm="1">
        <f t="array" ref="E38">IF(Currency="VND",SUMPRODUCT('W3'!$K$18:$AJ$1018*('W3'!$A$18:$A$1018='W5'!E$47)*('W3'!$K$14:$AJ$14='W5'!$B38)*('W3'!$D$18:$D$1018="LNST")),SUMPRODUCT('W3'!$K$18:$AJ$1018*('W3'!$A$18:$A$1018='W5'!E$47)*('W3'!$K$14:$AJ$14='W5'!$B38)*('W3'!$D$18:$D$1018="LNST"))*$AK$1/10^3)</f>
        <v>53707.439051204783</v>
      </c>
      <c r="F38" s="534">
        <f t="shared" si="2"/>
        <v>2065670.7327386457</v>
      </c>
      <c r="G38" s="535" cm="1">
        <f t="array" ref="G38">IF(Currency="VND",SUMPRODUCT('W3'!$K$18:$AJ$1018*('W3'!$A$18:$A$1018='W5'!G$47)*('W3'!$K$14:$AJ$14='W5'!$B38)*('W3'!$D$18:$D$1018="LNST")),SUMPRODUCT('W3'!$K$18:$AJ$1018*('W3'!$A$18:$A$1018='W5'!G$47)*('W3'!$K$14:$AJ$14='W5'!$B38)*('W3'!$D$18:$D$1018="LNST"))*$AK$1/10^3)</f>
        <v>51992.91365359645</v>
      </c>
      <c r="H38" s="536">
        <f t="shared" si="3"/>
        <v>1999727.4482152481</v>
      </c>
      <c r="I38" s="535" cm="1">
        <f t="array" ref="I38">IF(Currency="VND",SUMPRODUCT('W3'!$K$18:$AJ$1018*('W3'!$A$18:$A$1018='W5'!I$47)*('W3'!$K$14:$AJ$14='W5'!$B38)*('W3'!$D$18:$D$1018="LNST")),SUMPRODUCT('W3'!$K$18:$AJ$1018*('W3'!$A$18:$A$1018='W5'!I$47)*('W3'!$K$14:$AJ$14='W5'!$B38)*('W3'!$D$18:$D$1018="LNST"))*$AK$1/10^3)</f>
        <v>42608.220611582372</v>
      </c>
      <c r="J38" s="536">
        <f t="shared" si="4"/>
        <v>1638777.7158300912</v>
      </c>
      <c r="K38" s="535" cm="1">
        <f t="array" ref="K38">IF(Currency="VND",SUMPRODUCT('W3'!$K$18:$AJ$1018*('W3'!$A$18:$A$1018='W5'!K$47)*('W3'!$K$14:$AJ$14='W5'!$B38)*('W3'!$D$18:$D$1018="LNST")),SUMPRODUCT('W3'!$K$18:$AJ$1018*('W3'!$A$18:$A$1018='W5'!K$47)*('W3'!$K$14:$AJ$14='W5'!$B38)*('W3'!$D$18:$D$1018="LNST"))*$AK$1/10^3)</f>
        <v>44912.606819044056</v>
      </c>
      <c r="L38" s="536">
        <f t="shared" si="5"/>
        <v>1727407.9545786176</v>
      </c>
      <c r="M38" s="535" cm="1">
        <f t="array" ref="M38">IF(Currency="VND",SUMPRODUCT('W3'!$K$18:$AJ$1018*('W3'!$A$18:$A$1018='W5'!M$47)*('W3'!$K$14:$AJ$14='W5'!$B38)*('W3'!$D$18:$D$1018="LNST")),SUMPRODUCT('W3'!$K$18:$AJ$1018*('W3'!$A$18:$A$1018='W5'!M$47)*('W3'!$K$14:$AJ$14='W5'!$B38)*('W3'!$D$18:$D$1018="LNST"))*$AK$1/10^3)</f>
        <v>30796.865426340515</v>
      </c>
      <c r="N38" s="536">
        <f t="shared" si="6"/>
        <v>1184494.8240900198</v>
      </c>
      <c r="O38" s="534" cm="1">
        <f t="array" ref="O38">IF(Currency="VND",SUMPRODUCT('W3'!$K$18:$AJ$1018*('W3'!$A$18:$A$1018='W5'!O$47)*('W3'!$K$14:$AJ$14='W5'!$B38)*('W3'!$D$18:$D$1018="LNST")),SUMPRODUCT('W3'!$K$18:$AJ$1018*('W3'!$A$18:$A$1018='W5'!O$47)*('W3'!$K$14:$AJ$14='W5'!$B38)*('W3'!$D$18:$D$1018="LNST"))*$AK$1/10^3)</f>
        <v>40299.858486895595</v>
      </c>
      <c r="P38" s="534">
        <f t="shared" si="7"/>
        <v>1549994.557188292</v>
      </c>
    </row>
    <row r="39" spans="1:17" hidden="1" outlineLevel="1" x14ac:dyDescent="0.2">
      <c r="B39" s="531">
        <f t="shared" si="8"/>
        <v>21</v>
      </c>
      <c r="C39" s="532">
        <v>2046</v>
      </c>
      <c r="D39" s="533">
        <v>1</v>
      </c>
      <c r="E39" s="534" cm="1">
        <f t="array" ref="E39">IF(Currency="VND",SUMPRODUCT('W3'!$K$18:$AJ$1018*('W3'!$A$18:$A$1018='W5'!E$47)*('W3'!$K$14:$AJ$14='W5'!$B39)*('W3'!$D$18:$D$1018="LNST")),SUMPRODUCT('W3'!$K$18:$AJ$1018*('W3'!$A$18:$A$1018='W5'!E$47)*('W3'!$K$14:$AJ$14='W5'!$B39)*('W3'!$D$18:$D$1018="LNST"))*$AK$1/10^3)</f>
        <v>53106.066200852816</v>
      </c>
      <c r="F39" s="534">
        <f t="shared" si="2"/>
        <v>2042541.0077251084</v>
      </c>
      <c r="G39" s="535" cm="1">
        <f t="array" ref="G39">IF(Currency="VND",SUMPRODUCT('W3'!$K$18:$AJ$1018*('W3'!$A$18:$A$1018='W5'!G$47)*('W3'!$K$14:$AJ$14='W5'!$B39)*('W3'!$D$18:$D$1018="LNST")),SUMPRODUCT('W3'!$K$18:$AJ$1018*('W3'!$A$18:$A$1018='W5'!G$47)*('W3'!$K$14:$AJ$14='W5'!$B39)*('W3'!$D$18:$D$1018="LNST"))*$AK$1/10^3)</f>
        <v>51637.983140628698</v>
      </c>
      <c r="H39" s="536">
        <f t="shared" si="3"/>
        <v>1986076.2746395653</v>
      </c>
      <c r="I39" s="535" cm="1">
        <f t="array" ref="I39">IF(Currency="VND",SUMPRODUCT('W3'!$K$18:$AJ$1018*('W3'!$A$18:$A$1018='W5'!I$47)*('W3'!$K$14:$AJ$14='W5'!$B39)*('W3'!$D$18:$D$1018="LNST")),SUMPRODUCT('W3'!$K$18:$AJ$1018*('W3'!$A$18:$A$1018='W5'!I$47)*('W3'!$K$14:$AJ$14='W5'!$B39)*('W3'!$D$18:$D$1018="LNST"))*$AK$1/10^3)</f>
        <v>42065.596237774429</v>
      </c>
      <c r="J39" s="536">
        <f t="shared" si="4"/>
        <v>1617907.5476067089</v>
      </c>
      <c r="K39" s="535" cm="1">
        <f t="array" ref="K39">IF(Currency="VND",SUMPRODUCT('W3'!$K$18:$AJ$1018*('W3'!$A$18:$A$1018='W5'!K$47)*('W3'!$K$14:$AJ$14='W5'!$B39)*('W3'!$D$18:$D$1018="LNST")),SUMPRODUCT('W3'!$K$18:$AJ$1018*('W3'!$A$18:$A$1018='W5'!K$47)*('W3'!$K$14:$AJ$14='W5'!$B39)*('W3'!$D$18:$D$1018="LNST"))*$AK$1/10^3)</f>
        <v>44536.355765086184</v>
      </c>
      <c r="L39" s="536">
        <f t="shared" si="5"/>
        <v>1712936.7601956225</v>
      </c>
      <c r="M39" s="535" cm="1">
        <f t="array" ref="M39">IF(Currency="VND",SUMPRODUCT('W3'!$K$18:$AJ$1018*('W3'!$A$18:$A$1018='W5'!M$47)*('W3'!$K$14:$AJ$14='W5'!$B39)*('W3'!$D$18:$D$1018="LNST")),SUMPRODUCT('W3'!$K$18:$AJ$1018*('W3'!$A$18:$A$1018='W5'!M$47)*('W3'!$K$14:$AJ$14='W5'!$B39)*('W3'!$D$18:$D$1018="LNST"))*$AK$1/10^3)</f>
        <v>29959.760749173678</v>
      </c>
      <c r="N39" s="536">
        <f t="shared" si="6"/>
        <v>1152298.4903528336</v>
      </c>
      <c r="O39" s="534" cm="1">
        <f t="array" ref="O39">IF(Currency="VND",SUMPRODUCT('W3'!$K$18:$AJ$1018*('W3'!$A$18:$A$1018='W5'!O$47)*('W3'!$K$14:$AJ$14='W5'!$B39)*('W3'!$D$18:$D$1018="LNST")),SUMPRODUCT('W3'!$K$18:$AJ$1018*('W3'!$A$18:$A$1018='W5'!O$47)*('W3'!$K$14:$AJ$14='W5'!$B39)*('W3'!$D$18:$D$1018="LNST"))*$AK$1/10^3)</f>
        <v>39206.744902210638</v>
      </c>
      <c r="P39" s="534">
        <f t="shared" si="7"/>
        <v>1507951.7270081015</v>
      </c>
    </row>
    <row r="40" spans="1:17" hidden="1" outlineLevel="1" x14ac:dyDescent="0.2">
      <c r="B40" s="531">
        <f t="shared" si="8"/>
        <v>22</v>
      </c>
      <c r="C40" s="532">
        <v>2047</v>
      </c>
      <c r="D40" s="533">
        <v>1</v>
      </c>
      <c r="E40" s="534" cm="1">
        <f t="array" ref="E40">IF(Currency="VND",SUMPRODUCT('W3'!$K$18:$AJ$1018*('W3'!$A$18:$A$1018='W5'!E$47)*('W3'!$K$14:$AJ$14='W5'!$B40)*('W3'!$D$18:$D$1018="LNST")),SUMPRODUCT('W3'!$K$18:$AJ$1018*('W3'!$A$18:$A$1018='W5'!E$47)*('W3'!$K$14:$AJ$14='W5'!$B40)*('W3'!$D$18:$D$1018="LNST"))*$AK$1/10^3)</f>
        <v>52401.265138369941</v>
      </c>
      <c r="F40" s="534">
        <f t="shared" si="2"/>
        <v>2015433.2745526901</v>
      </c>
      <c r="G40" s="535" cm="1">
        <f t="array" ref="G40">IF(Currency="VND",SUMPRODUCT('W3'!$K$18:$AJ$1018*('W3'!$A$18:$A$1018='W5'!G$47)*('W3'!$K$14:$AJ$14='W5'!$B40)*('W3'!$D$18:$D$1018="LNST")),SUMPRODUCT('W3'!$K$18:$AJ$1018*('W3'!$A$18:$A$1018='W5'!G$47)*('W3'!$K$14:$AJ$14='W5'!$B40)*('W3'!$D$18:$D$1018="LNST"))*$AK$1/10^3)</f>
        <v>51194.896264692165</v>
      </c>
      <c r="H40" s="536">
        <f t="shared" si="3"/>
        <v>1969034.4717189295</v>
      </c>
      <c r="I40" s="535" cm="1">
        <f t="array" ref="I40">IF(Currency="VND",SUMPRODUCT('W3'!$K$18:$AJ$1018*('W3'!$A$18:$A$1018='W5'!I$47)*('W3'!$K$14:$AJ$14='W5'!$B40)*('W3'!$D$18:$D$1018="LNST")),SUMPRODUCT('W3'!$K$18:$AJ$1018*('W3'!$A$18:$A$1018='W5'!I$47)*('W3'!$K$14:$AJ$14='W5'!$B40)*('W3'!$D$18:$D$1018="LNST"))*$AK$1/10^3)</f>
        <v>41431.061623780755</v>
      </c>
      <c r="J40" s="536">
        <f t="shared" si="4"/>
        <v>1593502.3701454136</v>
      </c>
      <c r="K40" s="535" cm="1">
        <f t="array" ref="K40">IF(Currency="VND",SUMPRODUCT('W3'!$K$18:$AJ$1018*('W3'!$A$18:$A$1018='W5'!K$47)*('W3'!$K$14:$AJ$14='W5'!$B40)*('W3'!$D$18:$D$1018="LNST")),SUMPRODUCT('W3'!$K$18:$AJ$1018*('W3'!$A$18:$A$1018='W5'!K$47)*('W3'!$K$14:$AJ$14='W5'!$B40)*('W3'!$D$18:$D$1018="LNST"))*$AK$1/10^3)</f>
        <v>44072.435024744977</v>
      </c>
      <c r="L40" s="536">
        <f t="shared" si="5"/>
        <v>1695093.6547978837</v>
      </c>
      <c r="M40" s="535" cm="1">
        <f t="array" ref="M40">IF(Currency="VND",SUMPRODUCT('W3'!$K$18:$AJ$1018*('W3'!$A$18:$A$1018='W5'!M$47)*('W3'!$K$14:$AJ$14='W5'!$B40)*('W3'!$D$18:$D$1018="LNST")),SUMPRODUCT('W3'!$K$18:$AJ$1018*('W3'!$A$18:$A$1018='W5'!M$47)*('W3'!$K$14:$AJ$14='W5'!$B40)*('W3'!$D$18:$D$1018="LNST"))*$AK$1/10^3)</f>
        <v>29022.222206884344</v>
      </c>
      <c r="N40" s="536">
        <f t="shared" si="6"/>
        <v>1116239.3156493979</v>
      </c>
      <c r="O40" s="534" cm="1">
        <f t="array" ref="O40">IF(Currency="VND",SUMPRODUCT('W3'!$K$18:$AJ$1018*('W3'!$A$18:$A$1018='W5'!O$47)*('W3'!$K$14:$AJ$14='W5'!$B40)*('W3'!$D$18:$D$1018="LNST")),SUMPRODUCT('W3'!$K$18:$AJ$1018*('W3'!$A$18:$A$1018='W5'!O$47)*('W3'!$K$14:$AJ$14='W5'!$B40)*('W3'!$D$18:$D$1018="LNST"))*$AK$1/10^3)</f>
        <v>37992.716739801785</v>
      </c>
      <c r="P40" s="534">
        <f t="shared" si="7"/>
        <v>1461258.3361462227</v>
      </c>
    </row>
    <row r="41" spans="1:17" hidden="1" outlineLevel="1" x14ac:dyDescent="0.2">
      <c r="B41" s="531">
        <f t="shared" si="8"/>
        <v>23</v>
      </c>
      <c r="C41" s="532">
        <v>2048</v>
      </c>
      <c r="D41" s="533">
        <v>1</v>
      </c>
      <c r="E41" s="534" cm="1">
        <f t="array" ref="E41">IF(Currency="VND",SUMPRODUCT('W3'!$K$18:$AJ$1018*('W3'!$A$18:$A$1018='W5'!E$47)*('W3'!$K$14:$AJ$14='W5'!$B41)*('W3'!$D$18:$D$1018="LNST")),SUMPRODUCT('W3'!$K$18:$AJ$1018*('W3'!$A$18:$A$1018='W5'!E$47)*('W3'!$K$14:$AJ$14='W5'!$B41)*('W3'!$D$18:$D$1018="LNST"))*$AK$1/10^3)</f>
        <v>51586.8486306591</v>
      </c>
      <c r="F41" s="534">
        <f t="shared" si="2"/>
        <v>1984109.5627176578</v>
      </c>
      <c r="G41" s="535" cm="1">
        <f t="array" ref="G41">IF(Currency="VND",SUMPRODUCT('W3'!$K$18:$AJ$1018*('W3'!$A$18:$A$1018='W5'!G$47)*('W3'!$K$14:$AJ$14='W5'!$B41)*('W3'!$D$18:$D$1018="LNST")),SUMPRODUCT('W3'!$K$18:$AJ$1018*('W3'!$A$18:$A$1018='W5'!G$47)*('W3'!$K$14:$AJ$14='W5'!$B41)*('W3'!$D$18:$D$1018="LNST"))*$AK$1/10^3)</f>
        <v>50659.331326692693</v>
      </c>
      <c r="H41" s="536">
        <f t="shared" si="3"/>
        <v>1948435.8202574113</v>
      </c>
      <c r="I41" s="535" cm="1">
        <f t="array" ref="I41">IF(Currency="VND",SUMPRODUCT('W3'!$K$18:$AJ$1018*('W3'!$A$18:$A$1018='W5'!I$47)*('W3'!$K$14:$AJ$14='W5'!$B41)*('W3'!$D$18:$D$1018="LNST")),SUMPRODUCT('W3'!$K$18:$AJ$1018*('W3'!$A$18:$A$1018='W5'!I$47)*('W3'!$K$14:$AJ$14='W5'!$B41)*('W3'!$D$18:$D$1018="LNST"))*$AK$1/10^3)</f>
        <v>40700.219992963044</v>
      </c>
      <c r="J41" s="536">
        <f t="shared" si="4"/>
        <v>1565393.0766524249</v>
      </c>
      <c r="K41" s="535" cm="1">
        <f t="array" ref="K41">IF(Currency="VND",SUMPRODUCT('W3'!$K$18:$AJ$1018*('W3'!$A$18:$A$1018='W5'!K$47)*('W3'!$K$14:$AJ$14='W5'!$B41)*('W3'!$D$18:$D$1018="LNST")),SUMPRODUCT('W3'!$K$18:$AJ$1018*('W3'!$A$18:$A$1018='W5'!K$47)*('W3'!$K$14:$AJ$14='W5'!$B41)*('W3'!$D$18:$D$1018="LNST"))*$AK$1/10^3)</f>
        <v>43515.760461725717</v>
      </c>
      <c r="L41" s="536">
        <f t="shared" si="5"/>
        <v>1673683.0946817582</v>
      </c>
      <c r="M41" s="535" cm="1">
        <f t="array" ref="M41">IF(Currency="VND",SUMPRODUCT('W3'!$K$18:$AJ$1018*('W3'!$A$18:$A$1018='W5'!M$47)*('W3'!$K$14:$AJ$14='W5'!$B41)*('W3'!$D$18:$D$1018="LNST")),SUMPRODUCT('W3'!$K$18:$AJ$1018*('W3'!$A$18:$A$1018='W5'!M$47)*('W3'!$K$14:$AJ$14='W5'!$B41)*('W3'!$D$18:$D$1018="LNST"))*$AK$1/10^3)</f>
        <v>27979.485032574183</v>
      </c>
      <c r="N41" s="536">
        <f t="shared" si="6"/>
        <v>1076134.0397143918</v>
      </c>
      <c r="O41" s="534" cm="1">
        <f t="array" ref="O41">IF(Currency="VND",SUMPRODUCT('W3'!$K$18:$AJ$1018*('W3'!$A$18:$A$1018='W5'!O$47)*('W3'!$K$14:$AJ$14='W5'!$B41)*('W3'!$D$18:$D$1018="LNST")),SUMPRODUCT('W3'!$K$18:$AJ$1018*('W3'!$A$18:$A$1018='W5'!O$47)*('W3'!$K$14:$AJ$14='W5'!$B41)*('W3'!$D$18:$D$1018="LNST"))*$AK$1/10^3)</f>
        <v>36651.370775762574</v>
      </c>
      <c r="P41" s="534">
        <f t="shared" si="7"/>
        <v>1409668.1067600988</v>
      </c>
    </row>
    <row r="42" spans="1:17" hidden="1" outlineLevel="1" x14ac:dyDescent="0.2">
      <c r="B42" s="531">
        <f t="shared" si="8"/>
        <v>24</v>
      </c>
      <c r="C42" s="532">
        <v>2049</v>
      </c>
      <c r="D42" s="533">
        <v>1</v>
      </c>
      <c r="E42" s="534" cm="1">
        <f t="array" ref="E42">IF(Currency="VND",SUMPRODUCT('W3'!$K$18:$AJ$1018*('W3'!$A$18:$A$1018='W5'!E$47)*('W3'!$K$14:$AJ$14='W5'!$B42)*('W3'!$D$18:$D$1018="LNST")),SUMPRODUCT('W3'!$K$18:$AJ$1018*('W3'!$A$18:$A$1018='W5'!E$47)*('W3'!$K$14:$AJ$14='W5'!$B42)*('W3'!$D$18:$D$1018="LNST"))*$AK$1/10^3)</f>
        <v>50656.33136234121</v>
      </c>
      <c r="F42" s="534">
        <f t="shared" si="2"/>
        <v>1948320.4370131234</v>
      </c>
      <c r="G42" s="535" cm="1">
        <f t="array" ref="G42">IF(Currency="VND",SUMPRODUCT('W3'!$K$18:$AJ$1018*('W3'!$A$18:$A$1018='W5'!G$47)*('W3'!$K$14:$AJ$14='W5'!$B42)*('W3'!$D$18:$D$1018="LNST")),SUMPRODUCT('W3'!$K$18:$AJ$1018*('W3'!$A$18:$A$1018='W5'!G$47)*('W3'!$K$14:$AJ$14='W5'!$B42)*('W3'!$D$18:$D$1018="LNST"))*$AK$1/10^3)</f>
        <v>50026.871810226563</v>
      </c>
      <c r="H42" s="536">
        <f t="shared" si="3"/>
        <v>1924110.4542394832</v>
      </c>
      <c r="I42" s="535" cm="1">
        <f t="array" ref="I42">IF(Currency="VND",SUMPRODUCT('W3'!$K$18:$AJ$1018*('W3'!$A$18:$A$1018='W5'!I$47)*('W3'!$K$14:$AJ$14='W5'!$B42)*('W3'!$D$18:$D$1018="LNST")),SUMPRODUCT('W3'!$K$18:$AJ$1018*('W3'!$A$18:$A$1018='W5'!I$47)*('W3'!$K$14:$AJ$14='W5'!$B42)*('W3'!$D$18:$D$1018="LNST"))*$AK$1/10^3)</f>
        <v>39868.578249822283</v>
      </c>
      <c r="J42" s="536">
        <f t="shared" si="4"/>
        <v>1533406.8557623955</v>
      </c>
      <c r="K42" s="535" cm="1">
        <f t="array" ref="K42">IF(Currency="VND",SUMPRODUCT('W3'!$K$18:$AJ$1018*('W3'!$A$18:$A$1018='W5'!K$47)*('W3'!$K$14:$AJ$14='W5'!$B42)*('W3'!$D$18:$D$1018="LNST")),SUMPRODUCT('W3'!$K$18:$AJ$1018*('W3'!$A$18:$A$1018='W5'!K$47)*('W3'!$K$14:$AJ$14='W5'!$B42)*('W3'!$D$18:$D$1018="LNST"))*$AK$1/10^3)</f>
        <v>42861.027074227808</v>
      </c>
      <c r="L42" s="536">
        <f t="shared" si="5"/>
        <v>1648501.0413164543</v>
      </c>
      <c r="M42" s="535" cm="1">
        <f t="array" ref="M42">IF(Currency="VND",SUMPRODUCT('W3'!$K$18:$AJ$1018*('W3'!$A$18:$A$1018='W5'!M$47)*('W3'!$K$14:$AJ$14='W5'!$B42)*('W3'!$D$18:$D$1018="LNST")),SUMPRODUCT('W3'!$K$18:$AJ$1018*('W3'!$A$18:$A$1018='W5'!M$47)*('W3'!$K$14:$AJ$14='W5'!$B42)*('W3'!$D$18:$D$1018="LNST"))*$AK$1/10^3)</f>
        <v>26826.665639445186</v>
      </c>
      <c r="N42" s="536">
        <f t="shared" si="6"/>
        <v>1031794.8322863532</v>
      </c>
      <c r="O42" s="534" cm="1">
        <f t="array" ref="O42">IF(Currency="VND",SUMPRODUCT('W3'!$K$18:$AJ$1018*('W3'!$A$18:$A$1018='W5'!O$47)*('W3'!$K$14:$AJ$14='W5'!$B42)*('W3'!$D$18:$D$1018="LNST")),SUMPRODUCT('W3'!$K$18:$AJ$1018*('W3'!$A$18:$A$1018='W5'!O$47)*('W3'!$K$14:$AJ$14='W5'!$B42)*('W3'!$D$18:$D$1018="LNST"))*$AK$1/10^3)</f>
        <v>35176.05388972615</v>
      </c>
      <c r="P42" s="534">
        <f t="shared" si="7"/>
        <v>1352925.1496048521</v>
      </c>
    </row>
    <row r="43" spans="1:17" hidden="1" outlineLevel="1" x14ac:dyDescent="0.2">
      <c r="B43" s="531">
        <f t="shared" si="8"/>
        <v>25</v>
      </c>
      <c r="C43" s="532">
        <v>2050</v>
      </c>
      <c r="D43" s="533">
        <v>1</v>
      </c>
      <c r="E43" s="534" cm="1">
        <f t="array" ref="E43">IF(Currency="VND",SUMPRODUCT('W3'!$K$18:$AJ$1018*('W3'!$A$18:$A$1018='W5'!E$47)*('W3'!$K$14:$AJ$14='W5'!$B43)*('W3'!$D$18:$D$1018="LNST")),SUMPRODUCT('W3'!$K$18:$AJ$1018*('W3'!$A$18:$A$1018='W5'!E$47)*('W3'!$K$14:$AJ$14='W5'!$B43)*('W3'!$D$18:$D$1018="LNST"))*$AK$1/10^3)</f>
        <v>49602.917468937441</v>
      </c>
      <c r="F43" s="534">
        <f t="shared" si="2"/>
        <v>1907804.5180360554</v>
      </c>
      <c r="G43" s="535" cm="1">
        <f t="array" ref="G43">IF(Currency="VND",SUMPRODUCT('W3'!$K$18:$AJ$1018*('W3'!$A$18:$A$1018='W5'!G$47)*('W3'!$K$14:$AJ$14='W5'!$B43)*('W3'!$D$18:$D$1018="LNST")),SUMPRODUCT('W3'!$K$18:$AJ$1018*('W3'!$A$18:$A$1018='W5'!G$47)*('W3'!$K$14:$AJ$14='W5'!$B43)*('W3'!$D$18:$D$1018="LNST"))*$AK$1/10^3)</f>
        <v>49293.013629689864</v>
      </c>
      <c r="H43" s="536">
        <f t="shared" si="3"/>
        <v>1895885.1396034565</v>
      </c>
      <c r="I43" s="535" cm="1">
        <f t="array" ref="I43">IF(Currency="VND",SUMPRODUCT('W3'!$K$18:$AJ$1018*('W3'!$A$18:$A$1018='W5'!I$47)*('W3'!$K$14:$AJ$14='W5'!$B43)*('W3'!$D$18:$D$1018="LNST")),SUMPRODUCT('W3'!$K$18:$AJ$1018*('W3'!$A$18:$A$1018='W5'!I$47)*('W3'!$K$14:$AJ$14='W5'!$B43)*('W3'!$D$18:$D$1018="LNST"))*$AK$1/10^3)</f>
        <v>38931.554198077647</v>
      </c>
      <c r="J43" s="536">
        <f t="shared" si="4"/>
        <v>1497367.4691568327</v>
      </c>
      <c r="K43" s="535" cm="1">
        <f t="array" ref="K43">IF(Currency="VND",SUMPRODUCT('W3'!$K$18:$AJ$1018*('W3'!$A$18:$A$1018='W5'!K$47)*('W3'!$K$14:$AJ$14='W5'!$B43)*('W3'!$D$18:$D$1018="LNST")),SUMPRODUCT('W3'!$K$18:$AJ$1018*('W3'!$A$18:$A$1018='W5'!K$47)*('W3'!$K$14:$AJ$14='W5'!$B43)*('W3'!$D$18:$D$1018="LNST"))*$AK$1/10^3)</f>
        <v>42102.701933301432</v>
      </c>
      <c r="L43" s="536">
        <f t="shared" si="5"/>
        <v>1619334.6897423628</v>
      </c>
      <c r="M43" s="535" cm="1">
        <f t="array" ref="M43">IF(Currency="VND",SUMPRODUCT('W3'!$K$18:$AJ$1018*('W3'!$A$18:$A$1018='W5'!M$47)*('W3'!$K$14:$AJ$14='W5'!$B43)*('W3'!$D$18:$D$1018="LNST")),SUMPRODUCT('W3'!$K$18:$AJ$1018*('W3'!$A$18:$A$1018='W5'!M$47)*('W3'!$K$14:$AJ$14='W5'!$B43)*('W3'!$D$18:$D$1018="LNST"))*$AK$1/10^3)</f>
        <v>25558.767210568582</v>
      </c>
      <c r="N43" s="536">
        <f t="shared" si="6"/>
        <v>983029.50809879159</v>
      </c>
      <c r="O43" s="534" cm="1">
        <f t="array" ref="O43">IF(Currency="VND",SUMPRODUCT('W3'!$K$18:$AJ$1018*('W3'!$A$18:$A$1018='W5'!O$47)*('W3'!$K$14:$AJ$14='W5'!$B43)*('W3'!$D$18:$D$1018="LNST")),SUMPRODUCT('W3'!$K$18:$AJ$1018*('W3'!$A$18:$A$1018='W5'!O$47)*('W3'!$K$14:$AJ$14='W5'!$B43)*('W3'!$D$18:$D$1018="LNST"))*$AK$1/10^3)</f>
        <v>33559.858168509512</v>
      </c>
      <c r="P43" s="534">
        <f t="shared" si="7"/>
        <v>1290763.7757119043</v>
      </c>
    </row>
    <row r="44" spans="1:17" collapsed="1" x14ac:dyDescent="0.2"/>
    <row r="45" spans="1:17" ht="23.25" customHeight="1" x14ac:dyDescent="0.2">
      <c r="A45" s="778" t="s">
        <v>338</v>
      </c>
      <c r="B45" s="778" t="s">
        <v>777</v>
      </c>
    </row>
    <row r="46" spans="1:17" ht="3.75" customHeight="1" x14ac:dyDescent="0.2">
      <c r="B46" s="778"/>
      <c r="E46" s="123"/>
      <c r="G46" s="123"/>
      <c r="O46" s="123"/>
    </row>
    <row r="47" spans="1:17" ht="15" customHeight="1" thickBot="1" x14ac:dyDescent="0.25">
      <c r="E47" s="775" t="s">
        <v>404</v>
      </c>
      <c r="G47" s="775" t="s">
        <v>405</v>
      </c>
      <c r="I47" s="775" t="s">
        <v>407</v>
      </c>
      <c r="K47" s="775" t="s">
        <v>692</v>
      </c>
      <c r="M47" s="775" t="s">
        <v>693</v>
      </c>
      <c r="O47" s="775" t="s">
        <v>694</v>
      </c>
    </row>
    <row r="48" spans="1:17" ht="30.75" customHeight="1" thickTop="1" x14ac:dyDescent="0.2">
      <c r="B48" s="106" t="s">
        <v>168</v>
      </c>
      <c r="C48" s="106" t="s">
        <v>297</v>
      </c>
      <c r="D48" s="427" t="s">
        <v>169</v>
      </c>
      <c r="E48" s="424" t="s">
        <v>323</v>
      </c>
      <c r="F48" s="435" t="s">
        <v>298</v>
      </c>
      <c r="G48" s="421" t="s">
        <v>323</v>
      </c>
      <c r="H48" s="709" t="s">
        <v>298</v>
      </c>
      <c r="I48" s="704" t="s">
        <v>323</v>
      </c>
      <c r="J48" s="779" t="s">
        <v>298</v>
      </c>
      <c r="K48" s="421" t="s">
        <v>323</v>
      </c>
      <c r="L48" s="709" t="s">
        <v>298</v>
      </c>
      <c r="M48" s="704" t="s">
        <v>323</v>
      </c>
      <c r="N48" s="779" t="s">
        <v>298</v>
      </c>
      <c r="O48" s="107" t="s">
        <v>323</v>
      </c>
      <c r="P48" s="107" t="s">
        <v>298</v>
      </c>
      <c r="Q48" s="107" t="s">
        <v>299</v>
      </c>
    </row>
    <row r="49" spans="2:27" ht="15" customHeight="1" x14ac:dyDescent="0.2">
      <c r="B49" s="108" t="s">
        <v>170</v>
      </c>
      <c r="C49" s="780" t="s">
        <v>536</v>
      </c>
      <c r="D49" s="428" t="s">
        <v>300</v>
      </c>
      <c r="E49" s="781">
        <f>+SUM(E50:E50)</f>
        <v>381.88799999999998</v>
      </c>
      <c r="F49" s="782">
        <f>IFERROR(E49/E$64,0)</f>
        <v>0.56159999999999999</v>
      </c>
      <c r="G49" s="783">
        <f>+SUM(G50:G50)</f>
        <v>395.17149894582104</v>
      </c>
      <c r="H49" s="784">
        <f>IFERROR(G49/G$64,0)</f>
        <v>0.53510020168696149</v>
      </c>
      <c r="I49" s="785">
        <f>+SUM(I50:I50)</f>
        <v>395.17149894582104</v>
      </c>
      <c r="J49" s="786">
        <f>IFERROR(I49/I$64,0)</f>
        <v>0.54961265500114187</v>
      </c>
      <c r="K49" s="783">
        <f>+SUM(K50:K50)</f>
        <v>381.88799999999998</v>
      </c>
      <c r="L49" s="784">
        <f>IFERROR(K49/K$64,0)</f>
        <v>0.56159999999999999</v>
      </c>
      <c r="M49" s="785">
        <f>+SUM(M50:M50)</f>
        <v>381.88799999999998</v>
      </c>
      <c r="N49" s="786">
        <f>IFERROR(M49/M$64,0)</f>
        <v>0.56159999999999999</v>
      </c>
      <c r="O49" s="787">
        <f>+SUM(O50:O50)</f>
        <v>381.88799999999998</v>
      </c>
      <c r="P49" s="788">
        <f>IFERROR(O49/O$64,0)</f>
        <v>0.56159999999999999</v>
      </c>
      <c r="Q49" s="109"/>
    </row>
    <row r="50" spans="2:27" ht="15" customHeight="1" x14ac:dyDescent="0.2">
      <c r="B50" s="110"/>
      <c r="C50" s="332" t="s">
        <v>536</v>
      </c>
      <c r="D50" s="420" t="s">
        <v>167</v>
      </c>
      <c r="E50" s="789" cm="1">
        <f t="array" ref="E50">SUMPRODUCT('W3'!$K$18:$AJ$1018*('W3'!$A$18:$A$1018='W5'!E$47)*('W3'!$E$18:$E$1018='W5'!$C50)*('W3'!$K$14:$AJ$14='W5'!$Q$1))*$AK$1</f>
        <v>381.88799999999998</v>
      </c>
      <c r="F50" s="790">
        <f t="shared" ref="F50:H64" si="9">IFERROR(E50/E$64,0)</f>
        <v>0.56159999999999999</v>
      </c>
      <c r="G50" s="791" cm="1">
        <f t="array" ref="G50">SUMPRODUCT('W3'!$K$18:$AJ$1018*('W3'!$A$18:$A$1018='W5'!G$47)*('W3'!$E$18:$E$1018='W5'!$C50)*('W3'!$K$14:$AJ$14='W5'!$Q$1))*$AK$1</f>
        <v>395.17149894582104</v>
      </c>
      <c r="H50" s="792">
        <f t="shared" si="9"/>
        <v>0.53510020168696149</v>
      </c>
      <c r="I50" s="793" cm="1">
        <f t="array" ref="I50">SUMPRODUCT('W3'!$K$18:$AJ$1018*('W3'!$A$18:$A$1018='W5'!I$47)*('W3'!$E$18:$E$1018='W5'!$C50)*('W3'!$K$14:$AJ$14='W5'!$Q$1))*$AK$1</f>
        <v>395.17149894582104</v>
      </c>
      <c r="J50" s="794">
        <f t="shared" ref="J50:J64" si="10">IFERROR(I50/I$64,0)</f>
        <v>0.54961265500114187</v>
      </c>
      <c r="K50" s="791" cm="1">
        <f t="array" ref="K50">SUMPRODUCT('W3'!$K$18:$AJ$1018*('W3'!$A$18:$A$1018='W5'!K$47)*('W3'!$E$18:$E$1018='W5'!$C50)*('W3'!$K$14:$AJ$14='W5'!$Q$1))*$AK$1</f>
        <v>381.88799999999998</v>
      </c>
      <c r="L50" s="792">
        <f t="shared" ref="L50:L64" si="11">IFERROR(K50/K$64,0)</f>
        <v>0.56159999999999999</v>
      </c>
      <c r="M50" s="793" cm="1">
        <f t="array" ref="M50">SUMPRODUCT('W3'!$K$18:$AJ$1018*('W3'!$A$18:$A$1018='W5'!M$47)*('W3'!$E$18:$E$1018='W5'!$C50)*('W3'!$K$14:$AJ$14='W5'!$Q$1))*$AK$1</f>
        <v>381.88799999999998</v>
      </c>
      <c r="N50" s="794">
        <f t="shared" ref="N50:N64" si="12">IFERROR(M50/M$64,0)</f>
        <v>0.56159999999999999</v>
      </c>
      <c r="O50" s="795" cm="1">
        <f t="array" ref="O50">SUMPRODUCT('W3'!$K$18:$AJ$1018*('W3'!$A$18:$A$1018='W5'!O$47)*('W3'!$E$18:$E$1018='W5'!$C50)*('W3'!$K$14:$AJ$14='W5'!$Q$1))*$AK$1</f>
        <v>381.88799999999998</v>
      </c>
      <c r="P50" s="796">
        <f t="shared" ref="P50" si="13">IFERROR(O50/O$64,0)</f>
        <v>0.56159999999999999</v>
      </c>
      <c r="Q50" s="112"/>
      <c r="S50" s="356"/>
    </row>
    <row r="51" spans="2:27" ht="15" customHeight="1" x14ac:dyDescent="0.2">
      <c r="B51" s="108" t="s">
        <v>176</v>
      </c>
      <c r="C51" s="780" t="s">
        <v>537</v>
      </c>
      <c r="D51" s="428" t="s">
        <v>301</v>
      </c>
      <c r="E51" s="781" cm="1">
        <f t="array" ref="E51">SUMPRODUCT('W3'!$K$18:$AJ$1018*('W3'!$A$18:$A$1018='W5'!E$47)*('W3'!$E$18:$E$1018='W5'!$C51)*('W3'!$K$14:$AJ$14='W5'!$Q$1))*$AK$1</f>
        <v>28.744258064516178</v>
      </c>
      <c r="F51" s="782">
        <f t="shared" si="9"/>
        <v>4.2270967741935554E-2</v>
      </c>
      <c r="G51" s="783" cm="1">
        <f t="array" ref="G51">SUMPRODUCT('W3'!$K$18:$AJ$1018*('W3'!$A$18:$A$1018='W5'!G$47)*('W3'!$E$18:$E$1018='W5'!$C51)*('W3'!$K$14:$AJ$14='W5'!$Q$1))*$AK$1</f>
        <v>29.744091318502658</v>
      </c>
      <c r="H51" s="784">
        <f t="shared" ref="H51:P51" si="14">IFERROR(G51/G$64,0)</f>
        <v>4.0276359266760542E-2</v>
      </c>
      <c r="I51" s="785" cm="1">
        <f t="array" ref="I51">SUMPRODUCT('W3'!$K$18:$AJ$1018*('W3'!$A$18:$A$1018='W5'!I$47)*('W3'!$E$18:$E$1018='W5'!$C51)*('W3'!$K$14:$AJ$14='W5'!$Q$1))*$AK$1</f>
        <v>29.744091318502658</v>
      </c>
      <c r="J51" s="786">
        <f t="shared" si="10"/>
        <v>4.136869446245154E-2</v>
      </c>
      <c r="K51" s="783" cm="1">
        <f t="array" ref="K51">SUMPRODUCT('W3'!$K$18:$AJ$1018*('W3'!$A$18:$A$1018='W5'!K$47)*('W3'!$E$18:$E$1018='W5'!$C51)*('W3'!$K$14:$AJ$14='W5'!$Q$1))*$AK$1</f>
        <v>28.744258064516178</v>
      </c>
      <c r="L51" s="784">
        <f t="shared" si="11"/>
        <v>4.2270967741935554E-2</v>
      </c>
      <c r="M51" s="785" cm="1">
        <f t="array" ref="M51">SUMPRODUCT('W3'!$K$18:$AJ$1018*('W3'!$A$18:$A$1018='W5'!M$47)*('W3'!$E$18:$E$1018='W5'!$C51)*('W3'!$K$14:$AJ$14='W5'!$Q$1))*$AK$1</f>
        <v>28.744258064516178</v>
      </c>
      <c r="N51" s="786">
        <f t="shared" si="12"/>
        <v>4.2270967741935554E-2</v>
      </c>
      <c r="O51" s="787" cm="1">
        <f t="array" ref="O51">SUMPRODUCT('W3'!$K$18:$AJ$1018*('W3'!$A$18:$A$1018='W5'!O$47)*('W3'!$E$18:$E$1018='W5'!$C51)*('W3'!$K$14:$AJ$14='W5'!$Q$1))*$AK$1</f>
        <v>28.744258064516178</v>
      </c>
      <c r="P51" s="788">
        <f t="shared" si="14"/>
        <v>4.2270967741935554E-2</v>
      </c>
      <c r="Q51" s="113"/>
    </row>
    <row r="52" spans="2:27" ht="15" customHeight="1" x14ac:dyDescent="0.2">
      <c r="B52" s="108" t="s">
        <v>179</v>
      </c>
      <c r="C52" s="108"/>
      <c r="D52" s="428" t="s">
        <v>302</v>
      </c>
      <c r="E52" s="781">
        <f>SUM(E53:E60)</f>
        <v>199.88456354781695</v>
      </c>
      <c r="F52" s="782">
        <f t="shared" si="9"/>
        <v>0.29394788757031903</v>
      </c>
      <c r="G52" s="783">
        <f>SUM(G53:G60)</f>
        <v>268.141833011872</v>
      </c>
      <c r="H52" s="784">
        <f t="shared" ref="H52:P52" si="15">IFERROR(G52/G$64,0)</f>
        <v>0.36308982127538525</v>
      </c>
      <c r="I52" s="785">
        <f>SUM(I53:I60)</f>
        <v>268.141833011872</v>
      </c>
      <c r="J52" s="786">
        <f t="shared" si="10"/>
        <v>0.37293718082318777</v>
      </c>
      <c r="K52" s="783">
        <f>SUM(K53:K60)</f>
        <v>233.16001964250498</v>
      </c>
      <c r="L52" s="784">
        <f t="shared" si="11"/>
        <v>0.3428823818272132</v>
      </c>
      <c r="M52" s="785">
        <f>SUM(M53:M60)</f>
        <v>261.0730874201206</v>
      </c>
      <c r="N52" s="786">
        <f t="shared" si="12"/>
        <v>0.38393101091194204</v>
      </c>
      <c r="O52" s="787">
        <f>SUM(O53:O60)</f>
        <v>225.23837059053528</v>
      </c>
      <c r="P52" s="788">
        <f t="shared" si="15"/>
        <v>0.33123289792725774</v>
      </c>
      <c r="Q52" s="109"/>
      <c r="R52" s="356"/>
      <c r="AA52" s="124"/>
    </row>
    <row r="53" spans="2:27" ht="15" customHeight="1" x14ac:dyDescent="0.2">
      <c r="B53" s="110">
        <f>SUBTOTAL(103,$D$53:D53)</f>
        <v>1</v>
      </c>
      <c r="C53" s="332" t="s">
        <v>171</v>
      </c>
      <c r="D53" s="429" t="s">
        <v>303</v>
      </c>
      <c r="E53" s="425" cm="1">
        <f t="array" ref="E53">SUMPRODUCT('W3'!$K$18:$AJ$1018*('W3'!$A$18:$A$1018='W5'!E$47)*('W3'!$E$18:$E$1018='W5'!$C53)*('W3'!$K$14:$AJ$14='W5'!$Q$1))*$AK$1</f>
        <v>15.285408527665071</v>
      </c>
      <c r="F53" s="790">
        <f t="shared" si="9"/>
        <v>2.2478541952448635E-2</v>
      </c>
      <c r="G53" s="685" cm="1">
        <f t="array" ref="G53">SUMPRODUCT('W3'!$K$18:$AJ$1018*('W3'!$A$18:$A$1018='W5'!G$47)*('W3'!$E$18:$E$1018='W5'!$C53)*('W3'!$K$14:$AJ$14='W5'!$Q$1))*$AK$1</f>
        <v>21.890916492170319</v>
      </c>
      <c r="H53" s="792">
        <f t="shared" ref="H53:P53" si="16">IFERROR(G53/G$64,0)</f>
        <v>2.9642405541192036E-2</v>
      </c>
      <c r="I53" s="705" cm="1">
        <f t="array" ref="I53">SUMPRODUCT('W3'!$K$18:$AJ$1018*('W3'!$A$18:$A$1018='W5'!I$47)*('W3'!$E$18:$E$1018='W5'!$C53)*('W3'!$K$14:$AJ$14='W5'!$Q$1))*$AK$1</f>
        <v>21.890916492170319</v>
      </c>
      <c r="J53" s="794">
        <f t="shared" si="10"/>
        <v>3.0446337263101975E-2</v>
      </c>
      <c r="K53" s="685" cm="1">
        <f t="array" ref="K53">SUMPRODUCT('W3'!$K$18:$AJ$1018*('W3'!$A$18:$A$1018='W5'!K$47)*('W3'!$E$18:$E$1018='W5'!$C53)*('W3'!$K$14:$AJ$14='W5'!$Q$1))*$AK$1</f>
        <v>15.285408527665071</v>
      </c>
      <c r="L53" s="792">
        <f t="shared" si="11"/>
        <v>2.2478541952448635E-2</v>
      </c>
      <c r="M53" s="705" cm="1">
        <f t="array" ref="M53">SUMPRODUCT('W3'!$K$18:$AJ$1018*('W3'!$A$18:$A$1018='W5'!M$47)*('W3'!$E$18:$E$1018='W5'!$C53)*('W3'!$K$14:$AJ$14='W5'!$Q$1))*$AK$1</f>
        <v>21.890916492170319</v>
      </c>
      <c r="N53" s="794">
        <f t="shared" si="12"/>
        <v>3.2192524253191648E-2</v>
      </c>
      <c r="O53" s="333" cm="1">
        <f t="array" ref="O53">SUMPRODUCT('W3'!$K$18:$AJ$1018*('W3'!$A$18:$A$1018='W5'!O$47)*('W3'!$E$18:$E$1018='W5'!$C53)*('W3'!$K$14:$AJ$14='W5'!$Q$1))*$AK$1</f>
        <v>21.890916492170319</v>
      </c>
      <c r="P53" s="796">
        <f t="shared" si="16"/>
        <v>3.2192524253191648E-2</v>
      </c>
      <c r="Q53" s="111"/>
    </row>
    <row r="54" spans="2:27" ht="15" customHeight="1" x14ac:dyDescent="0.2">
      <c r="B54" s="110">
        <f>SUBTOTAL(103,$D$53:D54)</f>
        <v>2</v>
      </c>
      <c r="C54" s="332" t="s">
        <v>173</v>
      </c>
      <c r="D54" s="429" t="s">
        <v>190</v>
      </c>
      <c r="E54" s="425" cm="1">
        <f t="array" ref="E54">SUMPRODUCT('W3'!$K$18:$AJ$1018*('W3'!$A$18:$A$1018='W5'!E$47)*('W3'!$E$18:$E$1018='W5'!$C54)*('W3'!$K$14:$AJ$14='W5'!$Q$1))*$AK$1</f>
        <v>60.692061728415723</v>
      </c>
      <c r="F54" s="790">
        <f t="shared" si="9"/>
        <v>8.9253031953552539E-2</v>
      </c>
      <c r="G54" s="685" cm="1">
        <f t="array" ref="G54">SUMPRODUCT('W3'!$K$18:$AJ$1018*('W3'!$A$18:$A$1018='W5'!G$47)*('W3'!$E$18:$E$1018='W5'!$C54)*('W3'!$K$14:$AJ$14='W5'!$Q$1))*$AK$1</f>
        <v>82.41896652549454</v>
      </c>
      <c r="H54" s="792">
        <f t="shared" ref="H54:P54" si="17">IFERROR(G54/G$64,0)</f>
        <v>0.11160320450303932</v>
      </c>
      <c r="I54" s="705" cm="1">
        <f t="array" ref="I54">SUMPRODUCT('W3'!$K$18:$AJ$1018*('W3'!$A$18:$A$1018='W5'!I$47)*('W3'!$E$18:$E$1018='W5'!$C54)*('W3'!$K$14:$AJ$14='W5'!$Q$1))*$AK$1</f>
        <v>82.41896652549454</v>
      </c>
      <c r="J54" s="794">
        <f t="shared" si="10"/>
        <v>0.11462999516758629</v>
      </c>
      <c r="K54" s="685" cm="1">
        <f t="array" ref="K54">SUMPRODUCT('W3'!$K$18:$AJ$1018*('W3'!$A$18:$A$1018='W5'!K$47)*('W3'!$E$18:$E$1018='W5'!$C54)*('W3'!$K$14:$AJ$14='W5'!$Q$1))*$AK$1</f>
        <v>75.221841779627511</v>
      </c>
      <c r="L54" s="792">
        <f t="shared" si="11"/>
        <v>0.11062035555827575</v>
      </c>
      <c r="M54" s="705" cm="1">
        <f t="array" ref="M54">SUMPRODUCT('W3'!$K$18:$AJ$1018*('W3'!$A$18:$A$1018='W5'!M$47)*('W3'!$E$18:$E$1018='W5'!$C54)*('W3'!$K$14:$AJ$14='W5'!$Q$1))*$AK$1</f>
        <v>78.095549750256183</v>
      </c>
      <c r="N54" s="794">
        <f t="shared" si="12"/>
        <v>0.11484639669155321</v>
      </c>
      <c r="O54" s="333" cm="1">
        <f t="array" ref="O54">SUMPRODUCT('W3'!$K$18:$AJ$1018*('W3'!$A$18:$A$1018='W5'!O$47)*('W3'!$E$18:$E$1018='W5'!$C54)*('W3'!$K$14:$AJ$14='W5'!$Q$1))*$AK$1</f>
        <v>63.565769699044417</v>
      </c>
      <c r="P54" s="796">
        <f t="shared" si="17"/>
        <v>9.3479073086830025E-2</v>
      </c>
      <c r="Q54" s="111"/>
    </row>
    <row r="55" spans="2:27" ht="15" customHeight="1" x14ac:dyDescent="0.2">
      <c r="B55" s="110">
        <f>SUBTOTAL(103,$D$53:D55)</f>
        <v>3</v>
      </c>
      <c r="C55" s="332" t="s">
        <v>182</v>
      </c>
      <c r="D55" s="429" t="s">
        <v>181</v>
      </c>
      <c r="E55" s="425" cm="1">
        <f t="array" ref="E55">SUMPRODUCT('W3'!$K$18:$AJ$1018*('W3'!$A$18:$A$1018='W5'!E$47)*('W3'!$E$18:$E$1018='W5'!$C55)*('W3'!$K$14:$AJ$14='W5'!$Q$1))*$AK$1</f>
        <v>34.904894027008218</v>
      </c>
      <c r="F55" s="790">
        <f t="shared" si="9"/>
        <v>5.13307265103062E-2</v>
      </c>
      <c r="G55" s="685" cm="1">
        <f t="array" ref="G55">SUMPRODUCT('W3'!$K$18:$AJ$1018*('W3'!$A$18:$A$1018='W5'!G$47)*('W3'!$E$18:$E$1018='W5'!$C55)*('W3'!$K$14:$AJ$14='W5'!$Q$1))*$AK$1</f>
        <v>66.708545735202932</v>
      </c>
      <c r="H55" s="792">
        <f t="shared" ref="H55:P55" si="18">IFERROR(G55/G$64,0)</f>
        <v>9.0329784340152916E-2</v>
      </c>
      <c r="I55" s="705" cm="1">
        <f t="array" ref="I55">SUMPRODUCT('W3'!$K$18:$AJ$1018*('W3'!$A$18:$A$1018='W5'!I$47)*('W3'!$E$18:$E$1018='W5'!$C55)*('W3'!$K$14:$AJ$14='W5'!$Q$1))*$AK$1</f>
        <v>66.708545735202932</v>
      </c>
      <c r="J55" s="794">
        <f t="shared" si="10"/>
        <v>9.2779618546874734E-2</v>
      </c>
      <c r="K55" s="685" cm="1">
        <f t="array" ref="K55">SUMPRODUCT('W3'!$K$18:$AJ$1018*('W3'!$A$18:$A$1018='W5'!K$47)*('W3'!$E$18:$E$1018='W5'!$C55)*('W3'!$K$14:$AJ$14='W5'!$Q$1))*$AK$1</f>
        <v>52.313830305772946</v>
      </c>
      <c r="L55" s="792">
        <f t="shared" si="11"/>
        <v>7.6932103390842568E-2</v>
      </c>
      <c r="M55" s="705" cm="1">
        <f t="array" ref="M55">SUMPRODUCT('W3'!$K$18:$AJ$1018*('W3'!$A$18:$A$1018='W5'!M$47)*('W3'!$E$18:$E$1018='W5'!$C55)*('W3'!$K$14:$AJ$14='W5'!$Q$1))*$AK$1</f>
        <v>63.856554716398271</v>
      </c>
      <c r="N55" s="794">
        <f t="shared" si="12"/>
        <v>9.3906698112350404E-2</v>
      </c>
      <c r="O55" s="333" cm="1">
        <f t="array" ref="O55">SUMPRODUCT('W3'!$K$18:$AJ$1018*('W3'!$A$18:$A$1018='W5'!O$47)*('W3'!$E$18:$E$1018='W5'!$C55)*('W3'!$K$14:$AJ$14='W5'!$Q$1))*$AK$1</f>
        <v>43.88835770273618</v>
      </c>
      <c r="P55" s="796">
        <f t="shared" si="18"/>
        <v>6.4541702504023787E-2</v>
      </c>
      <c r="Q55" s="111"/>
    </row>
    <row r="56" spans="2:27" ht="15" customHeight="1" x14ac:dyDescent="0.2">
      <c r="B56" s="110">
        <f>SUBTOTAL(103,$D$53:D56)</f>
        <v>4</v>
      </c>
      <c r="C56" s="332" t="s">
        <v>172</v>
      </c>
      <c r="D56" s="429" t="s">
        <v>304</v>
      </c>
      <c r="E56" s="425" cm="1">
        <f t="array" ref="E56">SUMPRODUCT('W3'!$K$18:$AJ$1018*('W3'!$A$18:$A$1018='W5'!E$47)*('W3'!$E$18:$E$1018='W5'!$C56)*('W3'!$K$14:$AJ$14='W5'!$Q$1))*$AK$1</f>
        <v>51.587503915265557</v>
      </c>
      <c r="F56" s="790">
        <f t="shared" si="9"/>
        <v>7.5863976345978759E-2</v>
      </c>
      <c r="G56" s="685" cm="1">
        <f t="array" ref="G56">SUMPRODUCT('W3'!$K$18:$AJ$1018*('W3'!$A$18:$A$1018='W5'!G$47)*('W3'!$E$18:$E$1018='W5'!$C56)*('W3'!$K$14:$AJ$14='W5'!$Q$1))*$AK$1</f>
        <v>61.710036194488026</v>
      </c>
      <c r="H56" s="792">
        <f t="shared" ref="H56:P56" si="19">IFERROR(G56/G$64,0)</f>
        <v>8.3561321861188934E-2</v>
      </c>
      <c r="I56" s="705" cm="1">
        <f t="array" ref="I56">SUMPRODUCT('W3'!$K$18:$AJ$1018*('W3'!$A$18:$A$1018='W5'!I$47)*('W3'!$E$18:$E$1018='W5'!$C56)*('W3'!$K$14:$AJ$14='W5'!$Q$1))*$AK$1</f>
        <v>61.710036194488026</v>
      </c>
      <c r="J56" s="794">
        <f t="shared" si="10"/>
        <v>8.5827588587605044E-2</v>
      </c>
      <c r="K56" s="685" cm="1">
        <f t="array" ref="K56">SUMPRODUCT('W3'!$K$18:$AJ$1018*('W3'!$A$18:$A$1018='W5'!K$47)*('W3'!$E$18:$E$1018='W5'!$C56)*('W3'!$K$14:$AJ$14='W5'!$Q$1))*$AK$1</f>
        <v>52.924243679977039</v>
      </c>
      <c r="L56" s="792">
        <f t="shared" si="11"/>
        <v>7.7829770117613287E-2</v>
      </c>
      <c r="M56" s="705" cm="1">
        <f t="array" ref="M56">SUMPRODUCT('W3'!$K$18:$AJ$1018*('W3'!$A$18:$A$1018='W5'!M$47)*('W3'!$E$18:$E$1018='W5'!$C56)*('W3'!$K$14:$AJ$14='W5'!$Q$1))*$AK$1</f>
        <v>59.537464525811927</v>
      </c>
      <c r="N56" s="794">
        <f t="shared" si="12"/>
        <v>8.7555094890899895E-2</v>
      </c>
      <c r="O56" s="333" cm="1">
        <f t="array" ref="O56">SUMPRODUCT('W3'!$K$18:$AJ$1018*('W3'!$A$18:$A$1018='W5'!O$47)*('W3'!$E$18:$E$1018='W5'!$C56)*('W3'!$K$14:$AJ$14='W5'!$Q$1))*$AK$1</f>
        <v>58.200724761100446</v>
      </c>
      <c r="P56" s="796">
        <f t="shared" si="19"/>
        <v>8.5589301119265368E-2</v>
      </c>
      <c r="Q56" s="111"/>
    </row>
    <row r="57" spans="2:27" ht="15" customHeight="1" x14ac:dyDescent="0.2">
      <c r="B57" s="110">
        <f>SUBTOTAL(103,$D$53:D57)</f>
        <v>5</v>
      </c>
      <c r="C57" s="332" t="s">
        <v>174</v>
      </c>
      <c r="D57" s="430" t="s">
        <v>305</v>
      </c>
      <c r="E57" s="425" cm="1">
        <f t="array" ref="E57">SUMPRODUCT('W3'!$K$18:$AJ$1018*('W3'!$A$18:$A$1018='W5'!E$47)*('W3'!$E$18:$E$1018='W5'!$C57)*('W3'!$K$14:$AJ$14='W5'!$Q$1))*$AK$1</f>
        <v>29.24017137096774</v>
      </c>
      <c r="F57" s="790">
        <f t="shared" si="9"/>
        <v>4.3000252016129031E-2</v>
      </c>
      <c r="G57" s="685" cm="1">
        <f t="array" ref="G57">SUMPRODUCT('W3'!$K$18:$AJ$1018*('W3'!$A$18:$A$1018='W5'!G$47)*('W3'!$E$18:$E$1018='W5'!$C57)*('W3'!$K$14:$AJ$14='W5'!$Q$1))*$AK$1</f>
        <v>26.990927419354836</v>
      </c>
      <c r="H57" s="792">
        <f t="shared" ref="H57:P57" si="20">IFERROR(G57/G$64,0)</f>
        <v>3.6548310655863017E-2</v>
      </c>
      <c r="I57" s="705" cm="1">
        <f t="array" ref="I57">SUMPRODUCT('W3'!$K$18:$AJ$1018*('W3'!$A$18:$A$1018='W5'!I$47)*('W3'!$E$18:$E$1018='W5'!$C57)*('W3'!$K$14:$AJ$14='W5'!$Q$1))*$AK$1</f>
        <v>26.990927419354836</v>
      </c>
      <c r="J57" s="794">
        <f t="shared" si="10"/>
        <v>3.7539537439992818E-2</v>
      </c>
      <c r="K57" s="685" cm="1">
        <f t="array" ref="K57">SUMPRODUCT('W3'!$K$18:$AJ$1018*('W3'!$A$18:$A$1018='W5'!K$47)*('W3'!$E$18:$E$1018='W5'!$C57)*('W3'!$K$14:$AJ$14='W5'!$Q$1))*$AK$1</f>
        <v>29.24017137096774</v>
      </c>
      <c r="L57" s="792">
        <f t="shared" si="11"/>
        <v>4.3000252016129031E-2</v>
      </c>
      <c r="M57" s="705" cm="1">
        <f t="array" ref="M57">SUMPRODUCT('W3'!$K$18:$AJ$1018*('W3'!$A$18:$A$1018='W5'!M$47)*('W3'!$E$18:$E$1018='W5'!$C57)*('W3'!$K$14:$AJ$14='W5'!$Q$1))*$AK$1</f>
        <v>29.270161290322584</v>
      </c>
      <c r="N57" s="794">
        <f t="shared" si="12"/>
        <v>4.3044354838709685E-2</v>
      </c>
      <c r="O57" s="333" cm="1">
        <f t="array" ref="O57">SUMPRODUCT('W3'!$K$18:$AJ$1018*('W3'!$A$18:$A$1018='W5'!O$47)*('W3'!$E$18:$E$1018='W5'!$C57)*('W3'!$K$14:$AJ$14='W5'!$Q$1))*$AK$1</f>
        <v>29.270161290322584</v>
      </c>
      <c r="P57" s="796">
        <f t="shared" si="20"/>
        <v>4.3044354838709685E-2</v>
      </c>
      <c r="Q57" s="111"/>
    </row>
    <row r="58" spans="2:27" ht="15" customHeight="1" x14ac:dyDescent="0.2">
      <c r="B58" s="110">
        <f>SUBTOTAL(103,$D$53:D58)</f>
        <v>6</v>
      </c>
      <c r="C58" s="332" t="s">
        <v>306</v>
      </c>
      <c r="D58" s="430" t="s">
        <v>307</v>
      </c>
      <c r="E58" s="425" cm="1">
        <f t="array" ref="E58">SUMPRODUCT('W3'!$K$18:$AJ$1018*('W3'!$A$18:$A$1018='W5'!E$47)*('W3'!$E$18:$E$1018='W5'!$C58)*('W3'!$K$14:$AJ$14='W5'!$Q$1))*$AK$1</f>
        <v>4.958333333333333</v>
      </c>
      <c r="F58" s="790">
        <f t="shared" si="9"/>
        <v>7.2916666666666659E-3</v>
      </c>
      <c r="G58" s="685" cm="1">
        <f t="array" ref="G58">SUMPRODUCT('W3'!$K$18:$AJ$1018*('W3'!$A$18:$A$1018='W5'!G$47)*('W3'!$E$18:$E$1018='W5'!$C58)*('W3'!$K$14:$AJ$14='W5'!$Q$1))*$AK$1</f>
        <v>5.2062499999999998</v>
      </c>
      <c r="H58" s="792">
        <f t="shared" ref="H58:P58" si="21">IFERROR(G58/G$64,0)</f>
        <v>7.0497630331753554E-3</v>
      </c>
      <c r="I58" s="705" cm="1">
        <f t="array" ref="I58">SUMPRODUCT('W3'!$K$18:$AJ$1018*('W3'!$A$18:$A$1018='W5'!I$47)*('W3'!$E$18:$E$1018='W5'!$C58)*('W3'!$K$14:$AJ$14='W5'!$Q$1))*$AK$1</f>
        <v>5.2062499999999998</v>
      </c>
      <c r="J58" s="794">
        <f t="shared" si="10"/>
        <v>7.2409596662030597E-3</v>
      </c>
      <c r="K58" s="685" cm="1">
        <f t="array" ref="K58">SUMPRODUCT('W3'!$K$18:$AJ$1018*('W3'!$A$18:$A$1018='W5'!K$47)*('W3'!$E$18:$E$1018='W5'!$C58)*('W3'!$K$14:$AJ$14='W5'!$Q$1))*$AK$1</f>
        <v>4.958333333333333</v>
      </c>
      <c r="L58" s="792">
        <f t="shared" si="11"/>
        <v>7.2916666666666659E-3</v>
      </c>
      <c r="M58" s="705" cm="1">
        <f t="array" ref="M58">SUMPRODUCT('W3'!$K$18:$AJ$1018*('W3'!$A$18:$A$1018='W5'!M$47)*('W3'!$E$18:$E$1018='W5'!$C58)*('W3'!$K$14:$AJ$14='W5'!$Q$1))*$AK$1</f>
        <v>5.2062499999999998</v>
      </c>
      <c r="N58" s="794">
        <f t="shared" si="12"/>
        <v>7.6562499999999999E-3</v>
      </c>
      <c r="O58" s="333" cm="1">
        <f t="array" ref="O58">SUMPRODUCT('W3'!$K$18:$AJ$1018*('W3'!$A$18:$A$1018='W5'!O$47)*('W3'!$E$18:$E$1018='W5'!$C58)*('W3'!$K$14:$AJ$14='W5'!$Q$1))*$AK$1</f>
        <v>5.2062499999999998</v>
      </c>
      <c r="P58" s="796">
        <f t="shared" si="21"/>
        <v>7.6562499999999999E-3</v>
      </c>
      <c r="Q58" s="111"/>
    </row>
    <row r="59" spans="2:27" ht="15" customHeight="1" x14ac:dyDescent="0.2">
      <c r="B59" s="110">
        <f>SUBTOTAL(103,$D$53:D59)</f>
        <v>7</v>
      </c>
      <c r="C59" s="332" t="s">
        <v>177</v>
      </c>
      <c r="D59" s="430" t="s">
        <v>308</v>
      </c>
      <c r="E59" s="425" cm="1">
        <f t="array" ref="E59">SUMPRODUCT('W3'!$K$18:$AJ$1018*('W3'!$A$18:$A$1018='W5'!E$47)*('W3'!$E$18:$E$1018='W5'!$C59)*('W3'!$K$14:$AJ$14='W5'!$Q$1))*$AK$1</f>
        <v>3.2161906451612912</v>
      </c>
      <c r="F59" s="790">
        <f t="shared" si="9"/>
        <v>4.7296921252371928E-3</v>
      </c>
      <c r="G59" s="685" cm="1">
        <f t="array" ref="G59">SUMPRODUCT('W3'!$K$18:$AJ$1018*('W3'!$A$18:$A$1018='W5'!G$47)*('W3'!$E$18:$E$1018='W5'!$C59)*('W3'!$K$14:$AJ$14='W5'!$Q$1))*$AK$1</f>
        <v>3.2161906451612912</v>
      </c>
      <c r="H59" s="792">
        <f t="shared" ref="H59:P59" si="22">IFERROR(G59/G$64,0)</f>
        <v>4.3550313407735835E-3</v>
      </c>
      <c r="I59" s="705" cm="1">
        <f t="array" ref="I59">SUMPRODUCT('W3'!$K$18:$AJ$1018*('W3'!$A$18:$A$1018='W5'!I$47)*('W3'!$E$18:$E$1018='W5'!$C59)*('W3'!$K$14:$AJ$14='W5'!$Q$1))*$AK$1</f>
        <v>3.2161906451612912</v>
      </c>
      <c r="J59" s="794">
        <f t="shared" si="10"/>
        <v>4.4731441518237706E-3</v>
      </c>
      <c r="K59" s="685" cm="1">
        <f t="array" ref="K59">SUMPRODUCT('W3'!$K$18:$AJ$1018*('W3'!$A$18:$A$1018='W5'!K$47)*('W3'!$E$18:$E$1018='W5'!$C59)*('W3'!$K$14:$AJ$14='W5'!$Q$1))*$AK$1</f>
        <v>3.2161906451612912</v>
      </c>
      <c r="L59" s="792">
        <f t="shared" si="11"/>
        <v>4.7296921252371928E-3</v>
      </c>
      <c r="M59" s="705" cm="1">
        <f t="array" ref="M59">SUMPRODUCT('W3'!$K$18:$AJ$1018*('W3'!$A$18:$A$1018='W5'!M$47)*('W3'!$E$18:$E$1018='W5'!$C59)*('W3'!$K$14:$AJ$14='W5'!$Q$1))*$AK$1</f>
        <v>3.2161906451612912</v>
      </c>
      <c r="N59" s="794">
        <f t="shared" si="12"/>
        <v>4.7296921252371928E-3</v>
      </c>
      <c r="O59" s="333" cm="1">
        <f t="array" ref="O59">SUMPRODUCT('W3'!$K$18:$AJ$1018*('W3'!$A$18:$A$1018='W5'!O$47)*('W3'!$E$18:$E$1018='W5'!$C59)*('W3'!$K$14:$AJ$14='W5'!$Q$1))*$AK$1</f>
        <v>3.2161906451612912</v>
      </c>
      <c r="P59" s="796">
        <f t="shared" si="22"/>
        <v>4.7296921252371928E-3</v>
      </c>
      <c r="Q59" s="111"/>
    </row>
    <row r="60" spans="2:27" ht="15" customHeight="1" x14ac:dyDescent="0.2">
      <c r="B60" s="408">
        <f>SUBTOTAL(103,$D$53:D60)</f>
        <v>8</v>
      </c>
      <c r="C60" s="797" t="s">
        <v>178</v>
      </c>
      <c r="D60" s="431" t="s">
        <v>309</v>
      </c>
      <c r="E60" s="426" cm="1">
        <f t="array" ref="E60">SUMPRODUCT('W3'!$K$18:$AJ$1018*('W3'!$A$18:$A$1018='W5'!E$47)*('W3'!$E$18:$E$1018='W5'!$C60)*('W3'!$K$14:$AJ$14='W5'!$Q$1))*$AK$1</f>
        <v>0</v>
      </c>
      <c r="F60" s="798">
        <f t="shared" si="9"/>
        <v>0</v>
      </c>
      <c r="G60" s="686" cm="1">
        <f t="array" ref="G60">SUMPRODUCT('W3'!$K$18:$AJ$1018*('W3'!$A$18:$A$1018='W5'!G$47)*('W3'!$E$18:$E$1018='W5'!$C60)*('W3'!$K$14:$AJ$14='W5'!$Q$1))*$AK$1</f>
        <v>0</v>
      </c>
      <c r="H60" s="799">
        <f t="shared" ref="H60:P60" si="23">IFERROR(G60/G$64,0)</f>
        <v>0</v>
      </c>
      <c r="I60" s="706" cm="1">
        <f t="array" ref="I60">SUMPRODUCT('W3'!$K$18:$AJ$1018*('W3'!$A$18:$A$1018='W5'!I$47)*('W3'!$E$18:$E$1018='W5'!$C60)*('W3'!$K$14:$AJ$14='W5'!$Q$1))*$AK$1</f>
        <v>0</v>
      </c>
      <c r="J60" s="800">
        <f t="shared" si="10"/>
        <v>0</v>
      </c>
      <c r="K60" s="686" cm="1">
        <f t="array" ref="K60">SUMPRODUCT('W3'!$K$18:$AJ$1018*('W3'!$A$18:$A$1018='W5'!K$47)*('W3'!$E$18:$E$1018='W5'!$C60)*('W3'!$K$14:$AJ$14='W5'!$Q$1))*$AK$1</f>
        <v>0</v>
      </c>
      <c r="L60" s="799">
        <f t="shared" si="11"/>
        <v>0</v>
      </c>
      <c r="M60" s="706" cm="1">
        <f t="array" ref="M60">SUMPRODUCT('W3'!$K$18:$AJ$1018*('W3'!$A$18:$A$1018='W5'!M$47)*('W3'!$E$18:$E$1018='W5'!$C60)*('W3'!$K$14:$AJ$14='W5'!$Q$1))*$AK$1</f>
        <v>0</v>
      </c>
      <c r="N60" s="800">
        <f t="shared" si="12"/>
        <v>0</v>
      </c>
      <c r="O60" s="409" cm="1">
        <f t="array" ref="O60">SUMPRODUCT('W3'!$K$18:$AJ$1018*('W3'!$A$18:$A$1018='W5'!O$47)*('W3'!$E$18:$E$1018='W5'!$C60)*('W3'!$K$14:$AJ$14='W5'!$Q$1))*$AK$1</f>
        <v>0</v>
      </c>
      <c r="P60" s="801">
        <f t="shared" si="23"/>
        <v>0</v>
      </c>
      <c r="Q60" s="410"/>
    </row>
    <row r="61" spans="2:27" ht="15" customHeight="1" x14ac:dyDescent="0.2">
      <c r="B61" s="110">
        <f>SUBTOTAL(103,$D$53:D61)</f>
        <v>9</v>
      </c>
      <c r="C61" s="114"/>
      <c r="D61" s="433" t="s">
        <v>310</v>
      </c>
      <c r="E61" s="802">
        <f>SUM(E50:E52)</f>
        <v>610.51682161233316</v>
      </c>
      <c r="F61" s="803">
        <f t="shared" si="9"/>
        <v>0.89781885531225469</v>
      </c>
      <c r="G61" s="804">
        <f>SUM(G50:G52)</f>
        <v>693.05742327619578</v>
      </c>
      <c r="H61" s="805">
        <f t="shared" ref="H61:P61" si="24">IFERROR(G61/G$64,0)</f>
        <v>0.93846638222910739</v>
      </c>
      <c r="I61" s="806">
        <f>SUM(I50:I52)</f>
        <v>693.05742327619578</v>
      </c>
      <c r="J61" s="807">
        <f t="shared" si="10"/>
        <v>0.96391853028678132</v>
      </c>
      <c r="K61" s="804">
        <f>SUM(K50:K52)</f>
        <v>643.79227770702119</v>
      </c>
      <c r="L61" s="805">
        <f t="shared" si="11"/>
        <v>0.94675334956914881</v>
      </c>
      <c r="M61" s="806">
        <f>SUM(M50:M52)</f>
        <v>671.70534548463684</v>
      </c>
      <c r="N61" s="807">
        <f t="shared" si="12"/>
        <v>0.98780197865387775</v>
      </c>
      <c r="O61" s="808">
        <f>SUM(O50:O52)</f>
        <v>635.87062865505141</v>
      </c>
      <c r="P61" s="809">
        <f t="shared" si="24"/>
        <v>0.93510386566919323</v>
      </c>
      <c r="Q61" s="115"/>
    </row>
    <row r="62" spans="2:27" ht="15" customHeight="1" x14ac:dyDescent="0.2">
      <c r="B62" s="411">
        <f>SUBTOTAL(103,$D$53:D62)</f>
        <v>10</v>
      </c>
      <c r="C62" s="810" t="s">
        <v>185</v>
      </c>
      <c r="D62" s="432" t="s">
        <v>311</v>
      </c>
      <c r="E62" s="811">
        <f>(E$1-E61)*Tax_rate</f>
        <v>13.896635677533368</v>
      </c>
      <c r="F62" s="812">
        <f t="shared" si="9"/>
        <v>2.043622893754907E-2</v>
      </c>
      <c r="G62" s="813">
        <f>(G$1-G61)*Tax_rate</f>
        <v>9.0885153447608449</v>
      </c>
      <c r="H62" s="814">
        <f t="shared" ref="H62:P62" si="25">IFERROR(G62/G$64,0)</f>
        <v>1.2306723554178532E-2</v>
      </c>
      <c r="I62" s="815">
        <f>(I$1-I61)*Tax_rate</f>
        <v>5.1885153447608445</v>
      </c>
      <c r="J62" s="816">
        <f t="shared" si="10"/>
        <v>7.2162939426437334E-3</v>
      </c>
      <c r="K62" s="813">
        <f>(K$1-K61)*Tax_rate</f>
        <v>7.2415444585957633</v>
      </c>
      <c r="L62" s="814">
        <f t="shared" si="11"/>
        <v>1.064933008617024E-2</v>
      </c>
      <c r="M62" s="815">
        <f>(M$1-M61)*Tax_rate</f>
        <v>1.6589309030726327</v>
      </c>
      <c r="N62" s="816">
        <f t="shared" si="12"/>
        <v>2.4396042692244597E-3</v>
      </c>
      <c r="O62" s="817">
        <f>(O$1-O61)*Tax_rate</f>
        <v>8.8258742689897201</v>
      </c>
      <c r="P62" s="818">
        <f t="shared" si="25"/>
        <v>1.2979226866161353E-2</v>
      </c>
      <c r="Q62" s="412"/>
    </row>
    <row r="63" spans="2:27" ht="15" customHeight="1" x14ac:dyDescent="0.2">
      <c r="B63" s="108" t="s">
        <v>312</v>
      </c>
      <c r="C63" s="780" t="s">
        <v>183</v>
      </c>
      <c r="D63" s="428" t="s">
        <v>184</v>
      </c>
      <c r="E63" s="781">
        <f>(E$1-E61)*(1-Tax_rate)</f>
        <v>55.586542710133472</v>
      </c>
      <c r="F63" s="782">
        <f>IFERROR(E63/E$64,0)</f>
        <v>8.1744915750196281E-2</v>
      </c>
      <c r="G63" s="783">
        <f>(G$1-G61)*(1-Tax_rate)</f>
        <v>36.35406137904338</v>
      </c>
      <c r="H63" s="784">
        <f t="shared" ref="H63:P63" si="26">IFERROR(G63/G$64,0)</f>
        <v>4.9226894216714126E-2</v>
      </c>
      <c r="I63" s="785">
        <f>(I$1-I61)*(1-Tax_rate)</f>
        <v>20.754061379043378</v>
      </c>
      <c r="J63" s="786">
        <f t="shared" si="10"/>
        <v>2.8865175770574934E-2</v>
      </c>
      <c r="K63" s="783">
        <f>(K$1-K61)*(1-Tax_rate)</f>
        <v>28.966177834383053</v>
      </c>
      <c r="L63" s="784">
        <f t="shared" si="11"/>
        <v>4.2597320344680958E-2</v>
      </c>
      <c r="M63" s="785">
        <f>(M$1-M61)*(1-Tax_rate)</f>
        <v>6.6357236122905308</v>
      </c>
      <c r="N63" s="786">
        <f t="shared" si="12"/>
        <v>9.7584170768978389E-3</v>
      </c>
      <c r="O63" s="787">
        <f>(O$1-O61)*(1-Tax_rate)</f>
        <v>35.30349707595888</v>
      </c>
      <c r="P63" s="788">
        <f t="shared" si="26"/>
        <v>5.1916907464645411E-2</v>
      </c>
      <c r="Q63" s="109"/>
      <c r="R63" s="124"/>
    </row>
    <row r="64" spans="2:27" ht="15" customHeight="1" x14ac:dyDescent="0.2">
      <c r="B64" s="116" t="s">
        <v>313</v>
      </c>
      <c r="C64" s="114"/>
      <c r="D64" s="433" t="s">
        <v>78</v>
      </c>
      <c r="E64" s="802">
        <f>+E61+E62+E63</f>
        <v>680</v>
      </c>
      <c r="F64" s="803">
        <f t="shared" si="9"/>
        <v>1</v>
      </c>
      <c r="G64" s="804">
        <f>+G61+G62+G63</f>
        <v>738.5</v>
      </c>
      <c r="H64" s="805">
        <f t="shared" ref="H64:P64" si="27">IFERROR(G64/G$64,0)</f>
        <v>1</v>
      </c>
      <c r="I64" s="806">
        <f>+I61+I62+I63</f>
        <v>719</v>
      </c>
      <c r="J64" s="807">
        <f t="shared" si="10"/>
        <v>1</v>
      </c>
      <c r="K64" s="804">
        <f>+K61+K62+K63</f>
        <v>680</v>
      </c>
      <c r="L64" s="805">
        <f t="shared" si="11"/>
        <v>1</v>
      </c>
      <c r="M64" s="806">
        <f>+M61+M62+M63</f>
        <v>680</v>
      </c>
      <c r="N64" s="807">
        <f t="shared" si="12"/>
        <v>1</v>
      </c>
      <c r="O64" s="808">
        <f>+O61+O62+O63</f>
        <v>680</v>
      </c>
      <c r="P64" s="809">
        <f t="shared" si="27"/>
        <v>1</v>
      </c>
      <c r="Q64" s="115"/>
      <c r="R64" s="145"/>
    </row>
    <row r="65" spans="1:19" ht="15" customHeight="1" thickBot="1" x14ac:dyDescent="0.25">
      <c r="B65" s="117"/>
      <c r="C65" s="117"/>
      <c r="D65" s="434" t="s">
        <v>314</v>
      </c>
      <c r="E65" s="819"/>
      <c r="F65" s="820">
        <f>IFERROR(1-F49/F$64,0)</f>
        <v>0.43840000000000001</v>
      </c>
      <c r="G65" s="821"/>
      <c r="H65" s="822">
        <f>IFERROR(1-H49/H$64,0)</f>
        <v>0.46489979831303851</v>
      </c>
      <c r="I65" s="823"/>
      <c r="J65" s="824">
        <f>IFERROR(1-J49/J$64,0)</f>
        <v>0.45038734499885813</v>
      </c>
      <c r="K65" s="821"/>
      <c r="L65" s="822">
        <f>IFERROR(1-L49/L$64,0)</f>
        <v>0.43840000000000001</v>
      </c>
      <c r="M65" s="823"/>
      <c r="N65" s="824">
        <f>IFERROR(1-N49/N$64,0)</f>
        <v>0.43840000000000001</v>
      </c>
      <c r="O65" s="825"/>
      <c r="P65" s="826">
        <f>IFERROR(1-P49/P$64,0)</f>
        <v>0.43840000000000001</v>
      </c>
      <c r="Q65" s="118"/>
      <c r="S65" s="124"/>
    </row>
    <row r="66" spans="1:19" ht="15" thickTop="1" x14ac:dyDescent="0.2">
      <c r="E66" s="708"/>
      <c r="F66" s="708"/>
      <c r="I66" s="707"/>
      <c r="J66" s="707"/>
      <c r="K66" s="707"/>
      <c r="L66" s="707"/>
      <c r="M66" s="707"/>
      <c r="N66" s="738"/>
      <c r="O66" s="707"/>
      <c r="Q66" s="707"/>
    </row>
    <row r="67" spans="1:19" ht="23.25" x14ac:dyDescent="0.2">
      <c r="A67" s="778" t="s">
        <v>340</v>
      </c>
      <c r="B67" s="778" t="s">
        <v>776</v>
      </c>
    </row>
    <row r="68" spans="1:19" ht="23.25" hidden="1" x14ac:dyDescent="0.25">
      <c r="B68" s="778"/>
      <c r="E68" s="334">
        <f>EXR</f>
        <v>26000</v>
      </c>
      <c r="G68" s="334">
        <f>EXR</f>
        <v>26000</v>
      </c>
      <c r="O68" s="334">
        <f>EXR</f>
        <v>26000</v>
      </c>
    </row>
    <row r="69" spans="1:19" ht="14.25" customHeight="1" thickBot="1" x14ac:dyDescent="0.25">
      <c r="E69" s="775" t="s">
        <v>404</v>
      </c>
      <c r="G69" s="775" t="s">
        <v>405</v>
      </c>
      <c r="I69" s="775" t="s">
        <v>407</v>
      </c>
      <c r="K69" s="775" t="s">
        <v>692</v>
      </c>
      <c r="M69" s="775" t="s">
        <v>693</v>
      </c>
      <c r="O69" s="775" t="s">
        <v>694</v>
      </c>
    </row>
    <row r="70" spans="1:19" ht="30" customHeight="1" thickTop="1" x14ac:dyDescent="0.2">
      <c r="B70" s="106" t="s">
        <v>168</v>
      </c>
      <c r="C70" s="106" t="s">
        <v>297</v>
      </c>
      <c r="D70" s="427" t="s">
        <v>169</v>
      </c>
      <c r="E70" s="424" t="s">
        <v>538</v>
      </c>
      <c r="F70" s="435" t="s">
        <v>298</v>
      </c>
      <c r="G70" s="421" t="s">
        <v>538</v>
      </c>
      <c r="H70" s="709" t="s">
        <v>298</v>
      </c>
      <c r="I70" s="704" t="s">
        <v>538</v>
      </c>
      <c r="J70" s="779" t="s">
        <v>298</v>
      </c>
      <c r="K70" s="704" t="s">
        <v>538</v>
      </c>
      <c r="L70" s="709" t="s">
        <v>298</v>
      </c>
      <c r="M70" s="767" t="s">
        <v>538</v>
      </c>
      <c r="N70" s="827" t="s">
        <v>298</v>
      </c>
      <c r="O70" s="421" t="s">
        <v>538</v>
      </c>
      <c r="P70" s="107" t="s">
        <v>298</v>
      </c>
      <c r="Q70" s="107" t="s">
        <v>299</v>
      </c>
    </row>
    <row r="71" spans="1:19" ht="15" customHeight="1" x14ac:dyDescent="0.2">
      <c r="B71" s="108" t="s">
        <v>170</v>
      </c>
      <c r="C71" s="108">
        <v>1521</v>
      </c>
      <c r="D71" s="428" t="s">
        <v>300</v>
      </c>
      <c r="E71" s="781">
        <f>+SUM(E72:E72)</f>
        <v>979.2</v>
      </c>
      <c r="F71" s="782">
        <f>IFERROR(E71/E$86,0)</f>
        <v>0.56159999999999999</v>
      </c>
      <c r="G71" s="783">
        <f>+SUM(G72:G72)</f>
        <v>1013.2602537072336</v>
      </c>
      <c r="H71" s="784">
        <f>IFERROR(G71/G$86,0)</f>
        <v>0.53510020168696149</v>
      </c>
      <c r="I71" s="785">
        <f>+SUM(I72:I72)</f>
        <v>1013.2602537072336</v>
      </c>
      <c r="J71" s="786">
        <f>IFERROR(I71/I$86,0)</f>
        <v>0.54961265500114198</v>
      </c>
      <c r="K71" s="785">
        <f>+SUM(K72:K72)</f>
        <v>979.2</v>
      </c>
      <c r="L71" s="784">
        <f>IFERROR(K71/K$86,0)</f>
        <v>0.56159999999999999</v>
      </c>
      <c r="M71" s="828">
        <f>+SUM(M72:M72)</f>
        <v>979.2</v>
      </c>
      <c r="N71" s="829">
        <f>IFERROR(M71/M$86,0)</f>
        <v>0.56159999999999999</v>
      </c>
      <c r="O71" s="783">
        <f>+SUM(O72:O72)</f>
        <v>979.2</v>
      </c>
      <c r="P71" s="788">
        <f>IFERROR(O71/O$86,0)</f>
        <v>0.56159999999999999</v>
      </c>
      <c r="Q71" s="109"/>
      <c r="R71" s="122"/>
    </row>
    <row r="72" spans="1:19" ht="15" customHeight="1" x14ac:dyDescent="0.2">
      <c r="B72" s="110"/>
      <c r="C72" s="110"/>
      <c r="D72" s="420" t="s">
        <v>167</v>
      </c>
      <c r="E72" s="789">
        <f>E50*PHOI_KG*1000/EXR</f>
        <v>979.2</v>
      </c>
      <c r="F72" s="790">
        <f t="shared" ref="F72:H86" si="28">IFERROR(E72/E$86,0)</f>
        <v>0.56159999999999999</v>
      </c>
      <c r="G72" s="791">
        <f>G50*PHOI_KG*1000/EXR</f>
        <v>1013.2602537072336</v>
      </c>
      <c r="H72" s="792">
        <f t="shared" si="28"/>
        <v>0.53510020168696149</v>
      </c>
      <c r="I72" s="793">
        <f>I50*PHOI_KG*1000/EXR</f>
        <v>1013.2602537072336</v>
      </c>
      <c r="J72" s="794">
        <f t="shared" ref="J72:J86" si="29">IFERROR(I72/I$86,0)</f>
        <v>0.54961265500114198</v>
      </c>
      <c r="K72" s="793">
        <f>K50*PHOI_KG*1000/EXR</f>
        <v>979.2</v>
      </c>
      <c r="L72" s="792">
        <f t="shared" ref="L72:L86" si="30">IFERROR(K72/K$86,0)</f>
        <v>0.56159999999999999</v>
      </c>
      <c r="M72" s="830">
        <f>M50*PHOI_KG*1000/EXR</f>
        <v>979.2</v>
      </c>
      <c r="N72" s="831">
        <f t="shared" ref="N72:N86" si="31">IFERROR(M72/M$86,0)</f>
        <v>0.56159999999999999</v>
      </c>
      <c r="O72" s="791">
        <f>O50*PHOI_KG*1000/EXR</f>
        <v>979.2</v>
      </c>
      <c r="P72" s="796">
        <f t="shared" ref="P72" si="32">IFERROR(O72/O$86,0)</f>
        <v>0.56159999999999999</v>
      </c>
      <c r="Q72" s="112"/>
    </row>
    <row r="73" spans="1:19" ht="15" customHeight="1" x14ac:dyDescent="0.2">
      <c r="B73" s="108" t="s">
        <v>176</v>
      </c>
      <c r="C73" s="108">
        <v>1522</v>
      </c>
      <c r="D73" s="428" t="s">
        <v>301</v>
      </c>
      <c r="E73" s="781">
        <f>E51*PHOI_KG*1000/EXR</f>
        <v>73.703225806451741</v>
      </c>
      <c r="F73" s="782">
        <f t="shared" si="28"/>
        <v>4.2270967741935554E-2</v>
      </c>
      <c r="G73" s="783">
        <f>G51*PHOI_KG*1000/EXR</f>
        <v>76.266900816673498</v>
      </c>
      <c r="H73" s="784">
        <f t="shared" si="28"/>
        <v>4.0276359266760549E-2</v>
      </c>
      <c r="I73" s="785">
        <f>I51*PHOI_KG*1000/EXR</f>
        <v>76.266900816673498</v>
      </c>
      <c r="J73" s="786">
        <f t="shared" si="29"/>
        <v>4.1368694462451547E-2</v>
      </c>
      <c r="K73" s="785">
        <f>K51*PHOI_KG*1000/EXR</f>
        <v>73.703225806451741</v>
      </c>
      <c r="L73" s="784">
        <f t="shared" si="30"/>
        <v>4.2270967741935554E-2</v>
      </c>
      <c r="M73" s="828">
        <f>M51*PHOI_KG*1000/EXR</f>
        <v>73.703225806451741</v>
      </c>
      <c r="N73" s="829">
        <f t="shared" si="31"/>
        <v>4.2270967741935554E-2</v>
      </c>
      <c r="O73" s="783">
        <f>O51*PHOI_KG*1000/EXR</f>
        <v>73.703225806451741</v>
      </c>
      <c r="P73" s="788">
        <f t="shared" ref="P73" si="33">IFERROR(O73/O$86,0)</f>
        <v>4.2270967741935554E-2</v>
      </c>
      <c r="Q73" s="113"/>
    </row>
    <row r="74" spans="1:19" ht="15" customHeight="1" x14ac:dyDescent="0.2">
      <c r="B74" s="108" t="s">
        <v>179</v>
      </c>
      <c r="C74" s="108"/>
      <c r="D74" s="428" t="s">
        <v>302</v>
      </c>
      <c r="E74" s="781">
        <f>SUM(E75:E82)</f>
        <v>512.52452191747943</v>
      </c>
      <c r="F74" s="782">
        <f t="shared" si="28"/>
        <v>0.29394788757031909</v>
      </c>
      <c r="G74" s="783">
        <f>SUM(G75:G82)</f>
        <v>687.54316156890252</v>
      </c>
      <c r="H74" s="784">
        <f t="shared" si="28"/>
        <v>0.36308982127538519</v>
      </c>
      <c r="I74" s="785">
        <f>SUM(I75:I82)</f>
        <v>687.54316156890252</v>
      </c>
      <c r="J74" s="786">
        <f t="shared" si="29"/>
        <v>0.37293718082318772</v>
      </c>
      <c r="K74" s="785">
        <f>SUM(K75:K82)</f>
        <v>597.84620421155114</v>
      </c>
      <c r="L74" s="784">
        <f t="shared" si="30"/>
        <v>0.34288238182721315</v>
      </c>
      <c r="M74" s="828">
        <f>SUM(M75:M82)</f>
        <v>669.41817287210415</v>
      </c>
      <c r="N74" s="829">
        <f t="shared" si="31"/>
        <v>0.38393101091194209</v>
      </c>
      <c r="O74" s="783">
        <f>SUM(O75:O82)</f>
        <v>577.53428356547511</v>
      </c>
      <c r="P74" s="788">
        <f t="shared" ref="P74" si="34">IFERROR(O74/O$86,0)</f>
        <v>0.3312328979272578</v>
      </c>
      <c r="Q74" s="109"/>
    </row>
    <row r="75" spans="1:19" ht="15" customHeight="1" x14ac:dyDescent="0.2">
      <c r="B75" s="110">
        <f>SUBTOTAL(103,$D$75:D75)</f>
        <v>1</v>
      </c>
      <c r="C75" s="110" t="s">
        <v>171</v>
      </c>
      <c r="D75" s="429" t="s">
        <v>303</v>
      </c>
      <c r="E75" s="425">
        <f t="shared" ref="E75:E82" si="35">E53*PHOI_KG*1000/EXR</f>
        <v>39.193355199141216</v>
      </c>
      <c r="F75" s="790">
        <f t="shared" si="28"/>
        <v>2.2478541952448639E-2</v>
      </c>
      <c r="G75" s="422">
        <f t="shared" ref="G75:I82" si="36">G53*PHOI_KG*1000/EXR</f>
        <v>56.13055510812903</v>
      </c>
      <c r="H75" s="792">
        <f t="shared" si="28"/>
        <v>2.9642405541192039E-2</v>
      </c>
      <c r="I75" s="710">
        <f t="shared" si="36"/>
        <v>56.13055510812903</v>
      </c>
      <c r="J75" s="794">
        <f t="shared" si="29"/>
        <v>3.0446337263101978E-2</v>
      </c>
      <c r="K75" s="710">
        <f t="shared" ref="K75" si="37">K53*PHOI_KG*1000/EXR</f>
        <v>39.193355199141216</v>
      </c>
      <c r="L75" s="792">
        <f t="shared" si="30"/>
        <v>2.2478541952448639E-2</v>
      </c>
      <c r="M75" s="768">
        <f t="shared" ref="M75" si="38">M53*PHOI_KG*1000/EXR</f>
        <v>56.13055510812903</v>
      </c>
      <c r="N75" s="831">
        <f t="shared" si="31"/>
        <v>3.2192524253191648E-2</v>
      </c>
      <c r="O75" s="422">
        <f t="shared" ref="O75:O82" si="39">O53*PHOI_KG*1000/EXR</f>
        <v>56.13055510812903</v>
      </c>
      <c r="P75" s="796">
        <f t="shared" ref="P75" si="40">IFERROR(O75/O$86,0)</f>
        <v>3.2192524253191648E-2</v>
      </c>
      <c r="Q75" s="111"/>
    </row>
    <row r="76" spans="1:19" ht="15" customHeight="1" x14ac:dyDescent="0.2">
      <c r="B76" s="110">
        <f>SUBTOTAL(103,$D$75:D76)</f>
        <v>2</v>
      </c>
      <c r="C76" s="110" t="s">
        <v>173</v>
      </c>
      <c r="D76" s="429" t="s">
        <v>190</v>
      </c>
      <c r="E76" s="425">
        <f t="shared" si="35"/>
        <v>155.62067109850187</v>
      </c>
      <c r="F76" s="790">
        <f t="shared" si="28"/>
        <v>8.9253031953552539E-2</v>
      </c>
      <c r="G76" s="422">
        <f t="shared" si="36"/>
        <v>211.33068339870397</v>
      </c>
      <c r="H76" s="792">
        <f t="shared" si="28"/>
        <v>0.11160320450303933</v>
      </c>
      <c r="I76" s="710">
        <f t="shared" si="36"/>
        <v>211.33068339870397</v>
      </c>
      <c r="J76" s="794">
        <f t="shared" si="29"/>
        <v>0.11462999516758629</v>
      </c>
      <c r="K76" s="710">
        <f t="shared" ref="K76" si="41">K54*PHOI_KG*1000/EXR</f>
        <v>192.87651738366029</v>
      </c>
      <c r="L76" s="792">
        <f t="shared" si="30"/>
        <v>0.11062035555827575</v>
      </c>
      <c r="M76" s="768">
        <f t="shared" ref="M76" si="42">M54*PHOI_KG*1000/EXR</f>
        <v>200.24499935963124</v>
      </c>
      <c r="N76" s="831">
        <f t="shared" si="31"/>
        <v>0.11484639669155321</v>
      </c>
      <c r="O76" s="422">
        <f t="shared" si="39"/>
        <v>162.98915307447288</v>
      </c>
      <c r="P76" s="796">
        <f t="shared" ref="P76" si="43">IFERROR(O76/O$86,0)</f>
        <v>9.3479073086830025E-2</v>
      </c>
      <c r="Q76" s="111"/>
    </row>
    <row r="77" spans="1:19" ht="15" customHeight="1" x14ac:dyDescent="0.2">
      <c r="B77" s="110">
        <f>SUBTOTAL(103,$D$75:D77)</f>
        <v>3</v>
      </c>
      <c r="C77" s="110" t="s">
        <v>172</v>
      </c>
      <c r="D77" s="429" t="s">
        <v>304</v>
      </c>
      <c r="E77" s="425">
        <f t="shared" si="35"/>
        <v>89.499728274380047</v>
      </c>
      <c r="F77" s="790">
        <f t="shared" si="28"/>
        <v>5.13307265103062E-2</v>
      </c>
      <c r="G77" s="422">
        <f t="shared" si="36"/>
        <v>171.047553167187</v>
      </c>
      <c r="H77" s="792">
        <f t="shared" si="28"/>
        <v>9.0329784340152916E-2</v>
      </c>
      <c r="I77" s="710">
        <f t="shared" si="36"/>
        <v>171.047553167187</v>
      </c>
      <c r="J77" s="794">
        <f t="shared" si="29"/>
        <v>9.2779618546874734E-2</v>
      </c>
      <c r="K77" s="710">
        <f t="shared" ref="K77" si="44">K55*PHOI_KG*1000/EXR</f>
        <v>134.13802642505885</v>
      </c>
      <c r="L77" s="792">
        <f t="shared" si="30"/>
        <v>7.6932103390842582E-2</v>
      </c>
      <c r="M77" s="768">
        <f t="shared" ref="M77" si="45">M55*PHOI_KG*1000/EXR</f>
        <v>163.73475568307251</v>
      </c>
      <c r="N77" s="831">
        <f t="shared" si="31"/>
        <v>9.3906698112350404E-2</v>
      </c>
      <c r="O77" s="422">
        <f t="shared" si="39"/>
        <v>112.53425051983638</v>
      </c>
      <c r="P77" s="796">
        <f t="shared" ref="P77" si="46">IFERROR(O77/O$86,0)</f>
        <v>6.4541702504023801E-2</v>
      </c>
      <c r="Q77" s="111"/>
    </row>
    <row r="78" spans="1:19" ht="15" customHeight="1" x14ac:dyDescent="0.2">
      <c r="B78" s="110">
        <f>SUBTOTAL(103,$D$75:D78)</f>
        <v>4</v>
      </c>
      <c r="C78" s="110" t="s">
        <v>174</v>
      </c>
      <c r="D78" s="430" t="s">
        <v>305</v>
      </c>
      <c r="E78" s="425">
        <f t="shared" si="35"/>
        <v>132.27565106478349</v>
      </c>
      <c r="F78" s="790">
        <f t="shared" si="28"/>
        <v>7.5863976345978759E-2</v>
      </c>
      <c r="G78" s="422">
        <f t="shared" si="36"/>
        <v>158.2308620371488</v>
      </c>
      <c r="H78" s="792">
        <f t="shared" si="28"/>
        <v>8.3561321861188934E-2</v>
      </c>
      <c r="I78" s="710">
        <f t="shared" si="36"/>
        <v>158.2308620371488</v>
      </c>
      <c r="J78" s="794">
        <f t="shared" si="29"/>
        <v>8.5827588587605044E-2</v>
      </c>
      <c r="K78" s="710">
        <f t="shared" ref="K78" si="47">K56*PHOI_KG*1000/EXR</f>
        <v>135.70318892301805</v>
      </c>
      <c r="L78" s="792">
        <f t="shared" si="30"/>
        <v>7.7829770117613287E-2</v>
      </c>
      <c r="M78" s="768">
        <f t="shared" ref="M78" si="48">M56*PHOI_KG*1000/EXR</f>
        <v>152.66016545079981</v>
      </c>
      <c r="N78" s="831">
        <f t="shared" si="31"/>
        <v>8.7555094890899882E-2</v>
      </c>
      <c r="O78" s="422">
        <f t="shared" si="39"/>
        <v>149.23262759256525</v>
      </c>
      <c r="P78" s="796">
        <f t="shared" ref="P78" si="49">IFERROR(O78/O$86,0)</f>
        <v>8.5589301119265368E-2</v>
      </c>
      <c r="Q78" s="111"/>
    </row>
    <row r="79" spans="1:19" ht="15" customHeight="1" x14ac:dyDescent="0.2">
      <c r="B79" s="110">
        <f>SUBTOTAL(103,$D$75:D79)</f>
        <v>5</v>
      </c>
      <c r="C79" s="110" t="s">
        <v>182</v>
      </c>
      <c r="D79" s="429" t="s">
        <v>181</v>
      </c>
      <c r="E79" s="425">
        <f t="shared" si="35"/>
        <v>74.974798387096769</v>
      </c>
      <c r="F79" s="790">
        <f t="shared" si="28"/>
        <v>4.3000252016129024E-2</v>
      </c>
      <c r="G79" s="422">
        <f t="shared" si="36"/>
        <v>69.20750620347394</v>
      </c>
      <c r="H79" s="792">
        <f t="shared" si="28"/>
        <v>3.6548310655863017E-2</v>
      </c>
      <c r="I79" s="710">
        <f t="shared" si="36"/>
        <v>69.20750620347394</v>
      </c>
      <c r="J79" s="794">
        <f t="shared" si="29"/>
        <v>3.7539537439992818E-2</v>
      </c>
      <c r="K79" s="710">
        <f t="shared" ref="K79" si="50">K57*PHOI_KG*1000/EXR</f>
        <v>74.974798387096769</v>
      </c>
      <c r="L79" s="792">
        <f t="shared" si="30"/>
        <v>4.3000252016129024E-2</v>
      </c>
      <c r="M79" s="768">
        <f t="shared" ref="M79" si="51">M57*PHOI_KG*1000/EXR</f>
        <v>75.051695616211759</v>
      </c>
      <c r="N79" s="831">
        <f t="shared" si="31"/>
        <v>4.3044354838709685E-2</v>
      </c>
      <c r="O79" s="422">
        <f t="shared" si="39"/>
        <v>75.051695616211759</v>
      </c>
      <c r="P79" s="796">
        <f t="shared" ref="P79" si="52">IFERROR(O79/O$86,0)</f>
        <v>4.3044354838709685E-2</v>
      </c>
      <c r="Q79" s="111"/>
    </row>
    <row r="80" spans="1:19" ht="15" customHeight="1" x14ac:dyDescent="0.2">
      <c r="B80" s="110">
        <f>SUBTOTAL(103,$D$75:D80)</f>
        <v>6</v>
      </c>
      <c r="C80" s="110" t="s">
        <v>306</v>
      </c>
      <c r="D80" s="430" t="s">
        <v>307</v>
      </c>
      <c r="E80" s="425">
        <f t="shared" si="35"/>
        <v>12.713675213675215</v>
      </c>
      <c r="F80" s="790">
        <f t="shared" si="28"/>
        <v>7.2916666666666668E-3</v>
      </c>
      <c r="G80" s="422">
        <f t="shared" si="36"/>
        <v>13.349358974358976</v>
      </c>
      <c r="H80" s="792">
        <f t="shared" si="28"/>
        <v>7.0497630331753562E-3</v>
      </c>
      <c r="I80" s="710">
        <f t="shared" si="36"/>
        <v>13.349358974358976</v>
      </c>
      <c r="J80" s="794">
        <f t="shared" si="29"/>
        <v>7.2409596662030605E-3</v>
      </c>
      <c r="K80" s="710">
        <f t="shared" ref="K80" si="53">K58*PHOI_KG*1000/EXR</f>
        <v>12.713675213675215</v>
      </c>
      <c r="L80" s="792">
        <f t="shared" si="30"/>
        <v>7.2916666666666668E-3</v>
      </c>
      <c r="M80" s="768">
        <f t="shared" ref="M80" si="54">M58*PHOI_KG*1000/EXR</f>
        <v>13.349358974358976</v>
      </c>
      <c r="N80" s="831">
        <f t="shared" si="31"/>
        <v>7.6562500000000007E-3</v>
      </c>
      <c r="O80" s="422">
        <f t="shared" si="39"/>
        <v>13.349358974358976</v>
      </c>
      <c r="P80" s="796">
        <f t="shared" ref="P80" si="55">IFERROR(O80/O$86,0)</f>
        <v>7.6562500000000007E-3</v>
      </c>
      <c r="Q80" s="111"/>
    </row>
    <row r="81" spans="1:18" ht="15" customHeight="1" x14ac:dyDescent="0.2">
      <c r="B81" s="110">
        <f>SUBTOTAL(103,$D$75:D81)</f>
        <v>7</v>
      </c>
      <c r="C81" s="110" t="s">
        <v>177</v>
      </c>
      <c r="D81" s="430" t="s">
        <v>308</v>
      </c>
      <c r="E81" s="425">
        <f t="shared" si="35"/>
        <v>8.2466426799007468</v>
      </c>
      <c r="F81" s="790">
        <f t="shared" si="28"/>
        <v>4.7296921252371928E-3</v>
      </c>
      <c r="G81" s="422">
        <f t="shared" si="36"/>
        <v>8.2466426799007468</v>
      </c>
      <c r="H81" s="792">
        <f t="shared" si="28"/>
        <v>4.3550313407735835E-3</v>
      </c>
      <c r="I81" s="710">
        <f t="shared" si="36"/>
        <v>8.2466426799007468</v>
      </c>
      <c r="J81" s="794">
        <f t="shared" si="29"/>
        <v>4.4731441518237706E-3</v>
      </c>
      <c r="K81" s="710">
        <f t="shared" ref="K81" si="56">K59*PHOI_KG*1000/EXR</f>
        <v>8.2466426799007468</v>
      </c>
      <c r="L81" s="792">
        <f t="shared" si="30"/>
        <v>4.7296921252371928E-3</v>
      </c>
      <c r="M81" s="768">
        <f t="shared" ref="M81" si="57">M59*PHOI_KG*1000/EXR</f>
        <v>8.2466426799007468</v>
      </c>
      <c r="N81" s="831">
        <f t="shared" si="31"/>
        <v>4.7296921252371928E-3</v>
      </c>
      <c r="O81" s="422">
        <f t="shared" si="39"/>
        <v>8.2466426799007468</v>
      </c>
      <c r="P81" s="796">
        <f t="shared" ref="P81" si="58">IFERROR(O81/O$86,0)</f>
        <v>4.7296921252371928E-3</v>
      </c>
      <c r="Q81" s="111"/>
    </row>
    <row r="82" spans="1:18" ht="15" customHeight="1" x14ac:dyDescent="0.2">
      <c r="B82" s="408">
        <f>SUBTOTAL(103,$D$75:D82)</f>
        <v>8</v>
      </c>
      <c r="C82" s="408" t="s">
        <v>178</v>
      </c>
      <c r="D82" s="431" t="s">
        <v>309</v>
      </c>
      <c r="E82" s="426">
        <f t="shared" si="35"/>
        <v>0</v>
      </c>
      <c r="F82" s="798">
        <f t="shared" si="28"/>
        <v>0</v>
      </c>
      <c r="G82" s="423">
        <f t="shared" si="36"/>
        <v>0</v>
      </c>
      <c r="H82" s="799">
        <f t="shared" si="28"/>
        <v>0</v>
      </c>
      <c r="I82" s="711">
        <f t="shared" si="36"/>
        <v>0</v>
      </c>
      <c r="J82" s="800">
        <f t="shared" si="29"/>
        <v>0</v>
      </c>
      <c r="K82" s="711">
        <f t="shared" ref="K82" si="59">K60*PHOI_KG*1000/EXR</f>
        <v>0</v>
      </c>
      <c r="L82" s="799">
        <f t="shared" si="30"/>
        <v>0</v>
      </c>
      <c r="M82" s="769">
        <f t="shared" ref="M82" si="60">M60*PHOI_KG*1000/EXR</f>
        <v>0</v>
      </c>
      <c r="N82" s="832">
        <f t="shared" si="31"/>
        <v>0</v>
      </c>
      <c r="O82" s="423">
        <f t="shared" si="39"/>
        <v>0</v>
      </c>
      <c r="P82" s="801">
        <f t="shared" ref="P82" si="61">IFERROR(O82/O$86,0)</f>
        <v>0</v>
      </c>
      <c r="Q82" s="410"/>
    </row>
    <row r="83" spans="1:18" ht="15" customHeight="1" x14ac:dyDescent="0.2">
      <c r="B83" s="110">
        <f>SUBTOTAL(103,$D$75:D83)</f>
        <v>9</v>
      </c>
      <c r="C83" s="114"/>
      <c r="D83" s="433" t="s">
        <v>310</v>
      </c>
      <c r="E83" s="802">
        <f>SUM(E72:E74)</f>
        <v>1565.4277477239311</v>
      </c>
      <c r="F83" s="803">
        <f t="shared" si="28"/>
        <v>0.89781885531225458</v>
      </c>
      <c r="G83" s="804">
        <f>SUM(G72:G74)</f>
        <v>1777.0703160928097</v>
      </c>
      <c r="H83" s="805">
        <f t="shared" si="28"/>
        <v>0.93846638222910728</v>
      </c>
      <c r="I83" s="806">
        <f>SUM(I72:I74)</f>
        <v>1777.0703160928097</v>
      </c>
      <c r="J83" s="807">
        <f t="shared" si="29"/>
        <v>0.96391853028678132</v>
      </c>
      <c r="K83" s="806">
        <f>SUM(K72:K74)</f>
        <v>1650.7494300180028</v>
      </c>
      <c r="L83" s="805">
        <f t="shared" si="30"/>
        <v>0.94675334956914869</v>
      </c>
      <c r="M83" s="833">
        <f>SUM(M72:M74)</f>
        <v>1722.3213986785559</v>
      </c>
      <c r="N83" s="834">
        <f t="shared" si="31"/>
        <v>0.98780197865387753</v>
      </c>
      <c r="O83" s="804">
        <f>SUM(O72:O74)</f>
        <v>1630.4375093719268</v>
      </c>
      <c r="P83" s="809">
        <f t="shared" ref="P83" si="62">IFERROR(O83/O$86,0)</f>
        <v>0.93510386566919323</v>
      </c>
      <c r="Q83" s="115"/>
    </row>
    <row r="84" spans="1:18" ht="15" customHeight="1" x14ac:dyDescent="0.2">
      <c r="B84" s="411">
        <f>SUBTOTAL(103,$D$75:D84)</f>
        <v>10</v>
      </c>
      <c r="C84" s="411" t="s">
        <v>185</v>
      </c>
      <c r="D84" s="432" t="s">
        <v>311</v>
      </c>
      <c r="E84" s="811">
        <f>(E$1*PHOI_KG*1000/EXR-E83)*Tax_rate</f>
        <v>35.632399173162504</v>
      </c>
      <c r="F84" s="812">
        <f t="shared" si="28"/>
        <v>2.0436228937549084E-2</v>
      </c>
      <c r="G84" s="813">
        <f>(G$1*PHOI_KG*1000/EXR-G83)*Tax_rate</f>
        <v>23.303885499386798</v>
      </c>
      <c r="H84" s="814">
        <f t="shared" si="28"/>
        <v>1.2306723554178538E-2</v>
      </c>
      <c r="I84" s="815">
        <f>(I$1*PHOI_KG*1000/EXR-I83)*Tax_rate</f>
        <v>13.303885499386798</v>
      </c>
      <c r="J84" s="816">
        <f t="shared" si="29"/>
        <v>7.2162939426437429E-3</v>
      </c>
      <c r="K84" s="815">
        <f>(K$1*PHOI_KG*1000/EXR-K83)*Tax_rate</f>
        <v>18.568062714348162</v>
      </c>
      <c r="L84" s="814">
        <f t="shared" si="30"/>
        <v>1.0649330086170269E-2</v>
      </c>
      <c r="M84" s="835">
        <f>(M$1*PHOI_KG*1000/EXR-M83)*Tax_rate</f>
        <v>4.2536689822375591</v>
      </c>
      <c r="N84" s="836">
        <f t="shared" si="31"/>
        <v>2.4396042692244823E-3</v>
      </c>
      <c r="O84" s="813">
        <f>(O$1*PHOI_KG*1000/EXR-O83)*Tax_rate</f>
        <v>22.630446843563369</v>
      </c>
      <c r="P84" s="818">
        <f t="shared" ref="P84" si="63">IFERROR(O84/O$86,0)</f>
        <v>1.2979226866161344E-2</v>
      </c>
      <c r="Q84" s="412"/>
    </row>
    <row r="85" spans="1:18" ht="15" customHeight="1" x14ac:dyDescent="0.2">
      <c r="B85" s="108" t="s">
        <v>312</v>
      </c>
      <c r="C85" s="108" t="s">
        <v>183</v>
      </c>
      <c r="D85" s="428" t="s">
        <v>184</v>
      </c>
      <c r="E85" s="781">
        <f>(E$1*PHOI_KG*1000/EXR-E83)*(1-Tax_rate)</f>
        <v>142.52959669265002</v>
      </c>
      <c r="F85" s="782">
        <f t="shared" si="28"/>
        <v>8.1744915750196337E-2</v>
      </c>
      <c r="G85" s="783">
        <f>(G$1*PHOI_KG*1000/EXR-G83)*(1-Tax_rate)</f>
        <v>93.215541997547191</v>
      </c>
      <c r="H85" s="784">
        <f t="shared" si="28"/>
        <v>4.9226894216714154E-2</v>
      </c>
      <c r="I85" s="785">
        <f>(I$1*PHOI_KG*1000/EXR-I83)*(1-Tax_rate)</f>
        <v>53.215541997547191</v>
      </c>
      <c r="J85" s="786">
        <f t="shared" si="29"/>
        <v>2.8865175770574972E-2</v>
      </c>
      <c r="K85" s="785">
        <f>(K$1*PHOI_KG*1000/EXR-K83)*(1-Tax_rate)</f>
        <v>74.272250857392649</v>
      </c>
      <c r="L85" s="784">
        <f t="shared" si="30"/>
        <v>4.2597320344681076E-2</v>
      </c>
      <c r="M85" s="828">
        <f>(M$1*PHOI_KG*1000/EXR-M83)*(1-Tax_rate)</f>
        <v>17.014675928950236</v>
      </c>
      <c r="N85" s="829">
        <f t="shared" si="31"/>
        <v>9.7584170768979291E-3</v>
      </c>
      <c r="O85" s="783">
        <f>(O$1*PHOI_KG*1000/EXR-O83)*(1-Tax_rate)</f>
        <v>90.521787374253478</v>
      </c>
      <c r="P85" s="788">
        <f t="shared" ref="P85" si="64">IFERROR(O85/O$86,0)</f>
        <v>5.1916907464645376E-2</v>
      </c>
      <c r="Q85" s="109"/>
    </row>
    <row r="86" spans="1:18" ht="15" customHeight="1" x14ac:dyDescent="0.2">
      <c r="B86" s="116" t="s">
        <v>313</v>
      </c>
      <c r="C86" s="114"/>
      <c r="D86" s="433" t="s">
        <v>78</v>
      </c>
      <c r="E86" s="802">
        <f>+E83+E84+E85</f>
        <v>1743.5897435897436</v>
      </c>
      <c r="F86" s="803">
        <f t="shared" si="28"/>
        <v>1</v>
      </c>
      <c r="G86" s="804">
        <f>+G83+G84+G85</f>
        <v>1893.5897435897436</v>
      </c>
      <c r="H86" s="805">
        <f t="shared" si="28"/>
        <v>1</v>
      </c>
      <c r="I86" s="806">
        <f>+I83+I84+I85</f>
        <v>1843.5897435897436</v>
      </c>
      <c r="J86" s="807">
        <f t="shared" si="29"/>
        <v>1</v>
      </c>
      <c r="K86" s="806">
        <f>+K83+K84+K85</f>
        <v>1743.5897435897436</v>
      </c>
      <c r="L86" s="805">
        <f t="shared" si="30"/>
        <v>1</v>
      </c>
      <c r="M86" s="833">
        <f>+M83+M84+M85</f>
        <v>1743.5897435897436</v>
      </c>
      <c r="N86" s="834">
        <f t="shared" si="31"/>
        <v>1</v>
      </c>
      <c r="O86" s="804">
        <f>+O83+O84+O85</f>
        <v>1743.5897435897436</v>
      </c>
      <c r="P86" s="809">
        <f t="shared" ref="P86" si="65">IFERROR(O86/O$86,0)</f>
        <v>1</v>
      </c>
      <c r="Q86" s="115"/>
    </row>
    <row r="87" spans="1:18" ht="15" customHeight="1" thickBot="1" x14ac:dyDescent="0.25">
      <c r="B87" s="117"/>
      <c r="C87" s="117"/>
      <c r="D87" s="434" t="s">
        <v>314</v>
      </c>
      <c r="E87" s="819"/>
      <c r="F87" s="820">
        <f>1-IFERROR(F71/F$86,0)</f>
        <v>0.43840000000000001</v>
      </c>
      <c r="G87" s="821"/>
      <c r="H87" s="822">
        <f>1-IFERROR(H71/H$86,0)</f>
        <v>0.46489979831303851</v>
      </c>
      <c r="I87" s="823"/>
      <c r="J87" s="824">
        <f>1-IFERROR(J71/J$86,0)</f>
        <v>0.45038734499885802</v>
      </c>
      <c r="K87" s="823"/>
      <c r="L87" s="822">
        <f>1-IFERROR(L71/L$86,0)</f>
        <v>0.43840000000000001</v>
      </c>
      <c r="M87" s="837"/>
      <c r="N87" s="838">
        <f>1-IFERROR(N71/N$86,0)</f>
        <v>0.43840000000000001</v>
      </c>
      <c r="O87" s="821"/>
      <c r="P87" s="826">
        <f>1-IFERROR(P71/P$86,0)</f>
        <v>0.43840000000000001</v>
      </c>
      <c r="Q87" s="118"/>
    </row>
    <row r="88" spans="1:18" ht="15" thickTop="1" x14ac:dyDescent="0.2">
      <c r="E88" s="123"/>
      <c r="G88" s="123"/>
      <c r="O88" s="123"/>
    </row>
    <row r="89" spans="1:18" ht="23.25" x14ac:dyDescent="0.2">
      <c r="A89" s="778" t="s">
        <v>731</v>
      </c>
      <c r="B89" s="778" t="s">
        <v>739</v>
      </c>
    </row>
    <row r="90" spans="1:18" ht="14.25" customHeight="1" thickBot="1" x14ac:dyDescent="0.25">
      <c r="E90" s="775" t="s">
        <v>734</v>
      </c>
      <c r="G90" s="775" t="s">
        <v>735</v>
      </c>
      <c r="I90" s="775" t="s">
        <v>736</v>
      </c>
      <c r="K90" s="839" t="s">
        <v>692</v>
      </c>
      <c r="L90" s="372"/>
      <c r="M90" s="839" t="s">
        <v>737</v>
      </c>
      <c r="N90" s="372"/>
      <c r="O90" s="775" t="s">
        <v>694</v>
      </c>
    </row>
    <row r="91" spans="1:18" ht="30" customHeight="1" thickTop="1" x14ac:dyDescent="0.2">
      <c r="B91" s="106" t="s">
        <v>168</v>
      </c>
      <c r="C91" s="106" t="s">
        <v>297</v>
      </c>
      <c r="D91" s="427" t="s">
        <v>169</v>
      </c>
      <c r="E91" s="424" t="s">
        <v>732</v>
      </c>
      <c r="F91" s="435" t="s">
        <v>298</v>
      </c>
      <c r="G91" s="421" t="s">
        <v>732</v>
      </c>
      <c r="H91" s="709" t="s">
        <v>298</v>
      </c>
      <c r="I91" s="704" t="s">
        <v>732</v>
      </c>
      <c r="J91" s="779" t="s">
        <v>298</v>
      </c>
      <c r="K91" s="704" t="s">
        <v>732</v>
      </c>
      <c r="L91" s="709" t="s">
        <v>298</v>
      </c>
      <c r="M91" s="767" t="s">
        <v>732</v>
      </c>
      <c r="N91" s="827" t="s">
        <v>298</v>
      </c>
      <c r="O91" s="421" t="s">
        <v>732</v>
      </c>
      <c r="P91" s="107" t="s">
        <v>298</v>
      </c>
      <c r="Q91" s="107" t="s">
        <v>299</v>
      </c>
    </row>
    <row r="92" spans="1:18" ht="15" customHeight="1" x14ac:dyDescent="0.2">
      <c r="B92" s="108" t="s">
        <v>170</v>
      </c>
      <c r="C92" s="108">
        <v>1521</v>
      </c>
      <c r="D92" s="428" t="s">
        <v>300</v>
      </c>
      <c r="E92" s="840">
        <f>+SUM(E93:E93)</f>
        <v>25.459199999999999</v>
      </c>
      <c r="F92" s="782">
        <f>IFERROR(E92/E$107,0)</f>
        <v>0.56159999999999999</v>
      </c>
      <c r="G92" s="841">
        <f t="shared" ref="G92" si="66">+SUM(G93:G93)</f>
        <v>26.344766596388073</v>
      </c>
      <c r="H92" s="784">
        <f>IFERROR(G92/G$107,0)</f>
        <v>0.53510020168696149</v>
      </c>
      <c r="I92" s="842">
        <f t="shared" ref="I92" si="67">+SUM(I93:I93)</f>
        <v>26.344766596388073</v>
      </c>
      <c r="J92" s="786">
        <f>IFERROR(I92/I$107,0)</f>
        <v>0.54961265500114198</v>
      </c>
      <c r="K92" s="842">
        <f t="shared" ref="K92" si="68">+SUM(K93:K93)</f>
        <v>25.459199999999999</v>
      </c>
      <c r="L92" s="784">
        <f>IFERROR(K92/K$107,0)</f>
        <v>0.56159999999999988</v>
      </c>
      <c r="M92" s="843">
        <f t="shared" ref="M92" si="69">+SUM(M93:M93)</f>
        <v>25.459199999999999</v>
      </c>
      <c r="N92" s="829">
        <f>IFERROR(M92/M$107,0)</f>
        <v>0.56159999999999999</v>
      </c>
      <c r="O92" s="841">
        <f t="shared" ref="O92" si="70">+SUM(O93:O93)</f>
        <v>25.459199999999999</v>
      </c>
      <c r="P92" s="788">
        <f>IFERROR(O92/O$107,0)</f>
        <v>0.56159999999999999</v>
      </c>
      <c r="Q92" s="109"/>
      <c r="R92" s="122"/>
    </row>
    <row r="93" spans="1:18" ht="15" customHeight="1" x14ac:dyDescent="0.2">
      <c r="B93" s="110"/>
      <c r="C93" s="110"/>
      <c r="D93" s="420" t="s">
        <v>167</v>
      </c>
      <c r="E93" s="844">
        <f>E72*EXR/10^6</f>
        <v>25.459199999999999</v>
      </c>
      <c r="F93" s="790">
        <f t="shared" ref="F93:H107" si="71">IFERROR(E93/E$107,0)</f>
        <v>0.56159999999999999</v>
      </c>
      <c r="G93" s="845">
        <f>G72*EXR/10^6</f>
        <v>26.344766596388073</v>
      </c>
      <c r="H93" s="792">
        <f t="shared" si="71"/>
        <v>0.53510020168696149</v>
      </c>
      <c r="I93" s="846">
        <f>I72*EXR/10^6</f>
        <v>26.344766596388073</v>
      </c>
      <c r="J93" s="794">
        <f t="shared" ref="J93:L93" si="72">IFERROR(I93/I$107,0)</f>
        <v>0.54961265500114198</v>
      </c>
      <c r="K93" s="846">
        <f>K72*EXR/10^6</f>
        <v>25.459199999999999</v>
      </c>
      <c r="L93" s="792">
        <f t="shared" si="72"/>
        <v>0.56159999999999988</v>
      </c>
      <c r="M93" s="847">
        <f>M72*EXR/10^6</f>
        <v>25.459199999999999</v>
      </c>
      <c r="N93" s="831">
        <f t="shared" ref="N93" si="73">IFERROR(M93/M$107,0)</f>
        <v>0.56159999999999999</v>
      </c>
      <c r="O93" s="845">
        <f>O72*EXR/10^6</f>
        <v>25.459199999999999</v>
      </c>
      <c r="P93" s="796">
        <f t="shared" ref="P93" si="74">IFERROR(O93/O$107,0)</f>
        <v>0.56159999999999999</v>
      </c>
      <c r="Q93" s="112"/>
    </row>
    <row r="94" spans="1:18" ht="15" customHeight="1" x14ac:dyDescent="0.2">
      <c r="B94" s="108" t="s">
        <v>176</v>
      </c>
      <c r="C94" s="108">
        <v>1522</v>
      </c>
      <c r="D94" s="428" t="s">
        <v>301</v>
      </c>
      <c r="E94" s="840">
        <f>E73*EXR/10^6</f>
        <v>1.9162838709677452</v>
      </c>
      <c r="F94" s="782">
        <f t="shared" si="71"/>
        <v>4.2270967741935561E-2</v>
      </c>
      <c r="G94" s="841">
        <f>G73*EXR/10^6</f>
        <v>1.982939421233511</v>
      </c>
      <c r="H94" s="784">
        <f t="shared" si="71"/>
        <v>4.0276359266760549E-2</v>
      </c>
      <c r="I94" s="842">
        <f>I73*EXR/10^6</f>
        <v>1.982939421233511</v>
      </c>
      <c r="J94" s="786">
        <f t="shared" ref="J94:L94" si="75">IFERROR(I94/I$107,0)</f>
        <v>4.1368694462451547E-2</v>
      </c>
      <c r="K94" s="842">
        <f>K73*EXR/10^6</f>
        <v>1.9162838709677452</v>
      </c>
      <c r="L94" s="784">
        <f t="shared" si="75"/>
        <v>4.2270967741935547E-2</v>
      </c>
      <c r="M94" s="843">
        <f>M73*EXR/10^6</f>
        <v>1.9162838709677452</v>
      </c>
      <c r="N94" s="829">
        <f t="shared" ref="N94" si="76">IFERROR(M94/M$107,0)</f>
        <v>4.2270967741935561E-2</v>
      </c>
      <c r="O94" s="841">
        <f>O73*EXR/10^6</f>
        <v>1.9162838709677452</v>
      </c>
      <c r="P94" s="788">
        <f t="shared" ref="P94" si="77">IFERROR(O94/O$107,0)</f>
        <v>4.2270967741935554E-2</v>
      </c>
      <c r="Q94" s="113"/>
    </row>
    <row r="95" spans="1:18" ht="15" customHeight="1" x14ac:dyDescent="0.2">
      <c r="B95" s="108" t="s">
        <v>179</v>
      </c>
      <c r="C95" s="108"/>
      <c r="D95" s="428" t="s">
        <v>302</v>
      </c>
      <c r="E95" s="840">
        <f>SUM(E96:E103)</f>
        <v>13.325637569854464</v>
      </c>
      <c r="F95" s="782">
        <f t="shared" si="71"/>
        <v>0.29394788757031909</v>
      </c>
      <c r="G95" s="841">
        <f t="shared" ref="G95" si="78">SUM(G96:G103)</f>
        <v>17.876122200791464</v>
      </c>
      <c r="H95" s="784">
        <f t="shared" si="71"/>
        <v>0.36308982127538519</v>
      </c>
      <c r="I95" s="842">
        <f t="shared" ref="I95" si="79">SUM(I96:I103)</f>
        <v>17.876122200791464</v>
      </c>
      <c r="J95" s="786">
        <f t="shared" ref="J95:L95" si="80">IFERROR(I95/I$107,0)</f>
        <v>0.37293718082318766</v>
      </c>
      <c r="K95" s="842">
        <f t="shared" ref="K95" si="81">SUM(K96:K103)</f>
        <v>15.544001309500333</v>
      </c>
      <c r="L95" s="784">
        <f t="shared" si="80"/>
        <v>0.34288238182721315</v>
      </c>
      <c r="M95" s="843">
        <f t="shared" ref="M95" si="82">SUM(M96:M103)</f>
        <v>17.404872494674706</v>
      </c>
      <c r="N95" s="829">
        <f t="shared" ref="N95" si="83">IFERROR(M95/M$107,0)</f>
        <v>0.38393101091194209</v>
      </c>
      <c r="O95" s="841">
        <f t="shared" ref="O95" si="84">SUM(O96:O103)</f>
        <v>15.015891372702352</v>
      </c>
      <c r="P95" s="788">
        <f t="shared" ref="P95" si="85">IFERROR(O95/O$107,0)</f>
        <v>0.33123289792725774</v>
      </c>
      <c r="Q95" s="109"/>
    </row>
    <row r="96" spans="1:18" ht="15" customHeight="1" x14ac:dyDescent="0.2">
      <c r="B96" s="110">
        <f>SUBTOTAL(103,$D$75:D96)</f>
        <v>19</v>
      </c>
      <c r="C96" s="110" t="s">
        <v>171</v>
      </c>
      <c r="D96" s="429" t="s">
        <v>303</v>
      </c>
      <c r="E96" s="758">
        <f t="shared" ref="E96:E103" si="86">E75*EXR/10^6</f>
        <v>1.0190272351776717</v>
      </c>
      <c r="F96" s="790">
        <f t="shared" si="71"/>
        <v>2.2478541952448642E-2</v>
      </c>
      <c r="G96" s="763">
        <f t="shared" ref="G96:G103" si="87">G75*EXR/10^6</f>
        <v>1.4593944328113548</v>
      </c>
      <c r="H96" s="792">
        <f t="shared" si="71"/>
        <v>2.9642405541192039E-2</v>
      </c>
      <c r="I96" s="765">
        <f t="shared" ref="I96:I103" si="88">I75*EXR/10^6</f>
        <v>1.4593944328113548</v>
      </c>
      <c r="J96" s="794">
        <f t="shared" ref="J96:L96" si="89">IFERROR(I96/I$107,0)</f>
        <v>3.0446337263101975E-2</v>
      </c>
      <c r="K96" s="765">
        <f t="shared" ref="K96:K103" si="90">K75*EXR/10^6</f>
        <v>1.0190272351776717</v>
      </c>
      <c r="L96" s="792">
        <f t="shared" si="89"/>
        <v>2.2478541952448635E-2</v>
      </c>
      <c r="M96" s="770">
        <f t="shared" ref="M96:M103" si="91">M75*EXR/10^6</f>
        <v>1.4593944328113548</v>
      </c>
      <c r="N96" s="831">
        <f t="shared" ref="N96" si="92">IFERROR(M96/M$107,0)</f>
        <v>3.2192524253191655E-2</v>
      </c>
      <c r="O96" s="763">
        <f t="shared" ref="O96:O103" si="93">O75*EXR/10^6</f>
        <v>1.4593944328113548</v>
      </c>
      <c r="P96" s="796">
        <f t="shared" ref="P96" si="94">IFERROR(O96/O$107,0)</f>
        <v>3.2192524253191648E-2</v>
      </c>
      <c r="Q96" s="111"/>
    </row>
    <row r="97" spans="2:17" ht="15" customHeight="1" x14ac:dyDescent="0.2">
      <c r="B97" s="110">
        <f>SUBTOTAL(103,$D$75:D97)</f>
        <v>20</v>
      </c>
      <c r="C97" s="110" t="s">
        <v>173</v>
      </c>
      <c r="D97" s="429" t="s">
        <v>190</v>
      </c>
      <c r="E97" s="758">
        <f t="shared" si="86"/>
        <v>4.0461374485610486</v>
      </c>
      <c r="F97" s="790">
        <f t="shared" si="71"/>
        <v>8.9253031953552553E-2</v>
      </c>
      <c r="G97" s="763">
        <f t="shared" si="87"/>
        <v>5.4945977683663036</v>
      </c>
      <c r="H97" s="792">
        <f t="shared" si="71"/>
        <v>0.11160320450303934</v>
      </c>
      <c r="I97" s="765">
        <f t="shared" si="88"/>
        <v>5.4945977683663036</v>
      </c>
      <c r="J97" s="794">
        <f t="shared" ref="J97:L97" si="95">IFERROR(I97/I$107,0)</f>
        <v>0.1146299951675863</v>
      </c>
      <c r="K97" s="765">
        <f t="shared" si="90"/>
        <v>5.0147894519751679</v>
      </c>
      <c r="L97" s="792">
        <f t="shared" si="95"/>
        <v>0.11062035555827573</v>
      </c>
      <c r="M97" s="770">
        <f t="shared" si="91"/>
        <v>5.2063699833504122</v>
      </c>
      <c r="N97" s="831">
        <f t="shared" ref="N97" si="96">IFERROR(M97/M$107,0)</f>
        <v>0.11484639669155322</v>
      </c>
      <c r="O97" s="763">
        <f t="shared" si="93"/>
        <v>4.2377179799362956</v>
      </c>
      <c r="P97" s="796">
        <f t="shared" ref="P97" si="97">IFERROR(O97/O$107,0)</f>
        <v>9.3479073086830039E-2</v>
      </c>
      <c r="Q97" s="111"/>
    </row>
    <row r="98" spans="2:17" ht="15" customHeight="1" x14ac:dyDescent="0.2">
      <c r="B98" s="110">
        <f>SUBTOTAL(103,$D$75:D98)</f>
        <v>21</v>
      </c>
      <c r="C98" s="110" t="s">
        <v>172</v>
      </c>
      <c r="D98" s="429" t="s">
        <v>304</v>
      </c>
      <c r="E98" s="758">
        <f t="shared" si="86"/>
        <v>2.3269929351338816</v>
      </c>
      <c r="F98" s="790">
        <f t="shared" si="71"/>
        <v>5.1330726510306214E-2</v>
      </c>
      <c r="G98" s="763">
        <f t="shared" si="87"/>
        <v>4.4472363823468619</v>
      </c>
      <c r="H98" s="792">
        <f t="shared" si="71"/>
        <v>9.0329784340152916E-2</v>
      </c>
      <c r="I98" s="765">
        <f t="shared" si="88"/>
        <v>4.4472363823468619</v>
      </c>
      <c r="J98" s="794">
        <f t="shared" ref="J98:L98" si="98">IFERROR(I98/I$107,0)</f>
        <v>9.277961854687472E-2</v>
      </c>
      <c r="K98" s="765">
        <f t="shared" si="90"/>
        <v>3.48758868705153</v>
      </c>
      <c r="L98" s="792">
        <f t="shared" si="98"/>
        <v>7.6932103390842554E-2</v>
      </c>
      <c r="M98" s="770">
        <f t="shared" si="91"/>
        <v>4.2571036477598856</v>
      </c>
      <c r="N98" s="831">
        <f t="shared" ref="N98" si="99">IFERROR(M98/M$107,0)</f>
        <v>9.3906698112350431E-2</v>
      </c>
      <c r="O98" s="763">
        <f t="shared" si="93"/>
        <v>2.9258905135157458</v>
      </c>
      <c r="P98" s="796">
        <f t="shared" ref="P98" si="100">IFERROR(O98/O$107,0)</f>
        <v>6.4541702504023801E-2</v>
      </c>
      <c r="Q98" s="111"/>
    </row>
    <row r="99" spans="2:17" ht="15" customHeight="1" x14ac:dyDescent="0.2">
      <c r="B99" s="110">
        <f>SUBTOTAL(103,$D$75:D99)</f>
        <v>22</v>
      </c>
      <c r="C99" s="110" t="s">
        <v>174</v>
      </c>
      <c r="D99" s="430" t="s">
        <v>305</v>
      </c>
      <c r="E99" s="758">
        <f t="shared" si="86"/>
        <v>3.4391669276843708</v>
      </c>
      <c r="F99" s="790">
        <f t="shared" si="71"/>
        <v>7.5863976345978773E-2</v>
      </c>
      <c r="G99" s="763">
        <f t="shared" si="87"/>
        <v>4.1140024129658688</v>
      </c>
      <c r="H99" s="792">
        <f t="shared" si="71"/>
        <v>8.3561321861188934E-2</v>
      </c>
      <c r="I99" s="765">
        <f t="shared" si="88"/>
        <v>4.1140024129658688</v>
      </c>
      <c r="J99" s="794">
        <f t="shared" ref="J99:L99" si="101">IFERROR(I99/I$107,0)</f>
        <v>8.5827588587605044E-2</v>
      </c>
      <c r="K99" s="765">
        <f t="shared" si="90"/>
        <v>3.5282829119984696</v>
      </c>
      <c r="L99" s="792">
        <f t="shared" si="101"/>
        <v>7.7829770117613287E-2</v>
      </c>
      <c r="M99" s="770">
        <f t="shared" si="91"/>
        <v>3.9691643017207952</v>
      </c>
      <c r="N99" s="831">
        <f t="shared" ref="N99" si="102">IFERROR(M99/M$107,0)</f>
        <v>8.7555094890899895E-2</v>
      </c>
      <c r="O99" s="763">
        <f t="shared" si="93"/>
        <v>3.8800483174066969</v>
      </c>
      <c r="P99" s="796">
        <f t="shared" ref="P99" si="103">IFERROR(O99/O$107,0)</f>
        <v>8.5589301119265368E-2</v>
      </c>
      <c r="Q99" s="111"/>
    </row>
    <row r="100" spans="2:17" ht="15" customHeight="1" x14ac:dyDescent="0.2">
      <c r="B100" s="110">
        <f>SUBTOTAL(103,$D$75:D100)</f>
        <v>23</v>
      </c>
      <c r="C100" s="110" t="s">
        <v>182</v>
      </c>
      <c r="D100" s="429" t="s">
        <v>181</v>
      </c>
      <c r="E100" s="758">
        <f t="shared" si="86"/>
        <v>1.9493447580645158</v>
      </c>
      <c r="F100" s="790">
        <f t="shared" si="71"/>
        <v>4.3000252016129031E-2</v>
      </c>
      <c r="G100" s="763">
        <f t="shared" si="87"/>
        <v>1.7993951612903225</v>
      </c>
      <c r="H100" s="792">
        <f t="shared" si="71"/>
        <v>3.6548310655863017E-2</v>
      </c>
      <c r="I100" s="765">
        <f t="shared" si="88"/>
        <v>1.7993951612903225</v>
      </c>
      <c r="J100" s="794">
        <f t="shared" ref="J100:L100" si="104">IFERROR(I100/I$107,0)</f>
        <v>3.7539537439992818E-2</v>
      </c>
      <c r="K100" s="765">
        <f t="shared" si="90"/>
        <v>1.9493447580645158</v>
      </c>
      <c r="L100" s="792">
        <f t="shared" si="104"/>
        <v>4.3000252016129017E-2</v>
      </c>
      <c r="M100" s="770">
        <f t="shared" si="91"/>
        <v>1.9513440860215057</v>
      </c>
      <c r="N100" s="831">
        <f t="shared" ref="N100" si="105">IFERROR(M100/M$107,0)</f>
        <v>4.3044354838709685E-2</v>
      </c>
      <c r="O100" s="763">
        <f t="shared" si="93"/>
        <v>1.9513440860215057</v>
      </c>
      <c r="P100" s="796">
        <f t="shared" ref="P100" si="106">IFERROR(O100/O$107,0)</f>
        <v>4.3044354838709678E-2</v>
      </c>
      <c r="Q100" s="111"/>
    </row>
    <row r="101" spans="2:17" ht="15" customHeight="1" x14ac:dyDescent="0.2">
      <c r="B101" s="110">
        <f>SUBTOTAL(103,$D$75:D101)</f>
        <v>24</v>
      </c>
      <c r="C101" s="110" t="s">
        <v>306</v>
      </c>
      <c r="D101" s="430" t="s">
        <v>307</v>
      </c>
      <c r="E101" s="758">
        <f t="shared" si="86"/>
        <v>0.33055555555555555</v>
      </c>
      <c r="F101" s="790">
        <f t="shared" si="71"/>
        <v>7.2916666666666676E-3</v>
      </c>
      <c r="G101" s="763">
        <f t="shared" si="87"/>
        <v>0.34708333333333335</v>
      </c>
      <c r="H101" s="792">
        <f t="shared" si="71"/>
        <v>7.0497630331753554E-3</v>
      </c>
      <c r="I101" s="765">
        <f t="shared" si="88"/>
        <v>0.34708333333333335</v>
      </c>
      <c r="J101" s="794">
        <f t="shared" ref="J101:L101" si="107">IFERROR(I101/I$107,0)</f>
        <v>7.2409596662030597E-3</v>
      </c>
      <c r="K101" s="765">
        <f t="shared" si="90"/>
        <v>0.33055555555555555</v>
      </c>
      <c r="L101" s="792">
        <f t="shared" si="107"/>
        <v>7.291666666666665E-3</v>
      </c>
      <c r="M101" s="770">
        <f t="shared" si="91"/>
        <v>0.34708333333333335</v>
      </c>
      <c r="N101" s="831">
        <f t="shared" ref="N101" si="108">IFERROR(M101/M$107,0)</f>
        <v>7.6562500000000016E-3</v>
      </c>
      <c r="O101" s="763">
        <f t="shared" si="93"/>
        <v>0.34708333333333335</v>
      </c>
      <c r="P101" s="796">
        <f t="shared" ref="P101" si="109">IFERROR(O101/O$107,0)</f>
        <v>7.6562499999999999E-3</v>
      </c>
      <c r="Q101" s="111"/>
    </row>
    <row r="102" spans="2:17" ht="15" customHeight="1" x14ac:dyDescent="0.2">
      <c r="B102" s="110">
        <f>SUBTOTAL(103,$D$75:D102)</f>
        <v>25</v>
      </c>
      <c r="C102" s="110" t="s">
        <v>177</v>
      </c>
      <c r="D102" s="430" t="s">
        <v>308</v>
      </c>
      <c r="E102" s="758">
        <f t="shared" si="86"/>
        <v>0.21441270967741943</v>
      </c>
      <c r="F102" s="790">
        <f t="shared" si="71"/>
        <v>4.7296921252371936E-3</v>
      </c>
      <c r="G102" s="763">
        <f t="shared" si="87"/>
        <v>0.21441270967741943</v>
      </c>
      <c r="H102" s="792">
        <f t="shared" si="71"/>
        <v>4.3550313407735835E-3</v>
      </c>
      <c r="I102" s="765">
        <f t="shared" si="88"/>
        <v>0.21441270967741943</v>
      </c>
      <c r="J102" s="794">
        <f t="shared" ref="J102:L102" si="110">IFERROR(I102/I$107,0)</f>
        <v>4.4731441518237706E-3</v>
      </c>
      <c r="K102" s="765">
        <f t="shared" si="90"/>
        <v>0.21441270967741943</v>
      </c>
      <c r="L102" s="792">
        <f t="shared" si="110"/>
        <v>4.7296921252371928E-3</v>
      </c>
      <c r="M102" s="770">
        <f t="shared" si="91"/>
        <v>0.21441270967741943</v>
      </c>
      <c r="N102" s="831">
        <f t="shared" ref="N102" si="111">IFERROR(M102/M$107,0)</f>
        <v>4.7296921252371936E-3</v>
      </c>
      <c r="O102" s="763">
        <f t="shared" si="93"/>
        <v>0.21441270967741943</v>
      </c>
      <c r="P102" s="796">
        <f t="shared" ref="P102" si="112">IFERROR(O102/O$107,0)</f>
        <v>4.7296921252371928E-3</v>
      </c>
      <c r="Q102" s="111"/>
    </row>
    <row r="103" spans="2:17" ht="15" customHeight="1" x14ac:dyDescent="0.2">
      <c r="B103" s="408">
        <f>SUBTOTAL(103,$D$75:D103)</f>
        <v>26</v>
      </c>
      <c r="C103" s="408" t="s">
        <v>178</v>
      </c>
      <c r="D103" s="431" t="s">
        <v>309</v>
      </c>
      <c r="E103" s="759">
        <f t="shared" si="86"/>
        <v>0</v>
      </c>
      <c r="F103" s="798">
        <f t="shared" si="71"/>
        <v>0</v>
      </c>
      <c r="G103" s="764">
        <f t="shared" si="87"/>
        <v>0</v>
      </c>
      <c r="H103" s="799">
        <f t="shared" si="71"/>
        <v>0</v>
      </c>
      <c r="I103" s="766">
        <f t="shared" si="88"/>
        <v>0</v>
      </c>
      <c r="J103" s="800">
        <f t="shared" ref="J103:L103" si="113">IFERROR(I103/I$107,0)</f>
        <v>0</v>
      </c>
      <c r="K103" s="766">
        <f t="shared" si="90"/>
        <v>0</v>
      </c>
      <c r="L103" s="799">
        <f t="shared" si="113"/>
        <v>0</v>
      </c>
      <c r="M103" s="771">
        <f t="shared" si="91"/>
        <v>0</v>
      </c>
      <c r="N103" s="832">
        <f t="shared" ref="N103" si="114">IFERROR(M103/M$107,0)</f>
        <v>0</v>
      </c>
      <c r="O103" s="764">
        <f t="shared" si="93"/>
        <v>0</v>
      </c>
      <c r="P103" s="801">
        <f t="shared" ref="P103" si="115">IFERROR(O103/O$107,0)</f>
        <v>0</v>
      </c>
      <c r="Q103" s="410"/>
    </row>
    <row r="104" spans="2:17" ht="15" customHeight="1" x14ac:dyDescent="0.2">
      <c r="B104" s="110">
        <f>SUBTOTAL(103,$D$75:D104)</f>
        <v>27</v>
      </c>
      <c r="C104" s="114"/>
      <c r="D104" s="433" t="s">
        <v>310</v>
      </c>
      <c r="E104" s="848">
        <f>SUM(E93:E95)</f>
        <v>40.701121440822206</v>
      </c>
      <c r="F104" s="803">
        <f t="shared" si="71"/>
        <v>0.89781885531225458</v>
      </c>
      <c r="G104" s="849">
        <f t="shared" ref="G104" si="116">SUM(G93:G95)</f>
        <v>46.203828218413051</v>
      </c>
      <c r="H104" s="805">
        <f t="shared" si="71"/>
        <v>0.93846638222910728</v>
      </c>
      <c r="I104" s="850">
        <f t="shared" ref="I104" si="117">SUM(I93:I95)</f>
        <v>46.203828218413051</v>
      </c>
      <c r="J104" s="807">
        <f t="shared" ref="J104:L104" si="118">IFERROR(I104/I$107,0)</f>
        <v>0.96391853028678121</v>
      </c>
      <c r="K104" s="850">
        <f t="shared" ref="K104" si="119">SUM(K93:K95)</f>
        <v>42.919485180468079</v>
      </c>
      <c r="L104" s="805">
        <f t="shared" si="118"/>
        <v>0.94675334956914858</v>
      </c>
      <c r="M104" s="851">
        <f t="shared" ref="M104" si="120">SUM(M93:M95)</f>
        <v>44.780356365642447</v>
      </c>
      <c r="N104" s="834">
        <f t="shared" ref="N104" si="121">IFERROR(M104/M$107,0)</f>
        <v>0.98780197865387764</v>
      </c>
      <c r="O104" s="849">
        <f t="shared" ref="O104" si="122">SUM(O93:O95)</f>
        <v>42.391375243670097</v>
      </c>
      <c r="P104" s="809">
        <f t="shared" ref="P104" si="123">IFERROR(O104/O$107,0)</f>
        <v>0.93510386566919323</v>
      </c>
      <c r="Q104" s="115"/>
    </row>
    <row r="105" spans="2:17" ht="15" customHeight="1" x14ac:dyDescent="0.2">
      <c r="B105" s="411">
        <f>SUBTOTAL(103,$D$75:D105)</f>
        <v>28</v>
      </c>
      <c r="C105" s="411" t="s">
        <v>185</v>
      </c>
      <c r="D105" s="432" t="s">
        <v>311</v>
      </c>
      <c r="E105" s="852">
        <f>E84*EXR/10^6</f>
        <v>0.92644237850222511</v>
      </c>
      <c r="F105" s="812">
        <f t="shared" si="71"/>
        <v>2.0436228937549084E-2</v>
      </c>
      <c r="G105" s="853">
        <f>G84*EXR/10^6</f>
        <v>0.60590102298405668</v>
      </c>
      <c r="H105" s="814">
        <f t="shared" si="71"/>
        <v>1.2306723554178538E-2</v>
      </c>
      <c r="I105" s="854">
        <f>I84*EXR/10^6</f>
        <v>0.34590102298405673</v>
      </c>
      <c r="J105" s="816">
        <f t="shared" ref="J105:L105" si="124">IFERROR(I105/I$107,0)</f>
        <v>7.2162939426437421E-3</v>
      </c>
      <c r="K105" s="854">
        <f>K84*EXR/10^6</f>
        <v>0.48276963057305222</v>
      </c>
      <c r="L105" s="814">
        <f t="shared" si="124"/>
        <v>1.0649330086170267E-2</v>
      </c>
      <c r="M105" s="855">
        <f>M84*EXR/10^6</f>
        <v>0.11059539353817653</v>
      </c>
      <c r="N105" s="836">
        <f t="shared" ref="N105" si="125">IFERROR(M105/M$107,0)</f>
        <v>2.4396042692244827E-3</v>
      </c>
      <c r="O105" s="853">
        <f>O84*EXR/10^6</f>
        <v>0.5883916179326476</v>
      </c>
      <c r="P105" s="818">
        <f t="shared" ref="P105" si="126">IFERROR(O105/O$107,0)</f>
        <v>1.2979226866161344E-2</v>
      </c>
      <c r="Q105" s="412"/>
    </row>
    <row r="106" spans="2:17" ht="15" customHeight="1" x14ac:dyDescent="0.2">
      <c r="B106" s="108" t="s">
        <v>312</v>
      </c>
      <c r="C106" s="108" t="s">
        <v>183</v>
      </c>
      <c r="D106" s="428" t="s">
        <v>184</v>
      </c>
      <c r="E106" s="840">
        <f>E85*EXR/10^6</f>
        <v>3.7057695140089004</v>
      </c>
      <c r="F106" s="782">
        <f t="shared" si="71"/>
        <v>8.1744915750196337E-2</v>
      </c>
      <c r="G106" s="841">
        <f>G85*EXR/10^6</f>
        <v>2.4236040919362267</v>
      </c>
      <c r="H106" s="784">
        <f t="shared" si="71"/>
        <v>4.9226894216714154E-2</v>
      </c>
      <c r="I106" s="842">
        <f>I85*EXR/10^6</f>
        <v>1.3836040919362269</v>
      </c>
      <c r="J106" s="786">
        <f t="shared" ref="J106:L106" si="127">IFERROR(I106/I$107,0)</f>
        <v>2.8865175770574968E-2</v>
      </c>
      <c r="K106" s="842">
        <f>K85*EXR/10^6</f>
        <v>1.9310785222922089</v>
      </c>
      <c r="L106" s="784">
        <f t="shared" si="127"/>
        <v>4.2597320344681069E-2</v>
      </c>
      <c r="M106" s="843">
        <f>M85*EXR/10^6</f>
        <v>0.44238157415270613</v>
      </c>
      <c r="N106" s="829">
        <f t="shared" ref="N106" si="128">IFERROR(M106/M$107,0)</f>
        <v>9.7584170768979309E-3</v>
      </c>
      <c r="O106" s="841">
        <f>O85*EXR/10^6</f>
        <v>2.3535664717305904</v>
      </c>
      <c r="P106" s="788">
        <f t="shared" ref="P106" si="129">IFERROR(O106/O$107,0)</f>
        <v>5.1916907464645376E-2</v>
      </c>
      <c r="Q106" s="109"/>
    </row>
    <row r="107" spans="2:17" ht="15" customHeight="1" x14ac:dyDescent="0.2">
      <c r="B107" s="116" t="s">
        <v>313</v>
      </c>
      <c r="C107" s="114"/>
      <c r="D107" s="433" t="s">
        <v>78</v>
      </c>
      <c r="E107" s="848">
        <f>+E104+E105+E106</f>
        <v>45.333333333333329</v>
      </c>
      <c r="F107" s="803">
        <f t="shared" si="71"/>
        <v>1</v>
      </c>
      <c r="G107" s="849">
        <f t="shared" ref="G107" si="130">+G104+G105+G106</f>
        <v>49.233333333333334</v>
      </c>
      <c r="H107" s="805">
        <f t="shared" si="71"/>
        <v>1</v>
      </c>
      <c r="I107" s="850">
        <f t="shared" ref="I107" si="131">+I104+I105+I106</f>
        <v>47.933333333333337</v>
      </c>
      <c r="J107" s="807">
        <f t="shared" ref="J107:L107" si="132">IFERROR(I107/I$107,0)</f>
        <v>1</v>
      </c>
      <c r="K107" s="850">
        <f t="shared" ref="K107" si="133">+K104+K105+K106</f>
        <v>45.333333333333343</v>
      </c>
      <c r="L107" s="805">
        <f t="shared" si="132"/>
        <v>1</v>
      </c>
      <c r="M107" s="851">
        <f t="shared" ref="M107" si="134">+M104+M105+M106</f>
        <v>45.333333333333329</v>
      </c>
      <c r="N107" s="834">
        <f t="shared" ref="N107" si="135">IFERROR(M107/M$107,0)</f>
        <v>1</v>
      </c>
      <c r="O107" s="849">
        <f t="shared" ref="O107" si="136">+O104+O105+O106</f>
        <v>45.333333333333336</v>
      </c>
      <c r="P107" s="809">
        <f t="shared" ref="P107" si="137">IFERROR(O107/O$107,0)</f>
        <v>1</v>
      </c>
      <c r="Q107" s="115"/>
    </row>
    <row r="108" spans="2:17" ht="15" customHeight="1" thickBot="1" x14ac:dyDescent="0.25">
      <c r="B108" s="117"/>
      <c r="C108" s="117"/>
      <c r="D108" s="434" t="s">
        <v>314</v>
      </c>
      <c r="E108" s="819"/>
      <c r="F108" s="820">
        <f>1-IFERROR(F92/F$107,0)</f>
        <v>0.43840000000000001</v>
      </c>
      <c r="G108" s="856"/>
      <c r="H108" s="822">
        <f>1-IFERROR(H92/H$107,0)</f>
        <v>0.46489979831303851</v>
      </c>
      <c r="I108" s="857"/>
      <c r="J108" s="824">
        <f>1-IFERROR(J92/J$107,0)</f>
        <v>0.45038734499885802</v>
      </c>
      <c r="K108" s="857"/>
      <c r="L108" s="822">
        <f>1-IFERROR(L92/L$107,0)</f>
        <v>0.43840000000000012</v>
      </c>
      <c r="M108" s="858"/>
      <c r="N108" s="838">
        <f>1-IFERROR(N92/N$107,0)</f>
        <v>0.43840000000000001</v>
      </c>
      <c r="O108" s="856"/>
      <c r="P108" s="826">
        <f>1-IFERROR(P92/P$107,0)</f>
        <v>0.43840000000000001</v>
      </c>
      <c r="Q108" s="118"/>
    </row>
    <row r="109" spans="2:17" s="760" customFormat="1" ht="15" thickTop="1" x14ac:dyDescent="0.2">
      <c r="D109" s="760" t="s">
        <v>733</v>
      </c>
      <c r="E109" s="761">
        <f>E107-E86*EXR/10^6</f>
        <v>0</v>
      </c>
      <c r="G109" s="762">
        <f>G107-G86*EXR/10^6</f>
        <v>0</v>
      </c>
      <c r="H109" s="762"/>
      <c r="I109" s="762">
        <f>I107-I86*EXR/10^6</f>
        <v>0</v>
      </c>
      <c r="J109" s="762"/>
      <c r="K109" s="762">
        <f>K107-K86*EXR/10^6</f>
        <v>0</v>
      </c>
      <c r="L109" s="762"/>
      <c r="M109" s="762">
        <f>M107-M86*EXR/10^6</f>
        <v>0</v>
      </c>
      <c r="N109" s="762"/>
      <c r="O109" s="762">
        <f>O107-O86*EXR/10^6</f>
        <v>0</v>
      </c>
      <c r="P109" s="762"/>
    </row>
    <row r="110" spans="2:17" x14ac:dyDescent="0.2">
      <c r="E110" s="145"/>
    </row>
    <row r="111" spans="2:17" x14ac:dyDescent="0.2">
      <c r="K111" s="145"/>
    </row>
    <row r="119" ht="15" thickBot="1" x14ac:dyDescent="0.25"/>
    <row r="120" s="413" customFormat="1" x14ac:dyDescent="0.2"/>
  </sheetData>
  <phoneticPr fontId="12" type="noConversion"/>
  <printOptions horizontalCentered="1"/>
  <pageMargins left="0.51181102362204722" right="0.31496062992125984" top="0.55118110236220474" bottom="0.35433070866141736" header="0.31496062992125984" footer="0.31496062992125984"/>
  <pageSetup paperSize="9" scale="90" orientation="landscape" r:id="rId1"/>
  <drawing r:id="rId2"/>
  <legacy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D3B5-8E96-44DC-84EC-AE7109368B93}">
  <sheetPr>
    <tabColor rgb="FFC00000"/>
  </sheetPr>
  <dimension ref="A1:EV75"/>
  <sheetViews>
    <sheetView showGridLines="0" zoomScale="74" zoomScaleNormal="85" workbookViewId="0">
      <pane xSplit="3" ySplit="3" topLeftCell="K44" activePane="bottomRight" state="frozen"/>
      <selection activeCell="Q68" sqref="Q68"/>
      <selection pane="topRight" activeCell="Q68" sqref="Q68"/>
      <selection pane="bottomLeft" activeCell="Q68" sqref="Q68"/>
      <selection pane="bottomRight" activeCell="Q68" sqref="Q68"/>
    </sheetView>
  </sheetViews>
  <sheetFormatPr defaultRowHeight="15" x14ac:dyDescent="0.25"/>
  <cols>
    <col min="1" max="1" width="41.25" customWidth="1"/>
    <col min="2" max="2" width="32.75" style="60" customWidth="1"/>
    <col min="3" max="3" width="15.5" bestFit="1" customWidth="1"/>
    <col min="4" max="4" width="21" style="20" customWidth="1"/>
    <col min="5" max="5" width="18.125" bestFit="1" customWidth="1"/>
    <col min="6" max="6" width="16.75" bestFit="1" customWidth="1"/>
    <col min="7" max="7" width="20.125" bestFit="1" customWidth="1"/>
    <col min="8" max="8" width="17" customWidth="1"/>
    <col min="9" max="9" width="1.25" customWidth="1"/>
    <col min="10" max="10" width="19.25" bestFit="1" customWidth="1"/>
    <col min="11" max="11" width="17.25" bestFit="1" customWidth="1"/>
    <col min="12" max="12" width="15" bestFit="1" customWidth="1"/>
    <col min="13" max="13" width="16.125" bestFit="1" customWidth="1"/>
    <col min="14" max="14" width="10.75" bestFit="1" customWidth="1"/>
    <col min="15" max="15" width="1.5" customWidth="1"/>
    <col min="16" max="16" width="19.25" bestFit="1" customWidth="1"/>
    <col min="17" max="17" width="17.25" bestFit="1" customWidth="1"/>
    <col min="18" max="18" width="15" bestFit="1" customWidth="1"/>
    <col min="19" max="19" width="16.125" bestFit="1" customWidth="1"/>
    <col min="20" max="20" width="10.75" bestFit="1" customWidth="1"/>
    <col min="21" max="21" width="1.5" customWidth="1"/>
    <col min="22" max="22" width="19.25" bestFit="1" customWidth="1"/>
    <col min="23" max="23" width="17.25" bestFit="1" customWidth="1"/>
    <col min="24" max="24" width="15" bestFit="1" customWidth="1"/>
    <col min="25" max="25" width="16.125" bestFit="1" customWidth="1"/>
    <col min="26" max="26" width="10.75" bestFit="1" customWidth="1"/>
    <col min="27" max="27" width="1.5" customWidth="1"/>
    <col min="28" max="28" width="19.25" bestFit="1" customWidth="1"/>
    <col min="29" max="29" width="17.25" bestFit="1" customWidth="1"/>
    <col min="30" max="30" width="15" bestFit="1" customWidth="1"/>
    <col min="31" max="31" width="16.125" bestFit="1" customWidth="1"/>
    <col min="32" max="32" width="10.75" bestFit="1" customWidth="1"/>
    <col min="33" max="33" width="1.5" customWidth="1"/>
    <col min="34" max="34" width="19.25" bestFit="1" customWidth="1"/>
    <col min="35" max="35" width="17.25" bestFit="1" customWidth="1"/>
    <col min="36" max="36" width="15" bestFit="1" customWidth="1"/>
    <col min="37" max="37" width="16.125" bestFit="1" customWidth="1"/>
    <col min="38" max="38" width="10.75" bestFit="1" customWidth="1"/>
    <col min="39" max="39" width="1.5" customWidth="1"/>
    <col min="40" max="40" width="19.25" bestFit="1" customWidth="1"/>
    <col min="41" max="41" width="17.25" bestFit="1" customWidth="1"/>
    <col min="42" max="42" width="15" bestFit="1" customWidth="1"/>
    <col min="43" max="43" width="16.125" bestFit="1" customWidth="1"/>
    <col min="44" max="44" width="10.75" bestFit="1" customWidth="1"/>
    <col min="45" max="45" width="1.5" customWidth="1"/>
    <col min="46" max="46" width="19.25" bestFit="1" customWidth="1"/>
    <col min="47" max="47" width="17.25" bestFit="1" customWidth="1"/>
    <col min="48" max="48" width="15" bestFit="1" customWidth="1"/>
    <col min="49" max="49" width="16.125" bestFit="1" customWidth="1"/>
    <col min="50" max="50" width="10.75" bestFit="1" customWidth="1"/>
    <col min="51" max="51" width="1.5" customWidth="1"/>
    <col min="52" max="52" width="19.25" bestFit="1" customWidth="1"/>
    <col min="53" max="53" width="17.25" bestFit="1" customWidth="1"/>
    <col min="54" max="54" width="15" bestFit="1" customWidth="1"/>
    <col min="55" max="55" width="16.125" bestFit="1" customWidth="1"/>
    <col min="56" max="56" width="10.75" bestFit="1" customWidth="1"/>
    <col min="57" max="57" width="1.5" customWidth="1"/>
    <col min="58" max="58" width="19.25" bestFit="1" customWidth="1"/>
    <col min="59" max="59" width="17.25" bestFit="1" customWidth="1"/>
    <col min="60" max="60" width="15" bestFit="1" customWidth="1"/>
    <col min="61" max="61" width="16.125" bestFit="1" customWidth="1"/>
    <col min="62" max="62" width="10.75" bestFit="1" customWidth="1"/>
    <col min="63" max="63" width="1.5" customWidth="1"/>
    <col min="64" max="64" width="19.25" bestFit="1" customWidth="1"/>
    <col min="65" max="65" width="17.25" bestFit="1" customWidth="1"/>
    <col min="66" max="66" width="15" bestFit="1" customWidth="1"/>
    <col min="67" max="67" width="16.125" bestFit="1" customWidth="1"/>
    <col min="68" max="68" width="10.75" bestFit="1" customWidth="1"/>
    <col min="69" max="69" width="1.5" customWidth="1"/>
    <col min="70" max="70" width="19.25" bestFit="1" customWidth="1"/>
    <col min="71" max="71" width="17.25" bestFit="1" customWidth="1"/>
    <col min="72" max="72" width="15" bestFit="1" customWidth="1"/>
    <col min="73" max="73" width="16.125" bestFit="1" customWidth="1"/>
    <col min="74" max="74" width="10.75" bestFit="1" customWidth="1"/>
    <col min="75" max="75" width="1.5" customWidth="1"/>
    <col min="76" max="76" width="19.25" bestFit="1" customWidth="1"/>
    <col min="77" max="77" width="17.25" bestFit="1" customWidth="1"/>
    <col min="78" max="78" width="15" bestFit="1" customWidth="1"/>
    <col min="79" max="79" width="16.125" bestFit="1" customWidth="1"/>
    <col min="80" max="80" width="10.75" bestFit="1" customWidth="1"/>
    <col min="81" max="81" width="1.5" customWidth="1"/>
    <col min="82" max="82" width="19.25" bestFit="1" customWidth="1"/>
    <col min="83" max="83" width="17.25" bestFit="1" customWidth="1"/>
    <col min="84" max="84" width="15" bestFit="1" customWidth="1"/>
    <col min="85" max="85" width="16.125" bestFit="1" customWidth="1"/>
    <col min="86" max="86" width="10.75" bestFit="1" customWidth="1"/>
    <col min="87" max="87" width="1.5" customWidth="1"/>
    <col min="88" max="88" width="19.25" bestFit="1" customWidth="1"/>
    <col min="89" max="89" width="17.25" bestFit="1" customWidth="1"/>
    <col min="90" max="90" width="15" bestFit="1" customWidth="1"/>
    <col min="91" max="91" width="16.125" bestFit="1" customWidth="1"/>
    <col min="92" max="92" width="10.75" bestFit="1" customWidth="1"/>
    <col min="93" max="93" width="1.5" customWidth="1"/>
    <col min="94" max="94" width="19.25" bestFit="1" customWidth="1"/>
    <col min="95" max="95" width="17.25" bestFit="1" customWidth="1"/>
    <col min="96" max="96" width="15" bestFit="1" customWidth="1"/>
    <col min="97" max="97" width="16.125" bestFit="1" customWidth="1"/>
    <col min="98" max="98" width="10.75" bestFit="1" customWidth="1"/>
    <col min="99" max="99" width="1.5" customWidth="1"/>
    <col min="100" max="100" width="19.25" bestFit="1" customWidth="1"/>
    <col min="101" max="101" width="17.25" bestFit="1" customWidth="1"/>
    <col min="102" max="102" width="15" bestFit="1" customWidth="1"/>
    <col min="103" max="103" width="16.125" bestFit="1" customWidth="1"/>
    <col min="104" max="104" width="10.75" bestFit="1" customWidth="1"/>
    <col min="105" max="105" width="1.5" customWidth="1"/>
    <col min="106" max="106" width="19.25" bestFit="1" customWidth="1"/>
    <col min="107" max="107" width="17.25" bestFit="1" customWidth="1"/>
    <col min="108" max="108" width="15" bestFit="1" customWidth="1"/>
    <col min="109" max="109" width="16.125" bestFit="1" customWidth="1"/>
    <col min="110" max="110" width="10.75" bestFit="1" customWidth="1"/>
    <col min="111" max="111" width="1.5" customWidth="1"/>
    <col min="112" max="112" width="19.25" bestFit="1" customWidth="1"/>
    <col min="113" max="113" width="17.25" bestFit="1" customWidth="1"/>
    <col min="114" max="114" width="15" bestFit="1" customWidth="1"/>
    <col min="115" max="115" width="16.125" bestFit="1" customWidth="1"/>
    <col min="116" max="116" width="10.75" bestFit="1" customWidth="1"/>
    <col min="117" max="117" width="1.5" customWidth="1"/>
    <col min="118" max="118" width="19.25" bestFit="1" customWidth="1"/>
    <col min="119" max="119" width="17.25" bestFit="1" customWidth="1"/>
    <col min="120" max="120" width="15" bestFit="1" customWidth="1"/>
    <col min="121" max="121" width="16.125" bestFit="1" customWidth="1"/>
    <col min="122" max="122" width="10.75" bestFit="1" customWidth="1"/>
    <col min="123" max="123" width="1.5" customWidth="1"/>
    <col min="124" max="124" width="19.25" bestFit="1" customWidth="1"/>
    <col min="125" max="125" width="17.25" bestFit="1" customWidth="1"/>
    <col min="126" max="126" width="15" bestFit="1" customWidth="1"/>
    <col min="127" max="127" width="16.125" bestFit="1" customWidth="1"/>
    <col min="128" max="128" width="10.75" bestFit="1" customWidth="1"/>
    <col min="129" max="129" width="1.5" customWidth="1"/>
    <col min="130" max="130" width="19.25" bestFit="1" customWidth="1"/>
    <col min="131" max="131" width="17.25" bestFit="1" customWidth="1"/>
    <col min="132" max="132" width="15" bestFit="1" customWidth="1"/>
    <col min="133" max="133" width="16.125" bestFit="1" customWidth="1"/>
    <col min="134" max="134" width="10.75" bestFit="1" customWidth="1"/>
    <col min="135" max="135" width="1.5" customWidth="1"/>
    <col min="136" max="136" width="19.25" bestFit="1" customWidth="1"/>
    <col min="137" max="137" width="17.25" bestFit="1" customWidth="1"/>
    <col min="138" max="138" width="15" bestFit="1" customWidth="1"/>
    <col min="139" max="139" width="16.125" bestFit="1" customWidth="1"/>
    <col min="140" max="140" width="10.75" bestFit="1" customWidth="1"/>
    <col min="141" max="141" width="1.5" customWidth="1"/>
    <col min="142" max="142" width="19.25" bestFit="1" customWidth="1"/>
    <col min="143" max="143" width="17.25" bestFit="1" customWidth="1"/>
    <col min="144" max="144" width="15" bestFit="1" customWidth="1"/>
    <col min="145" max="145" width="16.125" bestFit="1" customWidth="1"/>
    <col min="146" max="146" width="10.75" bestFit="1" customWidth="1"/>
    <col min="147" max="147" width="1.5" customWidth="1"/>
    <col min="148" max="148" width="19.25" bestFit="1" customWidth="1"/>
    <col min="149" max="149" width="17.25" bestFit="1" customWidth="1"/>
    <col min="150" max="150" width="15" bestFit="1" customWidth="1"/>
    <col min="151" max="151" width="16.125" bestFit="1" customWidth="1"/>
    <col min="152" max="152" width="10.75" bestFit="1" customWidth="1"/>
  </cols>
  <sheetData>
    <row r="1" spans="1:152" x14ac:dyDescent="0.25">
      <c r="B1" s="317" t="s">
        <v>693</v>
      </c>
      <c r="C1" s="321">
        <f>VALUE(RIGHT(B1,1))</f>
        <v>5</v>
      </c>
      <c r="D1" s="319" t="str">
        <f>Currency</f>
        <v>VND</v>
      </c>
      <c r="E1" s="15">
        <f>IF(D1="USD",EXR,1)</f>
        <v>1</v>
      </c>
      <c r="F1" s="127" t="s">
        <v>524</v>
      </c>
      <c r="G1" s="127">
        <v>0</v>
      </c>
      <c r="L1" s="127" t="s">
        <v>524</v>
      </c>
      <c r="M1" s="127">
        <v>0</v>
      </c>
      <c r="R1" s="127" t="s">
        <v>524</v>
      </c>
      <c r="S1" s="127">
        <f>M1+1</f>
        <v>1</v>
      </c>
      <c r="X1" s="127" t="s">
        <v>524</v>
      </c>
      <c r="Y1" s="127">
        <f>S1+1</f>
        <v>2</v>
      </c>
      <c r="AD1" s="127" t="s">
        <v>524</v>
      </c>
      <c r="AE1" s="127">
        <f>Y1+1</f>
        <v>3</v>
      </c>
      <c r="AJ1" s="127" t="s">
        <v>524</v>
      </c>
      <c r="AK1" s="127">
        <f>AE1+1</f>
        <v>4</v>
      </c>
      <c r="AP1" s="127" t="s">
        <v>524</v>
      </c>
      <c r="AQ1" s="127">
        <f>AK1+1</f>
        <v>5</v>
      </c>
      <c r="AV1" s="127" t="s">
        <v>524</v>
      </c>
      <c r="AW1" s="127">
        <f>AQ1+1</f>
        <v>6</v>
      </c>
      <c r="BB1" s="127" t="s">
        <v>524</v>
      </c>
      <c r="BC1" s="127">
        <f>AW1+1</f>
        <v>7</v>
      </c>
      <c r="BH1" s="127" t="s">
        <v>524</v>
      </c>
      <c r="BI1" s="127">
        <f>BC1+1</f>
        <v>8</v>
      </c>
      <c r="BN1" s="127" t="s">
        <v>524</v>
      </c>
      <c r="BO1" s="127">
        <f>BI1+1</f>
        <v>9</v>
      </c>
      <c r="BT1" s="127" t="s">
        <v>524</v>
      </c>
      <c r="BU1" s="127">
        <f>BO1+1</f>
        <v>10</v>
      </c>
      <c r="BZ1" s="127" t="s">
        <v>524</v>
      </c>
      <c r="CA1" s="127">
        <f>BU1+1</f>
        <v>11</v>
      </c>
      <c r="CF1" s="127" t="s">
        <v>524</v>
      </c>
      <c r="CG1" s="127">
        <f>CA1+1</f>
        <v>12</v>
      </c>
      <c r="CL1" s="127" t="s">
        <v>524</v>
      </c>
      <c r="CM1" s="127">
        <f>CG1+1</f>
        <v>13</v>
      </c>
      <c r="CR1" s="127" t="s">
        <v>524</v>
      </c>
      <c r="CS1" s="127">
        <f>CM1+1</f>
        <v>14</v>
      </c>
      <c r="CX1" s="127" t="s">
        <v>524</v>
      </c>
      <c r="CY1" s="127">
        <f>CS1+1</f>
        <v>15</v>
      </c>
      <c r="DD1" s="127" t="s">
        <v>524</v>
      </c>
      <c r="DE1" s="127">
        <f>CY1+1</f>
        <v>16</v>
      </c>
      <c r="DJ1" s="127" t="s">
        <v>524</v>
      </c>
      <c r="DK1" s="127">
        <f>DE1+1</f>
        <v>17</v>
      </c>
      <c r="DP1" s="127" t="s">
        <v>524</v>
      </c>
      <c r="DQ1" s="127">
        <f>DK1+1</f>
        <v>18</v>
      </c>
      <c r="DV1" s="127" t="s">
        <v>524</v>
      </c>
      <c r="DW1" s="127">
        <f>DQ1+1</f>
        <v>19</v>
      </c>
      <c r="EB1" s="127" t="s">
        <v>524</v>
      </c>
      <c r="EC1" s="127">
        <f>DW1+1</f>
        <v>20</v>
      </c>
      <c r="EH1" s="127" t="s">
        <v>524</v>
      </c>
      <c r="EI1" s="127">
        <f>EC1+1</f>
        <v>21</v>
      </c>
      <c r="EN1" s="127" t="s">
        <v>524</v>
      </c>
      <c r="EO1" s="127">
        <f>EI1+1</f>
        <v>22</v>
      </c>
      <c r="ET1" s="127" t="s">
        <v>524</v>
      </c>
      <c r="EU1" s="127">
        <f>EO1+1</f>
        <v>23</v>
      </c>
    </row>
    <row r="2" spans="1:152" ht="17.25" x14ac:dyDescent="0.3">
      <c r="B2" s="50" t="s">
        <v>350</v>
      </c>
      <c r="C2" s="49"/>
      <c r="D2" s="135"/>
      <c r="E2" s="49"/>
      <c r="F2" s="49"/>
      <c r="G2" s="49"/>
      <c r="H2" s="327">
        <v>1</v>
      </c>
      <c r="J2" s="50" t="str">
        <f>"Year "&amp;N2&amp;" - Mass Production"</f>
        <v>Year 2 - Mass Production</v>
      </c>
      <c r="K2" s="49"/>
      <c r="L2" s="49"/>
      <c r="M2" s="49"/>
      <c r="N2" s="328">
        <f>H2+1</f>
        <v>2</v>
      </c>
      <c r="P2" s="50" t="str">
        <f>"Year "&amp;T2&amp;" - Mass Production"</f>
        <v>Year 3 - Mass Production</v>
      </c>
      <c r="Q2" s="49"/>
      <c r="R2" s="49"/>
      <c r="S2" s="49"/>
      <c r="T2" s="328">
        <f>N2+1</f>
        <v>3</v>
      </c>
      <c r="V2" s="50" t="str">
        <f>"Year "&amp;Z2&amp;" - Mass Production"</f>
        <v>Year 4 - Mass Production</v>
      </c>
      <c r="W2" s="49"/>
      <c r="X2" s="49"/>
      <c r="Y2" s="49"/>
      <c r="Z2" s="328">
        <f>T2+1</f>
        <v>4</v>
      </c>
      <c r="AB2" s="50" t="str">
        <f>"Year "&amp;AF2&amp;" - Mass Production"</f>
        <v>Year 5 - Mass Production</v>
      </c>
      <c r="AC2" s="49"/>
      <c r="AD2" s="49"/>
      <c r="AE2" s="49"/>
      <c r="AF2" s="328">
        <f>Z2+1</f>
        <v>5</v>
      </c>
      <c r="AH2" s="50" t="str">
        <f>"Year "&amp;AL2&amp;" - Mass Production"</f>
        <v>Year 6 - Mass Production</v>
      </c>
      <c r="AI2" s="49"/>
      <c r="AJ2" s="49"/>
      <c r="AK2" s="49"/>
      <c r="AL2" s="328">
        <f>AF2+1</f>
        <v>6</v>
      </c>
      <c r="AN2" s="50" t="str">
        <f>"Year "&amp;AR2&amp;" - Mass Production"</f>
        <v>Year 7 - Mass Production</v>
      </c>
      <c r="AO2" s="49"/>
      <c r="AP2" s="49"/>
      <c r="AQ2" s="49"/>
      <c r="AR2" s="328">
        <f>AL2+1</f>
        <v>7</v>
      </c>
      <c r="AT2" s="50" t="str">
        <f>"Year "&amp;AX2&amp;" - Mass Production"</f>
        <v>Year 8 - Mass Production</v>
      </c>
      <c r="AU2" s="49"/>
      <c r="AV2" s="49"/>
      <c r="AW2" s="49"/>
      <c r="AX2" s="328">
        <f>AR2+1</f>
        <v>8</v>
      </c>
      <c r="AZ2" s="50" t="str">
        <f>"Year "&amp;BD2&amp;" - Mass Production"</f>
        <v>Year 9 - Mass Production</v>
      </c>
      <c r="BA2" s="49"/>
      <c r="BB2" s="49"/>
      <c r="BC2" s="49"/>
      <c r="BD2" s="328">
        <f>AX2+1</f>
        <v>9</v>
      </c>
      <c r="BF2" s="50" t="str">
        <f>"Year "&amp;BJ2&amp;" - Mass Production"</f>
        <v>Year 10 - Mass Production</v>
      </c>
      <c r="BG2" s="49"/>
      <c r="BH2" s="49"/>
      <c r="BI2" s="49"/>
      <c r="BJ2" s="328">
        <f>BD2+1</f>
        <v>10</v>
      </c>
      <c r="BL2" s="50" t="str">
        <f>"Year "&amp;BP2&amp;" - Mass Production"</f>
        <v>Year 11 - Mass Production</v>
      </c>
      <c r="BM2" s="49"/>
      <c r="BN2" s="49"/>
      <c r="BO2" s="49"/>
      <c r="BP2" s="328">
        <f>BJ2+1</f>
        <v>11</v>
      </c>
      <c r="BR2" s="50" t="str">
        <f>"Year "&amp;BV2&amp;" - Mass Production"</f>
        <v>Year 12 - Mass Production</v>
      </c>
      <c r="BS2" s="49"/>
      <c r="BT2" s="49"/>
      <c r="BU2" s="49"/>
      <c r="BV2" s="328">
        <f>BP2+1</f>
        <v>12</v>
      </c>
      <c r="BX2" s="50" t="str">
        <f>"Year "&amp;CB2&amp;" - Mass Production"</f>
        <v>Year 13 - Mass Production</v>
      </c>
      <c r="BY2" s="49"/>
      <c r="BZ2" s="49"/>
      <c r="CA2" s="49"/>
      <c r="CB2" s="328">
        <f>BV2+1</f>
        <v>13</v>
      </c>
      <c r="CD2" s="50" t="str">
        <f>"Year "&amp;CH2&amp;" - Mass Production"</f>
        <v>Year 14 - Mass Production</v>
      </c>
      <c r="CE2" s="49"/>
      <c r="CF2" s="49"/>
      <c r="CG2" s="49"/>
      <c r="CH2" s="328">
        <f>CB2+1</f>
        <v>14</v>
      </c>
      <c r="CJ2" s="50" t="str">
        <f>"Year "&amp;CN2&amp;" - Mass Production"</f>
        <v>Year 15 - Mass Production</v>
      </c>
      <c r="CK2" s="49"/>
      <c r="CL2" s="49"/>
      <c r="CM2" s="49"/>
      <c r="CN2" s="328">
        <f>CH2+1</f>
        <v>15</v>
      </c>
      <c r="CP2" s="50" t="str">
        <f>"Year "&amp;CT2&amp;" - Mass Production"</f>
        <v>Year 16 - Mass Production</v>
      </c>
      <c r="CQ2" s="49"/>
      <c r="CR2" s="49"/>
      <c r="CS2" s="49"/>
      <c r="CT2" s="328">
        <f>CN2+1</f>
        <v>16</v>
      </c>
      <c r="CV2" s="50" t="str">
        <f>"Year "&amp;CZ2&amp;" - Mass Production"</f>
        <v>Year 17 - Mass Production</v>
      </c>
      <c r="CW2" s="49"/>
      <c r="CX2" s="49"/>
      <c r="CY2" s="49"/>
      <c r="CZ2" s="328">
        <f>CT2+1</f>
        <v>17</v>
      </c>
      <c r="DB2" s="50" t="str">
        <f>"Year "&amp;DF2&amp;" - Mass Production"</f>
        <v>Year 18 - Mass Production</v>
      </c>
      <c r="DC2" s="49"/>
      <c r="DD2" s="49"/>
      <c r="DE2" s="49"/>
      <c r="DF2" s="328">
        <f>CZ2+1</f>
        <v>18</v>
      </c>
      <c r="DH2" s="50" t="str">
        <f>"Year "&amp;DL2&amp;" - Mass Production"</f>
        <v>Year 19 - Mass Production</v>
      </c>
      <c r="DI2" s="49"/>
      <c r="DJ2" s="49"/>
      <c r="DK2" s="49"/>
      <c r="DL2" s="328">
        <f>DF2+1</f>
        <v>19</v>
      </c>
      <c r="DN2" s="50" t="str">
        <f>"Year "&amp;DR2&amp;" - Mass Production"</f>
        <v>Year 20 - Mass Production</v>
      </c>
      <c r="DO2" s="49"/>
      <c r="DP2" s="49"/>
      <c r="DQ2" s="49"/>
      <c r="DR2" s="328">
        <f>DL2+1</f>
        <v>20</v>
      </c>
      <c r="DT2" s="50" t="str">
        <f>"Year "&amp;DX2&amp;" - Mass Production"</f>
        <v>Year 21 - Mass Production</v>
      </c>
      <c r="DU2" s="49"/>
      <c r="DV2" s="49"/>
      <c r="DW2" s="49"/>
      <c r="DX2" s="328">
        <f>DR2+1</f>
        <v>21</v>
      </c>
      <c r="DZ2" s="50" t="str">
        <f>"Year "&amp;ED2&amp;" - Mass Production"</f>
        <v>Year 22 - Mass Production</v>
      </c>
      <c r="EA2" s="49"/>
      <c r="EB2" s="49"/>
      <c r="EC2" s="49"/>
      <c r="ED2" s="328">
        <f>DX2+1</f>
        <v>22</v>
      </c>
      <c r="EF2" s="50" t="str">
        <f>"Year "&amp;EJ2&amp;" - Mass Production"</f>
        <v>Year 23 - Mass Production</v>
      </c>
      <c r="EG2" s="49"/>
      <c r="EH2" s="49"/>
      <c r="EI2" s="49"/>
      <c r="EJ2" s="328">
        <f>ED2+1</f>
        <v>23</v>
      </c>
      <c r="EL2" s="50" t="str">
        <f>"Year "&amp;EP2&amp;" - Mass Production"</f>
        <v>Year 24 - Mass Production</v>
      </c>
      <c r="EM2" s="49"/>
      <c r="EN2" s="49"/>
      <c r="EO2" s="49"/>
      <c r="EP2" s="328">
        <f>EJ2+1</f>
        <v>24</v>
      </c>
      <c r="ER2" s="50" t="str">
        <f>"Year "&amp;EV2&amp;" - Mass Production"</f>
        <v>Year 25 - Mass Production</v>
      </c>
      <c r="ES2" s="49"/>
      <c r="ET2" s="49"/>
      <c r="EU2" s="49"/>
      <c r="EV2" s="328">
        <f>EP2+1</f>
        <v>25</v>
      </c>
    </row>
    <row r="3" spans="1:152" x14ac:dyDescent="0.25">
      <c r="A3" t="s">
        <v>518</v>
      </c>
      <c r="B3" s="51" t="s">
        <v>80</v>
      </c>
      <c r="C3" s="52" t="s">
        <v>81</v>
      </c>
      <c r="D3" s="52" t="s">
        <v>82</v>
      </c>
      <c r="E3" s="130" t="s">
        <v>83</v>
      </c>
      <c r="F3" s="130" t="s">
        <v>84</v>
      </c>
      <c r="G3" s="130" t="s">
        <v>85</v>
      </c>
      <c r="H3" s="130" t="s">
        <v>86</v>
      </c>
      <c r="J3" s="52" t="s">
        <v>82</v>
      </c>
      <c r="K3" s="52" t="s">
        <v>83</v>
      </c>
      <c r="L3" s="52" t="s">
        <v>84</v>
      </c>
      <c r="M3" s="52" t="s">
        <v>85</v>
      </c>
      <c r="N3" s="52" t="s">
        <v>86</v>
      </c>
      <c r="P3" s="52" t="s">
        <v>82</v>
      </c>
      <c r="Q3" s="52" t="s">
        <v>83</v>
      </c>
      <c r="R3" s="52" t="s">
        <v>84</v>
      </c>
      <c r="S3" s="52" t="s">
        <v>85</v>
      </c>
      <c r="T3" s="52" t="s">
        <v>86</v>
      </c>
      <c r="V3" s="52" t="s">
        <v>82</v>
      </c>
      <c r="W3" s="52" t="s">
        <v>83</v>
      </c>
      <c r="X3" s="52" t="s">
        <v>84</v>
      </c>
      <c r="Y3" s="52" t="s">
        <v>85</v>
      </c>
      <c r="Z3" s="52" t="s">
        <v>86</v>
      </c>
      <c r="AB3" s="52" t="s">
        <v>82</v>
      </c>
      <c r="AC3" s="52" t="s">
        <v>83</v>
      </c>
      <c r="AD3" s="52" t="s">
        <v>84</v>
      </c>
      <c r="AE3" s="52" t="s">
        <v>85</v>
      </c>
      <c r="AF3" s="52" t="s">
        <v>86</v>
      </c>
      <c r="AH3" s="52" t="s">
        <v>82</v>
      </c>
      <c r="AI3" s="52" t="s">
        <v>83</v>
      </c>
      <c r="AJ3" s="52" t="s">
        <v>84</v>
      </c>
      <c r="AK3" s="52" t="s">
        <v>85</v>
      </c>
      <c r="AL3" s="52" t="s">
        <v>86</v>
      </c>
      <c r="AN3" s="52" t="s">
        <v>82</v>
      </c>
      <c r="AO3" s="52" t="s">
        <v>83</v>
      </c>
      <c r="AP3" s="52" t="s">
        <v>84</v>
      </c>
      <c r="AQ3" s="52" t="s">
        <v>85</v>
      </c>
      <c r="AR3" s="52" t="s">
        <v>86</v>
      </c>
      <c r="AT3" s="52" t="s">
        <v>82</v>
      </c>
      <c r="AU3" s="52" t="s">
        <v>83</v>
      </c>
      <c r="AV3" s="52" t="s">
        <v>84</v>
      </c>
      <c r="AW3" s="52" t="s">
        <v>85</v>
      </c>
      <c r="AX3" s="52" t="s">
        <v>86</v>
      </c>
      <c r="AZ3" s="52" t="s">
        <v>82</v>
      </c>
      <c r="BA3" s="52" t="s">
        <v>83</v>
      </c>
      <c r="BB3" s="52" t="s">
        <v>84</v>
      </c>
      <c r="BC3" s="52" t="s">
        <v>85</v>
      </c>
      <c r="BD3" s="52" t="s">
        <v>86</v>
      </c>
      <c r="BF3" s="52" t="s">
        <v>82</v>
      </c>
      <c r="BG3" s="52" t="s">
        <v>83</v>
      </c>
      <c r="BH3" s="52" t="s">
        <v>84</v>
      </c>
      <c r="BI3" s="52" t="s">
        <v>85</v>
      </c>
      <c r="BJ3" s="52" t="s">
        <v>86</v>
      </c>
      <c r="BL3" s="52" t="s">
        <v>82</v>
      </c>
      <c r="BM3" s="52" t="s">
        <v>83</v>
      </c>
      <c r="BN3" s="52" t="s">
        <v>84</v>
      </c>
      <c r="BO3" s="52" t="s">
        <v>85</v>
      </c>
      <c r="BP3" s="52" t="s">
        <v>86</v>
      </c>
      <c r="BR3" s="52" t="s">
        <v>82</v>
      </c>
      <c r="BS3" s="52" t="s">
        <v>83</v>
      </c>
      <c r="BT3" s="52" t="s">
        <v>84</v>
      </c>
      <c r="BU3" s="52" t="s">
        <v>85</v>
      </c>
      <c r="BV3" s="52" t="s">
        <v>86</v>
      </c>
      <c r="BX3" s="52" t="s">
        <v>82</v>
      </c>
      <c r="BY3" s="52" t="s">
        <v>83</v>
      </c>
      <c r="BZ3" s="52" t="s">
        <v>84</v>
      </c>
      <c r="CA3" s="52" t="s">
        <v>85</v>
      </c>
      <c r="CB3" s="52" t="s">
        <v>86</v>
      </c>
      <c r="CD3" s="52" t="s">
        <v>82</v>
      </c>
      <c r="CE3" s="52" t="s">
        <v>83</v>
      </c>
      <c r="CF3" s="52" t="s">
        <v>84</v>
      </c>
      <c r="CG3" s="52" t="s">
        <v>85</v>
      </c>
      <c r="CH3" s="52" t="s">
        <v>86</v>
      </c>
      <c r="CJ3" s="52" t="s">
        <v>82</v>
      </c>
      <c r="CK3" s="52" t="s">
        <v>83</v>
      </c>
      <c r="CL3" s="52" t="s">
        <v>84</v>
      </c>
      <c r="CM3" s="52" t="s">
        <v>85</v>
      </c>
      <c r="CN3" s="52" t="s">
        <v>86</v>
      </c>
      <c r="CP3" s="52" t="s">
        <v>82</v>
      </c>
      <c r="CQ3" s="52" t="s">
        <v>83</v>
      </c>
      <c r="CR3" s="52" t="s">
        <v>84</v>
      </c>
      <c r="CS3" s="52" t="s">
        <v>85</v>
      </c>
      <c r="CT3" s="52" t="s">
        <v>86</v>
      </c>
      <c r="CV3" s="52" t="s">
        <v>82</v>
      </c>
      <c r="CW3" s="52" t="s">
        <v>83</v>
      </c>
      <c r="CX3" s="52" t="s">
        <v>84</v>
      </c>
      <c r="CY3" s="52" t="s">
        <v>85</v>
      </c>
      <c r="CZ3" s="52" t="s">
        <v>86</v>
      </c>
      <c r="DB3" s="52" t="s">
        <v>82</v>
      </c>
      <c r="DC3" s="52" t="s">
        <v>83</v>
      </c>
      <c r="DD3" s="52" t="s">
        <v>84</v>
      </c>
      <c r="DE3" s="52" t="s">
        <v>85</v>
      </c>
      <c r="DF3" s="52" t="s">
        <v>86</v>
      </c>
      <c r="DH3" s="52" t="s">
        <v>82</v>
      </c>
      <c r="DI3" s="52" t="s">
        <v>83</v>
      </c>
      <c r="DJ3" s="52" t="s">
        <v>84</v>
      </c>
      <c r="DK3" s="52" t="s">
        <v>85</v>
      </c>
      <c r="DL3" s="52" t="s">
        <v>86</v>
      </c>
      <c r="DN3" s="52" t="s">
        <v>82</v>
      </c>
      <c r="DO3" s="52" t="s">
        <v>83</v>
      </c>
      <c r="DP3" s="52" t="s">
        <v>84</v>
      </c>
      <c r="DQ3" s="52" t="s">
        <v>85</v>
      </c>
      <c r="DR3" s="52" t="s">
        <v>86</v>
      </c>
      <c r="DT3" s="52" t="s">
        <v>82</v>
      </c>
      <c r="DU3" s="52" t="s">
        <v>83</v>
      </c>
      <c r="DV3" s="52" t="s">
        <v>84</v>
      </c>
      <c r="DW3" s="52" t="s">
        <v>85</v>
      </c>
      <c r="DX3" s="52" t="s">
        <v>86</v>
      </c>
      <c r="DZ3" s="52" t="s">
        <v>82</v>
      </c>
      <c r="EA3" s="52" t="s">
        <v>83</v>
      </c>
      <c r="EB3" s="52" t="s">
        <v>84</v>
      </c>
      <c r="EC3" s="52" t="s">
        <v>85</v>
      </c>
      <c r="ED3" s="52" t="s">
        <v>86</v>
      </c>
      <c r="EF3" s="52" t="s">
        <v>82</v>
      </c>
      <c r="EG3" s="52" t="s">
        <v>83</v>
      </c>
      <c r="EH3" s="52" t="s">
        <v>84</v>
      </c>
      <c r="EI3" s="52" t="s">
        <v>85</v>
      </c>
      <c r="EJ3" s="52" t="s">
        <v>86</v>
      </c>
      <c r="EL3" s="52" t="s">
        <v>82</v>
      </c>
      <c r="EM3" s="52" t="s">
        <v>83</v>
      </c>
      <c r="EN3" s="52" t="s">
        <v>84</v>
      </c>
      <c r="EO3" s="52" t="s">
        <v>85</v>
      </c>
      <c r="EP3" s="52" t="s">
        <v>86</v>
      </c>
      <c r="ER3" s="52" t="s">
        <v>82</v>
      </c>
      <c r="ES3" s="52" t="s">
        <v>83</v>
      </c>
      <c r="ET3" s="52" t="s">
        <v>84</v>
      </c>
      <c r="EU3" s="52" t="s">
        <v>85</v>
      </c>
      <c r="EV3" s="52" t="s">
        <v>86</v>
      </c>
    </row>
    <row r="4" spans="1:152" x14ac:dyDescent="0.25">
      <c r="B4" s="53" t="s">
        <v>87</v>
      </c>
      <c r="C4" s="54"/>
      <c r="D4" s="210">
        <f>SUM(D5:D14)</f>
        <v>32.5</v>
      </c>
      <c r="E4" s="54"/>
      <c r="F4" s="54"/>
      <c r="G4" s="54"/>
      <c r="H4" s="54"/>
      <c r="J4" s="210">
        <f>SUM(J5:J14)</f>
        <v>32.5</v>
      </c>
      <c r="K4" s="54"/>
      <c r="L4" s="54"/>
      <c r="M4" s="54"/>
      <c r="N4" s="54"/>
      <c r="P4" s="210">
        <f>SUM(P5:P14)</f>
        <v>32.5</v>
      </c>
      <c r="Q4" s="54"/>
      <c r="R4" s="54"/>
      <c r="S4" s="54"/>
      <c r="T4" s="54"/>
      <c r="V4" s="210">
        <f>SUM(V5:V14)</f>
        <v>32.5</v>
      </c>
      <c r="W4" s="54"/>
      <c r="X4" s="54"/>
      <c r="Y4" s="54"/>
      <c r="Z4" s="54"/>
      <c r="AB4" s="210">
        <f t="shared" ref="AB4" si="0">SUM(AB5:AB14)</f>
        <v>32.5</v>
      </c>
      <c r="AC4" s="54"/>
      <c r="AD4" s="54"/>
      <c r="AE4" s="54"/>
      <c r="AF4" s="54"/>
      <c r="AH4" s="210">
        <f t="shared" ref="AH4" si="1">SUM(AH5:AH14)</f>
        <v>32.5</v>
      </c>
      <c r="AI4" s="54"/>
      <c r="AJ4" s="54"/>
      <c r="AK4" s="54"/>
      <c r="AL4" s="54"/>
      <c r="AN4" s="210">
        <f t="shared" ref="AN4" si="2">SUM(AN5:AN14)</f>
        <v>32.5</v>
      </c>
      <c r="AO4" s="54"/>
      <c r="AP4" s="54"/>
      <c r="AQ4" s="54"/>
      <c r="AR4" s="54"/>
      <c r="AT4" s="210">
        <f t="shared" ref="AT4" si="3">SUM(AT5:AT14)</f>
        <v>32.5</v>
      </c>
      <c r="AU4" s="54"/>
      <c r="AV4" s="54"/>
      <c r="AW4" s="54"/>
      <c r="AX4" s="54"/>
      <c r="AZ4" s="210">
        <f t="shared" ref="AZ4" si="4">SUM(AZ5:AZ14)</f>
        <v>32.5</v>
      </c>
      <c r="BA4" s="54"/>
      <c r="BB4" s="54"/>
      <c r="BC4" s="54"/>
      <c r="BD4" s="54"/>
      <c r="BF4" s="210">
        <f t="shared" ref="BF4" si="5">SUM(BF5:BF14)</f>
        <v>32.5</v>
      </c>
      <c r="BG4" s="54"/>
      <c r="BH4" s="54"/>
      <c r="BI4" s="54"/>
      <c r="BJ4" s="54"/>
      <c r="BL4" s="210">
        <f t="shared" ref="BL4" si="6">SUM(BL5:BL14)</f>
        <v>32.5</v>
      </c>
      <c r="BM4" s="54"/>
      <c r="BN4" s="54"/>
      <c r="BO4" s="54"/>
      <c r="BP4" s="54"/>
      <c r="BR4" s="210">
        <f t="shared" ref="BR4" si="7">SUM(BR5:BR14)</f>
        <v>32.5</v>
      </c>
      <c r="BS4" s="54"/>
      <c r="BT4" s="54"/>
      <c r="BU4" s="54"/>
      <c r="BV4" s="54"/>
      <c r="BX4" s="210">
        <f t="shared" ref="BX4" si="8">SUM(BX5:BX14)</f>
        <v>32.5</v>
      </c>
      <c r="BY4" s="54"/>
      <c r="BZ4" s="54"/>
      <c r="CA4" s="54"/>
      <c r="CB4" s="54"/>
      <c r="CD4" s="210">
        <f t="shared" ref="CD4" si="9">SUM(CD5:CD14)</f>
        <v>32.5</v>
      </c>
      <c r="CE4" s="54"/>
      <c r="CF4" s="54"/>
      <c r="CG4" s="54"/>
      <c r="CH4" s="54"/>
      <c r="CJ4" s="210">
        <f t="shared" ref="CJ4" si="10">SUM(CJ5:CJ14)</f>
        <v>32.5</v>
      </c>
      <c r="CK4" s="54"/>
      <c r="CL4" s="54"/>
      <c r="CM4" s="54"/>
      <c r="CN4" s="54"/>
      <c r="CP4" s="210">
        <f t="shared" ref="CP4" si="11">SUM(CP5:CP14)</f>
        <v>32.5</v>
      </c>
      <c r="CQ4" s="54"/>
      <c r="CR4" s="54"/>
      <c r="CS4" s="54"/>
      <c r="CT4" s="54"/>
      <c r="CV4" s="210">
        <f t="shared" ref="CV4" si="12">SUM(CV5:CV14)</f>
        <v>32.5</v>
      </c>
      <c r="CW4" s="54"/>
      <c r="CX4" s="54"/>
      <c r="CY4" s="54"/>
      <c r="CZ4" s="54"/>
      <c r="DB4" s="210">
        <f t="shared" ref="DB4" si="13">SUM(DB5:DB14)</f>
        <v>32.5</v>
      </c>
      <c r="DC4" s="54"/>
      <c r="DD4" s="54"/>
      <c r="DE4" s="54"/>
      <c r="DF4" s="54"/>
      <c r="DH4" s="210">
        <f t="shared" ref="DH4" si="14">SUM(DH5:DH14)</f>
        <v>32.5</v>
      </c>
      <c r="DI4" s="54"/>
      <c r="DJ4" s="54"/>
      <c r="DK4" s="54"/>
      <c r="DL4" s="54"/>
      <c r="DN4" s="210">
        <f t="shared" ref="DN4" si="15">SUM(DN5:DN14)</f>
        <v>32.5</v>
      </c>
      <c r="DO4" s="54"/>
      <c r="DP4" s="54"/>
      <c r="DQ4" s="54"/>
      <c r="DR4" s="54"/>
      <c r="DT4" s="210">
        <f t="shared" ref="DT4" si="16">SUM(DT5:DT14)</f>
        <v>32.5</v>
      </c>
      <c r="DU4" s="54"/>
      <c r="DV4" s="54"/>
      <c r="DW4" s="54"/>
      <c r="DX4" s="54"/>
      <c r="DZ4" s="210">
        <f t="shared" ref="DZ4" si="17">SUM(DZ5:DZ14)</f>
        <v>32.5</v>
      </c>
      <c r="EA4" s="54"/>
      <c r="EB4" s="54"/>
      <c r="EC4" s="54"/>
      <c r="ED4" s="54"/>
      <c r="EF4" s="210">
        <f t="shared" ref="EF4" si="18">SUM(EF5:EF14)</f>
        <v>32.5</v>
      </c>
      <c r="EG4" s="54"/>
      <c r="EH4" s="54"/>
      <c r="EI4" s="54"/>
      <c r="EJ4" s="54"/>
      <c r="EL4" s="210">
        <f t="shared" ref="EL4" si="19">SUM(EL5:EL14)</f>
        <v>32.5</v>
      </c>
      <c r="EM4" s="54"/>
      <c r="EN4" s="54"/>
      <c r="EO4" s="54"/>
      <c r="EP4" s="54"/>
      <c r="ER4" s="210">
        <f t="shared" ref="ER4" si="20">SUM(ER5:ER14)</f>
        <v>32.5</v>
      </c>
      <c r="ES4" s="54"/>
      <c r="ET4" s="54"/>
      <c r="EU4" s="54"/>
      <c r="EV4" s="54"/>
    </row>
    <row r="5" spans="1:152" x14ac:dyDescent="0.25">
      <c r="B5" s="56" t="s">
        <v>88</v>
      </c>
      <c r="C5" s="55" t="s">
        <v>89</v>
      </c>
      <c r="D5" s="131">
        <f>SUMIFS('W2'!$K$12:$K$112,'W2'!$B$12:$B$112,'W6 - Operating cost'!$B5)</f>
        <v>6</v>
      </c>
      <c r="E5" s="100">
        <f>D15</f>
        <v>14332500</v>
      </c>
      <c r="F5" s="100">
        <f>D5*E5</f>
        <v>85995000</v>
      </c>
      <c r="G5" s="100">
        <f>F5*12</f>
        <v>1031940000</v>
      </c>
      <c r="H5" s="55" t="s">
        <v>193</v>
      </c>
      <c r="J5" s="131">
        <f>SUMIFS('W2'!$K$12:$K$112,'W2'!$B$12:$B$112,'W6 - Operating cost'!$B5)</f>
        <v>6</v>
      </c>
      <c r="K5" s="100">
        <f>J15</f>
        <v>14332500</v>
      </c>
      <c r="L5" s="100">
        <f>J5*K5</f>
        <v>85995000</v>
      </c>
      <c r="M5" s="100">
        <f>L5*12</f>
        <v>1031940000</v>
      </c>
      <c r="N5" s="55" t="s">
        <v>193</v>
      </c>
      <c r="P5" s="131">
        <f>SUMIFS('W2'!$K$12:$K$112,'W2'!$B$12:$B$112,'W6 - Operating cost'!$B5)</f>
        <v>6</v>
      </c>
      <c r="Q5" s="100">
        <f>P15</f>
        <v>15049125</v>
      </c>
      <c r="R5" s="100">
        <f>P5*Q5</f>
        <v>90294750</v>
      </c>
      <c r="S5" s="100">
        <f>R5*12</f>
        <v>1083537000</v>
      </c>
      <c r="T5" s="55" t="s">
        <v>193</v>
      </c>
      <c r="V5" s="131">
        <f>SUMIFS('W2'!$K$12:$K$112,'W2'!$B$12:$B$112,'W6 - Operating cost'!$B5)</f>
        <v>6</v>
      </c>
      <c r="W5" s="100">
        <f>V15</f>
        <v>15801581.25</v>
      </c>
      <c r="X5" s="100">
        <f>V5*W5</f>
        <v>94809487.5</v>
      </c>
      <c r="Y5" s="100">
        <f>X5*12</f>
        <v>1137713850</v>
      </c>
      <c r="Z5" s="55" t="s">
        <v>193</v>
      </c>
      <c r="AB5" s="131">
        <f>SUMIFS('W2'!$K$12:$K$112,'W2'!$B$12:$B$112,'W6 - Operating cost'!$B5)</f>
        <v>6</v>
      </c>
      <c r="AC5" s="100">
        <f t="shared" ref="AC5" si="21">AB15</f>
        <v>16591660.312500002</v>
      </c>
      <c r="AD5" s="100">
        <f t="shared" ref="AD5" si="22">AB5*AC5</f>
        <v>99549961.875000015</v>
      </c>
      <c r="AE5" s="100">
        <f t="shared" ref="AE5" si="23">AD5*12</f>
        <v>1194599542.5000002</v>
      </c>
      <c r="AF5" s="55" t="s">
        <v>193</v>
      </c>
      <c r="AH5" s="131">
        <f>SUMIFS('W2'!$K$12:$K$112,'W2'!$B$12:$B$112,'W6 - Operating cost'!$B5)</f>
        <v>6</v>
      </c>
      <c r="AI5" s="100">
        <f t="shared" ref="AI5" si="24">AH15</f>
        <v>17421243.328125</v>
      </c>
      <c r="AJ5" s="100">
        <f t="shared" ref="AJ5" si="25">AH5*AI5</f>
        <v>104527459.96875</v>
      </c>
      <c r="AK5" s="100">
        <f t="shared" ref="AK5" si="26">AJ5*12</f>
        <v>1254329519.625</v>
      </c>
      <c r="AL5" s="55" t="s">
        <v>193</v>
      </c>
      <c r="AN5" s="131">
        <f>SUMIFS('W2'!$K$12:$K$112,'W2'!$B$12:$B$112,'W6 - Operating cost'!$B5)</f>
        <v>6</v>
      </c>
      <c r="AO5" s="100">
        <f t="shared" ref="AO5" si="27">AN15</f>
        <v>18292305.494531251</v>
      </c>
      <c r="AP5" s="100">
        <f t="shared" ref="AP5" si="28">AN5*AO5</f>
        <v>109753832.96718751</v>
      </c>
      <c r="AQ5" s="100">
        <f t="shared" ref="AQ5" si="29">AP5*12</f>
        <v>1317045995.60625</v>
      </c>
      <c r="AR5" s="55" t="s">
        <v>193</v>
      </c>
      <c r="AT5" s="131">
        <f>SUMIFS('W2'!$K$12:$K$112,'W2'!$B$12:$B$112,'W6 - Operating cost'!$B5)</f>
        <v>6</v>
      </c>
      <c r="AU5" s="100">
        <f t="shared" ref="AU5" si="30">AT15</f>
        <v>19206920.769257814</v>
      </c>
      <c r="AV5" s="100">
        <f t="shared" ref="AV5" si="31">AT5*AU5</f>
        <v>115241524.61554688</v>
      </c>
      <c r="AW5" s="100">
        <f t="shared" ref="AW5" si="32">AV5*12</f>
        <v>1382898295.3865626</v>
      </c>
      <c r="AX5" s="55" t="s">
        <v>193</v>
      </c>
      <c r="AZ5" s="131">
        <f>SUMIFS('W2'!$K$12:$K$112,'W2'!$B$12:$B$112,'W6 - Operating cost'!$B5)</f>
        <v>6</v>
      </c>
      <c r="BA5" s="100">
        <f t="shared" ref="BA5" si="33">AZ15</f>
        <v>20167266.807720706</v>
      </c>
      <c r="BB5" s="100">
        <f t="shared" ref="BB5" si="34">AZ5*BA5</f>
        <v>121003600.84632424</v>
      </c>
      <c r="BC5" s="100">
        <f t="shared" ref="BC5" si="35">BB5*12</f>
        <v>1452043210.1558909</v>
      </c>
      <c r="BD5" s="55" t="s">
        <v>193</v>
      </c>
      <c r="BF5" s="131">
        <f>SUMIFS('W2'!$K$12:$K$112,'W2'!$B$12:$B$112,'W6 - Operating cost'!$B5)</f>
        <v>6</v>
      </c>
      <c r="BG5" s="100">
        <f t="shared" ref="BG5" si="36">BF15</f>
        <v>21175630.148106739</v>
      </c>
      <c r="BH5" s="100">
        <f t="shared" ref="BH5" si="37">BF5*BG5</f>
        <v>127053780.88864043</v>
      </c>
      <c r="BI5" s="100">
        <f t="shared" ref="BI5" si="38">BH5*12</f>
        <v>1524645370.6636853</v>
      </c>
      <c r="BJ5" s="55" t="s">
        <v>193</v>
      </c>
      <c r="BL5" s="131">
        <f>SUMIFS('W2'!$K$12:$K$112,'W2'!$B$12:$B$112,'W6 - Operating cost'!$B5)</f>
        <v>6</v>
      </c>
      <c r="BM5" s="100">
        <f t="shared" ref="BM5" si="39">BL15</f>
        <v>22234411.655512076</v>
      </c>
      <c r="BN5" s="100">
        <f t="shared" ref="BN5" si="40">BL5*BM5</f>
        <v>133406469.93307245</v>
      </c>
      <c r="BO5" s="100">
        <f t="shared" ref="BO5" si="41">BN5*12</f>
        <v>1600877639.1968694</v>
      </c>
      <c r="BP5" s="55" t="s">
        <v>193</v>
      </c>
      <c r="BR5" s="131">
        <f>SUMIFS('W2'!$K$12:$K$112,'W2'!$B$12:$B$112,'W6 - Operating cost'!$B5)</f>
        <v>6</v>
      </c>
      <c r="BS5" s="100">
        <f t="shared" ref="BS5" si="42">BR15</f>
        <v>23346132.23828768</v>
      </c>
      <c r="BT5" s="100">
        <f t="shared" ref="BT5" si="43">BR5*BS5</f>
        <v>140076793.42972606</v>
      </c>
      <c r="BU5" s="100">
        <f t="shared" ref="BU5" si="44">BT5*12</f>
        <v>1680921521.1567128</v>
      </c>
      <c r="BV5" s="55" t="s">
        <v>193</v>
      </c>
      <c r="BX5" s="131">
        <f>SUMIFS('W2'!$K$12:$K$112,'W2'!$B$12:$B$112,'W6 - Operating cost'!$B5)</f>
        <v>6</v>
      </c>
      <c r="BY5" s="100">
        <f t="shared" ref="BY5" si="45">BX15</f>
        <v>24513438.850202069</v>
      </c>
      <c r="BZ5" s="100">
        <f t="shared" ref="BZ5" si="46">BX5*BY5</f>
        <v>147080633.10121241</v>
      </c>
      <c r="CA5" s="100">
        <f t="shared" ref="CA5" si="47">BZ5*12</f>
        <v>1764967597.2145491</v>
      </c>
      <c r="CB5" s="55" t="s">
        <v>193</v>
      </c>
      <c r="CD5" s="131">
        <f>SUMIFS('W2'!$K$12:$K$112,'W2'!$B$12:$B$112,'W6 - Operating cost'!$B5)</f>
        <v>6</v>
      </c>
      <c r="CE5" s="100">
        <f t="shared" ref="CE5" si="48">CD15</f>
        <v>25739110.792712167</v>
      </c>
      <c r="CF5" s="100">
        <f t="shared" ref="CF5" si="49">CD5*CE5</f>
        <v>154434664.756273</v>
      </c>
      <c r="CG5" s="100">
        <f t="shared" ref="CG5" si="50">CF5*12</f>
        <v>1853215977.0752759</v>
      </c>
      <c r="CH5" s="55" t="s">
        <v>193</v>
      </c>
      <c r="CJ5" s="131">
        <f>SUMIFS('W2'!$K$12:$K$112,'W2'!$B$12:$B$112,'W6 - Operating cost'!$B5)</f>
        <v>6</v>
      </c>
      <c r="CK5" s="100">
        <f t="shared" ref="CK5" si="51">CJ15</f>
        <v>27026066.33234778</v>
      </c>
      <c r="CL5" s="100">
        <f t="shared" ref="CL5" si="52">CJ5*CK5</f>
        <v>162156397.99408668</v>
      </c>
      <c r="CM5" s="100">
        <f t="shared" ref="CM5" si="53">CL5*12</f>
        <v>1945876775.9290402</v>
      </c>
      <c r="CN5" s="55" t="s">
        <v>193</v>
      </c>
      <c r="CP5" s="131">
        <f>SUMIFS('W2'!$K$12:$K$112,'W2'!$B$12:$B$112,'W6 - Operating cost'!$B5)</f>
        <v>6</v>
      </c>
      <c r="CQ5" s="100">
        <f t="shared" ref="CQ5" si="54">CP15</f>
        <v>28377369.648965161</v>
      </c>
      <c r="CR5" s="100">
        <f t="shared" ref="CR5" si="55">CP5*CQ5</f>
        <v>170264217.89379096</v>
      </c>
      <c r="CS5" s="100">
        <f t="shared" ref="CS5" si="56">CR5*12</f>
        <v>2043170614.7254915</v>
      </c>
      <c r="CT5" s="55" t="s">
        <v>193</v>
      </c>
      <c r="CV5" s="131">
        <f>SUMIFS('W2'!$K$12:$K$112,'W2'!$B$12:$B$112,'W6 - Operating cost'!$B5)</f>
        <v>6</v>
      </c>
      <c r="CW5" s="100">
        <f t="shared" ref="CW5" si="57">CV15</f>
        <v>29796238.13141343</v>
      </c>
      <c r="CX5" s="100">
        <f t="shared" ref="CX5" si="58">CV5*CW5</f>
        <v>178777428.78848058</v>
      </c>
      <c r="CY5" s="100">
        <f t="shared" ref="CY5" si="59">CX5*12</f>
        <v>2145329145.461767</v>
      </c>
      <c r="CZ5" s="55" t="s">
        <v>193</v>
      </c>
      <c r="DB5" s="131">
        <f>SUMIFS('W2'!$K$12:$K$112,'W2'!$B$12:$B$112,'W6 - Operating cost'!$B5)</f>
        <v>6</v>
      </c>
      <c r="DC5" s="100">
        <f t="shared" ref="DC5" si="60">DB15</f>
        <v>31286050.037984099</v>
      </c>
      <c r="DD5" s="100">
        <f t="shared" ref="DD5" si="61">DB5*DC5</f>
        <v>187716300.22790459</v>
      </c>
      <c r="DE5" s="100">
        <f t="shared" ref="DE5" si="62">DD5*12</f>
        <v>2252595602.7348552</v>
      </c>
      <c r="DF5" s="55" t="s">
        <v>193</v>
      </c>
      <c r="DH5" s="131">
        <f>SUMIFS('W2'!$K$12:$K$112,'W2'!$B$12:$B$112,'W6 - Operating cost'!$B5)</f>
        <v>6</v>
      </c>
      <c r="DI5" s="100">
        <f t="shared" ref="DI5" si="63">DH15</f>
        <v>32850352.539883308</v>
      </c>
      <c r="DJ5" s="100">
        <f t="shared" ref="DJ5" si="64">DH5*DI5</f>
        <v>197102115.23929983</v>
      </c>
      <c r="DK5" s="100">
        <f t="shared" ref="DK5" si="65">DJ5*12</f>
        <v>2365225382.8715982</v>
      </c>
      <c r="DL5" s="55" t="s">
        <v>193</v>
      </c>
      <c r="DN5" s="131">
        <f>SUMIFS('W2'!$K$12:$K$112,'W2'!$B$12:$B$112,'W6 - Operating cost'!$B5)</f>
        <v>6</v>
      </c>
      <c r="DO5" s="100">
        <f t="shared" ref="DO5" si="66">DN15</f>
        <v>34492870.166877471</v>
      </c>
      <c r="DP5" s="100">
        <f t="shared" ref="DP5" si="67">DN5*DO5</f>
        <v>206957221.00126481</v>
      </c>
      <c r="DQ5" s="100">
        <f t="shared" ref="DQ5" si="68">DP5*12</f>
        <v>2483486652.0151777</v>
      </c>
      <c r="DR5" s="55" t="s">
        <v>193</v>
      </c>
      <c r="DT5" s="131">
        <f>SUMIFS('W2'!$K$12:$K$112,'W2'!$B$12:$B$112,'W6 - Operating cost'!$B5)</f>
        <v>6</v>
      </c>
      <c r="DU5" s="100">
        <f t="shared" ref="DU5" si="69">DT15</f>
        <v>36217513.675221346</v>
      </c>
      <c r="DV5" s="100">
        <f t="shared" ref="DV5" si="70">DT5*DU5</f>
        <v>217305082.05132806</v>
      </c>
      <c r="DW5" s="100">
        <f t="shared" ref="DW5" si="71">DV5*12</f>
        <v>2607660984.6159368</v>
      </c>
      <c r="DX5" s="55" t="s">
        <v>193</v>
      </c>
      <c r="DZ5" s="131">
        <f>SUMIFS('W2'!$K$12:$K$112,'W2'!$B$12:$B$112,'W6 - Operating cost'!$B5)</f>
        <v>6</v>
      </c>
      <c r="EA5" s="100">
        <f t="shared" ref="EA5" si="72">DZ15</f>
        <v>38028389.358982414</v>
      </c>
      <c r="EB5" s="100">
        <f t="shared" ref="EB5" si="73">DZ5*EA5</f>
        <v>228170336.15389448</v>
      </c>
      <c r="EC5" s="100">
        <f t="shared" ref="EC5" si="74">EB5*12</f>
        <v>2738044033.846734</v>
      </c>
      <c r="ED5" s="55" t="s">
        <v>193</v>
      </c>
      <c r="EF5" s="131">
        <f>SUMIFS('W2'!$K$12:$K$112,'W2'!$B$12:$B$112,'W6 - Operating cost'!$B5)</f>
        <v>6</v>
      </c>
      <c r="EG5" s="100">
        <f t="shared" ref="EG5" si="75">EF15</f>
        <v>39929808.826931529</v>
      </c>
      <c r="EH5" s="100">
        <f t="shared" ref="EH5" si="76">EF5*EG5</f>
        <v>239578852.96158916</v>
      </c>
      <c r="EI5" s="100">
        <f t="shared" ref="EI5" si="77">EH5*12</f>
        <v>2874946235.5390701</v>
      </c>
      <c r="EJ5" s="55" t="s">
        <v>193</v>
      </c>
      <c r="EL5" s="131">
        <f>SUMIFS('W2'!$K$12:$K$112,'W2'!$B$12:$B$112,'W6 - Operating cost'!$B5)</f>
        <v>6</v>
      </c>
      <c r="EM5" s="100">
        <f t="shared" ref="EM5" si="78">EL15</f>
        <v>41926299.268278107</v>
      </c>
      <c r="EN5" s="100">
        <f t="shared" ref="EN5" si="79">EL5*EM5</f>
        <v>251557795.60966864</v>
      </c>
      <c r="EO5" s="100">
        <f t="shared" ref="EO5" si="80">EN5*12</f>
        <v>3018693547.3160238</v>
      </c>
      <c r="EP5" s="55" t="s">
        <v>193</v>
      </c>
      <c r="ER5" s="131">
        <f>SUMIFS('W2'!$K$12:$K$112,'W2'!$B$12:$B$112,'W6 - Operating cost'!$B5)</f>
        <v>6</v>
      </c>
      <c r="ES5" s="100">
        <f t="shared" ref="ES5" si="81">ER15</f>
        <v>44022614.231692024</v>
      </c>
      <c r="ET5" s="100">
        <f t="shared" ref="ET5" si="82">ER5*ES5</f>
        <v>264135685.39015216</v>
      </c>
      <c r="EU5" s="100">
        <f t="shared" ref="EU5" si="83">ET5*12</f>
        <v>3169628224.6818256</v>
      </c>
      <c r="EV5" s="55" t="s">
        <v>193</v>
      </c>
    </row>
    <row r="6" spans="1:152" x14ac:dyDescent="0.25">
      <c r="B6" s="56" t="s">
        <v>90</v>
      </c>
      <c r="C6" s="55" t="s">
        <v>89</v>
      </c>
      <c r="D6" s="131">
        <f>SUMIFS('W2'!$K$12:$K$112,'W2'!$B$12:$B$112,'W6 - Operating cost'!$B6)</f>
        <v>0</v>
      </c>
      <c r="E6" s="55"/>
      <c r="F6" s="55"/>
      <c r="G6" s="55"/>
      <c r="H6" s="55"/>
      <c r="J6" s="131">
        <f>SUMIFS('W2'!$K$12:$K$112,'W2'!$B$12:$B$112,'W6 - Operating cost'!$B6)</f>
        <v>0</v>
      </c>
      <c r="K6" s="55"/>
      <c r="L6" s="55"/>
      <c r="M6" s="55"/>
      <c r="N6" s="55"/>
      <c r="P6" s="131">
        <f>SUMIFS('W2'!$K$12:$K$112,'W2'!$B$12:$B$112,'W6 - Operating cost'!$B6)</f>
        <v>0</v>
      </c>
      <c r="Q6" s="55"/>
      <c r="R6" s="55"/>
      <c r="S6" s="55"/>
      <c r="T6" s="55"/>
      <c r="V6" s="131">
        <f>SUMIFS('W2'!$K$12:$K$112,'W2'!$B$12:$B$112,'W6 - Operating cost'!$B6)</f>
        <v>0</v>
      </c>
      <c r="W6" s="55"/>
      <c r="X6" s="55"/>
      <c r="Y6" s="55"/>
      <c r="Z6" s="55"/>
      <c r="AB6" s="131">
        <f>SUMIFS('W2'!$K$12:$K$112,'W2'!$B$12:$B$112,'W6 - Operating cost'!$B6)</f>
        <v>0</v>
      </c>
      <c r="AC6" s="55"/>
      <c r="AD6" s="55"/>
      <c r="AE6" s="55"/>
      <c r="AF6" s="55"/>
      <c r="AH6" s="131">
        <f>SUMIFS('W2'!$K$12:$K$112,'W2'!$B$12:$B$112,'W6 - Operating cost'!$B6)</f>
        <v>0</v>
      </c>
      <c r="AI6" s="55"/>
      <c r="AJ6" s="55"/>
      <c r="AK6" s="55"/>
      <c r="AL6" s="55"/>
      <c r="AN6" s="131">
        <f>SUMIFS('W2'!$K$12:$K$112,'W2'!$B$12:$B$112,'W6 - Operating cost'!$B6)</f>
        <v>0</v>
      </c>
      <c r="AO6" s="55"/>
      <c r="AP6" s="55"/>
      <c r="AQ6" s="55"/>
      <c r="AR6" s="55"/>
      <c r="AT6" s="131">
        <f>SUMIFS('W2'!$K$12:$K$112,'W2'!$B$12:$B$112,'W6 - Operating cost'!$B6)</f>
        <v>0</v>
      </c>
      <c r="AU6" s="55"/>
      <c r="AV6" s="55"/>
      <c r="AW6" s="55"/>
      <c r="AX6" s="55"/>
      <c r="AZ6" s="131">
        <f>SUMIFS('W2'!$K$12:$K$112,'W2'!$B$12:$B$112,'W6 - Operating cost'!$B6)</f>
        <v>0</v>
      </c>
      <c r="BA6" s="55"/>
      <c r="BB6" s="55"/>
      <c r="BC6" s="55"/>
      <c r="BD6" s="55"/>
      <c r="BF6" s="131">
        <f>SUMIFS('W2'!$K$12:$K$112,'W2'!$B$12:$B$112,'W6 - Operating cost'!$B6)</f>
        <v>0</v>
      </c>
      <c r="BG6" s="55"/>
      <c r="BH6" s="55"/>
      <c r="BI6" s="55"/>
      <c r="BJ6" s="55"/>
      <c r="BL6" s="131">
        <f>SUMIFS('W2'!$K$12:$K$112,'W2'!$B$12:$B$112,'W6 - Operating cost'!$B6)</f>
        <v>0</v>
      </c>
      <c r="BM6" s="55"/>
      <c r="BN6" s="55"/>
      <c r="BO6" s="55"/>
      <c r="BP6" s="55"/>
      <c r="BR6" s="131">
        <f>SUMIFS('W2'!$K$12:$K$112,'W2'!$B$12:$B$112,'W6 - Operating cost'!$B6)</f>
        <v>0</v>
      </c>
      <c r="BS6" s="55"/>
      <c r="BT6" s="55"/>
      <c r="BU6" s="55"/>
      <c r="BV6" s="55"/>
      <c r="BX6" s="131">
        <f>SUMIFS('W2'!$K$12:$K$112,'W2'!$B$12:$B$112,'W6 - Operating cost'!$B6)</f>
        <v>0</v>
      </c>
      <c r="BY6" s="55"/>
      <c r="BZ6" s="55"/>
      <c r="CA6" s="55"/>
      <c r="CB6" s="55"/>
      <c r="CD6" s="131">
        <f>SUMIFS('W2'!$K$12:$K$112,'W2'!$B$12:$B$112,'W6 - Operating cost'!$B6)</f>
        <v>0</v>
      </c>
      <c r="CE6" s="55"/>
      <c r="CF6" s="55"/>
      <c r="CG6" s="55"/>
      <c r="CH6" s="55"/>
      <c r="CJ6" s="131">
        <f>SUMIFS('W2'!$K$12:$K$112,'W2'!$B$12:$B$112,'W6 - Operating cost'!$B6)</f>
        <v>0</v>
      </c>
      <c r="CK6" s="55"/>
      <c r="CL6" s="55"/>
      <c r="CM6" s="55"/>
      <c r="CN6" s="55"/>
      <c r="CP6" s="131">
        <f>SUMIFS('W2'!$K$12:$K$112,'W2'!$B$12:$B$112,'W6 - Operating cost'!$B6)</f>
        <v>0</v>
      </c>
      <c r="CQ6" s="55"/>
      <c r="CR6" s="55"/>
      <c r="CS6" s="55"/>
      <c r="CT6" s="55"/>
      <c r="CV6" s="131">
        <f>SUMIFS('W2'!$K$12:$K$112,'W2'!$B$12:$B$112,'W6 - Operating cost'!$B6)</f>
        <v>0</v>
      </c>
      <c r="CW6" s="55"/>
      <c r="CX6" s="55"/>
      <c r="CY6" s="55"/>
      <c r="CZ6" s="55"/>
      <c r="DB6" s="131">
        <f>SUMIFS('W2'!$K$12:$K$112,'W2'!$B$12:$B$112,'W6 - Operating cost'!$B6)</f>
        <v>0</v>
      </c>
      <c r="DC6" s="55"/>
      <c r="DD6" s="55"/>
      <c r="DE6" s="55"/>
      <c r="DF6" s="55"/>
      <c r="DH6" s="131">
        <f>SUMIFS('W2'!$K$12:$K$112,'W2'!$B$12:$B$112,'W6 - Operating cost'!$B6)</f>
        <v>0</v>
      </c>
      <c r="DI6" s="55"/>
      <c r="DJ6" s="55"/>
      <c r="DK6" s="55"/>
      <c r="DL6" s="55"/>
      <c r="DN6" s="131">
        <f>SUMIFS('W2'!$K$12:$K$112,'W2'!$B$12:$B$112,'W6 - Operating cost'!$B6)</f>
        <v>0</v>
      </c>
      <c r="DO6" s="55"/>
      <c r="DP6" s="55"/>
      <c r="DQ6" s="55"/>
      <c r="DR6" s="55"/>
      <c r="DT6" s="131">
        <f>SUMIFS('W2'!$K$12:$K$112,'W2'!$B$12:$B$112,'W6 - Operating cost'!$B6)</f>
        <v>0</v>
      </c>
      <c r="DU6" s="55"/>
      <c r="DV6" s="55"/>
      <c r="DW6" s="55"/>
      <c r="DX6" s="55"/>
      <c r="DZ6" s="131">
        <f>SUMIFS('W2'!$K$12:$K$112,'W2'!$B$12:$B$112,'W6 - Operating cost'!$B6)</f>
        <v>0</v>
      </c>
      <c r="EA6" s="55"/>
      <c r="EB6" s="55"/>
      <c r="EC6" s="55"/>
      <c r="ED6" s="55"/>
      <c r="EF6" s="131">
        <f>SUMIFS('W2'!$K$12:$K$112,'W2'!$B$12:$B$112,'W6 - Operating cost'!$B6)</f>
        <v>0</v>
      </c>
      <c r="EG6" s="55"/>
      <c r="EH6" s="55"/>
      <c r="EI6" s="55"/>
      <c r="EJ6" s="55"/>
      <c r="EL6" s="131">
        <f>SUMIFS('W2'!$K$12:$K$112,'W2'!$B$12:$B$112,'W6 - Operating cost'!$B6)</f>
        <v>0</v>
      </c>
      <c r="EM6" s="55"/>
      <c r="EN6" s="55"/>
      <c r="EO6" s="55"/>
      <c r="EP6" s="55"/>
      <c r="ER6" s="131">
        <f>SUMIFS('W2'!$K$12:$K$112,'W2'!$B$12:$B$112,'W6 - Operating cost'!$B6)</f>
        <v>0</v>
      </c>
      <c r="ES6" s="55"/>
      <c r="ET6" s="55"/>
      <c r="EU6" s="55"/>
      <c r="EV6" s="55"/>
    </row>
    <row r="7" spans="1:152" x14ac:dyDescent="0.25">
      <c r="B7" s="56" t="s">
        <v>91</v>
      </c>
      <c r="C7" s="55" t="s">
        <v>89</v>
      </c>
      <c r="D7" s="131">
        <f>SUMIFS('W2'!$K$12:$K$112,'W2'!$B$12:$B$112,'W6 - Operating cost'!$B7)</f>
        <v>3</v>
      </c>
      <c r="E7" s="100">
        <f>D18</f>
        <v>16604066.03773585</v>
      </c>
      <c r="F7" s="100">
        <f>D7*E7</f>
        <v>49812198.113207549</v>
      </c>
      <c r="G7" s="100">
        <f>F7*12</f>
        <v>597746377.35849059</v>
      </c>
      <c r="H7" s="55" t="s">
        <v>193</v>
      </c>
      <c r="J7" s="131">
        <f>SUMIFS('W2'!$K$12:$K$112,'W2'!$B$12:$B$112,'W6 - Operating cost'!$B7)</f>
        <v>3</v>
      </c>
      <c r="K7" s="100">
        <f>J18</f>
        <v>16604066.03773585</v>
      </c>
      <c r="L7" s="100">
        <f>J7*K7</f>
        <v>49812198.113207549</v>
      </c>
      <c r="M7" s="100">
        <f>L7*12</f>
        <v>597746377.35849059</v>
      </c>
      <c r="N7" s="55" t="s">
        <v>193</v>
      </c>
      <c r="P7" s="131">
        <f>SUMIFS('W2'!$K$12:$K$112,'W2'!$B$12:$B$112,'W6 - Operating cost'!$B7)</f>
        <v>3</v>
      </c>
      <c r="Q7" s="100">
        <f>P18</f>
        <v>17434269.339622643</v>
      </c>
      <c r="R7" s="100">
        <f>P7*Q7</f>
        <v>52302808.018867925</v>
      </c>
      <c r="S7" s="100">
        <f>R7*12</f>
        <v>627633696.22641516</v>
      </c>
      <c r="T7" s="55" t="s">
        <v>193</v>
      </c>
      <c r="V7" s="131">
        <f>SUMIFS('W2'!$K$12:$K$112,'W2'!$B$12:$B$112,'W6 - Operating cost'!$B7)</f>
        <v>3</v>
      </c>
      <c r="W7" s="100">
        <f>V18</f>
        <v>18305982.806603774</v>
      </c>
      <c r="X7" s="100">
        <f>V7*W7</f>
        <v>54917948.419811323</v>
      </c>
      <c r="Y7" s="100">
        <f>X7*12</f>
        <v>659015381.03773594</v>
      </c>
      <c r="Z7" s="55" t="s">
        <v>193</v>
      </c>
      <c r="AB7" s="131">
        <f>SUMIFS('W2'!$K$12:$K$112,'W2'!$B$12:$B$112,'W6 - Operating cost'!$B7)</f>
        <v>3</v>
      </c>
      <c r="AC7" s="100">
        <f t="shared" ref="AC7" si="84">AB18</f>
        <v>19221281.946933966</v>
      </c>
      <c r="AD7" s="100">
        <f t="shared" ref="AD7:AD8" si="85">AB7*AC7</f>
        <v>57663845.840801895</v>
      </c>
      <c r="AE7" s="100">
        <f t="shared" ref="AE7" si="86">AD7*12</f>
        <v>691966150.08962274</v>
      </c>
      <c r="AF7" s="55" t="s">
        <v>193</v>
      </c>
      <c r="AH7" s="131">
        <f>SUMIFS('W2'!$K$12:$K$112,'W2'!$B$12:$B$112,'W6 - Operating cost'!$B7)</f>
        <v>3</v>
      </c>
      <c r="AI7" s="100">
        <f t="shared" ref="AI7" si="87">AH18</f>
        <v>20182346.044280659</v>
      </c>
      <c r="AJ7" s="100">
        <f t="shared" ref="AJ7:AJ8" si="88">AH7*AI7</f>
        <v>60547038.132841974</v>
      </c>
      <c r="AK7" s="100">
        <f t="shared" ref="AK7" si="89">AJ7*12</f>
        <v>726564457.59410369</v>
      </c>
      <c r="AL7" s="55" t="s">
        <v>193</v>
      </c>
      <c r="AN7" s="131">
        <f>SUMIFS('W2'!$K$12:$K$112,'W2'!$B$12:$B$112,'W6 - Operating cost'!$B7)</f>
        <v>3</v>
      </c>
      <c r="AO7" s="100">
        <f t="shared" ref="AO7" si="90">AN18</f>
        <v>21191463.346494697</v>
      </c>
      <c r="AP7" s="100">
        <f t="shared" ref="AP7:AP8" si="91">AN7*AO7</f>
        <v>63574390.039484091</v>
      </c>
      <c r="AQ7" s="100">
        <f t="shared" ref="AQ7" si="92">AP7*12</f>
        <v>762892680.47380912</v>
      </c>
      <c r="AR7" s="55" t="s">
        <v>193</v>
      </c>
      <c r="AT7" s="131">
        <f>SUMIFS('W2'!$K$12:$K$112,'W2'!$B$12:$B$112,'W6 - Operating cost'!$B7)</f>
        <v>3</v>
      </c>
      <c r="AU7" s="100">
        <f t="shared" ref="AU7" si="93">AT18</f>
        <v>22251036.51381943</v>
      </c>
      <c r="AV7" s="100">
        <f t="shared" ref="AV7:AV8" si="94">AT7*AU7</f>
        <v>66753109.541458294</v>
      </c>
      <c r="AW7" s="100">
        <f t="shared" ref="AW7" si="95">AV7*12</f>
        <v>801037314.49749947</v>
      </c>
      <c r="AX7" s="55" t="s">
        <v>193</v>
      </c>
      <c r="AZ7" s="131">
        <f>SUMIFS('W2'!$K$12:$K$112,'W2'!$B$12:$B$112,'W6 - Operating cost'!$B7)</f>
        <v>3</v>
      </c>
      <c r="BA7" s="100">
        <f t="shared" ref="BA7" si="96">AZ18</f>
        <v>23363588.339510404</v>
      </c>
      <c r="BB7" s="100">
        <f t="shared" ref="BB7:BB8" si="97">AZ7*BA7</f>
        <v>70090765.018531203</v>
      </c>
      <c r="BC7" s="100">
        <f t="shared" ref="BC7" si="98">BB7*12</f>
        <v>841089180.22237444</v>
      </c>
      <c r="BD7" s="55" t="s">
        <v>193</v>
      </c>
      <c r="BF7" s="131">
        <f>SUMIFS('W2'!$K$12:$K$112,'W2'!$B$12:$B$112,'W6 - Operating cost'!$B7)</f>
        <v>3</v>
      </c>
      <c r="BG7" s="100">
        <f t="shared" ref="BG7" si="99">BF18</f>
        <v>24531767.75648592</v>
      </c>
      <c r="BH7" s="100">
        <f t="shared" ref="BH7:BH8" si="100">BF7*BG7</f>
        <v>73595303.269457757</v>
      </c>
      <c r="BI7" s="100">
        <f t="shared" ref="BI7" si="101">BH7*12</f>
        <v>883143639.23349309</v>
      </c>
      <c r="BJ7" s="55" t="s">
        <v>193</v>
      </c>
      <c r="BL7" s="131">
        <f>SUMIFS('W2'!$K$12:$K$112,'W2'!$B$12:$B$112,'W6 - Operating cost'!$B7)</f>
        <v>3</v>
      </c>
      <c r="BM7" s="100">
        <f t="shared" ref="BM7" si="102">BL18</f>
        <v>25758356.144310217</v>
      </c>
      <c r="BN7" s="100">
        <f t="shared" ref="BN7:BN8" si="103">BL7*BM7</f>
        <v>77275068.432930648</v>
      </c>
      <c r="BO7" s="100">
        <f t="shared" ref="BO7" si="104">BN7*12</f>
        <v>927300821.19516778</v>
      </c>
      <c r="BP7" s="55" t="s">
        <v>193</v>
      </c>
      <c r="BR7" s="131">
        <f>SUMIFS('W2'!$K$12:$K$112,'W2'!$B$12:$B$112,'W6 - Operating cost'!$B7)</f>
        <v>3</v>
      </c>
      <c r="BS7" s="100">
        <f t="shared" ref="BS7" si="105">BR18</f>
        <v>27046273.951525729</v>
      </c>
      <c r="BT7" s="100">
        <f t="shared" ref="BT7:BT8" si="106">BR7*BS7</f>
        <v>81138821.854577184</v>
      </c>
      <c r="BU7" s="100">
        <f t="shared" ref="BU7" si="107">BT7*12</f>
        <v>973665862.2549262</v>
      </c>
      <c r="BV7" s="55" t="s">
        <v>193</v>
      </c>
      <c r="BX7" s="131">
        <f>SUMIFS('W2'!$K$12:$K$112,'W2'!$B$12:$B$112,'W6 - Operating cost'!$B7)</f>
        <v>3</v>
      </c>
      <c r="BY7" s="100">
        <f t="shared" ref="BY7" si="108">BX18</f>
        <v>28398587.649102017</v>
      </c>
      <c r="BZ7" s="100">
        <f t="shared" ref="BZ7:BZ8" si="109">BX7*BY7</f>
        <v>85195762.947306052</v>
      </c>
      <c r="CA7" s="100">
        <f t="shared" ref="CA7" si="110">BZ7*12</f>
        <v>1022349155.3676727</v>
      </c>
      <c r="CB7" s="55" t="s">
        <v>193</v>
      </c>
      <c r="CD7" s="131">
        <f>SUMIFS('W2'!$K$12:$K$112,'W2'!$B$12:$B$112,'W6 - Operating cost'!$B7)</f>
        <v>3</v>
      </c>
      <c r="CE7" s="100">
        <f t="shared" ref="CE7" si="111">CD18</f>
        <v>29818517.031557113</v>
      </c>
      <c r="CF7" s="100">
        <f t="shared" ref="CF7:CF8" si="112">CD7*CE7</f>
        <v>89455551.094671339</v>
      </c>
      <c r="CG7" s="100">
        <f t="shared" ref="CG7" si="113">CF7*12</f>
        <v>1073466613.1360561</v>
      </c>
      <c r="CH7" s="55" t="s">
        <v>193</v>
      </c>
      <c r="CJ7" s="131">
        <f>SUMIFS('W2'!$K$12:$K$112,'W2'!$B$12:$B$112,'W6 - Operating cost'!$B7)</f>
        <v>3</v>
      </c>
      <c r="CK7" s="100">
        <f t="shared" ref="CK7" si="114">CJ18</f>
        <v>31309442.883134976</v>
      </c>
      <c r="CL7" s="100">
        <f t="shared" ref="CL7:CL8" si="115">CJ7*CK7</f>
        <v>93928328.649404928</v>
      </c>
      <c r="CM7" s="100">
        <f t="shared" ref="CM7" si="116">CL7*12</f>
        <v>1127139943.7928591</v>
      </c>
      <c r="CN7" s="55" t="s">
        <v>193</v>
      </c>
      <c r="CP7" s="131">
        <f>SUMIFS('W2'!$K$12:$K$112,'W2'!$B$12:$B$112,'W6 - Operating cost'!$B7)</f>
        <v>3</v>
      </c>
      <c r="CQ7" s="100">
        <f t="shared" ref="CQ7" si="117">CP18</f>
        <v>32874915.027291719</v>
      </c>
      <c r="CR7" s="100">
        <f t="shared" ref="CR7:CR8" si="118">CP7*CQ7</f>
        <v>98624745.08187516</v>
      </c>
      <c r="CS7" s="100">
        <f t="shared" ref="CS7" si="119">CR7*12</f>
        <v>1183496940.982502</v>
      </c>
      <c r="CT7" s="55" t="s">
        <v>193</v>
      </c>
      <c r="CV7" s="131">
        <f>SUMIFS('W2'!$K$12:$K$112,'W2'!$B$12:$B$112,'W6 - Operating cost'!$B7)</f>
        <v>3</v>
      </c>
      <c r="CW7" s="100">
        <f t="shared" ref="CW7" si="120">CV18</f>
        <v>34518660.778656311</v>
      </c>
      <c r="CX7" s="100">
        <f t="shared" ref="CX7:CX8" si="121">CV7*CW7</f>
        <v>103555982.33596894</v>
      </c>
      <c r="CY7" s="100">
        <f t="shared" ref="CY7" si="122">CX7*12</f>
        <v>1242671788.0316272</v>
      </c>
      <c r="CZ7" s="55" t="s">
        <v>193</v>
      </c>
      <c r="DB7" s="131">
        <f>SUMIFS('W2'!$K$12:$K$112,'W2'!$B$12:$B$112,'W6 - Operating cost'!$B7)</f>
        <v>3</v>
      </c>
      <c r="DC7" s="100">
        <f t="shared" ref="DC7" si="123">DB18</f>
        <v>36244593.817589127</v>
      </c>
      <c r="DD7" s="100">
        <f t="shared" ref="DD7:DD8" si="124">DB7*DC7</f>
        <v>108733781.45276737</v>
      </c>
      <c r="DE7" s="100">
        <f t="shared" ref="DE7" si="125">DD7*12</f>
        <v>1304805377.4332085</v>
      </c>
      <c r="DF7" s="55" t="s">
        <v>193</v>
      </c>
      <c r="DH7" s="131">
        <f>SUMIFS('W2'!$K$12:$K$112,'W2'!$B$12:$B$112,'W6 - Operating cost'!$B7)</f>
        <v>3</v>
      </c>
      <c r="DI7" s="100">
        <f t="shared" ref="DI7" si="126">DH18</f>
        <v>38056823.508468591</v>
      </c>
      <c r="DJ7" s="100">
        <f t="shared" ref="DJ7:DJ8" si="127">DH7*DI7</f>
        <v>114170470.52540576</v>
      </c>
      <c r="DK7" s="100">
        <f t="shared" ref="DK7" si="128">DJ7*12</f>
        <v>1370045646.3048692</v>
      </c>
      <c r="DL7" s="55" t="s">
        <v>193</v>
      </c>
      <c r="DN7" s="131">
        <f>SUMIFS('W2'!$K$12:$K$112,'W2'!$B$12:$B$112,'W6 - Operating cost'!$B7)</f>
        <v>3</v>
      </c>
      <c r="DO7" s="100">
        <f t="shared" ref="DO7" si="129">DN18</f>
        <v>39959664.683892019</v>
      </c>
      <c r="DP7" s="100">
        <f t="shared" ref="DP7:DP8" si="130">DN7*DO7</f>
        <v>119878994.05167606</v>
      </c>
      <c r="DQ7" s="100">
        <f t="shared" ref="DQ7" si="131">DP7*12</f>
        <v>1438547928.6201129</v>
      </c>
      <c r="DR7" s="55" t="s">
        <v>193</v>
      </c>
      <c r="DT7" s="131">
        <f>SUMIFS('W2'!$K$12:$K$112,'W2'!$B$12:$B$112,'W6 - Operating cost'!$B7)</f>
        <v>3</v>
      </c>
      <c r="DU7" s="100">
        <f t="shared" ref="DU7" si="132">DT18</f>
        <v>41957647.918086618</v>
      </c>
      <c r="DV7" s="100">
        <f t="shared" ref="DV7:DV8" si="133">DT7*DU7</f>
        <v>125872943.75425985</v>
      </c>
      <c r="DW7" s="100">
        <f t="shared" ref="DW7" si="134">DV7*12</f>
        <v>1510475325.0511184</v>
      </c>
      <c r="DX7" s="55" t="s">
        <v>193</v>
      </c>
      <c r="DZ7" s="131">
        <f>SUMIFS('W2'!$K$12:$K$112,'W2'!$B$12:$B$112,'W6 - Operating cost'!$B7)</f>
        <v>3</v>
      </c>
      <c r="EA7" s="100">
        <f t="shared" ref="EA7" si="135">DZ18</f>
        <v>44055530.313990951</v>
      </c>
      <c r="EB7" s="100">
        <f t="shared" ref="EB7:EB8" si="136">DZ7*EA7</f>
        <v>132166590.94197285</v>
      </c>
      <c r="EC7" s="100">
        <f t="shared" ref="EC7" si="137">EB7*12</f>
        <v>1585999091.3036742</v>
      </c>
      <c r="ED7" s="55" t="s">
        <v>193</v>
      </c>
      <c r="EF7" s="131">
        <f>SUMIFS('W2'!$K$12:$K$112,'W2'!$B$12:$B$112,'W6 - Operating cost'!$B7)</f>
        <v>3</v>
      </c>
      <c r="EG7" s="100">
        <f t="shared" ref="EG7" si="138">EF18</f>
        <v>46258306.829690494</v>
      </c>
      <c r="EH7" s="100">
        <f t="shared" ref="EH7:EH8" si="139">EF7*EG7</f>
        <v>138774920.48907149</v>
      </c>
      <c r="EI7" s="100">
        <f t="shared" ref="EI7" si="140">EH7*12</f>
        <v>1665299045.8688579</v>
      </c>
      <c r="EJ7" s="55" t="s">
        <v>193</v>
      </c>
      <c r="EL7" s="131">
        <f>SUMIFS('W2'!$K$12:$K$112,'W2'!$B$12:$B$112,'W6 - Operating cost'!$B7)</f>
        <v>3</v>
      </c>
      <c r="EM7" s="100">
        <f t="shared" ref="EM7" si="141">EL18</f>
        <v>48571222.171175018</v>
      </c>
      <c r="EN7" s="100">
        <f t="shared" ref="EN7:EN8" si="142">EL7*EM7</f>
        <v>145713666.51352507</v>
      </c>
      <c r="EO7" s="100">
        <f t="shared" ref="EO7" si="143">EN7*12</f>
        <v>1748563998.1623008</v>
      </c>
      <c r="EP7" s="55" t="s">
        <v>193</v>
      </c>
      <c r="ER7" s="131">
        <f>SUMIFS('W2'!$K$12:$K$112,'W2'!$B$12:$B$112,'W6 - Operating cost'!$B7)</f>
        <v>3</v>
      </c>
      <c r="ES7" s="100">
        <f t="shared" ref="ES7" si="144">ER18</f>
        <v>50999783.279733777</v>
      </c>
      <c r="ET7" s="100">
        <f t="shared" ref="ET7:ET8" si="145">ER7*ES7</f>
        <v>152999349.83920133</v>
      </c>
      <c r="EU7" s="100">
        <f t="shared" ref="EU7" si="146">ET7*12</f>
        <v>1835992198.070416</v>
      </c>
      <c r="EV7" s="55" t="s">
        <v>193</v>
      </c>
    </row>
    <row r="8" spans="1:152" x14ac:dyDescent="0.25">
      <c r="B8" s="56" t="s">
        <v>92</v>
      </c>
      <c r="C8" s="55" t="s">
        <v>89</v>
      </c>
      <c r="D8" s="131">
        <f>SUMIFS('W2'!$K$12:$K$112,'W2'!$B$12:$B$112,'W6 - Operating cost'!$B8)</f>
        <v>4.5</v>
      </c>
      <c r="E8" s="100">
        <f>D18</f>
        <v>16604066.03773585</v>
      </c>
      <c r="F8" s="100">
        <f>D8*E8</f>
        <v>74718297.169811323</v>
      </c>
      <c r="G8" s="100">
        <f>F8*12</f>
        <v>896619566.03773594</v>
      </c>
      <c r="H8" s="55" t="s">
        <v>193</v>
      </c>
      <c r="J8" s="131">
        <f>SUMIFS('W2'!$K$12:$K$112,'W2'!$B$12:$B$112,'W6 - Operating cost'!$B8)</f>
        <v>4.5</v>
      </c>
      <c r="K8" s="100">
        <f>J18</f>
        <v>16604066.03773585</v>
      </c>
      <c r="L8" s="100">
        <f>J8*K8</f>
        <v>74718297.169811323</v>
      </c>
      <c r="M8" s="100">
        <f>L8*12</f>
        <v>896619566.03773594</v>
      </c>
      <c r="N8" s="55" t="s">
        <v>193</v>
      </c>
      <c r="P8" s="131">
        <f>SUMIFS('W2'!$K$12:$K$112,'W2'!$B$12:$B$112,'W6 - Operating cost'!$B8)</f>
        <v>4.5</v>
      </c>
      <c r="Q8" s="100">
        <f>P18</f>
        <v>17434269.339622643</v>
      </c>
      <c r="R8" s="100">
        <f>P8*Q8</f>
        <v>78454212.028301895</v>
      </c>
      <c r="S8" s="100">
        <f>R8*12</f>
        <v>941450544.33962274</v>
      </c>
      <c r="T8" s="55" t="s">
        <v>193</v>
      </c>
      <c r="V8" s="131">
        <f>SUMIFS('W2'!$K$12:$K$112,'W2'!$B$12:$B$112,'W6 - Operating cost'!$B8)</f>
        <v>4.5</v>
      </c>
      <c r="W8" s="100">
        <f>V18</f>
        <v>18305982.806603774</v>
      </c>
      <c r="X8" s="100">
        <f>V8*W8</f>
        <v>82376922.629716992</v>
      </c>
      <c r="Y8" s="100">
        <f>X8*12</f>
        <v>988523071.55660391</v>
      </c>
      <c r="Z8" s="55" t="s">
        <v>193</v>
      </c>
      <c r="AB8" s="131">
        <f>SUMIFS('W2'!$K$12:$K$112,'W2'!$B$12:$B$112,'W6 - Operating cost'!$B8)</f>
        <v>4.5</v>
      </c>
      <c r="AC8" s="100">
        <f t="shared" ref="AC8" si="147">AB18</f>
        <v>19221281.946933966</v>
      </c>
      <c r="AD8" s="100">
        <f t="shared" si="85"/>
        <v>86495768.761202842</v>
      </c>
      <c r="AE8" s="100">
        <f t="shared" ref="AE8" si="148">AD8*12</f>
        <v>1037949225.1344341</v>
      </c>
      <c r="AF8" s="55" t="s">
        <v>193</v>
      </c>
      <c r="AH8" s="131">
        <f>SUMIFS('W2'!$K$12:$K$112,'W2'!$B$12:$B$112,'W6 - Operating cost'!$B8)</f>
        <v>4.5</v>
      </c>
      <c r="AI8" s="100">
        <f t="shared" ref="AI8" si="149">AH18</f>
        <v>20182346.044280659</v>
      </c>
      <c r="AJ8" s="100">
        <f t="shared" si="88"/>
        <v>90820557.199262962</v>
      </c>
      <c r="AK8" s="100">
        <f t="shared" ref="AK8" si="150">AJ8*12</f>
        <v>1089846686.3911555</v>
      </c>
      <c r="AL8" s="55" t="s">
        <v>193</v>
      </c>
      <c r="AN8" s="131">
        <f>SUMIFS('W2'!$K$12:$K$112,'W2'!$B$12:$B$112,'W6 - Operating cost'!$B8)</f>
        <v>4.5</v>
      </c>
      <c r="AO8" s="100">
        <f t="shared" ref="AO8" si="151">AN18</f>
        <v>21191463.346494697</v>
      </c>
      <c r="AP8" s="100">
        <f t="shared" si="91"/>
        <v>95361585.05922614</v>
      </c>
      <c r="AQ8" s="100">
        <f t="shared" ref="AQ8" si="152">AP8*12</f>
        <v>1144339020.7107136</v>
      </c>
      <c r="AR8" s="55" t="s">
        <v>193</v>
      </c>
      <c r="AT8" s="131">
        <f>SUMIFS('W2'!$K$12:$K$112,'W2'!$B$12:$B$112,'W6 - Operating cost'!$B8)</f>
        <v>4.5</v>
      </c>
      <c r="AU8" s="100">
        <f t="shared" ref="AU8" si="153">AT18</f>
        <v>22251036.51381943</v>
      </c>
      <c r="AV8" s="100">
        <f t="shared" si="94"/>
        <v>100129664.31218743</v>
      </c>
      <c r="AW8" s="100">
        <f t="shared" ref="AW8" si="154">AV8*12</f>
        <v>1201555971.7462492</v>
      </c>
      <c r="AX8" s="55" t="s">
        <v>193</v>
      </c>
      <c r="AZ8" s="131">
        <f>SUMIFS('W2'!$K$12:$K$112,'W2'!$B$12:$B$112,'W6 - Operating cost'!$B8)</f>
        <v>4.5</v>
      </c>
      <c r="BA8" s="100">
        <f t="shared" ref="BA8" si="155">AZ18</f>
        <v>23363588.339510404</v>
      </c>
      <c r="BB8" s="100">
        <f t="shared" si="97"/>
        <v>105136147.52779682</v>
      </c>
      <c r="BC8" s="100">
        <f t="shared" ref="BC8" si="156">BB8*12</f>
        <v>1261633770.3335619</v>
      </c>
      <c r="BD8" s="55" t="s">
        <v>193</v>
      </c>
      <c r="BF8" s="131">
        <f>SUMIFS('W2'!$K$12:$K$112,'W2'!$B$12:$B$112,'W6 - Operating cost'!$B8)</f>
        <v>4.5</v>
      </c>
      <c r="BG8" s="100">
        <f t="shared" ref="BG8" si="157">BF18</f>
        <v>24531767.75648592</v>
      </c>
      <c r="BH8" s="100">
        <f t="shared" si="100"/>
        <v>110392954.90418664</v>
      </c>
      <c r="BI8" s="100">
        <f t="shared" ref="BI8" si="158">BH8*12</f>
        <v>1324715458.8502398</v>
      </c>
      <c r="BJ8" s="55" t="s">
        <v>193</v>
      </c>
      <c r="BL8" s="131">
        <f>SUMIFS('W2'!$K$12:$K$112,'W2'!$B$12:$B$112,'W6 - Operating cost'!$B8)</f>
        <v>4.5</v>
      </c>
      <c r="BM8" s="100">
        <f t="shared" ref="BM8" si="159">BL18</f>
        <v>25758356.144310217</v>
      </c>
      <c r="BN8" s="100">
        <f t="shared" si="103"/>
        <v>115912602.64939597</v>
      </c>
      <c r="BO8" s="100">
        <f t="shared" ref="BO8" si="160">BN8*12</f>
        <v>1390951231.7927518</v>
      </c>
      <c r="BP8" s="55" t="s">
        <v>193</v>
      </c>
      <c r="BR8" s="131">
        <f>SUMIFS('W2'!$K$12:$K$112,'W2'!$B$12:$B$112,'W6 - Operating cost'!$B8)</f>
        <v>4.5</v>
      </c>
      <c r="BS8" s="100">
        <f t="shared" ref="BS8" si="161">BR18</f>
        <v>27046273.951525729</v>
      </c>
      <c r="BT8" s="100">
        <f t="shared" si="106"/>
        <v>121708232.78186578</v>
      </c>
      <c r="BU8" s="100">
        <f t="shared" ref="BU8" si="162">BT8*12</f>
        <v>1460498793.3823893</v>
      </c>
      <c r="BV8" s="55" t="s">
        <v>193</v>
      </c>
      <c r="BX8" s="131">
        <f>SUMIFS('W2'!$K$12:$K$112,'W2'!$B$12:$B$112,'W6 - Operating cost'!$B8)</f>
        <v>4.5</v>
      </c>
      <c r="BY8" s="100">
        <f t="shared" ref="BY8" si="163">BX18</f>
        <v>28398587.649102017</v>
      </c>
      <c r="BZ8" s="100">
        <f t="shared" si="109"/>
        <v>127793644.42095909</v>
      </c>
      <c r="CA8" s="100">
        <f t="shared" ref="CA8" si="164">BZ8*12</f>
        <v>1533523733.0515089</v>
      </c>
      <c r="CB8" s="55" t="s">
        <v>193</v>
      </c>
      <c r="CD8" s="131">
        <f>SUMIFS('W2'!$K$12:$K$112,'W2'!$B$12:$B$112,'W6 - Operating cost'!$B8)</f>
        <v>4.5</v>
      </c>
      <c r="CE8" s="100">
        <f t="shared" ref="CE8" si="165">CD18</f>
        <v>29818517.031557113</v>
      </c>
      <c r="CF8" s="100">
        <f t="shared" si="112"/>
        <v>134183326.64200701</v>
      </c>
      <c r="CG8" s="100">
        <f t="shared" ref="CG8" si="166">CF8*12</f>
        <v>1610199919.7040842</v>
      </c>
      <c r="CH8" s="55" t="s">
        <v>193</v>
      </c>
      <c r="CJ8" s="131">
        <f>SUMIFS('W2'!$K$12:$K$112,'W2'!$B$12:$B$112,'W6 - Operating cost'!$B8)</f>
        <v>4.5</v>
      </c>
      <c r="CK8" s="100">
        <f t="shared" ref="CK8" si="167">CJ18</f>
        <v>31309442.883134976</v>
      </c>
      <c r="CL8" s="100">
        <f t="shared" si="115"/>
        <v>140892492.97410738</v>
      </c>
      <c r="CM8" s="100">
        <f t="shared" ref="CM8" si="168">CL8*12</f>
        <v>1690709915.6892886</v>
      </c>
      <c r="CN8" s="55" t="s">
        <v>193</v>
      </c>
      <c r="CP8" s="131">
        <f>SUMIFS('W2'!$K$12:$K$112,'W2'!$B$12:$B$112,'W6 - Operating cost'!$B8)</f>
        <v>4.5</v>
      </c>
      <c r="CQ8" s="100">
        <f t="shared" ref="CQ8" si="169">CP18</f>
        <v>32874915.027291719</v>
      </c>
      <c r="CR8" s="100">
        <f t="shared" si="118"/>
        <v>147937117.62281275</v>
      </c>
      <c r="CS8" s="100">
        <f t="shared" ref="CS8" si="170">CR8*12</f>
        <v>1775245411.473753</v>
      </c>
      <c r="CT8" s="55" t="s">
        <v>193</v>
      </c>
      <c r="CV8" s="131">
        <f>SUMIFS('W2'!$K$12:$K$112,'W2'!$B$12:$B$112,'W6 - Operating cost'!$B8)</f>
        <v>4.5</v>
      </c>
      <c r="CW8" s="100">
        <f t="shared" ref="CW8" si="171">CV18</f>
        <v>34518660.778656311</v>
      </c>
      <c r="CX8" s="100">
        <f t="shared" si="121"/>
        <v>155333973.5039534</v>
      </c>
      <c r="CY8" s="100">
        <f t="shared" ref="CY8" si="172">CX8*12</f>
        <v>1864007682.0474408</v>
      </c>
      <c r="CZ8" s="55" t="s">
        <v>193</v>
      </c>
      <c r="DB8" s="131">
        <f>SUMIFS('W2'!$K$12:$K$112,'W2'!$B$12:$B$112,'W6 - Operating cost'!$B8)</f>
        <v>4.5</v>
      </c>
      <c r="DC8" s="100">
        <f t="shared" ref="DC8" si="173">DB18</f>
        <v>36244593.817589127</v>
      </c>
      <c r="DD8" s="100">
        <f t="shared" si="124"/>
        <v>163100672.17915106</v>
      </c>
      <c r="DE8" s="100">
        <f t="shared" ref="DE8" si="174">DD8*12</f>
        <v>1957208066.1498127</v>
      </c>
      <c r="DF8" s="55" t="s">
        <v>193</v>
      </c>
      <c r="DH8" s="131">
        <f>SUMIFS('W2'!$K$12:$K$112,'W2'!$B$12:$B$112,'W6 - Operating cost'!$B8)</f>
        <v>4.5</v>
      </c>
      <c r="DI8" s="100">
        <f t="shared" ref="DI8" si="175">DH18</f>
        <v>38056823.508468591</v>
      </c>
      <c r="DJ8" s="100">
        <f t="shared" si="127"/>
        <v>171255705.78810865</v>
      </c>
      <c r="DK8" s="100">
        <f t="shared" ref="DK8" si="176">DJ8*12</f>
        <v>2055068469.4573038</v>
      </c>
      <c r="DL8" s="55" t="s">
        <v>193</v>
      </c>
      <c r="DN8" s="131">
        <f>SUMIFS('W2'!$K$12:$K$112,'W2'!$B$12:$B$112,'W6 - Operating cost'!$B8)</f>
        <v>4.5</v>
      </c>
      <c r="DO8" s="100">
        <f t="shared" ref="DO8" si="177">DN18</f>
        <v>39959664.683892019</v>
      </c>
      <c r="DP8" s="100">
        <f t="shared" si="130"/>
        <v>179818491.07751408</v>
      </c>
      <c r="DQ8" s="100">
        <f t="shared" ref="DQ8" si="178">DP8*12</f>
        <v>2157821892.9301691</v>
      </c>
      <c r="DR8" s="55" t="s">
        <v>193</v>
      </c>
      <c r="DT8" s="131">
        <f>SUMIFS('W2'!$K$12:$K$112,'W2'!$B$12:$B$112,'W6 - Operating cost'!$B8)</f>
        <v>4.5</v>
      </c>
      <c r="DU8" s="100">
        <f t="shared" ref="DU8" si="179">DT18</f>
        <v>41957647.918086618</v>
      </c>
      <c r="DV8" s="100">
        <f t="shared" si="133"/>
        <v>188809415.6313898</v>
      </c>
      <c r="DW8" s="100">
        <f t="shared" ref="DW8" si="180">DV8*12</f>
        <v>2265712987.5766773</v>
      </c>
      <c r="DX8" s="55" t="s">
        <v>193</v>
      </c>
      <c r="DZ8" s="131">
        <f>SUMIFS('W2'!$K$12:$K$112,'W2'!$B$12:$B$112,'W6 - Operating cost'!$B8)</f>
        <v>4.5</v>
      </c>
      <c r="EA8" s="100">
        <f t="shared" ref="EA8" si="181">DZ18</f>
        <v>44055530.313990951</v>
      </c>
      <c r="EB8" s="100">
        <f t="shared" si="136"/>
        <v>198249886.41295928</v>
      </c>
      <c r="EC8" s="100">
        <f t="shared" ref="EC8" si="182">EB8*12</f>
        <v>2378998636.9555111</v>
      </c>
      <c r="ED8" s="55" t="s">
        <v>193</v>
      </c>
      <c r="EF8" s="131">
        <f>SUMIFS('W2'!$K$12:$K$112,'W2'!$B$12:$B$112,'W6 - Operating cost'!$B8)</f>
        <v>4.5</v>
      </c>
      <c r="EG8" s="100">
        <f t="shared" ref="EG8" si="183">EF18</f>
        <v>46258306.829690494</v>
      </c>
      <c r="EH8" s="100">
        <f t="shared" si="139"/>
        <v>208162380.73360723</v>
      </c>
      <c r="EI8" s="100">
        <f t="shared" ref="EI8" si="184">EH8*12</f>
        <v>2497948568.8032866</v>
      </c>
      <c r="EJ8" s="55" t="s">
        <v>193</v>
      </c>
      <c r="EL8" s="131">
        <f>SUMIFS('W2'!$K$12:$K$112,'W2'!$B$12:$B$112,'W6 - Operating cost'!$B8)</f>
        <v>4.5</v>
      </c>
      <c r="EM8" s="100">
        <f t="shared" ref="EM8" si="185">EL18</f>
        <v>48571222.171175018</v>
      </c>
      <c r="EN8" s="100">
        <f t="shared" si="142"/>
        <v>218570499.77028757</v>
      </c>
      <c r="EO8" s="100">
        <f t="shared" ref="EO8" si="186">EN8*12</f>
        <v>2622845997.2434511</v>
      </c>
      <c r="EP8" s="55" t="s">
        <v>193</v>
      </c>
      <c r="ER8" s="131">
        <f>SUMIFS('W2'!$K$12:$K$112,'W2'!$B$12:$B$112,'W6 - Operating cost'!$B8)</f>
        <v>4.5</v>
      </c>
      <c r="ES8" s="100">
        <f t="shared" ref="ES8" si="187">ER18</f>
        <v>50999783.279733777</v>
      </c>
      <c r="ET8" s="100">
        <f t="shared" si="145"/>
        <v>229499024.758802</v>
      </c>
      <c r="EU8" s="100">
        <f t="shared" ref="EU8" si="188">ET8*12</f>
        <v>2753988297.1056242</v>
      </c>
      <c r="EV8" s="55" t="s">
        <v>193</v>
      </c>
    </row>
    <row r="9" spans="1:152" x14ac:dyDescent="0.25">
      <c r="B9" s="56" t="s">
        <v>93</v>
      </c>
      <c r="C9" s="55" t="s">
        <v>89</v>
      </c>
      <c r="D9" s="131">
        <f>SUMIFS('W2'!$K$12:$K$112,'W2'!$B$12:$B$112,'W6 - Operating cost'!$B9)</f>
        <v>0</v>
      </c>
      <c r="E9" s="55"/>
      <c r="F9" s="55"/>
      <c r="G9" s="55"/>
      <c r="H9" s="55"/>
      <c r="J9" s="131">
        <f>SUMIFS('W2'!$K$12:$K$112,'W2'!$B$12:$B$112,'W6 - Operating cost'!$B9)</f>
        <v>0</v>
      </c>
      <c r="K9" s="55"/>
      <c r="L9" s="55"/>
      <c r="M9" s="55"/>
      <c r="N9" s="55"/>
      <c r="P9" s="131">
        <f>SUMIFS('W2'!$K$12:$K$112,'W2'!$B$12:$B$112,'W6 - Operating cost'!$B9)</f>
        <v>0</v>
      </c>
      <c r="Q9" s="55"/>
      <c r="R9" s="55"/>
      <c r="S9" s="55"/>
      <c r="T9" s="55"/>
      <c r="V9" s="131">
        <f>SUMIFS('W2'!$K$12:$K$112,'W2'!$B$12:$B$112,'W6 - Operating cost'!$B9)</f>
        <v>0</v>
      </c>
      <c r="W9" s="55"/>
      <c r="X9" s="55"/>
      <c r="Y9" s="55"/>
      <c r="Z9" s="55"/>
      <c r="AB9" s="131">
        <f>SUMIFS('W2'!$K$12:$K$112,'W2'!$B$12:$B$112,'W6 - Operating cost'!$B9)</f>
        <v>0</v>
      </c>
      <c r="AC9" s="55"/>
      <c r="AD9" s="55"/>
      <c r="AE9" s="55"/>
      <c r="AF9" s="55"/>
      <c r="AH9" s="131">
        <f>SUMIFS('W2'!$K$12:$K$112,'W2'!$B$12:$B$112,'W6 - Operating cost'!$B9)</f>
        <v>0</v>
      </c>
      <c r="AI9" s="55"/>
      <c r="AJ9" s="55"/>
      <c r="AK9" s="55"/>
      <c r="AL9" s="55"/>
      <c r="AN9" s="131">
        <f>SUMIFS('W2'!$K$12:$K$112,'W2'!$B$12:$B$112,'W6 - Operating cost'!$B9)</f>
        <v>0</v>
      </c>
      <c r="AO9" s="55"/>
      <c r="AP9" s="55"/>
      <c r="AQ9" s="55"/>
      <c r="AR9" s="55"/>
      <c r="AT9" s="131">
        <f>SUMIFS('W2'!$K$12:$K$112,'W2'!$B$12:$B$112,'W6 - Operating cost'!$B9)</f>
        <v>0</v>
      </c>
      <c r="AU9" s="55"/>
      <c r="AV9" s="55"/>
      <c r="AW9" s="55"/>
      <c r="AX9" s="55"/>
      <c r="AZ9" s="131">
        <f>SUMIFS('W2'!$K$12:$K$112,'W2'!$B$12:$B$112,'W6 - Operating cost'!$B9)</f>
        <v>0</v>
      </c>
      <c r="BA9" s="55"/>
      <c r="BB9" s="55"/>
      <c r="BC9" s="55"/>
      <c r="BD9" s="55"/>
      <c r="BF9" s="131">
        <f>SUMIFS('W2'!$K$12:$K$112,'W2'!$B$12:$B$112,'W6 - Operating cost'!$B9)</f>
        <v>0</v>
      </c>
      <c r="BG9" s="55"/>
      <c r="BH9" s="55"/>
      <c r="BI9" s="55"/>
      <c r="BJ9" s="55"/>
      <c r="BL9" s="131">
        <f>SUMIFS('W2'!$K$12:$K$112,'W2'!$B$12:$B$112,'W6 - Operating cost'!$B9)</f>
        <v>0</v>
      </c>
      <c r="BM9" s="55"/>
      <c r="BN9" s="55"/>
      <c r="BO9" s="55"/>
      <c r="BP9" s="55"/>
      <c r="BR9" s="131">
        <f>SUMIFS('W2'!$K$12:$K$112,'W2'!$B$12:$B$112,'W6 - Operating cost'!$B9)</f>
        <v>0</v>
      </c>
      <c r="BS9" s="55"/>
      <c r="BT9" s="55"/>
      <c r="BU9" s="55"/>
      <c r="BV9" s="55"/>
      <c r="BX9" s="131">
        <f>SUMIFS('W2'!$K$12:$K$112,'W2'!$B$12:$B$112,'W6 - Operating cost'!$B9)</f>
        <v>0</v>
      </c>
      <c r="BY9" s="55"/>
      <c r="BZ9" s="55"/>
      <c r="CA9" s="55"/>
      <c r="CB9" s="55"/>
      <c r="CD9" s="131">
        <f>SUMIFS('W2'!$K$12:$K$112,'W2'!$B$12:$B$112,'W6 - Operating cost'!$B9)</f>
        <v>0</v>
      </c>
      <c r="CE9" s="55"/>
      <c r="CF9" s="55"/>
      <c r="CG9" s="55"/>
      <c r="CH9" s="55"/>
      <c r="CJ9" s="131">
        <f>SUMIFS('W2'!$K$12:$K$112,'W2'!$B$12:$B$112,'W6 - Operating cost'!$B9)</f>
        <v>0</v>
      </c>
      <c r="CK9" s="55"/>
      <c r="CL9" s="55"/>
      <c r="CM9" s="55"/>
      <c r="CN9" s="55"/>
      <c r="CP9" s="131">
        <f>SUMIFS('W2'!$K$12:$K$112,'W2'!$B$12:$B$112,'W6 - Operating cost'!$B9)</f>
        <v>0</v>
      </c>
      <c r="CQ9" s="55"/>
      <c r="CR9" s="55"/>
      <c r="CS9" s="55"/>
      <c r="CT9" s="55"/>
      <c r="CV9" s="131">
        <f>SUMIFS('W2'!$K$12:$K$112,'W2'!$B$12:$B$112,'W6 - Operating cost'!$B9)</f>
        <v>0</v>
      </c>
      <c r="CW9" s="55"/>
      <c r="CX9" s="55"/>
      <c r="CY9" s="55"/>
      <c r="CZ9" s="55"/>
      <c r="DB9" s="131">
        <f>SUMIFS('W2'!$K$12:$K$112,'W2'!$B$12:$B$112,'W6 - Operating cost'!$B9)</f>
        <v>0</v>
      </c>
      <c r="DC9" s="55"/>
      <c r="DD9" s="55"/>
      <c r="DE9" s="55"/>
      <c r="DF9" s="55"/>
      <c r="DH9" s="131">
        <f>SUMIFS('W2'!$K$12:$K$112,'W2'!$B$12:$B$112,'W6 - Operating cost'!$B9)</f>
        <v>0</v>
      </c>
      <c r="DI9" s="55"/>
      <c r="DJ9" s="55"/>
      <c r="DK9" s="55"/>
      <c r="DL9" s="55"/>
      <c r="DN9" s="131">
        <f>SUMIFS('W2'!$K$12:$K$112,'W2'!$B$12:$B$112,'W6 - Operating cost'!$B9)</f>
        <v>0</v>
      </c>
      <c r="DO9" s="55"/>
      <c r="DP9" s="55"/>
      <c r="DQ9" s="55"/>
      <c r="DR9" s="55"/>
      <c r="DT9" s="131">
        <f>SUMIFS('W2'!$K$12:$K$112,'W2'!$B$12:$B$112,'W6 - Operating cost'!$B9)</f>
        <v>0</v>
      </c>
      <c r="DU9" s="55"/>
      <c r="DV9" s="55"/>
      <c r="DW9" s="55"/>
      <c r="DX9" s="55"/>
      <c r="DZ9" s="131">
        <f>SUMIFS('W2'!$K$12:$K$112,'W2'!$B$12:$B$112,'W6 - Operating cost'!$B9)</f>
        <v>0</v>
      </c>
      <c r="EA9" s="55"/>
      <c r="EB9" s="55"/>
      <c r="EC9" s="55"/>
      <c r="ED9" s="55"/>
      <c r="EF9" s="131">
        <f>SUMIFS('W2'!$K$12:$K$112,'W2'!$B$12:$B$112,'W6 - Operating cost'!$B9)</f>
        <v>0</v>
      </c>
      <c r="EG9" s="55"/>
      <c r="EH9" s="55"/>
      <c r="EI9" s="55"/>
      <c r="EJ9" s="55"/>
      <c r="EL9" s="131">
        <f>SUMIFS('W2'!$K$12:$K$112,'W2'!$B$12:$B$112,'W6 - Operating cost'!$B9)</f>
        <v>0</v>
      </c>
      <c r="EM9" s="55"/>
      <c r="EN9" s="55"/>
      <c r="EO9" s="55"/>
      <c r="EP9" s="55"/>
      <c r="ER9" s="131">
        <f>SUMIFS('W2'!$K$12:$K$112,'W2'!$B$12:$B$112,'W6 - Operating cost'!$B9)</f>
        <v>0</v>
      </c>
      <c r="ES9" s="55"/>
      <c r="ET9" s="55"/>
      <c r="EU9" s="55"/>
      <c r="EV9" s="55"/>
    </row>
    <row r="10" spans="1:152" x14ac:dyDescent="0.25">
      <c r="B10" s="56" t="s">
        <v>94</v>
      </c>
      <c r="C10" s="55" t="s">
        <v>89</v>
      </c>
      <c r="D10" s="131">
        <f>SUMIFS('W2'!$K$12:$K$112,'W2'!$B$12:$B$112,'W6 - Operating cost'!$B10)</f>
        <v>0</v>
      </c>
      <c r="E10" s="100"/>
      <c r="F10" s="55"/>
      <c r="G10" s="55"/>
      <c r="H10" s="55"/>
      <c r="J10" s="131">
        <f>SUMIFS('W2'!$K$12:$K$112,'W2'!$B$12:$B$112,'W6 - Operating cost'!$B10)</f>
        <v>0</v>
      </c>
      <c r="K10" s="100"/>
      <c r="L10" s="55"/>
      <c r="M10" s="55"/>
      <c r="N10" s="55"/>
      <c r="P10" s="131">
        <f>SUMIFS('W2'!$K$12:$K$112,'W2'!$B$12:$B$112,'W6 - Operating cost'!$B10)</f>
        <v>0</v>
      </c>
      <c r="Q10" s="100"/>
      <c r="R10" s="55"/>
      <c r="S10" s="55"/>
      <c r="T10" s="55"/>
      <c r="V10" s="131">
        <f>SUMIFS('W2'!$K$12:$K$112,'W2'!$B$12:$B$112,'W6 - Operating cost'!$B10)</f>
        <v>0</v>
      </c>
      <c r="W10" s="100"/>
      <c r="X10" s="55"/>
      <c r="Y10" s="55"/>
      <c r="Z10" s="55"/>
      <c r="AB10" s="131">
        <f>SUMIFS('W2'!$K$12:$K$112,'W2'!$B$12:$B$112,'W6 - Operating cost'!$B10)</f>
        <v>0</v>
      </c>
      <c r="AC10" s="100"/>
      <c r="AD10" s="55"/>
      <c r="AE10" s="55"/>
      <c r="AF10" s="55"/>
      <c r="AH10" s="131">
        <f>SUMIFS('W2'!$K$12:$K$112,'W2'!$B$12:$B$112,'W6 - Operating cost'!$B10)</f>
        <v>0</v>
      </c>
      <c r="AI10" s="100"/>
      <c r="AJ10" s="55"/>
      <c r="AK10" s="55"/>
      <c r="AL10" s="55"/>
      <c r="AN10" s="131">
        <f>SUMIFS('W2'!$K$12:$K$112,'W2'!$B$12:$B$112,'W6 - Operating cost'!$B10)</f>
        <v>0</v>
      </c>
      <c r="AO10" s="100"/>
      <c r="AP10" s="55"/>
      <c r="AQ10" s="55"/>
      <c r="AR10" s="55"/>
      <c r="AT10" s="131">
        <f>SUMIFS('W2'!$K$12:$K$112,'W2'!$B$12:$B$112,'W6 - Operating cost'!$B10)</f>
        <v>0</v>
      </c>
      <c r="AU10" s="100"/>
      <c r="AV10" s="55"/>
      <c r="AW10" s="55"/>
      <c r="AX10" s="55"/>
      <c r="AZ10" s="131">
        <f>SUMIFS('W2'!$K$12:$K$112,'W2'!$B$12:$B$112,'W6 - Operating cost'!$B10)</f>
        <v>0</v>
      </c>
      <c r="BA10" s="100"/>
      <c r="BB10" s="55"/>
      <c r="BC10" s="55"/>
      <c r="BD10" s="55"/>
      <c r="BF10" s="131">
        <f>SUMIFS('W2'!$K$12:$K$112,'W2'!$B$12:$B$112,'W6 - Operating cost'!$B10)</f>
        <v>0</v>
      </c>
      <c r="BG10" s="100"/>
      <c r="BH10" s="55"/>
      <c r="BI10" s="55"/>
      <c r="BJ10" s="55"/>
      <c r="BL10" s="131">
        <f>SUMIFS('W2'!$K$12:$K$112,'W2'!$B$12:$B$112,'W6 - Operating cost'!$B10)</f>
        <v>0</v>
      </c>
      <c r="BM10" s="100"/>
      <c r="BN10" s="55"/>
      <c r="BO10" s="55"/>
      <c r="BP10" s="55"/>
      <c r="BR10" s="131">
        <f>SUMIFS('W2'!$K$12:$K$112,'W2'!$B$12:$B$112,'W6 - Operating cost'!$B10)</f>
        <v>0</v>
      </c>
      <c r="BS10" s="100"/>
      <c r="BT10" s="55"/>
      <c r="BU10" s="55"/>
      <c r="BV10" s="55"/>
      <c r="BX10" s="131">
        <f>SUMIFS('W2'!$K$12:$K$112,'W2'!$B$12:$B$112,'W6 - Operating cost'!$B10)</f>
        <v>0</v>
      </c>
      <c r="BY10" s="100"/>
      <c r="BZ10" s="55"/>
      <c r="CA10" s="55"/>
      <c r="CB10" s="55"/>
      <c r="CD10" s="131">
        <f>SUMIFS('W2'!$K$12:$K$112,'W2'!$B$12:$B$112,'W6 - Operating cost'!$B10)</f>
        <v>0</v>
      </c>
      <c r="CE10" s="100"/>
      <c r="CF10" s="55"/>
      <c r="CG10" s="55"/>
      <c r="CH10" s="55"/>
      <c r="CJ10" s="131">
        <f>SUMIFS('W2'!$K$12:$K$112,'W2'!$B$12:$B$112,'W6 - Operating cost'!$B10)</f>
        <v>0</v>
      </c>
      <c r="CK10" s="100"/>
      <c r="CL10" s="55"/>
      <c r="CM10" s="55"/>
      <c r="CN10" s="55"/>
      <c r="CP10" s="131">
        <f>SUMIFS('W2'!$K$12:$K$112,'W2'!$B$12:$B$112,'W6 - Operating cost'!$B10)</f>
        <v>0</v>
      </c>
      <c r="CQ10" s="100"/>
      <c r="CR10" s="55"/>
      <c r="CS10" s="55"/>
      <c r="CT10" s="55"/>
      <c r="CV10" s="131">
        <f>SUMIFS('W2'!$K$12:$K$112,'W2'!$B$12:$B$112,'W6 - Operating cost'!$B10)</f>
        <v>0</v>
      </c>
      <c r="CW10" s="100"/>
      <c r="CX10" s="55"/>
      <c r="CY10" s="55"/>
      <c r="CZ10" s="55"/>
      <c r="DB10" s="131">
        <f>SUMIFS('W2'!$K$12:$K$112,'W2'!$B$12:$B$112,'W6 - Operating cost'!$B10)</f>
        <v>0</v>
      </c>
      <c r="DC10" s="100"/>
      <c r="DD10" s="55"/>
      <c r="DE10" s="55"/>
      <c r="DF10" s="55"/>
      <c r="DH10" s="131">
        <f>SUMIFS('W2'!$K$12:$K$112,'W2'!$B$12:$B$112,'W6 - Operating cost'!$B10)</f>
        <v>0</v>
      </c>
      <c r="DI10" s="100"/>
      <c r="DJ10" s="55"/>
      <c r="DK10" s="55"/>
      <c r="DL10" s="55"/>
      <c r="DN10" s="131">
        <f>SUMIFS('W2'!$K$12:$K$112,'W2'!$B$12:$B$112,'W6 - Operating cost'!$B10)</f>
        <v>0</v>
      </c>
      <c r="DO10" s="100"/>
      <c r="DP10" s="55"/>
      <c r="DQ10" s="55"/>
      <c r="DR10" s="55"/>
      <c r="DT10" s="131">
        <f>SUMIFS('W2'!$K$12:$K$112,'W2'!$B$12:$B$112,'W6 - Operating cost'!$B10)</f>
        <v>0</v>
      </c>
      <c r="DU10" s="100"/>
      <c r="DV10" s="55"/>
      <c r="DW10" s="55"/>
      <c r="DX10" s="55"/>
      <c r="DZ10" s="131">
        <f>SUMIFS('W2'!$K$12:$K$112,'W2'!$B$12:$B$112,'W6 - Operating cost'!$B10)</f>
        <v>0</v>
      </c>
      <c r="EA10" s="100"/>
      <c r="EB10" s="55"/>
      <c r="EC10" s="55"/>
      <c r="ED10" s="55"/>
      <c r="EF10" s="131">
        <f>SUMIFS('W2'!$K$12:$K$112,'W2'!$B$12:$B$112,'W6 - Operating cost'!$B10)</f>
        <v>0</v>
      </c>
      <c r="EG10" s="100"/>
      <c r="EH10" s="55"/>
      <c r="EI10" s="55"/>
      <c r="EJ10" s="55"/>
      <c r="EL10" s="131">
        <f>SUMIFS('W2'!$K$12:$K$112,'W2'!$B$12:$B$112,'W6 - Operating cost'!$B10)</f>
        <v>0</v>
      </c>
      <c r="EM10" s="100"/>
      <c r="EN10" s="55"/>
      <c r="EO10" s="55"/>
      <c r="EP10" s="55"/>
      <c r="ER10" s="131">
        <f>SUMIFS('W2'!$K$12:$K$112,'W2'!$B$12:$B$112,'W6 - Operating cost'!$B10)</f>
        <v>0</v>
      </c>
      <c r="ES10" s="100"/>
      <c r="ET10" s="55"/>
      <c r="EU10" s="55"/>
      <c r="EV10" s="55"/>
    </row>
    <row r="11" spans="1:152" x14ac:dyDescent="0.25">
      <c r="B11" s="56" t="s">
        <v>342</v>
      </c>
      <c r="C11" s="55" t="s">
        <v>89</v>
      </c>
      <c r="D11" s="131">
        <f>SUMIFS('W2'!$K$12:$K$112,'W2'!$B$12:$B$112,'W6 - Operating cost'!$B11)</f>
        <v>4</v>
      </c>
      <c r="E11" s="100">
        <f>D18</f>
        <v>16604066.03773585</v>
      </c>
      <c r="F11" s="100">
        <f>D11*E11</f>
        <v>66416264.150943398</v>
      </c>
      <c r="G11" s="100">
        <f>F11*12</f>
        <v>796995169.81132078</v>
      </c>
      <c r="H11" s="55" t="s">
        <v>193</v>
      </c>
      <c r="J11" s="131">
        <f>SUMIFS('W2'!$K$12:$K$112,'W2'!$B$12:$B$112,'W6 - Operating cost'!$B11)</f>
        <v>4</v>
      </c>
      <c r="K11" s="100">
        <f>J18</f>
        <v>16604066.03773585</v>
      </c>
      <c r="L11" s="100">
        <f>J11*K11</f>
        <v>66416264.150943398</v>
      </c>
      <c r="M11" s="100">
        <f>L11*12</f>
        <v>796995169.81132078</v>
      </c>
      <c r="N11" s="55" t="s">
        <v>193</v>
      </c>
      <c r="P11" s="131">
        <f>SUMIFS('W2'!$K$12:$K$112,'W2'!$B$12:$B$112,'W6 - Operating cost'!$B11)</f>
        <v>4</v>
      </c>
      <c r="Q11" s="100">
        <f>P18</f>
        <v>17434269.339622643</v>
      </c>
      <c r="R11" s="100">
        <f>P11*Q11</f>
        <v>69737077.358490571</v>
      </c>
      <c r="S11" s="100">
        <f>R11*12</f>
        <v>836844928.3018868</v>
      </c>
      <c r="T11" s="55" t="s">
        <v>193</v>
      </c>
      <c r="V11" s="131">
        <f>SUMIFS('W2'!$K$12:$K$112,'W2'!$B$12:$B$112,'W6 - Operating cost'!$B11)</f>
        <v>4</v>
      </c>
      <c r="W11" s="100">
        <f>V18</f>
        <v>18305982.806603774</v>
      </c>
      <c r="X11" s="100">
        <f>V11*W11</f>
        <v>73223931.226415098</v>
      </c>
      <c r="Y11" s="100">
        <f>X11*12</f>
        <v>878687174.71698117</v>
      </c>
      <c r="Z11" s="55" t="s">
        <v>193</v>
      </c>
      <c r="AB11" s="131">
        <f>SUMIFS('W2'!$K$12:$K$112,'W2'!$B$12:$B$112,'W6 - Operating cost'!$B11)</f>
        <v>4</v>
      </c>
      <c r="AC11" s="100">
        <f t="shared" ref="AC11" si="189">AB18</f>
        <v>19221281.946933966</v>
      </c>
      <c r="AD11" s="100">
        <f t="shared" ref="AD11:AD12" si="190">AB11*AC11</f>
        <v>76885127.787735865</v>
      </c>
      <c r="AE11" s="100">
        <f t="shared" ref="AE11" si="191">AD11*12</f>
        <v>922621533.45283031</v>
      </c>
      <c r="AF11" s="55" t="s">
        <v>193</v>
      </c>
      <c r="AH11" s="131">
        <f>SUMIFS('W2'!$K$12:$K$112,'W2'!$B$12:$B$112,'W6 - Operating cost'!$B11)</f>
        <v>4</v>
      </c>
      <c r="AI11" s="100">
        <f t="shared" ref="AI11" si="192">AH18</f>
        <v>20182346.044280659</v>
      </c>
      <c r="AJ11" s="100">
        <f t="shared" ref="AJ11:AJ12" si="193">AH11*AI11</f>
        <v>80729384.177122638</v>
      </c>
      <c r="AK11" s="100">
        <f t="shared" ref="AK11" si="194">AJ11*12</f>
        <v>968752610.12547159</v>
      </c>
      <c r="AL11" s="55" t="s">
        <v>193</v>
      </c>
      <c r="AN11" s="131">
        <f>SUMIFS('W2'!$K$12:$K$112,'W2'!$B$12:$B$112,'W6 - Operating cost'!$B11)</f>
        <v>4</v>
      </c>
      <c r="AO11" s="100">
        <f t="shared" ref="AO11" si="195">AN18</f>
        <v>21191463.346494697</v>
      </c>
      <c r="AP11" s="100">
        <f t="shared" ref="AP11:AP12" si="196">AN11*AO11</f>
        <v>84765853.385978788</v>
      </c>
      <c r="AQ11" s="100">
        <f t="shared" ref="AQ11" si="197">AP11*12</f>
        <v>1017190240.6317455</v>
      </c>
      <c r="AR11" s="55" t="s">
        <v>193</v>
      </c>
      <c r="AT11" s="131">
        <f>SUMIFS('W2'!$K$12:$K$112,'W2'!$B$12:$B$112,'W6 - Operating cost'!$B11)</f>
        <v>4</v>
      </c>
      <c r="AU11" s="100">
        <f t="shared" ref="AU11" si="198">AT18</f>
        <v>22251036.51381943</v>
      </c>
      <c r="AV11" s="100">
        <f t="shared" ref="AV11:AV12" si="199">AT11*AU11</f>
        <v>89004146.05527772</v>
      </c>
      <c r="AW11" s="100">
        <f t="shared" ref="AW11" si="200">AV11*12</f>
        <v>1068049752.6633327</v>
      </c>
      <c r="AX11" s="55" t="s">
        <v>193</v>
      </c>
      <c r="AZ11" s="131">
        <f>SUMIFS('W2'!$K$12:$K$112,'W2'!$B$12:$B$112,'W6 - Operating cost'!$B11)</f>
        <v>4</v>
      </c>
      <c r="BA11" s="100">
        <f t="shared" ref="BA11" si="201">AZ18</f>
        <v>23363588.339510404</v>
      </c>
      <c r="BB11" s="100">
        <f t="shared" ref="BB11:BB12" si="202">AZ11*BA11</f>
        <v>93454353.358041614</v>
      </c>
      <c r="BC11" s="100">
        <f t="shared" ref="BC11" si="203">BB11*12</f>
        <v>1121452240.2964993</v>
      </c>
      <c r="BD11" s="55" t="s">
        <v>193</v>
      </c>
      <c r="BF11" s="131">
        <f>SUMIFS('W2'!$K$12:$K$112,'W2'!$B$12:$B$112,'W6 - Operating cost'!$B11)</f>
        <v>4</v>
      </c>
      <c r="BG11" s="100">
        <f t="shared" ref="BG11" si="204">BF18</f>
        <v>24531767.75648592</v>
      </c>
      <c r="BH11" s="100">
        <f t="shared" ref="BH11:BH12" si="205">BF11*BG11</f>
        <v>98127071.025943682</v>
      </c>
      <c r="BI11" s="100">
        <f t="shared" ref="BI11" si="206">BH11*12</f>
        <v>1177524852.3113241</v>
      </c>
      <c r="BJ11" s="55" t="s">
        <v>193</v>
      </c>
      <c r="BL11" s="131">
        <f>SUMIFS('W2'!$K$12:$K$112,'W2'!$B$12:$B$112,'W6 - Operating cost'!$B11)</f>
        <v>4</v>
      </c>
      <c r="BM11" s="100">
        <f t="shared" ref="BM11" si="207">BL18</f>
        <v>25758356.144310217</v>
      </c>
      <c r="BN11" s="100">
        <f t="shared" ref="BN11:BN12" si="208">BL11*BM11</f>
        <v>103033424.57724087</v>
      </c>
      <c r="BO11" s="100">
        <f t="shared" ref="BO11" si="209">BN11*12</f>
        <v>1236401094.9268904</v>
      </c>
      <c r="BP11" s="55" t="s">
        <v>193</v>
      </c>
      <c r="BR11" s="131">
        <f>SUMIFS('W2'!$K$12:$K$112,'W2'!$B$12:$B$112,'W6 - Operating cost'!$B11)</f>
        <v>4</v>
      </c>
      <c r="BS11" s="100">
        <f t="shared" ref="BS11" si="210">BR18</f>
        <v>27046273.951525729</v>
      </c>
      <c r="BT11" s="100">
        <f t="shared" ref="BT11:BT12" si="211">BR11*BS11</f>
        <v>108185095.80610292</v>
      </c>
      <c r="BU11" s="100">
        <f t="shared" ref="BU11" si="212">BT11*12</f>
        <v>1298221149.6732349</v>
      </c>
      <c r="BV11" s="55" t="s">
        <v>193</v>
      </c>
      <c r="BX11" s="131">
        <f>SUMIFS('W2'!$K$12:$K$112,'W2'!$B$12:$B$112,'W6 - Operating cost'!$B11)</f>
        <v>4</v>
      </c>
      <c r="BY11" s="100">
        <f t="shared" ref="BY11" si="213">BX18</f>
        <v>28398587.649102017</v>
      </c>
      <c r="BZ11" s="100">
        <f t="shared" ref="BZ11:BZ12" si="214">BX11*BY11</f>
        <v>113594350.59640807</v>
      </c>
      <c r="CA11" s="100">
        <f t="shared" ref="CA11" si="215">BZ11*12</f>
        <v>1363132207.1568968</v>
      </c>
      <c r="CB11" s="55" t="s">
        <v>193</v>
      </c>
      <c r="CD11" s="131">
        <f>SUMIFS('W2'!$K$12:$K$112,'W2'!$B$12:$B$112,'W6 - Operating cost'!$B11)</f>
        <v>4</v>
      </c>
      <c r="CE11" s="100">
        <f t="shared" ref="CE11" si="216">CD18</f>
        <v>29818517.031557113</v>
      </c>
      <c r="CF11" s="100">
        <f t="shared" ref="CF11:CF12" si="217">CD11*CE11</f>
        <v>119274068.12622845</v>
      </c>
      <c r="CG11" s="100">
        <f t="shared" ref="CG11" si="218">CF11*12</f>
        <v>1431288817.5147414</v>
      </c>
      <c r="CH11" s="55" t="s">
        <v>193</v>
      </c>
      <c r="CJ11" s="131">
        <f>SUMIFS('W2'!$K$12:$K$112,'W2'!$B$12:$B$112,'W6 - Operating cost'!$B11)</f>
        <v>4</v>
      </c>
      <c r="CK11" s="100">
        <f t="shared" ref="CK11" si="219">CJ18</f>
        <v>31309442.883134976</v>
      </c>
      <c r="CL11" s="100">
        <f t="shared" ref="CL11:CL12" si="220">CJ11*CK11</f>
        <v>125237771.5325399</v>
      </c>
      <c r="CM11" s="100">
        <f t="shared" ref="CM11" si="221">CL11*12</f>
        <v>1502853258.3904788</v>
      </c>
      <c r="CN11" s="55" t="s">
        <v>193</v>
      </c>
      <c r="CP11" s="131">
        <f>SUMIFS('W2'!$K$12:$K$112,'W2'!$B$12:$B$112,'W6 - Operating cost'!$B11)</f>
        <v>4</v>
      </c>
      <c r="CQ11" s="100">
        <f t="shared" ref="CQ11" si="222">CP18</f>
        <v>32874915.027291719</v>
      </c>
      <c r="CR11" s="100">
        <f t="shared" ref="CR11:CR12" si="223">CP11*CQ11</f>
        <v>131499660.10916688</v>
      </c>
      <c r="CS11" s="100">
        <f t="shared" ref="CS11" si="224">CR11*12</f>
        <v>1577995921.3100026</v>
      </c>
      <c r="CT11" s="55" t="s">
        <v>193</v>
      </c>
      <c r="CV11" s="131">
        <f>SUMIFS('W2'!$K$12:$K$112,'W2'!$B$12:$B$112,'W6 - Operating cost'!$B11)</f>
        <v>4</v>
      </c>
      <c r="CW11" s="100">
        <f t="shared" ref="CW11" si="225">CV18</f>
        <v>34518660.778656311</v>
      </c>
      <c r="CX11" s="100">
        <f t="shared" ref="CX11:CX12" si="226">CV11*CW11</f>
        <v>138074643.11462525</v>
      </c>
      <c r="CY11" s="100">
        <f t="shared" ref="CY11" si="227">CX11*12</f>
        <v>1656895717.3755031</v>
      </c>
      <c r="CZ11" s="55" t="s">
        <v>193</v>
      </c>
      <c r="DB11" s="131">
        <f>SUMIFS('W2'!$K$12:$K$112,'W2'!$B$12:$B$112,'W6 - Operating cost'!$B11)</f>
        <v>4</v>
      </c>
      <c r="DC11" s="100">
        <f t="shared" ref="DC11" si="228">DB18</f>
        <v>36244593.817589127</v>
      </c>
      <c r="DD11" s="100">
        <f t="shared" ref="DD11:DD12" si="229">DB11*DC11</f>
        <v>144978375.27035651</v>
      </c>
      <c r="DE11" s="100">
        <f t="shared" ref="DE11" si="230">DD11*12</f>
        <v>1739740503.244278</v>
      </c>
      <c r="DF11" s="55" t="s">
        <v>193</v>
      </c>
      <c r="DH11" s="131">
        <f>SUMIFS('W2'!$K$12:$K$112,'W2'!$B$12:$B$112,'W6 - Operating cost'!$B11)</f>
        <v>4</v>
      </c>
      <c r="DI11" s="100">
        <f t="shared" ref="DI11" si="231">DH18</f>
        <v>38056823.508468591</v>
      </c>
      <c r="DJ11" s="100">
        <f t="shared" ref="DJ11:DJ12" si="232">DH11*DI11</f>
        <v>152227294.03387436</v>
      </c>
      <c r="DK11" s="100">
        <f t="shared" ref="DK11" si="233">DJ11*12</f>
        <v>1826727528.4064922</v>
      </c>
      <c r="DL11" s="55" t="s">
        <v>193</v>
      </c>
      <c r="DN11" s="131">
        <f>SUMIFS('W2'!$K$12:$K$112,'W2'!$B$12:$B$112,'W6 - Operating cost'!$B11)</f>
        <v>4</v>
      </c>
      <c r="DO11" s="100">
        <f t="shared" ref="DO11" si="234">DN18</f>
        <v>39959664.683892019</v>
      </c>
      <c r="DP11" s="100">
        <f t="shared" ref="DP11:DP12" si="235">DN11*DO11</f>
        <v>159838658.73556808</v>
      </c>
      <c r="DQ11" s="100">
        <f t="shared" ref="DQ11" si="236">DP11*12</f>
        <v>1918063904.826817</v>
      </c>
      <c r="DR11" s="55" t="s">
        <v>193</v>
      </c>
      <c r="DT11" s="131">
        <f>SUMIFS('W2'!$K$12:$K$112,'W2'!$B$12:$B$112,'W6 - Operating cost'!$B11)</f>
        <v>4</v>
      </c>
      <c r="DU11" s="100">
        <f t="shared" ref="DU11" si="237">DT18</f>
        <v>41957647.918086618</v>
      </c>
      <c r="DV11" s="100">
        <f t="shared" ref="DV11:DV12" si="238">DT11*DU11</f>
        <v>167830591.67234647</v>
      </c>
      <c r="DW11" s="100">
        <f t="shared" ref="DW11" si="239">DV11*12</f>
        <v>2013967100.0681577</v>
      </c>
      <c r="DX11" s="55" t="s">
        <v>193</v>
      </c>
      <c r="DZ11" s="131">
        <f>SUMIFS('W2'!$K$12:$K$112,'W2'!$B$12:$B$112,'W6 - Operating cost'!$B11)</f>
        <v>4</v>
      </c>
      <c r="EA11" s="100">
        <f t="shared" ref="EA11" si="240">DZ18</f>
        <v>44055530.313990951</v>
      </c>
      <c r="EB11" s="100">
        <f t="shared" ref="EB11:EB12" si="241">DZ11*EA11</f>
        <v>176222121.2559638</v>
      </c>
      <c r="EC11" s="100">
        <f t="shared" ref="EC11" si="242">EB11*12</f>
        <v>2114665455.0715656</v>
      </c>
      <c r="ED11" s="55" t="s">
        <v>193</v>
      </c>
      <c r="EF11" s="131">
        <f>SUMIFS('W2'!$K$12:$K$112,'W2'!$B$12:$B$112,'W6 - Operating cost'!$B11)</f>
        <v>4</v>
      </c>
      <c r="EG11" s="100">
        <f t="shared" ref="EG11" si="243">EF18</f>
        <v>46258306.829690494</v>
      </c>
      <c r="EH11" s="100">
        <f t="shared" ref="EH11:EH12" si="244">EF11*EG11</f>
        <v>185033227.31876197</v>
      </c>
      <c r="EI11" s="100">
        <f t="shared" ref="EI11" si="245">EH11*12</f>
        <v>2220398727.8251438</v>
      </c>
      <c r="EJ11" s="55" t="s">
        <v>193</v>
      </c>
      <c r="EL11" s="131">
        <f>SUMIFS('W2'!$K$12:$K$112,'W2'!$B$12:$B$112,'W6 - Operating cost'!$B11)</f>
        <v>4</v>
      </c>
      <c r="EM11" s="100">
        <f t="shared" ref="EM11" si="246">EL18</f>
        <v>48571222.171175018</v>
      </c>
      <c r="EN11" s="100">
        <f t="shared" ref="EN11:EN12" si="247">EL11*EM11</f>
        <v>194284888.68470007</v>
      </c>
      <c r="EO11" s="100">
        <f t="shared" ref="EO11" si="248">EN11*12</f>
        <v>2331418664.2164011</v>
      </c>
      <c r="EP11" s="55" t="s">
        <v>193</v>
      </c>
      <c r="ER11" s="131">
        <f>SUMIFS('W2'!$K$12:$K$112,'W2'!$B$12:$B$112,'W6 - Operating cost'!$B11)</f>
        <v>4</v>
      </c>
      <c r="ES11" s="100">
        <f t="shared" ref="ES11" si="249">ER18</f>
        <v>50999783.279733777</v>
      </c>
      <c r="ET11" s="100">
        <f t="shared" ref="ET11:ET12" si="250">ER11*ES11</f>
        <v>203999133.11893511</v>
      </c>
      <c r="EU11" s="100">
        <f t="shared" ref="EU11" si="251">ET11*12</f>
        <v>2447989597.4272213</v>
      </c>
      <c r="EV11" s="55" t="s">
        <v>193</v>
      </c>
    </row>
    <row r="12" spans="1:152" x14ac:dyDescent="0.25">
      <c r="B12" s="56" t="s">
        <v>95</v>
      </c>
      <c r="C12" s="55" t="s">
        <v>89</v>
      </c>
      <c r="D12" s="131">
        <f>SUMIFS('W2'!$K$12:$K$112,'W2'!$B$12:$B$112,'W6 - Operating cost'!$B12)</f>
        <v>3</v>
      </c>
      <c r="E12" s="100">
        <f>D18</f>
        <v>16604066.03773585</v>
      </c>
      <c r="F12" s="100">
        <f>D12*E12</f>
        <v>49812198.113207549</v>
      </c>
      <c r="G12" s="100">
        <f>F12*12</f>
        <v>597746377.35849059</v>
      </c>
      <c r="H12" s="55" t="s">
        <v>193</v>
      </c>
      <c r="J12" s="131">
        <f>SUMIFS('W2'!$K$12:$K$112,'W2'!$B$12:$B$112,'W6 - Operating cost'!$B12)</f>
        <v>3</v>
      </c>
      <c r="K12" s="100">
        <f>J18</f>
        <v>16604066.03773585</v>
      </c>
      <c r="L12" s="100">
        <f>J12*K12</f>
        <v>49812198.113207549</v>
      </c>
      <c r="M12" s="100">
        <f>L12*12</f>
        <v>597746377.35849059</v>
      </c>
      <c r="N12" s="55" t="s">
        <v>193</v>
      </c>
      <c r="P12" s="131">
        <f>SUMIFS('W2'!$K$12:$K$112,'W2'!$B$12:$B$112,'W6 - Operating cost'!$B12)</f>
        <v>3</v>
      </c>
      <c r="Q12" s="100">
        <f>P18</f>
        <v>17434269.339622643</v>
      </c>
      <c r="R12" s="100">
        <f>P12*Q12</f>
        <v>52302808.018867925</v>
      </c>
      <c r="S12" s="100">
        <f>R12*12</f>
        <v>627633696.22641516</v>
      </c>
      <c r="T12" s="55" t="s">
        <v>193</v>
      </c>
      <c r="V12" s="131">
        <f>SUMIFS('W2'!$K$12:$K$112,'W2'!$B$12:$B$112,'W6 - Operating cost'!$B12)</f>
        <v>3</v>
      </c>
      <c r="W12" s="100">
        <f>V18</f>
        <v>18305982.806603774</v>
      </c>
      <c r="X12" s="100">
        <f>V12*W12</f>
        <v>54917948.419811323</v>
      </c>
      <c r="Y12" s="100">
        <f>X12*12</f>
        <v>659015381.03773594</v>
      </c>
      <c r="Z12" s="55" t="s">
        <v>193</v>
      </c>
      <c r="AB12" s="131">
        <f>SUMIFS('W2'!$K$12:$K$112,'W2'!$B$12:$B$112,'W6 - Operating cost'!$B12)</f>
        <v>3</v>
      </c>
      <c r="AC12" s="100">
        <f t="shared" ref="AC12" si="252">AB18</f>
        <v>19221281.946933966</v>
      </c>
      <c r="AD12" s="100">
        <f t="shared" si="190"/>
        <v>57663845.840801895</v>
      </c>
      <c r="AE12" s="100">
        <f t="shared" ref="AE12" si="253">AD12*12</f>
        <v>691966150.08962274</v>
      </c>
      <c r="AF12" s="55" t="s">
        <v>193</v>
      </c>
      <c r="AH12" s="131">
        <f>SUMIFS('W2'!$K$12:$K$112,'W2'!$B$12:$B$112,'W6 - Operating cost'!$B12)</f>
        <v>3</v>
      </c>
      <c r="AI12" s="100">
        <f t="shared" ref="AI12" si="254">AH18</f>
        <v>20182346.044280659</v>
      </c>
      <c r="AJ12" s="100">
        <f t="shared" si="193"/>
        <v>60547038.132841974</v>
      </c>
      <c r="AK12" s="100">
        <f t="shared" ref="AK12" si="255">AJ12*12</f>
        <v>726564457.59410369</v>
      </c>
      <c r="AL12" s="55" t="s">
        <v>193</v>
      </c>
      <c r="AN12" s="131">
        <f>SUMIFS('W2'!$K$12:$K$112,'W2'!$B$12:$B$112,'W6 - Operating cost'!$B12)</f>
        <v>3</v>
      </c>
      <c r="AO12" s="100">
        <f t="shared" ref="AO12" si="256">AN18</f>
        <v>21191463.346494697</v>
      </c>
      <c r="AP12" s="100">
        <f t="shared" si="196"/>
        <v>63574390.039484091</v>
      </c>
      <c r="AQ12" s="100">
        <f t="shared" ref="AQ12" si="257">AP12*12</f>
        <v>762892680.47380912</v>
      </c>
      <c r="AR12" s="55" t="s">
        <v>193</v>
      </c>
      <c r="AT12" s="131">
        <f>SUMIFS('W2'!$K$12:$K$112,'W2'!$B$12:$B$112,'W6 - Operating cost'!$B12)</f>
        <v>3</v>
      </c>
      <c r="AU12" s="100">
        <f t="shared" ref="AU12" si="258">AT18</f>
        <v>22251036.51381943</v>
      </c>
      <c r="AV12" s="100">
        <f t="shared" si="199"/>
        <v>66753109.541458294</v>
      </c>
      <c r="AW12" s="100">
        <f t="shared" ref="AW12" si="259">AV12*12</f>
        <v>801037314.49749947</v>
      </c>
      <c r="AX12" s="55" t="s">
        <v>193</v>
      </c>
      <c r="AZ12" s="131">
        <f>SUMIFS('W2'!$K$12:$K$112,'W2'!$B$12:$B$112,'W6 - Operating cost'!$B12)</f>
        <v>3</v>
      </c>
      <c r="BA12" s="100">
        <f t="shared" ref="BA12" si="260">AZ18</f>
        <v>23363588.339510404</v>
      </c>
      <c r="BB12" s="100">
        <f t="shared" si="202"/>
        <v>70090765.018531203</v>
      </c>
      <c r="BC12" s="100">
        <f t="shared" ref="BC12" si="261">BB12*12</f>
        <v>841089180.22237444</v>
      </c>
      <c r="BD12" s="55" t="s">
        <v>193</v>
      </c>
      <c r="BF12" s="131">
        <f>SUMIFS('W2'!$K$12:$K$112,'W2'!$B$12:$B$112,'W6 - Operating cost'!$B12)</f>
        <v>3</v>
      </c>
      <c r="BG12" s="100">
        <f t="shared" ref="BG12" si="262">BF18</f>
        <v>24531767.75648592</v>
      </c>
      <c r="BH12" s="100">
        <f t="shared" si="205"/>
        <v>73595303.269457757</v>
      </c>
      <c r="BI12" s="100">
        <f t="shared" ref="BI12" si="263">BH12*12</f>
        <v>883143639.23349309</v>
      </c>
      <c r="BJ12" s="55" t="s">
        <v>193</v>
      </c>
      <c r="BL12" s="131">
        <f>SUMIFS('W2'!$K$12:$K$112,'W2'!$B$12:$B$112,'W6 - Operating cost'!$B12)</f>
        <v>3</v>
      </c>
      <c r="BM12" s="100">
        <f t="shared" ref="BM12" si="264">BL18</f>
        <v>25758356.144310217</v>
      </c>
      <c r="BN12" s="100">
        <f t="shared" si="208"/>
        <v>77275068.432930648</v>
      </c>
      <c r="BO12" s="100">
        <f t="shared" ref="BO12" si="265">BN12*12</f>
        <v>927300821.19516778</v>
      </c>
      <c r="BP12" s="55" t="s">
        <v>193</v>
      </c>
      <c r="BR12" s="131">
        <f>SUMIFS('W2'!$K$12:$K$112,'W2'!$B$12:$B$112,'W6 - Operating cost'!$B12)</f>
        <v>3</v>
      </c>
      <c r="BS12" s="100">
        <f t="shared" ref="BS12" si="266">BR18</f>
        <v>27046273.951525729</v>
      </c>
      <c r="BT12" s="100">
        <f t="shared" si="211"/>
        <v>81138821.854577184</v>
      </c>
      <c r="BU12" s="100">
        <f t="shared" ref="BU12" si="267">BT12*12</f>
        <v>973665862.2549262</v>
      </c>
      <c r="BV12" s="55" t="s">
        <v>193</v>
      </c>
      <c r="BX12" s="131">
        <f>SUMIFS('W2'!$K$12:$K$112,'W2'!$B$12:$B$112,'W6 - Operating cost'!$B12)</f>
        <v>3</v>
      </c>
      <c r="BY12" s="100">
        <f t="shared" ref="BY12" si="268">BX18</f>
        <v>28398587.649102017</v>
      </c>
      <c r="BZ12" s="100">
        <f t="shared" si="214"/>
        <v>85195762.947306052</v>
      </c>
      <c r="CA12" s="100">
        <f t="shared" ref="CA12" si="269">BZ12*12</f>
        <v>1022349155.3676727</v>
      </c>
      <c r="CB12" s="55" t="s">
        <v>193</v>
      </c>
      <c r="CD12" s="131">
        <f>SUMIFS('W2'!$K$12:$K$112,'W2'!$B$12:$B$112,'W6 - Operating cost'!$B12)</f>
        <v>3</v>
      </c>
      <c r="CE12" s="100">
        <f t="shared" ref="CE12" si="270">CD18</f>
        <v>29818517.031557113</v>
      </c>
      <c r="CF12" s="100">
        <f t="shared" si="217"/>
        <v>89455551.094671339</v>
      </c>
      <c r="CG12" s="100">
        <f t="shared" ref="CG12" si="271">CF12*12</f>
        <v>1073466613.1360561</v>
      </c>
      <c r="CH12" s="55" t="s">
        <v>193</v>
      </c>
      <c r="CJ12" s="131">
        <f>SUMIFS('W2'!$K$12:$K$112,'W2'!$B$12:$B$112,'W6 - Operating cost'!$B12)</f>
        <v>3</v>
      </c>
      <c r="CK12" s="100">
        <f t="shared" ref="CK12" si="272">CJ18</f>
        <v>31309442.883134976</v>
      </c>
      <c r="CL12" s="100">
        <f t="shared" si="220"/>
        <v>93928328.649404928</v>
      </c>
      <c r="CM12" s="100">
        <f t="shared" ref="CM12" si="273">CL12*12</f>
        <v>1127139943.7928591</v>
      </c>
      <c r="CN12" s="55" t="s">
        <v>193</v>
      </c>
      <c r="CP12" s="131">
        <f>SUMIFS('W2'!$K$12:$K$112,'W2'!$B$12:$B$112,'W6 - Operating cost'!$B12)</f>
        <v>3</v>
      </c>
      <c r="CQ12" s="100">
        <f t="shared" ref="CQ12" si="274">CP18</f>
        <v>32874915.027291719</v>
      </c>
      <c r="CR12" s="100">
        <f t="shared" si="223"/>
        <v>98624745.08187516</v>
      </c>
      <c r="CS12" s="100">
        <f t="shared" ref="CS12" si="275">CR12*12</f>
        <v>1183496940.982502</v>
      </c>
      <c r="CT12" s="55" t="s">
        <v>193</v>
      </c>
      <c r="CV12" s="131">
        <f>SUMIFS('W2'!$K$12:$K$112,'W2'!$B$12:$B$112,'W6 - Operating cost'!$B12)</f>
        <v>3</v>
      </c>
      <c r="CW12" s="100">
        <f t="shared" ref="CW12" si="276">CV18</f>
        <v>34518660.778656311</v>
      </c>
      <c r="CX12" s="100">
        <f t="shared" si="226"/>
        <v>103555982.33596894</v>
      </c>
      <c r="CY12" s="100">
        <f t="shared" ref="CY12" si="277">CX12*12</f>
        <v>1242671788.0316272</v>
      </c>
      <c r="CZ12" s="55" t="s">
        <v>193</v>
      </c>
      <c r="DB12" s="131">
        <f>SUMIFS('W2'!$K$12:$K$112,'W2'!$B$12:$B$112,'W6 - Operating cost'!$B12)</f>
        <v>3</v>
      </c>
      <c r="DC12" s="100">
        <f t="shared" ref="DC12" si="278">DB18</f>
        <v>36244593.817589127</v>
      </c>
      <c r="DD12" s="100">
        <f t="shared" si="229"/>
        <v>108733781.45276737</v>
      </c>
      <c r="DE12" s="100">
        <f t="shared" ref="DE12" si="279">DD12*12</f>
        <v>1304805377.4332085</v>
      </c>
      <c r="DF12" s="55" t="s">
        <v>193</v>
      </c>
      <c r="DH12" s="131">
        <f>SUMIFS('W2'!$K$12:$K$112,'W2'!$B$12:$B$112,'W6 - Operating cost'!$B12)</f>
        <v>3</v>
      </c>
      <c r="DI12" s="100">
        <f t="shared" ref="DI12" si="280">DH18</f>
        <v>38056823.508468591</v>
      </c>
      <c r="DJ12" s="100">
        <f t="shared" si="232"/>
        <v>114170470.52540576</v>
      </c>
      <c r="DK12" s="100">
        <f t="shared" ref="DK12" si="281">DJ12*12</f>
        <v>1370045646.3048692</v>
      </c>
      <c r="DL12" s="55" t="s">
        <v>193</v>
      </c>
      <c r="DN12" s="131">
        <f>SUMIFS('W2'!$K$12:$K$112,'W2'!$B$12:$B$112,'W6 - Operating cost'!$B12)</f>
        <v>3</v>
      </c>
      <c r="DO12" s="100">
        <f t="shared" ref="DO12" si="282">DN18</f>
        <v>39959664.683892019</v>
      </c>
      <c r="DP12" s="100">
        <f t="shared" si="235"/>
        <v>119878994.05167606</v>
      </c>
      <c r="DQ12" s="100">
        <f t="shared" ref="DQ12" si="283">DP12*12</f>
        <v>1438547928.6201129</v>
      </c>
      <c r="DR12" s="55" t="s">
        <v>193</v>
      </c>
      <c r="DT12" s="131">
        <f>SUMIFS('W2'!$K$12:$K$112,'W2'!$B$12:$B$112,'W6 - Operating cost'!$B12)</f>
        <v>3</v>
      </c>
      <c r="DU12" s="100">
        <f t="shared" ref="DU12" si="284">DT18</f>
        <v>41957647.918086618</v>
      </c>
      <c r="DV12" s="100">
        <f t="shared" si="238"/>
        <v>125872943.75425985</v>
      </c>
      <c r="DW12" s="100">
        <f t="shared" ref="DW12" si="285">DV12*12</f>
        <v>1510475325.0511184</v>
      </c>
      <c r="DX12" s="55" t="s">
        <v>193</v>
      </c>
      <c r="DZ12" s="131">
        <f>SUMIFS('W2'!$K$12:$K$112,'W2'!$B$12:$B$112,'W6 - Operating cost'!$B12)</f>
        <v>3</v>
      </c>
      <c r="EA12" s="100">
        <f t="shared" ref="EA12" si="286">DZ18</f>
        <v>44055530.313990951</v>
      </c>
      <c r="EB12" s="100">
        <f t="shared" si="241"/>
        <v>132166590.94197285</v>
      </c>
      <c r="EC12" s="100">
        <f t="shared" ref="EC12" si="287">EB12*12</f>
        <v>1585999091.3036742</v>
      </c>
      <c r="ED12" s="55" t="s">
        <v>193</v>
      </c>
      <c r="EF12" s="131">
        <f>SUMIFS('W2'!$K$12:$K$112,'W2'!$B$12:$B$112,'W6 - Operating cost'!$B12)</f>
        <v>3</v>
      </c>
      <c r="EG12" s="100">
        <f t="shared" ref="EG12" si="288">EF18</f>
        <v>46258306.829690494</v>
      </c>
      <c r="EH12" s="100">
        <f t="shared" si="244"/>
        <v>138774920.48907149</v>
      </c>
      <c r="EI12" s="100">
        <f t="shared" ref="EI12" si="289">EH12*12</f>
        <v>1665299045.8688579</v>
      </c>
      <c r="EJ12" s="55" t="s">
        <v>193</v>
      </c>
      <c r="EL12" s="131">
        <f>SUMIFS('W2'!$K$12:$K$112,'W2'!$B$12:$B$112,'W6 - Operating cost'!$B12)</f>
        <v>3</v>
      </c>
      <c r="EM12" s="100">
        <f t="shared" ref="EM12" si="290">EL18</f>
        <v>48571222.171175018</v>
      </c>
      <c r="EN12" s="100">
        <f t="shared" si="247"/>
        <v>145713666.51352507</v>
      </c>
      <c r="EO12" s="100">
        <f t="shared" ref="EO12" si="291">EN12*12</f>
        <v>1748563998.1623008</v>
      </c>
      <c r="EP12" s="55" t="s">
        <v>193</v>
      </c>
      <c r="ER12" s="131">
        <f>SUMIFS('W2'!$K$12:$K$112,'W2'!$B$12:$B$112,'W6 - Operating cost'!$B12)</f>
        <v>3</v>
      </c>
      <c r="ES12" s="100">
        <f t="shared" ref="ES12" si="292">ER18</f>
        <v>50999783.279733777</v>
      </c>
      <c r="ET12" s="100">
        <f t="shared" si="250"/>
        <v>152999349.83920133</v>
      </c>
      <c r="EU12" s="100">
        <f t="shared" ref="EU12" si="293">ET12*12</f>
        <v>1835992198.070416</v>
      </c>
      <c r="EV12" s="55" t="s">
        <v>193</v>
      </c>
    </row>
    <row r="13" spans="1:152" x14ac:dyDescent="0.25">
      <c r="B13" s="56" t="s">
        <v>96</v>
      </c>
      <c r="C13" s="55" t="s">
        <v>89</v>
      </c>
      <c r="D13" s="131">
        <f>SUMIFS('W2'!$K$12:$K$112,'W2'!$B$12:$B$112,'W6 - Operating cost'!$B13)</f>
        <v>0</v>
      </c>
      <c r="E13" s="55"/>
      <c r="F13" s="55"/>
      <c r="G13" s="55"/>
      <c r="H13" s="55"/>
      <c r="J13" s="131">
        <f>SUMIFS('W2'!$K$12:$K$112,'W2'!$B$12:$B$112,'W6 - Operating cost'!$B13)</f>
        <v>0</v>
      </c>
      <c r="K13" s="55"/>
      <c r="L13" s="55"/>
      <c r="M13" s="55"/>
      <c r="N13" s="55"/>
      <c r="P13" s="131">
        <f>SUMIFS('W2'!$K$12:$K$112,'W2'!$B$12:$B$112,'W6 - Operating cost'!$B13)</f>
        <v>0</v>
      </c>
      <c r="Q13" s="55"/>
      <c r="R13" s="55"/>
      <c r="S13" s="55"/>
      <c r="T13" s="55"/>
      <c r="V13" s="131">
        <f>SUMIFS('W2'!$K$12:$K$112,'W2'!$B$12:$B$112,'W6 - Operating cost'!$B13)</f>
        <v>0</v>
      </c>
      <c r="W13" s="55"/>
      <c r="X13" s="55"/>
      <c r="Y13" s="55"/>
      <c r="Z13" s="55"/>
      <c r="AB13" s="131">
        <f>SUMIFS('W2'!$K$12:$K$112,'W2'!$B$12:$B$112,'W6 - Operating cost'!$B13)</f>
        <v>0</v>
      </c>
      <c r="AC13" s="55"/>
      <c r="AD13" s="55"/>
      <c r="AE13" s="55"/>
      <c r="AF13" s="55"/>
      <c r="AH13" s="131">
        <f>SUMIFS('W2'!$K$12:$K$112,'W2'!$B$12:$B$112,'W6 - Operating cost'!$B13)</f>
        <v>0</v>
      </c>
      <c r="AI13" s="55"/>
      <c r="AJ13" s="55"/>
      <c r="AK13" s="55"/>
      <c r="AL13" s="55"/>
      <c r="AN13" s="131">
        <f>SUMIFS('W2'!$K$12:$K$112,'W2'!$B$12:$B$112,'W6 - Operating cost'!$B13)</f>
        <v>0</v>
      </c>
      <c r="AO13" s="55"/>
      <c r="AP13" s="55"/>
      <c r="AQ13" s="55"/>
      <c r="AR13" s="55"/>
      <c r="AT13" s="131">
        <f>SUMIFS('W2'!$K$12:$K$112,'W2'!$B$12:$B$112,'W6 - Operating cost'!$B13)</f>
        <v>0</v>
      </c>
      <c r="AU13" s="55"/>
      <c r="AV13" s="55"/>
      <c r="AW13" s="55"/>
      <c r="AX13" s="55"/>
      <c r="AZ13" s="131">
        <f>SUMIFS('W2'!$K$12:$K$112,'W2'!$B$12:$B$112,'W6 - Operating cost'!$B13)</f>
        <v>0</v>
      </c>
      <c r="BA13" s="55"/>
      <c r="BB13" s="55"/>
      <c r="BC13" s="55"/>
      <c r="BD13" s="55"/>
      <c r="BF13" s="131">
        <f>SUMIFS('W2'!$K$12:$K$112,'W2'!$B$12:$B$112,'W6 - Operating cost'!$B13)</f>
        <v>0</v>
      </c>
      <c r="BG13" s="55"/>
      <c r="BH13" s="55"/>
      <c r="BI13" s="55"/>
      <c r="BJ13" s="55"/>
      <c r="BL13" s="131">
        <f>SUMIFS('W2'!$K$12:$K$112,'W2'!$B$12:$B$112,'W6 - Operating cost'!$B13)</f>
        <v>0</v>
      </c>
      <c r="BM13" s="55"/>
      <c r="BN13" s="55"/>
      <c r="BO13" s="55"/>
      <c r="BP13" s="55"/>
      <c r="BR13" s="131">
        <f>SUMIFS('W2'!$K$12:$K$112,'W2'!$B$12:$B$112,'W6 - Operating cost'!$B13)</f>
        <v>0</v>
      </c>
      <c r="BS13" s="55"/>
      <c r="BT13" s="55"/>
      <c r="BU13" s="55"/>
      <c r="BV13" s="55"/>
      <c r="BX13" s="131">
        <f>SUMIFS('W2'!$K$12:$K$112,'W2'!$B$12:$B$112,'W6 - Operating cost'!$B13)</f>
        <v>0</v>
      </c>
      <c r="BY13" s="55"/>
      <c r="BZ13" s="55"/>
      <c r="CA13" s="55"/>
      <c r="CB13" s="55"/>
      <c r="CD13" s="131">
        <f>SUMIFS('W2'!$K$12:$K$112,'W2'!$B$12:$B$112,'W6 - Operating cost'!$B13)</f>
        <v>0</v>
      </c>
      <c r="CE13" s="55"/>
      <c r="CF13" s="55"/>
      <c r="CG13" s="55"/>
      <c r="CH13" s="55"/>
      <c r="CJ13" s="131">
        <f>SUMIFS('W2'!$K$12:$K$112,'W2'!$B$12:$B$112,'W6 - Operating cost'!$B13)</f>
        <v>0</v>
      </c>
      <c r="CK13" s="55"/>
      <c r="CL13" s="55"/>
      <c r="CM13" s="55"/>
      <c r="CN13" s="55"/>
      <c r="CP13" s="131">
        <f>SUMIFS('W2'!$K$12:$K$112,'W2'!$B$12:$B$112,'W6 - Operating cost'!$B13)</f>
        <v>0</v>
      </c>
      <c r="CQ13" s="55"/>
      <c r="CR13" s="55"/>
      <c r="CS13" s="55"/>
      <c r="CT13" s="55"/>
      <c r="CV13" s="131">
        <f>SUMIFS('W2'!$K$12:$K$112,'W2'!$B$12:$B$112,'W6 - Operating cost'!$B13)</f>
        <v>0</v>
      </c>
      <c r="CW13" s="55"/>
      <c r="CX13" s="55"/>
      <c r="CY13" s="55"/>
      <c r="CZ13" s="55"/>
      <c r="DB13" s="131">
        <f>SUMIFS('W2'!$K$12:$K$112,'W2'!$B$12:$B$112,'W6 - Operating cost'!$B13)</f>
        <v>0</v>
      </c>
      <c r="DC13" s="55"/>
      <c r="DD13" s="55"/>
      <c r="DE13" s="55"/>
      <c r="DF13" s="55"/>
      <c r="DH13" s="131">
        <f>SUMIFS('W2'!$K$12:$K$112,'W2'!$B$12:$B$112,'W6 - Operating cost'!$B13)</f>
        <v>0</v>
      </c>
      <c r="DI13" s="55"/>
      <c r="DJ13" s="55"/>
      <c r="DK13" s="55"/>
      <c r="DL13" s="55"/>
      <c r="DN13" s="131">
        <f>SUMIFS('W2'!$K$12:$K$112,'W2'!$B$12:$B$112,'W6 - Operating cost'!$B13)</f>
        <v>0</v>
      </c>
      <c r="DO13" s="55"/>
      <c r="DP13" s="55"/>
      <c r="DQ13" s="55"/>
      <c r="DR13" s="55"/>
      <c r="DT13" s="131">
        <f>SUMIFS('W2'!$K$12:$K$112,'W2'!$B$12:$B$112,'W6 - Operating cost'!$B13)</f>
        <v>0</v>
      </c>
      <c r="DU13" s="55"/>
      <c r="DV13" s="55"/>
      <c r="DW13" s="55"/>
      <c r="DX13" s="55"/>
      <c r="DZ13" s="131">
        <f>SUMIFS('W2'!$K$12:$K$112,'W2'!$B$12:$B$112,'W6 - Operating cost'!$B13)</f>
        <v>0</v>
      </c>
      <c r="EA13" s="55"/>
      <c r="EB13" s="55"/>
      <c r="EC13" s="55"/>
      <c r="ED13" s="55"/>
      <c r="EF13" s="131">
        <f>SUMIFS('W2'!$K$12:$K$112,'W2'!$B$12:$B$112,'W6 - Operating cost'!$B13)</f>
        <v>0</v>
      </c>
      <c r="EG13" s="55"/>
      <c r="EH13" s="55"/>
      <c r="EI13" s="55"/>
      <c r="EJ13" s="55"/>
      <c r="EL13" s="131">
        <f>SUMIFS('W2'!$K$12:$K$112,'W2'!$B$12:$B$112,'W6 - Operating cost'!$B13)</f>
        <v>0</v>
      </c>
      <c r="EM13" s="55"/>
      <c r="EN13" s="55"/>
      <c r="EO13" s="55"/>
      <c r="EP13" s="55"/>
      <c r="ER13" s="131">
        <f>SUMIFS('W2'!$K$12:$K$112,'W2'!$B$12:$B$112,'W6 - Operating cost'!$B13)</f>
        <v>0</v>
      </c>
      <c r="ES13" s="55"/>
      <c r="ET13" s="55"/>
      <c r="EU13" s="55"/>
      <c r="EV13" s="55"/>
    </row>
    <row r="14" spans="1:152" x14ac:dyDescent="0.25">
      <c r="B14" s="56" t="s">
        <v>97</v>
      </c>
      <c r="C14" s="55" t="s">
        <v>89</v>
      </c>
      <c r="D14" s="131">
        <f>SUMIFS('W2'!$K$12:$K$112,'W2'!$B$12:$B$112,'W6 - Operating cost'!$B14)</f>
        <v>12</v>
      </c>
      <c r="E14" s="100">
        <f>D18</f>
        <v>16604066.03773585</v>
      </c>
      <c r="F14" s="100">
        <f>D14*E14</f>
        <v>199248792.4528302</v>
      </c>
      <c r="G14" s="100">
        <f>F14*12</f>
        <v>2390985509.4339623</v>
      </c>
      <c r="H14" s="55" t="s">
        <v>193</v>
      </c>
      <c r="J14" s="131">
        <f>SUMIFS('W2'!$K$12:$K$112,'W2'!$B$12:$B$112,'W6 - Operating cost'!$B14)</f>
        <v>12</v>
      </c>
      <c r="K14" s="100">
        <f>J18</f>
        <v>16604066.03773585</v>
      </c>
      <c r="L14" s="100">
        <f>J14*K14</f>
        <v>199248792.4528302</v>
      </c>
      <c r="M14" s="100">
        <f>L14*12</f>
        <v>2390985509.4339623</v>
      </c>
      <c r="N14" s="55" t="s">
        <v>193</v>
      </c>
      <c r="P14" s="131">
        <f>SUMIFS('W2'!$K$12:$K$112,'W2'!$B$12:$B$112,'W6 - Operating cost'!$B14)</f>
        <v>12</v>
      </c>
      <c r="Q14" s="100">
        <f>P18</f>
        <v>17434269.339622643</v>
      </c>
      <c r="R14" s="100">
        <f>P14*Q14</f>
        <v>209211232.0754717</v>
      </c>
      <c r="S14" s="100">
        <f>R14*12</f>
        <v>2510534784.9056606</v>
      </c>
      <c r="T14" s="55" t="s">
        <v>193</v>
      </c>
      <c r="V14" s="131">
        <f>SUMIFS('W2'!$K$12:$K$112,'W2'!$B$12:$B$112,'W6 - Operating cost'!$B14)</f>
        <v>12</v>
      </c>
      <c r="W14" s="100">
        <f>V18</f>
        <v>18305982.806603774</v>
      </c>
      <c r="X14" s="100">
        <f>V14*W14</f>
        <v>219671793.67924529</v>
      </c>
      <c r="Y14" s="100">
        <f>X14*12</f>
        <v>2636061524.1509438</v>
      </c>
      <c r="Z14" s="55" t="s">
        <v>193</v>
      </c>
      <c r="AB14" s="131">
        <f>SUMIFS('W2'!$K$12:$K$112,'W2'!$B$12:$B$112,'W6 - Operating cost'!$B14)</f>
        <v>12</v>
      </c>
      <c r="AC14" s="100">
        <f t="shared" ref="AC14" si="294">AB18</f>
        <v>19221281.946933966</v>
      </c>
      <c r="AD14" s="100">
        <f t="shared" ref="AD14" si="295">AB14*AC14</f>
        <v>230655383.36320758</v>
      </c>
      <c r="AE14" s="100">
        <f t="shared" ref="AE14" si="296">AD14*12</f>
        <v>2767864600.3584909</v>
      </c>
      <c r="AF14" s="55" t="s">
        <v>193</v>
      </c>
      <c r="AH14" s="131">
        <f>SUMIFS('W2'!$K$12:$K$112,'W2'!$B$12:$B$112,'W6 - Operating cost'!$B14)</f>
        <v>12</v>
      </c>
      <c r="AI14" s="100">
        <f t="shared" ref="AI14" si="297">AH18</f>
        <v>20182346.044280659</v>
      </c>
      <c r="AJ14" s="100">
        <f t="shared" ref="AJ14" si="298">AH14*AI14</f>
        <v>242188152.5313679</v>
      </c>
      <c r="AK14" s="100">
        <f t="shared" ref="AK14" si="299">AJ14*12</f>
        <v>2906257830.3764148</v>
      </c>
      <c r="AL14" s="55" t="s">
        <v>193</v>
      </c>
      <c r="AN14" s="131">
        <f>SUMIFS('W2'!$K$12:$K$112,'W2'!$B$12:$B$112,'W6 - Operating cost'!$B14)</f>
        <v>12</v>
      </c>
      <c r="AO14" s="100">
        <f t="shared" ref="AO14" si="300">AN18</f>
        <v>21191463.346494697</v>
      </c>
      <c r="AP14" s="100">
        <f t="shared" ref="AP14" si="301">AN14*AO14</f>
        <v>254297560.15793636</v>
      </c>
      <c r="AQ14" s="100">
        <f t="shared" ref="AQ14" si="302">AP14*12</f>
        <v>3051570721.8952365</v>
      </c>
      <c r="AR14" s="55" t="s">
        <v>193</v>
      </c>
      <c r="AT14" s="131">
        <f>SUMIFS('W2'!$K$12:$K$112,'W2'!$B$12:$B$112,'W6 - Operating cost'!$B14)</f>
        <v>12</v>
      </c>
      <c r="AU14" s="100">
        <f t="shared" ref="AU14" si="303">AT18</f>
        <v>22251036.51381943</v>
      </c>
      <c r="AV14" s="100">
        <f t="shared" ref="AV14" si="304">AT14*AU14</f>
        <v>267012438.16583318</v>
      </c>
      <c r="AW14" s="100">
        <f t="shared" ref="AW14" si="305">AV14*12</f>
        <v>3204149257.9899979</v>
      </c>
      <c r="AX14" s="55" t="s">
        <v>193</v>
      </c>
      <c r="AZ14" s="131">
        <f>SUMIFS('W2'!$K$12:$K$112,'W2'!$B$12:$B$112,'W6 - Operating cost'!$B14)</f>
        <v>12</v>
      </c>
      <c r="BA14" s="100">
        <f t="shared" ref="BA14" si="306">AZ18</f>
        <v>23363588.339510404</v>
      </c>
      <c r="BB14" s="100">
        <f t="shared" ref="BB14" si="307">AZ14*BA14</f>
        <v>280363060.07412481</v>
      </c>
      <c r="BC14" s="100">
        <f t="shared" ref="BC14" si="308">BB14*12</f>
        <v>3364356720.8894978</v>
      </c>
      <c r="BD14" s="55" t="s">
        <v>193</v>
      </c>
      <c r="BF14" s="131">
        <f>SUMIFS('W2'!$K$12:$K$112,'W2'!$B$12:$B$112,'W6 - Operating cost'!$B14)</f>
        <v>12</v>
      </c>
      <c r="BG14" s="100">
        <f t="shared" ref="BG14" si="309">BF18</f>
        <v>24531767.75648592</v>
      </c>
      <c r="BH14" s="100">
        <f t="shared" ref="BH14" si="310">BF14*BG14</f>
        <v>294381213.07783103</v>
      </c>
      <c r="BI14" s="100">
        <f t="shared" ref="BI14" si="311">BH14*12</f>
        <v>3532574556.9339724</v>
      </c>
      <c r="BJ14" s="55" t="s">
        <v>193</v>
      </c>
      <c r="BL14" s="131">
        <f>SUMIFS('W2'!$K$12:$K$112,'W2'!$B$12:$B$112,'W6 - Operating cost'!$B14)</f>
        <v>12</v>
      </c>
      <c r="BM14" s="100">
        <f t="shared" ref="BM14" si="312">BL18</f>
        <v>25758356.144310217</v>
      </c>
      <c r="BN14" s="100">
        <f t="shared" ref="BN14" si="313">BL14*BM14</f>
        <v>309100273.73172259</v>
      </c>
      <c r="BO14" s="100">
        <f t="shared" ref="BO14" si="314">BN14*12</f>
        <v>3709203284.7806711</v>
      </c>
      <c r="BP14" s="55" t="s">
        <v>193</v>
      </c>
      <c r="BR14" s="131">
        <f>SUMIFS('W2'!$K$12:$K$112,'W2'!$B$12:$B$112,'W6 - Operating cost'!$B14)</f>
        <v>12</v>
      </c>
      <c r="BS14" s="100">
        <f t="shared" ref="BS14" si="315">BR18</f>
        <v>27046273.951525729</v>
      </c>
      <c r="BT14" s="100">
        <f t="shared" ref="BT14" si="316">BR14*BS14</f>
        <v>324555287.41830873</v>
      </c>
      <c r="BU14" s="100">
        <f t="shared" ref="BU14" si="317">BT14*12</f>
        <v>3894663449.0197048</v>
      </c>
      <c r="BV14" s="55" t="s">
        <v>193</v>
      </c>
      <c r="BX14" s="131">
        <f>SUMIFS('W2'!$K$12:$K$112,'W2'!$B$12:$B$112,'W6 - Operating cost'!$B14)</f>
        <v>12</v>
      </c>
      <c r="BY14" s="100">
        <f t="shared" ref="BY14" si="318">BX18</f>
        <v>28398587.649102017</v>
      </c>
      <c r="BZ14" s="100">
        <f t="shared" ref="BZ14" si="319">BX14*BY14</f>
        <v>340783051.78922421</v>
      </c>
      <c r="CA14" s="100">
        <f t="shared" ref="CA14" si="320">BZ14*12</f>
        <v>4089396621.4706907</v>
      </c>
      <c r="CB14" s="55" t="s">
        <v>193</v>
      </c>
      <c r="CD14" s="131">
        <f>SUMIFS('W2'!$K$12:$K$112,'W2'!$B$12:$B$112,'W6 - Operating cost'!$B14)</f>
        <v>12</v>
      </c>
      <c r="CE14" s="100">
        <f t="shared" ref="CE14" si="321">CD18</f>
        <v>29818517.031557113</v>
      </c>
      <c r="CF14" s="100">
        <f t="shared" ref="CF14" si="322">CD14*CE14</f>
        <v>357822204.37868536</v>
      </c>
      <c r="CG14" s="100">
        <f t="shared" ref="CG14" si="323">CF14*12</f>
        <v>4293866452.5442243</v>
      </c>
      <c r="CH14" s="55" t="s">
        <v>193</v>
      </c>
      <c r="CJ14" s="131">
        <f>SUMIFS('W2'!$K$12:$K$112,'W2'!$B$12:$B$112,'W6 - Operating cost'!$B14)</f>
        <v>12</v>
      </c>
      <c r="CK14" s="100">
        <f t="shared" ref="CK14" si="324">CJ18</f>
        <v>31309442.883134976</v>
      </c>
      <c r="CL14" s="100">
        <f t="shared" ref="CL14" si="325">CJ14*CK14</f>
        <v>375713314.59761971</v>
      </c>
      <c r="CM14" s="100">
        <f t="shared" ref="CM14" si="326">CL14*12</f>
        <v>4508559775.1714363</v>
      </c>
      <c r="CN14" s="55" t="s">
        <v>193</v>
      </c>
      <c r="CP14" s="131">
        <f>SUMIFS('W2'!$K$12:$K$112,'W2'!$B$12:$B$112,'W6 - Operating cost'!$B14)</f>
        <v>12</v>
      </c>
      <c r="CQ14" s="100">
        <f t="shared" ref="CQ14" si="327">CP18</f>
        <v>32874915.027291719</v>
      </c>
      <c r="CR14" s="100">
        <f t="shared" ref="CR14" si="328">CP14*CQ14</f>
        <v>394498980.32750064</v>
      </c>
      <c r="CS14" s="100">
        <f t="shared" ref="CS14" si="329">CR14*12</f>
        <v>4733987763.9300079</v>
      </c>
      <c r="CT14" s="55" t="s">
        <v>193</v>
      </c>
      <c r="CV14" s="131">
        <f>SUMIFS('W2'!$K$12:$K$112,'W2'!$B$12:$B$112,'W6 - Operating cost'!$B14)</f>
        <v>12</v>
      </c>
      <c r="CW14" s="100">
        <f t="shared" ref="CW14" si="330">CV18</f>
        <v>34518660.778656311</v>
      </c>
      <c r="CX14" s="100">
        <f t="shared" ref="CX14" si="331">CV14*CW14</f>
        <v>414223929.34387577</v>
      </c>
      <c r="CY14" s="100">
        <f t="shared" ref="CY14" si="332">CX14*12</f>
        <v>4970687152.1265087</v>
      </c>
      <c r="CZ14" s="55" t="s">
        <v>193</v>
      </c>
      <c r="DB14" s="131">
        <f>SUMIFS('W2'!$K$12:$K$112,'W2'!$B$12:$B$112,'W6 - Operating cost'!$B14)</f>
        <v>12</v>
      </c>
      <c r="DC14" s="100">
        <f t="shared" ref="DC14" si="333">DB18</f>
        <v>36244593.817589127</v>
      </c>
      <c r="DD14" s="100">
        <f t="shared" ref="DD14" si="334">DB14*DC14</f>
        <v>434935125.81106949</v>
      </c>
      <c r="DE14" s="100">
        <f t="shared" ref="DE14" si="335">DD14*12</f>
        <v>5219221509.7328339</v>
      </c>
      <c r="DF14" s="55" t="s">
        <v>193</v>
      </c>
      <c r="DH14" s="131">
        <f>SUMIFS('W2'!$K$12:$K$112,'W2'!$B$12:$B$112,'W6 - Operating cost'!$B14)</f>
        <v>12</v>
      </c>
      <c r="DI14" s="100">
        <f t="shared" ref="DI14" si="336">DH18</f>
        <v>38056823.508468591</v>
      </c>
      <c r="DJ14" s="100">
        <f t="shared" ref="DJ14" si="337">DH14*DI14</f>
        <v>456681882.10162306</v>
      </c>
      <c r="DK14" s="100">
        <f t="shared" ref="DK14" si="338">DJ14*12</f>
        <v>5480182585.2194767</v>
      </c>
      <c r="DL14" s="55" t="s">
        <v>193</v>
      </c>
      <c r="DN14" s="131">
        <f>SUMIFS('W2'!$K$12:$K$112,'W2'!$B$12:$B$112,'W6 - Operating cost'!$B14)</f>
        <v>12</v>
      </c>
      <c r="DO14" s="100">
        <f t="shared" ref="DO14" si="339">DN18</f>
        <v>39959664.683892019</v>
      </c>
      <c r="DP14" s="100">
        <f t="shared" ref="DP14" si="340">DN14*DO14</f>
        <v>479515976.20670426</v>
      </c>
      <c r="DQ14" s="100">
        <f t="shared" ref="DQ14" si="341">DP14*12</f>
        <v>5754191714.4804516</v>
      </c>
      <c r="DR14" s="55" t="s">
        <v>193</v>
      </c>
      <c r="DT14" s="131">
        <f>SUMIFS('W2'!$K$12:$K$112,'W2'!$B$12:$B$112,'W6 - Operating cost'!$B14)</f>
        <v>12</v>
      </c>
      <c r="DU14" s="100">
        <f t="shared" ref="DU14" si="342">DT18</f>
        <v>41957647.918086618</v>
      </c>
      <c r="DV14" s="100">
        <f t="shared" ref="DV14" si="343">DT14*DU14</f>
        <v>503491775.01703942</v>
      </c>
      <c r="DW14" s="100">
        <f t="shared" ref="DW14" si="344">DV14*12</f>
        <v>6041901300.2044735</v>
      </c>
      <c r="DX14" s="55" t="s">
        <v>193</v>
      </c>
      <c r="DZ14" s="131">
        <f>SUMIFS('W2'!$K$12:$K$112,'W2'!$B$12:$B$112,'W6 - Operating cost'!$B14)</f>
        <v>12</v>
      </c>
      <c r="EA14" s="100">
        <f t="shared" ref="EA14" si="345">DZ18</f>
        <v>44055530.313990951</v>
      </c>
      <c r="EB14" s="100">
        <f t="shared" ref="EB14" si="346">DZ14*EA14</f>
        <v>528666363.76789141</v>
      </c>
      <c r="EC14" s="100">
        <f t="shared" ref="EC14" si="347">EB14*12</f>
        <v>6343996365.2146969</v>
      </c>
      <c r="ED14" s="55" t="s">
        <v>193</v>
      </c>
      <c r="EF14" s="131">
        <f>SUMIFS('W2'!$K$12:$K$112,'W2'!$B$12:$B$112,'W6 - Operating cost'!$B14)</f>
        <v>12</v>
      </c>
      <c r="EG14" s="100">
        <f t="shared" ref="EG14" si="348">EF18</f>
        <v>46258306.829690494</v>
      </c>
      <c r="EH14" s="100">
        <f t="shared" ref="EH14" si="349">EF14*EG14</f>
        <v>555099681.95628595</v>
      </c>
      <c r="EI14" s="100">
        <f t="shared" ref="EI14" si="350">EH14*12</f>
        <v>6661196183.4754314</v>
      </c>
      <c r="EJ14" s="55" t="s">
        <v>193</v>
      </c>
      <c r="EL14" s="131">
        <f>SUMIFS('W2'!$K$12:$K$112,'W2'!$B$12:$B$112,'W6 - Operating cost'!$B14)</f>
        <v>12</v>
      </c>
      <c r="EM14" s="100">
        <f t="shared" ref="EM14" si="351">EL18</f>
        <v>48571222.171175018</v>
      </c>
      <c r="EN14" s="100">
        <f t="shared" ref="EN14" si="352">EL14*EM14</f>
        <v>582854666.05410028</v>
      </c>
      <c r="EO14" s="100">
        <f t="shared" ref="EO14" si="353">EN14*12</f>
        <v>6994255992.6492033</v>
      </c>
      <c r="EP14" s="55" t="s">
        <v>193</v>
      </c>
      <c r="ER14" s="131">
        <f>SUMIFS('W2'!$K$12:$K$112,'W2'!$B$12:$B$112,'W6 - Operating cost'!$B14)</f>
        <v>12</v>
      </c>
      <c r="ES14" s="100">
        <f t="shared" ref="ES14" si="354">ER18</f>
        <v>50999783.279733777</v>
      </c>
      <c r="ET14" s="100">
        <f t="shared" ref="ET14" si="355">ER14*ES14</f>
        <v>611997399.35680532</v>
      </c>
      <c r="EU14" s="100">
        <f t="shared" ref="EU14" si="356">ET14*12</f>
        <v>7343968792.2816639</v>
      </c>
      <c r="EV14" s="55" t="s">
        <v>193</v>
      </c>
    </row>
    <row r="15" spans="1:152" x14ac:dyDescent="0.25">
      <c r="B15" s="56" t="s">
        <v>98</v>
      </c>
      <c r="C15" s="55" t="s">
        <v>99</v>
      </c>
      <c r="D15" s="100" cm="1">
        <f t="array" ref="D15">'W2'!$L$14*$E$1
*_xlfn.SWITCH($C$1,1,1,2,1+Opt2_CPSX,3,1+Opt3_CPSX,4,1+Opt4_CPSX,5,1+Opt5_CPSX,6,1+Opt6_CPSX)
*POWER(1+$C$72,G$1)</f>
        <v>14332500</v>
      </c>
      <c r="E15" s="55"/>
      <c r="F15" s="55"/>
      <c r="G15" s="55"/>
      <c r="H15" s="55"/>
      <c r="J15" s="100" cm="1">
        <f t="array" ref="J15">'W2'!$L$14*$E$1
*_xlfn.SWITCH($C$1,1,1,2,1+Opt2_CPSX,3,1+Opt3_CPSX,4,1+Opt4_CPSX,5,1+Opt5_CPSX,6,1+Opt6_CPSX)
*POWER(1+$C$72,M$1)</f>
        <v>14332500</v>
      </c>
      <c r="K15" s="55"/>
      <c r="L15" s="55"/>
      <c r="M15" s="55"/>
      <c r="N15" s="55"/>
      <c r="P15" s="100" cm="1">
        <f t="array" ref="P15">'W2'!$L$14*$E$1
*_xlfn.SWITCH($C$1,1,1,2,1+Opt2_CPSX,3,1+Opt3_CPSX,4,1+Opt4_CPSX,5,1+Opt5_CPSX,6,1+Opt6_CPSX)
*POWER(1+$C$72,S$1)</f>
        <v>15049125</v>
      </c>
      <c r="Q15" s="55"/>
      <c r="R15" s="55"/>
      <c r="S15" s="55"/>
      <c r="T15" s="55"/>
      <c r="V15" s="100" cm="1">
        <f t="array" ref="V15">'W2'!$L$14*$E$1
*_xlfn.SWITCH($C$1,1,1,2,1+Opt2_CPSX,3,1+Opt3_CPSX,4,1+Opt4_CPSX,5,1+Opt5_CPSX,6,1+Opt6_CPSX)
*POWER(1+$C$72,Y$1)</f>
        <v>15801581.25</v>
      </c>
      <c r="W15" s="55"/>
      <c r="X15" s="55"/>
      <c r="Y15" s="55"/>
      <c r="Z15" s="55"/>
      <c r="AB15" s="100" cm="1">
        <f t="array" ref="AB15">'W2'!$L$14*$E$1
*_xlfn.SWITCH($C$1,1,1,2,1+Opt2_CPSX,3,1+Opt3_CPSX,4,1+Opt4_CPSX,5,1+Opt5_CPSX,6,1+Opt6_CPSX)
*POWER(1+$C$72,AE$1)</f>
        <v>16591660.312500002</v>
      </c>
      <c r="AC15" s="55"/>
      <c r="AD15" s="55"/>
      <c r="AE15" s="55"/>
      <c r="AF15" s="55"/>
      <c r="AH15" s="100" cm="1">
        <f t="array" ref="AH15">'W2'!$L$14*$E$1
*_xlfn.SWITCH($C$1,1,1,2,1+Opt2_CPSX,3,1+Opt3_CPSX,4,1+Opt4_CPSX,5,1+Opt5_CPSX,6,1+Opt6_CPSX)
*POWER(1+$C$72,AK$1)</f>
        <v>17421243.328125</v>
      </c>
      <c r="AI15" s="55"/>
      <c r="AJ15" s="55"/>
      <c r="AK15" s="55"/>
      <c r="AL15" s="55"/>
      <c r="AN15" s="100" cm="1">
        <f t="array" ref="AN15">'W2'!$L$14*$E$1
*_xlfn.SWITCH($C$1,1,1,2,1+Opt2_CPSX,3,1+Opt3_CPSX,4,1+Opt4_CPSX,5,1+Opt5_CPSX,6,1+Opt6_CPSX)
*POWER(1+$C$72,AQ$1)</f>
        <v>18292305.494531251</v>
      </c>
      <c r="AO15" s="55"/>
      <c r="AP15" s="55"/>
      <c r="AQ15" s="55"/>
      <c r="AR15" s="55"/>
      <c r="AT15" s="100" cm="1">
        <f t="array" ref="AT15">'W2'!$L$14*$E$1
*_xlfn.SWITCH($C$1,1,1,2,1+Opt2_CPSX,3,1+Opt3_CPSX,4,1+Opt4_CPSX,5,1+Opt5_CPSX,6,1+Opt6_CPSX)
*POWER(1+$C$72,AW$1)</f>
        <v>19206920.769257814</v>
      </c>
      <c r="AU15" s="55"/>
      <c r="AV15" s="55"/>
      <c r="AW15" s="55"/>
      <c r="AX15" s="55"/>
      <c r="AZ15" s="100" cm="1">
        <f t="array" ref="AZ15">'W2'!$L$14*$E$1
*_xlfn.SWITCH($C$1,1,1,2,1+Opt2_CPSX,3,1+Opt3_CPSX,4,1+Opt4_CPSX,5,1+Opt5_CPSX,6,1+Opt6_CPSX)
*POWER(1+$C$72,BC$1)</f>
        <v>20167266.807720706</v>
      </c>
      <c r="BA15" s="55"/>
      <c r="BB15" s="55"/>
      <c r="BC15" s="55"/>
      <c r="BD15" s="55"/>
      <c r="BF15" s="100" cm="1">
        <f t="array" ref="BF15">'W2'!$L$14*$E$1
*_xlfn.SWITCH($C$1,1,1,2,1+Opt2_CPSX,3,1+Opt3_CPSX,4,1+Opt4_CPSX,5,1+Opt5_CPSX,6,1+Opt6_CPSX)
*POWER(1+$C$72,BI$1)</f>
        <v>21175630.148106739</v>
      </c>
      <c r="BG15" s="55"/>
      <c r="BH15" s="55"/>
      <c r="BI15" s="55"/>
      <c r="BJ15" s="55"/>
      <c r="BL15" s="100" cm="1">
        <f t="array" ref="BL15">'W2'!$L$14*$E$1
*_xlfn.SWITCH($C$1,1,1,2,1+Opt2_CPSX,3,1+Opt3_CPSX,4,1+Opt4_CPSX,5,1+Opt5_CPSX,6,1+Opt6_CPSX)
*POWER(1+$C$72,BO$1)</f>
        <v>22234411.655512076</v>
      </c>
      <c r="BM15" s="55"/>
      <c r="BN15" s="55"/>
      <c r="BO15" s="55"/>
      <c r="BP15" s="55"/>
      <c r="BR15" s="100" cm="1">
        <f t="array" ref="BR15">'W2'!$L$14*$E$1
*_xlfn.SWITCH($C$1,1,1,2,1+Opt2_CPSX,3,1+Opt3_CPSX,4,1+Opt4_CPSX,5,1+Opt5_CPSX,6,1+Opt6_CPSX)
*POWER(1+$C$72,BU$1)</f>
        <v>23346132.23828768</v>
      </c>
      <c r="BS15" s="55"/>
      <c r="BT15" s="55"/>
      <c r="BU15" s="55"/>
      <c r="BV15" s="55"/>
      <c r="BX15" s="100" cm="1">
        <f t="array" ref="BX15">'W2'!$L$14*$E$1
*_xlfn.SWITCH($C$1,1,1,2,1+Opt2_CPSX,3,1+Opt3_CPSX,4,1+Opt4_CPSX,5,1+Opt5_CPSX,6,1+Opt6_CPSX)
*POWER(1+$C$72,CA$1)</f>
        <v>24513438.850202069</v>
      </c>
      <c r="BY15" s="55"/>
      <c r="BZ15" s="55"/>
      <c r="CA15" s="55"/>
      <c r="CB15" s="55"/>
      <c r="CD15" s="100" cm="1">
        <f t="array" ref="CD15">'W2'!$L$14*$E$1
*_xlfn.SWITCH($C$1,1,1,2,1+Opt2_CPSX,3,1+Opt3_CPSX,4,1+Opt4_CPSX,5,1+Opt5_CPSX,6,1+Opt6_CPSX)
*POWER(1+$C$72,CG$1)</f>
        <v>25739110.792712167</v>
      </c>
      <c r="CE15" s="55"/>
      <c r="CF15" s="55"/>
      <c r="CG15" s="55"/>
      <c r="CH15" s="55"/>
      <c r="CJ15" s="100" cm="1">
        <f t="array" ref="CJ15">'W2'!$L$14*$E$1
*_xlfn.SWITCH($C$1,1,1,2,1+Opt2_CPSX,3,1+Opt3_CPSX,4,1+Opt4_CPSX,5,1+Opt5_CPSX,6,1+Opt6_CPSX)
*POWER(1+$C$72,CM$1)</f>
        <v>27026066.33234778</v>
      </c>
      <c r="CK15" s="55"/>
      <c r="CL15" s="55"/>
      <c r="CM15" s="55"/>
      <c r="CN15" s="55"/>
      <c r="CP15" s="100" cm="1">
        <f t="array" ref="CP15">'W2'!$L$14*$E$1
*_xlfn.SWITCH($C$1,1,1,2,1+Opt2_CPSX,3,1+Opt3_CPSX,4,1+Opt4_CPSX,5,1+Opt5_CPSX,6,1+Opt6_CPSX)
*POWER(1+$C$72,CS$1)</f>
        <v>28377369.648965161</v>
      </c>
      <c r="CQ15" s="55"/>
      <c r="CR15" s="55"/>
      <c r="CS15" s="55"/>
      <c r="CT15" s="55"/>
      <c r="CV15" s="100" cm="1">
        <f t="array" ref="CV15">'W2'!$L$14*$E$1
*_xlfn.SWITCH($C$1,1,1,2,1+Opt2_CPSX,3,1+Opt3_CPSX,4,1+Opt4_CPSX,5,1+Opt5_CPSX,6,1+Opt6_CPSX)
*POWER(1+$C$72,CY$1)</f>
        <v>29796238.13141343</v>
      </c>
      <c r="CW15" s="55"/>
      <c r="CX15" s="55"/>
      <c r="CY15" s="55"/>
      <c r="CZ15" s="55"/>
      <c r="DB15" s="100" cm="1">
        <f t="array" ref="DB15">'W2'!$L$14*$E$1
*_xlfn.SWITCH($C$1,1,1,2,1+Opt2_CPSX,3,1+Opt3_CPSX,4,1+Opt4_CPSX,5,1+Opt5_CPSX,6,1+Opt6_CPSX)
*POWER(1+$C$72,DE$1)</f>
        <v>31286050.037984099</v>
      </c>
      <c r="DC15" s="55"/>
      <c r="DD15" s="55"/>
      <c r="DE15" s="55"/>
      <c r="DF15" s="55"/>
      <c r="DH15" s="100" cm="1">
        <f t="array" ref="DH15">'W2'!$L$14*$E$1
*_xlfn.SWITCH($C$1,1,1,2,1+Opt2_CPSX,3,1+Opt3_CPSX,4,1+Opt4_CPSX,5,1+Opt5_CPSX,6,1+Opt6_CPSX)
*POWER(1+$C$72,DK$1)</f>
        <v>32850352.539883308</v>
      </c>
      <c r="DI15" s="55"/>
      <c r="DJ15" s="55"/>
      <c r="DK15" s="55"/>
      <c r="DL15" s="55"/>
      <c r="DN15" s="100" cm="1">
        <f t="array" ref="DN15">'W2'!$L$14*$E$1
*_xlfn.SWITCH($C$1,1,1,2,1+Opt2_CPSX,3,1+Opt3_CPSX,4,1+Opt4_CPSX,5,1+Opt5_CPSX,6,1+Opt6_CPSX)
*POWER(1+$C$72,DQ$1)</f>
        <v>34492870.166877471</v>
      </c>
      <c r="DO15" s="55"/>
      <c r="DP15" s="55"/>
      <c r="DQ15" s="55"/>
      <c r="DR15" s="55"/>
      <c r="DT15" s="100" cm="1">
        <f t="array" ref="DT15">'W2'!$L$14*$E$1
*_xlfn.SWITCH($C$1,1,1,2,1+Opt2_CPSX,3,1+Opt3_CPSX,4,1+Opt4_CPSX,5,1+Opt5_CPSX,6,1+Opt6_CPSX)
*POWER(1+$C$72,DW$1)</f>
        <v>36217513.675221346</v>
      </c>
      <c r="DU15" s="55"/>
      <c r="DV15" s="55"/>
      <c r="DW15" s="55"/>
      <c r="DX15" s="55"/>
      <c r="DZ15" s="100" cm="1">
        <f t="array" ref="DZ15">'W2'!$L$14*$E$1
*_xlfn.SWITCH($C$1,1,1,2,1+Opt2_CPSX,3,1+Opt3_CPSX,4,1+Opt4_CPSX,5,1+Opt5_CPSX,6,1+Opt6_CPSX)
*POWER(1+$C$72,EC$1)</f>
        <v>38028389.358982414</v>
      </c>
      <c r="EA15" s="55"/>
      <c r="EB15" s="55"/>
      <c r="EC15" s="55"/>
      <c r="ED15" s="55"/>
      <c r="EF15" s="100" cm="1">
        <f t="array" ref="EF15">'W2'!$L$14*$E$1
*_xlfn.SWITCH($C$1,1,1,2,1+Opt2_CPSX,3,1+Opt3_CPSX,4,1+Opt4_CPSX,5,1+Opt5_CPSX,6,1+Opt6_CPSX)
*POWER(1+$C$72,EI$1)</f>
        <v>39929808.826931529</v>
      </c>
      <c r="EG15" s="55"/>
      <c r="EH15" s="55"/>
      <c r="EI15" s="55"/>
      <c r="EJ15" s="55"/>
      <c r="EL15" s="100" cm="1">
        <f t="array" ref="EL15">'W2'!$L$14*$E$1
*_xlfn.SWITCH($C$1,1,1,2,1+Opt2_CPSX,3,1+Opt3_CPSX,4,1+Opt4_CPSX,5,1+Opt5_CPSX,6,1+Opt6_CPSX)
*POWER(1+$C$72,EO$1)</f>
        <v>41926299.268278107</v>
      </c>
      <c r="EM15" s="55"/>
      <c r="EN15" s="55"/>
      <c r="EO15" s="55"/>
      <c r="EP15" s="55"/>
      <c r="ER15" s="100" cm="1">
        <f t="array" ref="ER15">'W2'!$L$14*$E$1
*_xlfn.SWITCH($C$1,1,1,2,1+Opt2_CPSX,3,1+Opt3_CPSX,4,1+Opt4_CPSX,5,1+Opt5_CPSX,6,1+Opt6_CPSX)
*POWER(1+$C$72,EU$1)</f>
        <v>44022614.231692024</v>
      </c>
      <c r="ES15" s="55"/>
      <c r="ET15" s="55"/>
      <c r="EU15" s="55"/>
      <c r="EV15" s="55"/>
    </row>
    <row r="16" spans="1:152" x14ac:dyDescent="0.25">
      <c r="B16" s="56" t="s">
        <v>100</v>
      </c>
      <c r="C16" s="55" t="s">
        <v>101</v>
      </c>
      <c r="D16" s="100">
        <f>'W2'!K13/D17</f>
        <v>2</v>
      </c>
      <c r="E16" s="55"/>
      <c r="F16" s="55"/>
      <c r="G16" s="55"/>
      <c r="H16" s="55"/>
      <c r="J16" s="100">
        <f>D16</f>
        <v>2</v>
      </c>
      <c r="K16" s="55"/>
      <c r="L16" s="55"/>
      <c r="M16" s="55"/>
      <c r="N16" s="55"/>
      <c r="P16" s="100">
        <f>J16</f>
        <v>2</v>
      </c>
      <c r="Q16" s="55"/>
      <c r="R16" s="55"/>
      <c r="S16" s="55"/>
      <c r="T16" s="55"/>
      <c r="V16" s="100">
        <f>P16</f>
        <v>2</v>
      </c>
      <c r="W16" s="55"/>
      <c r="X16" s="55"/>
      <c r="Y16" s="55"/>
      <c r="Z16" s="55"/>
      <c r="AB16" s="100">
        <f t="shared" ref="AB16" si="357">V16</f>
        <v>2</v>
      </c>
      <c r="AC16" s="55"/>
      <c r="AD16" s="55"/>
      <c r="AE16" s="55"/>
      <c r="AF16" s="55"/>
      <c r="AH16" s="100">
        <f t="shared" ref="AH16" si="358">AB16</f>
        <v>2</v>
      </c>
      <c r="AI16" s="55"/>
      <c r="AJ16" s="55"/>
      <c r="AK16" s="55"/>
      <c r="AL16" s="55"/>
      <c r="AN16" s="100">
        <f t="shared" ref="AN16" si="359">AH16</f>
        <v>2</v>
      </c>
      <c r="AO16" s="55"/>
      <c r="AP16" s="55"/>
      <c r="AQ16" s="55"/>
      <c r="AR16" s="55"/>
      <c r="AT16" s="100">
        <f t="shared" ref="AT16" si="360">AN16</f>
        <v>2</v>
      </c>
      <c r="AU16" s="55"/>
      <c r="AV16" s="55"/>
      <c r="AW16" s="55"/>
      <c r="AX16" s="55"/>
      <c r="AZ16" s="100">
        <f t="shared" ref="AZ16" si="361">AT16</f>
        <v>2</v>
      </c>
      <c r="BA16" s="55"/>
      <c r="BB16" s="55"/>
      <c r="BC16" s="55"/>
      <c r="BD16" s="55"/>
      <c r="BF16" s="100">
        <f t="shared" ref="BF16" si="362">AZ16</f>
        <v>2</v>
      </c>
      <c r="BG16" s="55"/>
      <c r="BH16" s="55"/>
      <c r="BI16" s="55"/>
      <c r="BJ16" s="55"/>
      <c r="BL16" s="100">
        <f t="shared" ref="BL16" si="363">BF16</f>
        <v>2</v>
      </c>
      <c r="BM16" s="55"/>
      <c r="BN16" s="55"/>
      <c r="BO16" s="55"/>
      <c r="BP16" s="55"/>
      <c r="BR16" s="100">
        <f t="shared" ref="BR16" si="364">BL16</f>
        <v>2</v>
      </c>
      <c r="BS16" s="55"/>
      <c r="BT16" s="55"/>
      <c r="BU16" s="55"/>
      <c r="BV16" s="55"/>
      <c r="BX16" s="100">
        <f t="shared" ref="BX16" si="365">BR16</f>
        <v>2</v>
      </c>
      <c r="BY16" s="55"/>
      <c r="BZ16" s="55"/>
      <c r="CA16" s="55"/>
      <c r="CB16" s="55"/>
      <c r="CD16" s="100">
        <f t="shared" ref="CD16" si="366">BX16</f>
        <v>2</v>
      </c>
      <c r="CE16" s="55"/>
      <c r="CF16" s="55"/>
      <c r="CG16" s="55"/>
      <c r="CH16" s="55"/>
      <c r="CJ16" s="100">
        <f t="shared" ref="CJ16" si="367">CD16</f>
        <v>2</v>
      </c>
      <c r="CK16" s="55"/>
      <c r="CL16" s="55"/>
      <c r="CM16" s="55"/>
      <c r="CN16" s="55"/>
      <c r="CP16" s="100">
        <f t="shared" ref="CP16" si="368">CJ16</f>
        <v>2</v>
      </c>
      <c r="CQ16" s="55"/>
      <c r="CR16" s="55"/>
      <c r="CS16" s="55"/>
      <c r="CT16" s="55"/>
      <c r="CV16" s="100">
        <f t="shared" ref="CV16" si="369">CP16</f>
        <v>2</v>
      </c>
      <c r="CW16" s="55"/>
      <c r="CX16" s="55"/>
      <c r="CY16" s="55"/>
      <c r="CZ16" s="55"/>
      <c r="DB16" s="100">
        <f t="shared" ref="DB16" si="370">CV16</f>
        <v>2</v>
      </c>
      <c r="DC16" s="55"/>
      <c r="DD16" s="55"/>
      <c r="DE16" s="55"/>
      <c r="DF16" s="55"/>
      <c r="DH16" s="100">
        <f t="shared" ref="DH16" si="371">DB16</f>
        <v>2</v>
      </c>
      <c r="DI16" s="55"/>
      <c r="DJ16" s="55"/>
      <c r="DK16" s="55"/>
      <c r="DL16" s="55"/>
      <c r="DN16" s="100">
        <f t="shared" ref="DN16" si="372">DH16</f>
        <v>2</v>
      </c>
      <c r="DO16" s="55"/>
      <c r="DP16" s="55"/>
      <c r="DQ16" s="55"/>
      <c r="DR16" s="55"/>
      <c r="DT16" s="100">
        <f t="shared" ref="DT16" si="373">DN16</f>
        <v>2</v>
      </c>
      <c r="DU16" s="55"/>
      <c r="DV16" s="55"/>
      <c r="DW16" s="55"/>
      <c r="DX16" s="55"/>
      <c r="DZ16" s="100">
        <f t="shared" ref="DZ16" si="374">DT16</f>
        <v>2</v>
      </c>
      <c r="EA16" s="55"/>
      <c r="EB16" s="55"/>
      <c r="EC16" s="55"/>
      <c r="ED16" s="55"/>
      <c r="EF16" s="100">
        <f t="shared" ref="EF16" si="375">DZ16</f>
        <v>2</v>
      </c>
      <c r="EG16" s="55"/>
      <c r="EH16" s="55"/>
      <c r="EI16" s="55"/>
      <c r="EJ16" s="55"/>
      <c r="EL16" s="100">
        <f t="shared" ref="EL16" si="376">EF16</f>
        <v>2</v>
      </c>
      <c r="EM16" s="55"/>
      <c r="EN16" s="55"/>
      <c r="EO16" s="55"/>
      <c r="EP16" s="55"/>
      <c r="ER16" s="100">
        <f t="shared" ref="ER16" si="377">EL16</f>
        <v>2</v>
      </c>
      <c r="ES16" s="55"/>
      <c r="ET16" s="55"/>
      <c r="EU16" s="55"/>
      <c r="EV16" s="55"/>
    </row>
    <row r="17" spans="1:152" x14ac:dyDescent="0.25">
      <c r="B17" s="56" t="s">
        <v>102</v>
      </c>
      <c r="C17" s="55" t="s">
        <v>103</v>
      </c>
      <c r="D17" s="100">
        <v>3</v>
      </c>
      <c r="E17" s="55"/>
      <c r="F17" s="55"/>
      <c r="G17" s="55"/>
      <c r="H17" s="55"/>
      <c r="J17" s="100">
        <v>3</v>
      </c>
      <c r="K17" s="55"/>
      <c r="L17" s="55"/>
      <c r="M17" s="55"/>
      <c r="N17" s="55"/>
      <c r="P17" s="100">
        <v>3</v>
      </c>
      <c r="Q17" s="55"/>
      <c r="R17" s="55"/>
      <c r="S17" s="55"/>
      <c r="T17" s="55"/>
      <c r="V17" s="100">
        <v>3</v>
      </c>
      <c r="W17" s="55"/>
      <c r="X17" s="55"/>
      <c r="Y17" s="55"/>
      <c r="Z17" s="55"/>
      <c r="AB17" s="100">
        <v>3</v>
      </c>
      <c r="AC17" s="55"/>
      <c r="AD17" s="55"/>
      <c r="AE17" s="55"/>
      <c r="AF17" s="55"/>
      <c r="AH17" s="100">
        <v>3</v>
      </c>
      <c r="AI17" s="55"/>
      <c r="AJ17" s="55"/>
      <c r="AK17" s="55"/>
      <c r="AL17" s="55"/>
      <c r="AN17" s="100">
        <v>3</v>
      </c>
      <c r="AO17" s="55"/>
      <c r="AP17" s="55"/>
      <c r="AQ17" s="55"/>
      <c r="AR17" s="55"/>
      <c r="AT17" s="100">
        <v>3</v>
      </c>
      <c r="AU17" s="55"/>
      <c r="AV17" s="55"/>
      <c r="AW17" s="55"/>
      <c r="AX17" s="55"/>
      <c r="AZ17" s="100">
        <v>3</v>
      </c>
      <c r="BA17" s="55"/>
      <c r="BB17" s="55"/>
      <c r="BC17" s="55"/>
      <c r="BD17" s="55"/>
      <c r="BF17" s="100">
        <v>3</v>
      </c>
      <c r="BG17" s="55"/>
      <c r="BH17" s="55"/>
      <c r="BI17" s="55"/>
      <c r="BJ17" s="55"/>
      <c r="BL17" s="100">
        <v>3</v>
      </c>
      <c r="BM17" s="55"/>
      <c r="BN17" s="55"/>
      <c r="BO17" s="55"/>
      <c r="BP17" s="55"/>
      <c r="BR17" s="100">
        <v>3</v>
      </c>
      <c r="BS17" s="55"/>
      <c r="BT17" s="55"/>
      <c r="BU17" s="55"/>
      <c r="BV17" s="55"/>
      <c r="BX17" s="100">
        <v>3</v>
      </c>
      <c r="BY17" s="55"/>
      <c r="BZ17" s="55"/>
      <c r="CA17" s="55"/>
      <c r="CB17" s="55"/>
      <c r="CD17" s="100">
        <v>3</v>
      </c>
      <c r="CE17" s="55"/>
      <c r="CF17" s="55"/>
      <c r="CG17" s="55"/>
      <c r="CH17" s="55"/>
      <c r="CJ17" s="100">
        <v>3</v>
      </c>
      <c r="CK17" s="55"/>
      <c r="CL17" s="55"/>
      <c r="CM17" s="55"/>
      <c r="CN17" s="55"/>
      <c r="CP17" s="100">
        <v>3</v>
      </c>
      <c r="CQ17" s="55"/>
      <c r="CR17" s="55"/>
      <c r="CS17" s="55"/>
      <c r="CT17" s="55"/>
      <c r="CV17" s="100">
        <v>3</v>
      </c>
      <c r="CW17" s="55"/>
      <c r="CX17" s="55"/>
      <c r="CY17" s="55"/>
      <c r="CZ17" s="55"/>
      <c r="DB17" s="100">
        <v>3</v>
      </c>
      <c r="DC17" s="55"/>
      <c r="DD17" s="55"/>
      <c r="DE17" s="55"/>
      <c r="DF17" s="55"/>
      <c r="DH17" s="100">
        <v>3</v>
      </c>
      <c r="DI17" s="55"/>
      <c r="DJ17" s="55"/>
      <c r="DK17" s="55"/>
      <c r="DL17" s="55"/>
      <c r="DN17" s="100">
        <v>3</v>
      </c>
      <c r="DO17" s="55"/>
      <c r="DP17" s="55"/>
      <c r="DQ17" s="55"/>
      <c r="DR17" s="55"/>
      <c r="DT17" s="100">
        <v>3</v>
      </c>
      <c r="DU17" s="55"/>
      <c r="DV17" s="55"/>
      <c r="DW17" s="55"/>
      <c r="DX17" s="55"/>
      <c r="DZ17" s="100">
        <v>3</v>
      </c>
      <c r="EA17" s="55"/>
      <c r="EB17" s="55"/>
      <c r="EC17" s="55"/>
      <c r="ED17" s="55"/>
      <c r="EF17" s="100">
        <v>3</v>
      </c>
      <c r="EG17" s="55"/>
      <c r="EH17" s="55"/>
      <c r="EI17" s="55"/>
      <c r="EJ17" s="55"/>
      <c r="EL17" s="100">
        <v>3</v>
      </c>
      <c r="EM17" s="55"/>
      <c r="EN17" s="55"/>
      <c r="EO17" s="55"/>
      <c r="EP17" s="55"/>
      <c r="ER17" s="100">
        <v>3</v>
      </c>
      <c r="ES17" s="55"/>
      <c r="ET17" s="55"/>
      <c r="EU17" s="55"/>
      <c r="EV17" s="55"/>
    </row>
    <row r="18" spans="1:152" x14ac:dyDescent="0.25">
      <c r="B18" s="56" t="s">
        <v>104</v>
      </c>
      <c r="C18" s="55" t="s">
        <v>99</v>
      </c>
      <c r="D18" s="100">
        <f>INDEX('W2'!$M$17:$R$17,MATCH('W6 - Operating cost'!$B$1,'W2'!$M$7:$R$7,0))*$E$1/'W2'!$K$17/12*POWER(1+$C$72,G$1)</f>
        <v>16604066.03773585</v>
      </c>
      <c r="E18" s="55"/>
      <c r="F18" s="55"/>
      <c r="G18" s="55"/>
      <c r="H18" s="55"/>
      <c r="J18" s="100">
        <f>INDEX('W2'!$M$17:$R$17,MATCH('W6 - Operating cost'!$B$1,'W2'!$M$7:$R$7,0))*$E$1/'W2'!$K$17/12*POWER(1+$C$72,M$1)</f>
        <v>16604066.03773585</v>
      </c>
      <c r="K18" s="55"/>
      <c r="L18" s="55"/>
      <c r="M18" s="55"/>
      <c r="N18" s="55"/>
      <c r="P18" s="100">
        <f>INDEX('W2'!$M$17:$R$17,MATCH('W6 - Operating cost'!$B$1,'W2'!$M$7:$R$7,0))*$E$1/'W2'!$K$17/12*POWER(1+$C$72,S$1)</f>
        <v>17434269.339622643</v>
      </c>
      <c r="Q18" s="55"/>
      <c r="R18" s="55"/>
      <c r="S18" s="55"/>
      <c r="T18" s="55"/>
      <c r="V18" s="100">
        <f>INDEX('W2'!$M$17:$R$17,MATCH('W6 - Operating cost'!$B$1,'W2'!$M$7:$R$7,0))*$E$1/'W2'!$K$17/12*POWER(1+$C$72,Y$1)</f>
        <v>18305982.806603774</v>
      </c>
      <c r="W18" s="55"/>
      <c r="X18" s="55"/>
      <c r="Y18" s="55"/>
      <c r="Z18" s="55"/>
      <c r="AB18" s="100">
        <f>INDEX('W2'!$M$17:$R$17,MATCH('W6 - Operating cost'!$B$1,'W2'!$M$7:$R$7,0))*$E$1/'W2'!$K$17/12*POWER(1+$C$72,AE$1)</f>
        <v>19221281.946933966</v>
      </c>
      <c r="AC18" s="55"/>
      <c r="AD18" s="55"/>
      <c r="AE18" s="55"/>
      <c r="AF18" s="55"/>
      <c r="AH18" s="100">
        <f>INDEX('W2'!$M$17:$R$17,MATCH('W6 - Operating cost'!$B$1,'W2'!$M$7:$R$7,0))*$E$1/'W2'!$K$17/12*POWER(1+$C$72,AK$1)</f>
        <v>20182346.044280659</v>
      </c>
      <c r="AI18" s="55"/>
      <c r="AJ18" s="55"/>
      <c r="AK18" s="55"/>
      <c r="AL18" s="55"/>
      <c r="AN18" s="100">
        <f>INDEX('W2'!$M$17:$R$17,MATCH('W6 - Operating cost'!$B$1,'W2'!$M$7:$R$7,0))*$E$1/'W2'!$K$17/12*POWER(1+$C$72,AQ$1)</f>
        <v>21191463.346494697</v>
      </c>
      <c r="AO18" s="55"/>
      <c r="AP18" s="55"/>
      <c r="AQ18" s="55"/>
      <c r="AR18" s="55"/>
      <c r="AT18" s="100">
        <f>INDEX('W2'!$M$17:$R$17,MATCH('W6 - Operating cost'!$B$1,'W2'!$M$7:$R$7,0))*$E$1/'W2'!$K$17/12*POWER(1+$C$72,AW$1)</f>
        <v>22251036.51381943</v>
      </c>
      <c r="AU18" s="55"/>
      <c r="AV18" s="55"/>
      <c r="AW18" s="55"/>
      <c r="AX18" s="55"/>
      <c r="AZ18" s="100">
        <f>INDEX('W2'!$M$17:$R$17,MATCH('W6 - Operating cost'!$B$1,'W2'!$M$7:$R$7,0))*$E$1/'W2'!$K$17/12*POWER(1+$C$72,BC$1)</f>
        <v>23363588.339510404</v>
      </c>
      <c r="BA18" s="55"/>
      <c r="BB18" s="55"/>
      <c r="BC18" s="55"/>
      <c r="BD18" s="55"/>
      <c r="BF18" s="100">
        <f>INDEX('W2'!$M$17:$R$17,MATCH('W6 - Operating cost'!$B$1,'W2'!$M$7:$R$7,0))*$E$1/'W2'!$K$17/12*POWER(1+$C$72,BI$1)</f>
        <v>24531767.75648592</v>
      </c>
      <c r="BG18" s="55"/>
      <c r="BH18" s="55"/>
      <c r="BI18" s="55"/>
      <c r="BJ18" s="55"/>
      <c r="BL18" s="100">
        <f>INDEX('W2'!$M$17:$R$17,MATCH('W6 - Operating cost'!$B$1,'W2'!$M$7:$R$7,0))*$E$1/'W2'!$K$17/12*POWER(1+$C$72,BO$1)</f>
        <v>25758356.144310217</v>
      </c>
      <c r="BM18" s="55"/>
      <c r="BN18" s="55"/>
      <c r="BO18" s="55"/>
      <c r="BP18" s="55"/>
      <c r="BR18" s="100">
        <f>INDEX('W2'!$M$17:$R$17,MATCH('W6 - Operating cost'!$B$1,'W2'!$M$7:$R$7,0))*$E$1/'W2'!$K$17/12*POWER(1+$C$72,BU$1)</f>
        <v>27046273.951525729</v>
      </c>
      <c r="BS18" s="55"/>
      <c r="BT18" s="55"/>
      <c r="BU18" s="55"/>
      <c r="BV18" s="55"/>
      <c r="BX18" s="100">
        <f>INDEX('W2'!$M$17:$R$17,MATCH('W6 - Operating cost'!$B$1,'W2'!$M$7:$R$7,0))*$E$1/'W2'!$K$17/12*POWER(1+$C$72,CA$1)</f>
        <v>28398587.649102017</v>
      </c>
      <c r="BY18" s="55"/>
      <c r="BZ18" s="55"/>
      <c r="CA18" s="55"/>
      <c r="CB18" s="55"/>
      <c r="CD18" s="100">
        <f>INDEX('W2'!$M$17:$R$17,MATCH('W6 - Operating cost'!$B$1,'W2'!$M$7:$R$7,0))*$E$1/'W2'!$K$17/12*POWER(1+$C$72,CG$1)</f>
        <v>29818517.031557113</v>
      </c>
      <c r="CE18" s="55"/>
      <c r="CF18" s="55"/>
      <c r="CG18" s="55"/>
      <c r="CH18" s="55"/>
      <c r="CJ18" s="100">
        <f>INDEX('W2'!$M$17:$R$17,MATCH('W6 - Operating cost'!$B$1,'W2'!$M$7:$R$7,0))*$E$1/'W2'!$K$17/12*POWER(1+$C$72,CM$1)</f>
        <v>31309442.883134976</v>
      </c>
      <c r="CK18" s="55"/>
      <c r="CL18" s="55"/>
      <c r="CM18" s="55"/>
      <c r="CN18" s="55"/>
      <c r="CP18" s="100">
        <f>INDEX('W2'!$M$17:$R$17,MATCH('W6 - Operating cost'!$B$1,'W2'!$M$7:$R$7,0))*$E$1/'W2'!$K$17/12*POWER(1+$C$72,CS$1)</f>
        <v>32874915.027291719</v>
      </c>
      <c r="CQ18" s="55"/>
      <c r="CR18" s="55"/>
      <c r="CS18" s="55"/>
      <c r="CT18" s="55"/>
      <c r="CV18" s="100">
        <f>INDEX('W2'!$M$17:$R$17,MATCH('W6 - Operating cost'!$B$1,'W2'!$M$7:$R$7,0))*$E$1/'W2'!$K$17/12*POWER(1+$C$72,CY$1)</f>
        <v>34518660.778656311</v>
      </c>
      <c r="CW18" s="55"/>
      <c r="CX18" s="55"/>
      <c r="CY18" s="55"/>
      <c r="CZ18" s="55"/>
      <c r="DB18" s="100">
        <f>INDEX('W2'!$M$17:$R$17,MATCH('W6 - Operating cost'!$B$1,'W2'!$M$7:$R$7,0))*$E$1/'W2'!$K$17/12*POWER(1+$C$72,DE$1)</f>
        <v>36244593.817589127</v>
      </c>
      <c r="DC18" s="55"/>
      <c r="DD18" s="55"/>
      <c r="DE18" s="55"/>
      <c r="DF18" s="55"/>
      <c r="DH18" s="100">
        <f>INDEX('W2'!$M$17:$R$17,MATCH('W6 - Operating cost'!$B$1,'W2'!$M$7:$R$7,0))*$E$1/'W2'!$K$17/12*POWER(1+$C$72,DK$1)</f>
        <v>38056823.508468591</v>
      </c>
      <c r="DI18" s="55"/>
      <c r="DJ18" s="55"/>
      <c r="DK18" s="55"/>
      <c r="DL18" s="55"/>
      <c r="DN18" s="100">
        <f>INDEX('W2'!$M$17:$R$17,MATCH('W6 - Operating cost'!$B$1,'W2'!$M$7:$R$7,0))*$E$1/'W2'!$K$17/12*POWER(1+$C$72,DQ$1)</f>
        <v>39959664.683892019</v>
      </c>
      <c r="DO18" s="55"/>
      <c r="DP18" s="55"/>
      <c r="DQ18" s="55"/>
      <c r="DR18" s="55"/>
      <c r="DT18" s="100">
        <f>INDEX('W2'!$M$17:$R$17,MATCH('W6 - Operating cost'!$B$1,'W2'!$M$7:$R$7,0))*$E$1/'W2'!$K$17/12*POWER(1+$C$72,DW$1)</f>
        <v>41957647.918086618</v>
      </c>
      <c r="DU18" s="55"/>
      <c r="DV18" s="55"/>
      <c r="DW18" s="55"/>
      <c r="DX18" s="55"/>
      <c r="DZ18" s="100">
        <f>INDEX('W2'!$M$17:$R$17,MATCH('W6 - Operating cost'!$B$1,'W2'!$M$7:$R$7,0))*$E$1/'W2'!$K$17/12*POWER(1+$C$72,EC$1)</f>
        <v>44055530.313990951</v>
      </c>
      <c r="EA18" s="55"/>
      <c r="EB18" s="55"/>
      <c r="EC18" s="55"/>
      <c r="ED18" s="55"/>
      <c r="EF18" s="100">
        <f>INDEX('W2'!$M$17:$R$17,MATCH('W6 - Operating cost'!$B$1,'W2'!$M$7:$R$7,0))*$E$1/'W2'!$K$17/12*POWER(1+$C$72,EI$1)</f>
        <v>46258306.829690494</v>
      </c>
      <c r="EG18" s="55"/>
      <c r="EH18" s="55"/>
      <c r="EI18" s="55"/>
      <c r="EJ18" s="55"/>
      <c r="EL18" s="100">
        <f>INDEX('W2'!$M$17:$R$17,MATCH('W6 - Operating cost'!$B$1,'W2'!$M$7:$R$7,0))*$E$1/'W2'!$K$17/12*POWER(1+$C$72,EO$1)</f>
        <v>48571222.171175018</v>
      </c>
      <c r="EM18" s="55"/>
      <c r="EN18" s="55"/>
      <c r="EO18" s="55"/>
      <c r="EP18" s="55"/>
      <c r="ER18" s="100">
        <f>INDEX('W2'!$M$17:$R$17,MATCH('W6 - Operating cost'!$B$1,'W2'!$M$7:$R$7,0))*$E$1/'W2'!$K$17/12*POWER(1+$C$72,EU$1)</f>
        <v>50999783.279733777</v>
      </c>
      <c r="ES18" s="55"/>
      <c r="ET18" s="55"/>
      <c r="EU18" s="55"/>
      <c r="EV18" s="55"/>
    </row>
    <row r="19" spans="1:152" x14ac:dyDescent="0.25">
      <c r="B19" s="57" t="s">
        <v>105</v>
      </c>
      <c r="C19" s="55" t="s">
        <v>106</v>
      </c>
      <c r="D19" s="100">
        <f>'W2'!$K$17/3</f>
        <v>8.8333333333333339</v>
      </c>
      <c r="E19" s="55"/>
      <c r="F19" s="55"/>
      <c r="G19" s="55"/>
      <c r="H19" s="55"/>
      <c r="J19" s="100">
        <f>'W2'!$K$17/3</f>
        <v>8.8333333333333339</v>
      </c>
      <c r="K19" s="55"/>
      <c r="L19" s="55"/>
      <c r="M19" s="55"/>
      <c r="N19" s="55"/>
      <c r="P19" s="100">
        <f>'W2'!$K$17/3</f>
        <v>8.8333333333333339</v>
      </c>
      <c r="Q19" s="55"/>
      <c r="R19" s="55"/>
      <c r="S19" s="55"/>
      <c r="T19" s="55"/>
      <c r="V19" s="100">
        <f>'W2'!$K$17/3</f>
        <v>8.8333333333333339</v>
      </c>
      <c r="W19" s="55"/>
      <c r="X19" s="55"/>
      <c r="Y19" s="55"/>
      <c r="Z19" s="55"/>
      <c r="AB19" s="100">
        <f>'W2'!$K$17/3</f>
        <v>8.8333333333333339</v>
      </c>
      <c r="AC19" s="55"/>
      <c r="AD19" s="55"/>
      <c r="AE19" s="55"/>
      <c r="AF19" s="55"/>
      <c r="AH19" s="100">
        <f>'W2'!$K$17/3</f>
        <v>8.8333333333333339</v>
      </c>
      <c r="AI19" s="55"/>
      <c r="AJ19" s="55"/>
      <c r="AK19" s="55"/>
      <c r="AL19" s="55"/>
      <c r="AN19" s="100">
        <f>'W2'!$K$17/3</f>
        <v>8.8333333333333339</v>
      </c>
      <c r="AO19" s="55"/>
      <c r="AP19" s="55"/>
      <c r="AQ19" s="55"/>
      <c r="AR19" s="55"/>
      <c r="AT19" s="100">
        <f>'W2'!$K$17/3</f>
        <v>8.8333333333333339</v>
      </c>
      <c r="AU19" s="55"/>
      <c r="AV19" s="55"/>
      <c r="AW19" s="55"/>
      <c r="AX19" s="55"/>
      <c r="AZ19" s="100">
        <f>'W2'!$K$17/3</f>
        <v>8.8333333333333339</v>
      </c>
      <c r="BA19" s="55"/>
      <c r="BB19" s="55"/>
      <c r="BC19" s="55"/>
      <c r="BD19" s="55"/>
      <c r="BF19" s="100">
        <f>'W2'!$K$17/3</f>
        <v>8.8333333333333339</v>
      </c>
      <c r="BG19" s="55"/>
      <c r="BH19" s="55"/>
      <c r="BI19" s="55"/>
      <c r="BJ19" s="55"/>
      <c r="BL19" s="100">
        <f>'W2'!$K$17/3</f>
        <v>8.8333333333333339</v>
      </c>
      <c r="BM19" s="55"/>
      <c r="BN19" s="55"/>
      <c r="BO19" s="55"/>
      <c r="BP19" s="55"/>
      <c r="BR19" s="100">
        <f>'W2'!$K$17/3</f>
        <v>8.8333333333333339</v>
      </c>
      <c r="BS19" s="55"/>
      <c r="BT19" s="55"/>
      <c r="BU19" s="55"/>
      <c r="BV19" s="55"/>
      <c r="BX19" s="100">
        <f>'W2'!$K$17/3</f>
        <v>8.8333333333333339</v>
      </c>
      <c r="BY19" s="55"/>
      <c r="BZ19" s="55"/>
      <c r="CA19" s="55"/>
      <c r="CB19" s="55"/>
      <c r="CD19" s="100">
        <f>'W2'!$K$17/3</f>
        <v>8.8333333333333339</v>
      </c>
      <c r="CE19" s="55"/>
      <c r="CF19" s="55"/>
      <c r="CG19" s="55"/>
      <c r="CH19" s="55"/>
      <c r="CJ19" s="100">
        <f>'W2'!$K$17/3</f>
        <v>8.8333333333333339</v>
      </c>
      <c r="CK19" s="55"/>
      <c r="CL19" s="55"/>
      <c r="CM19" s="55"/>
      <c r="CN19" s="55"/>
      <c r="CP19" s="100">
        <f>'W2'!$K$17/3</f>
        <v>8.8333333333333339</v>
      </c>
      <c r="CQ19" s="55"/>
      <c r="CR19" s="55"/>
      <c r="CS19" s="55"/>
      <c r="CT19" s="55"/>
      <c r="CV19" s="100">
        <f>'W2'!$K$17/3</f>
        <v>8.8333333333333339</v>
      </c>
      <c r="CW19" s="55"/>
      <c r="CX19" s="55"/>
      <c r="CY19" s="55"/>
      <c r="CZ19" s="55"/>
      <c r="DB19" s="100">
        <f>'W2'!$K$17/3</f>
        <v>8.8333333333333339</v>
      </c>
      <c r="DC19" s="55"/>
      <c r="DD19" s="55"/>
      <c r="DE19" s="55"/>
      <c r="DF19" s="55"/>
      <c r="DH19" s="100">
        <f>'W2'!$K$17/3</f>
        <v>8.8333333333333339</v>
      </c>
      <c r="DI19" s="55"/>
      <c r="DJ19" s="55"/>
      <c r="DK19" s="55"/>
      <c r="DL19" s="55"/>
      <c r="DN19" s="100">
        <f>'W2'!$K$17/3</f>
        <v>8.8333333333333339</v>
      </c>
      <c r="DO19" s="55"/>
      <c r="DP19" s="55"/>
      <c r="DQ19" s="55"/>
      <c r="DR19" s="55"/>
      <c r="DT19" s="100">
        <f>'W2'!$K$17/3</f>
        <v>8.8333333333333339</v>
      </c>
      <c r="DU19" s="55"/>
      <c r="DV19" s="55"/>
      <c r="DW19" s="55"/>
      <c r="DX19" s="55"/>
      <c r="DZ19" s="100">
        <f>'W2'!$K$17/3</f>
        <v>8.8333333333333339</v>
      </c>
      <c r="EA19" s="55"/>
      <c r="EB19" s="55"/>
      <c r="EC19" s="55"/>
      <c r="ED19" s="55"/>
      <c r="EF19" s="100">
        <f>'W2'!$K$17/3</f>
        <v>8.8333333333333339</v>
      </c>
      <c r="EG19" s="55"/>
      <c r="EH19" s="55"/>
      <c r="EI19" s="55"/>
      <c r="EJ19" s="55"/>
      <c r="EL19" s="100">
        <f>'W2'!$K$17/3</f>
        <v>8.8333333333333339</v>
      </c>
      <c r="EM19" s="55"/>
      <c r="EN19" s="55"/>
      <c r="EO19" s="55"/>
      <c r="EP19" s="55"/>
      <c r="ER19" s="100">
        <f>'W2'!$K$17/3</f>
        <v>8.8333333333333339</v>
      </c>
      <c r="ES19" s="55"/>
      <c r="ET19" s="55"/>
      <c r="EU19" s="55"/>
      <c r="EV19" s="55"/>
    </row>
    <row r="20" spans="1:152" x14ac:dyDescent="0.25">
      <c r="B20" s="57" t="s">
        <v>107</v>
      </c>
      <c r="C20" s="58" t="s">
        <v>108</v>
      </c>
      <c r="D20" s="128">
        <v>24</v>
      </c>
      <c r="E20" s="55"/>
      <c r="F20" s="55"/>
      <c r="G20" s="55"/>
      <c r="H20" s="55"/>
      <c r="J20" s="128">
        <v>24</v>
      </c>
      <c r="K20" s="55"/>
      <c r="L20" s="55"/>
      <c r="M20" s="55"/>
      <c r="N20" s="55"/>
      <c r="P20" s="128">
        <v>24</v>
      </c>
      <c r="Q20" s="55"/>
      <c r="R20" s="55"/>
      <c r="S20" s="55"/>
      <c r="T20" s="55"/>
      <c r="V20" s="128">
        <v>24</v>
      </c>
      <c r="W20" s="55"/>
      <c r="X20" s="55"/>
      <c r="Y20" s="55"/>
      <c r="Z20" s="55"/>
      <c r="AB20" s="128">
        <v>24</v>
      </c>
      <c r="AC20" s="55"/>
      <c r="AD20" s="55"/>
      <c r="AE20" s="55"/>
      <c r="AF20" s="55"/>
      <c r="AH20" s="128">
        <v>24</v>
      </c>
      <c r="AI20" s="55"/>
      <c r="AJ20" s="55"/>
      <c r="AK20" s="55"/>
      <c r="AL20" s="55"/>
      <c r="AN20" s="128">
        <v>24</v>
      </c>
      <c r="AO20" s="55"/>
      <c r="AP20" s="55"/>
      <c r="AQ20" s="55"/>
      <c r="AR20" s="55"/>
      <c r="AT20" s="128">
        <v>24</v>
      </c>
      <c r="AU20" s="55"/>
      <c r="AV20" s="55"/>
      <c r="AW20" s="55"/>
      <c r="AX20" s="55"/>
      <c r="AZ20" s="128">
        <v>24</v>
      </c>
      <c r="BA20" s="55"/>
      <c r="BB20" s="55"/>
      <c r="BC20" s="55"/>
      <c r="BD20" s="55"/>
      <c r="BF20" s="128">
        <v>24</v>
      </c>
      <c r="BG20" s="55"/>
      <c r="BH20" s="55"/>
      <c r="BI20" s="55"/>
      <c r="BJ20" s="55"/>
      <c r="BL20" s="128">
        <v>24</v>
      </c>
      <c r="BM20" s="55"/>
      <c r="BN20" s="55"/>
      <c r="BO20" s="55"/>
      <c r="BP20" s="55"/>
      <c r="BR20" s="128">
        <v>24</v>
      </c>
      <c r="BS20" s="55"/>
      <c r="BT20" s="55"/>
      <c r="BU20" s="55"/>
      <c r="BV20" s="55"/>
      <c r="BX20" s="128">
        <v>24</v>
      </c>
      <c r="BY20" s="55"/>
      <c r="BZ20" s="55"/>
      <c r="CA20" s="55"/>
      <c r="CB20" s="55"/>
      <c r="CD20" s="128">
        <v>24</v>
      </c>
      <c r="CE20" s="55"/>
      <c r="CF20" s="55"/>
      <c r="CG20" s="55"/>
      <c r="CH20" s="55"/>
      <c r="CJ20" s="128">
        <v>24</v>
      </c>
      <c r="CK20" s="55"/>
      <c r="CL20" s="55"/>
      <c r="CM20" s="55"/>
      <c r="CN20" s="55"/>
      <c r="CP20" s="128">
        <v>24</v>
      </c>
      <c r="CQ20" s="55"/>
      <c r="CR20" s="55"/>
      <c r="CS20" s="55"/>
      <c r="CT20" s="55"/>
      <c r="CV20" s="128">
        <v>24</v>
      </c>
      <c r="CW20" s="55"/>
      <c r="CX20" s="55"/>
      <c r="CY20" s="55"/>
      <c r="CZ20" s="55"/>
      <c r="DB20" s="128">
        <v>24</v>
      </c>
      <c r="DC20" s="55"/>
      <c r="DD20" s="55"/>
      <c r="DE20" s="55"/>
      <c r="DF20" s="55"/>
      <c r="DH20" s="128">
        <v>24</v>
      </c>
      <c r="DI20" s="55"/>
      <c r="DJ20" s="55"/>
      <c r="DK20" s="55"/>
      <c r="DL20" s="55"/>
      <c r="DN20" s="128">
        <v>24</v>
      </c>
      <c r="DO20" s="55"/>
      <c r="DP20" s="55"/>
      <c r="DQ20" s="55"/>
      <c r="DR20" s="55"/>
      <c r="DT20" s="128">
        <v>24</v>
      </c>
      <c r="DU20" s="55"/>
      <c r="DV20" s="55"/>
      <c r="DW20" s="55"/>
      <c r="DX20" s="55"/>
      <c r="DZ20" s="128">
        <v>24</v>
      </c>
      <c r="EA20" s="55"/>
      <c r="EB20" s="55"/>
      <c r="EC20" s="55"/>
      <c r="ED20" s="55"/>
      <c r="EF20" s="128">
        <v>24</v>
      </c>
      <c r="EG20" s="55"/>
      <c r="EH20" s="55"/>
      <c r="EI20" s="55"/>
      <c r="EJ20" s="55"/>
      <c r="EL20" s="128">
        <v>24</v>
      </c>
      <c r="EM20" s="55"/>
      <c r="EN20" s="55"/>
      <c r="EO20" s="55"/>
      <c r="EP20" s="55"/>
      <c r="ER20" s="128">
        <v>24</v>
      </c>
      <c r="ES20" s="55"/>
      <c r="ET20" s="55"/>
      <c r="EU20" s="55"/>
      <c r="EV20" s="55"/>
    </row>
    <row r="21" spans="1:152" x14ac:dyDescent="0.25">
      <c r="B21" s="57" t="s">
        <v>109</v>
      </c>
      <c r="C21" s="58" t="s">
        <v>110</v>
      </c>
      <c r="D21" s="128">
        <f>D28*365/12</f>
        <v>26.766666666666666</v>
      </c>
      <c r="E21" s="55"/>
      <c r="F21" s="55"/>
      <c r="G21" s="55"/>
      <c r="H21" s="55"/>
      <c r="J21" s="128">
        <f>J28*365/12</f>
        <v>26.766666666666666</v>
      </c>
      <c r="K21" s="55"/>
      <c r="L21" s="55"/>
      <c r="M21" s="55"/>
      <c r="N21" s="55"/>
      <c r="P21" s="128">
        <f>P28*365/12</f>
        <v>26.766666666666666</v>
      </c>
      <c r="Q21" s="55"/>
      <c r="R21" s="55"/>
      <c r="S21" s="55"/>
      <c r="T21" s="55"/>
      <c r="V21" s="128">
        <f>V28*365/12</f>
        <v>26.766666666666666</v>
      </c>
      <c r="W21" s="55"/>
      <c r="X21" s="55"/>
      <c r="Y21" s="55"/>
      <c r="Z21" s="55"/>
      <c r="AB21" s="128">
        <f t="shared" ref="AB21" si="378">AB28*365/12</f>
        <v>26.766666666666666</v>
      </c>
      <c r="AC21" s="55"/>
      <c r="AD21" s="55"/>
      <c r="AE21" s="55"/>
      <c r="AF21" s="55"/>
      <c r="AH21" s="128">
        <f t="shared" ref="AH21" si="379">AH28*365/12</f>
        <v>26.766666666666666</v>
      </c>
      <c r="AI21" s="55"/>
      <c r="AJ21" s="55"/>
      <c r="AK21" s="55"/>
      <c r="AL21" s="55"/>
      <c r="AN21" s="128">
        <f t="shared" ref="AN21" si="380">AN28*365/12</f>
        <v>26.766666666666666</v>
      </c>
      <c r="AO21" s="55"/>
      <c r="AP21" s="55"/>
      <c r="AQ21" s="55"/>
      <c r="AR21" s="55"/>
      <c r="AT21" s="128">
        <f t="shared" ref="AT21" si="381">AT28*365/12</f>
        <v>26.766666666666666</v>
      </c>
      <c r="AU21" s="55"/>
      <c r="AV21" s="55"/>
      <c r="AW21" s="55"/>
      <c r="AX21" s="55"/>
      <c r="AZ21" s="128">
        <f t="shared" ref="AZ21" si="382">AZ28*365/12</f>
        <v>26.766666666666666</v>
      </c>
      <c r="BA21" s="55"/>
      <c r="BB21" s="55"/>
      <c r="BC21" s="55"/>
      <c r="BD21" s="55"/>
      <c r="BF21" s="128">
        <f t="shared" ref="BF21" si="383">BF28*365/12</f>
        <v>26.766666666666666</v>
      </c>
      <c r="BG21" s="55"/>
      <c r="BH21" s="55"/>
      <c r="BI21" s="55"/>
      <c r="BJ21" s="55"/>
      <c r="BL21" s="128">
        <f t="shared" ref="BL21" si="384">BL28*365/12</f>
        <v>26.766666666666666</v>
      </c>
      <c r="BM21" s="55"/>
      <c r="BN21" s="55"/>
      <c r="BO21" s="55"/>
      <c r="BP21" s="55"/>
      <c r="BR21" s="128">
        <f t="shared" ref="BR21" si="385">BR28*365/12</f>
        <v>26.766666666666666</v>
      </c>
      <c r="BS21" s="55"/>
      <c r="BT21" s="55"/>
      <c r="BU21" s="55"/>
      <c r="BV21" s="55"/>
      <c r="BX21" s="128">
        <f t="shared" ref="BX21" si="386">BX28*365/12</f>
        <v>26.766666666666666</v>
      </c>
      <c r="BY21" s="55"/>
      <c r="BZ21" s="55"/>
      <c r="CA21" s="55"/>
      <c r="CB21" s="55"/>
      <c r="CD21" s="128">
        <f t="shared" ref="CD21" si="387">CD28*365/12</f>
        <v>26.766666666666666</v>
      </c>
      <c r="CE21" s="55"/>
      <c r="CF21" s="55"/>
      <c r="CG21" s="55"/>
      <c r="CH21" s="55"/>
      <c r="CJ21" s="128">
        <f t="shared" ref="CJ21" si="388">CJ28*365/12</f>
        <v>26.766666666666666</v>
      </c>
      <c r="CK21" s="55"/>
      <c r="CL21" s="55"/>
      <c r="CM21" s="55"/>
      <c r="CN21" s="55"/>
      <c r="CP21" s="128">
        <f t="shared" ref="CP21" si="389">CP28*365/12</f>
        <v>26.766666666666666</v>
      </c>
      <c r="CQ21" s="55"/>
      <c r="CR21" s="55"/>
      <c r="CS21" s="55"/>
      <c r="CT21" s="55"/>
      <c r="CV21" s="128">
        <f t="shared" ref="CV21" si="390">CV28*365/12</f>
        <v>26.766666666666666</v>
      </c>
      <c r="CW21" s="55"/>
      <c r="CX21" s="55"/>
      <c r="CY21" s="55"/>
      <c r="CZ21" s="55"/>
      <c r="DB21" s="128">
        <f t="shared" ref="DB21" si="391">DB28*365/12</f>
        <v>26.766666666666666</v>
      </c>
      <c r="DC21" s="55"/>
      <c r="DD21" s="55"/>
      <c r="DE21" s="55"/>
      <c r="DF21" s="55"/>
      <c r="DH21" s="128">
        <f t="shared" ref="DH21" si="392">DH28*365/12</f>
        <v>26.766666666666666</v>
      </c>
      <c r="DI21" s="55"/>
      <c r="DJ21" s="55"/>
      <c r="DK21" s="55"/>
      <c r="DL21" s="55"/>
      <c r="DN21" s="128">
        <f t="shared" ref="DN21" si="393">DN28*365/12</f>
        <v>26.766666666666666</v>
      </c>
      <c r="DO21" s="55"/>
      <c r="DP21" s="55"/>
      <c r="DQ21" s="55"/>
      <c r="DR21" s="55"/>
      <c r="DT21" s="128">
        <f t="shared" ref="DT21" si="394">DT28*365/12</f>
        <v>26.766666666666666</v>
      </c>
      <c r="DU21" s="55"/>
      <c r="DV21" s="55"/>
      <c r="DW21" s="55"/>
      <c r="DX21" s="55"/>
      <c r="DZ21" s="128">
        <f t="shared" ref="DZ21" si="395">DZ28*365/12</f>
        <v>26.766666666666666</v>
      </c>
      <c r="EA21" s="55"/>
      <c r="EB21" s="55"/>
      <c r="EC21" s="55"/>
      <c r="ED21" s="55"/>
      <c r="EF21" s="128">
        <f t="shared" ref="EF21" si="396">EF28*365/12</f>
        <v>26.766666666666666</v>
      </c>
      <c r="EG21" s="55"/>
      <c r="EH21" s="55"/>
      <c r="EI21" s="55"/>
      <c r="EJ21" s="55"/>
      <c r="EL21" s="128">
        <f t="shared" ref="EL21" si="397">EL28*365/12</f>
        <v>26.766666666666666</v>
      </c>
      <c r="EM21" s="55"/>
      <c r="EN21" s="55"/>
      <c r="EO21" s="55"/>
      <c r="EP21" s="55"/>
      <c r="ER21" s="128">
        <f t="shared" ref="ER21" si="398">ER28*365/12</f>
        <v>26.766666666666666</v>
      </c>
      <c r="ES21" s="55"/>
      <c r="ET21" s="55"/>
      <c r="EU21" s="55"/>
      <c r="EV21" s="55"/>
    </row>
    <row r="22" spans="1:152" x14ac:dyDescent="0.25">
      <c r="B22" s="56"/>
      <c r="C22" s="55"/>
      <c r="D22" s="55"/>
      <c r="E22" s="55"/>
      <c r="F22" s="55"/>
      <c r="G22" s="55"/>
      <c r="H22" s="55"/>
      <c r="J22" s="55"/>
      <c r="K22" s="55"/>
      <c r="L22" s="55"/>
      <c r="M22" s="55"/>
      <c r="N22" s="55"/>
      <c r="P22" s="55"/>
      <c r="Q22" s="55"/>
      <c r="R22" s="55"/>
      <c r="S22" s="55"/>
      <c r="T22" s="55"/>
      <c r="V22" s="55"/>
      <c r="W22" s="55"/>
      <c r="X22" s="55"/>
      <c r="Y22" s="55"/>
      <c r="Z22" s="55"/>
      <c r="AB22" s="55"/>
      <c r="AC22" s="55"/>
      <c r="AD22" s="55"/>
      <c r="AE22" s="55"/>
      <c r="AF22" s="55"/>
      <c r="AH22" s="55"/>
      <c r="AI22" s="55"/>
      <c r="AJ22" s="55"/>
      <c r="AK22" s="55"/>
      <c r="AL22" s="55"/>
      <c r="AN22" s="55"/>
      <c r="AO22" s="55"/>
      <c r="AP22" s="55"/>
      <c r="AQ22" s="55"/>
      <c r="AR22" s="55"/>
      <c r="AT22" s="55"/>
      <c r="AU22" s="55"/>
      <c r="AV22" s="55"/>
      <c r="AW22" s="55"/>
      <c r="AX22" s="55"/>
      <c r="AZ22" s="55"/>
      <c r="BA22" s="55"/>
      <c r="BB22" s="55"/>
      <c r="BC22" s="55"/>
      <c r="BD22" s="55"/>
      <c r="BF22" s="55"/>
      <c r="BG22" s="55"/>
      <c r="BH22" s="55"/>
      <c r="BI22" s="55"/>
      <c r="BJ22" s="55"/>
      <c r="BL22" s="55"/>
      <c r="BM22" s="55"/>
      <c r="BN22" s="55"/>
      <c r="BO22" s="55"/>
      <c r="BP22" s="55"/>
      <c r="BR22" s="55"/>
      <c r="BS22" s="55"/>
      <c r="BT22" s="55"/>
      <c r="BU22" s="55"/>
      <c r="BV22" s="55"/>
      <c r="BX22" s="55"/>
      <c r="BY22" s="55"/>
      <c r="BZ22" s="55"/>
      <c r="CA22" s="55"/>
      <c r="CB22" s="55"/>
      <c r="CD22" s="55"/>
      <c r="CE22" s="55"/>
      <c r="CF22" s="55"/>
      <c r="CG22" s="55"/>
      <c r="CH22" s="55"/>
      <c r="CJ22" s="55"/>
      <c r="CK22" s="55"/>
      <c r="CL22" s="55"/>
      <c r="CM22" s="55"/>
      <c r="CN22" s="55"/>
      <c r="CP22" s="55"/>
      <c r="CQ22" s="55"/>
      <c r="CR22" s="55"/>
      <c r="CS22" s="55"/>
      <c r="CT22" s="55"/>
      <c r="CV22" s="55"/>
      <c r="CW22" s="55"/>
      <c r="CX22" s="55"/>
      <c r="CY22" s="55"/>
      <c r="CZ22" s="55"/>
      <c r="DB22" s="55"/>
      <c r="DC22" s="55"/>
      <c r="DD22" s="55"/>
      <c r="DE22" s="55"/>
      <c r="DF22" s="55"/>
      <c r="DH22" s="55"/>
      <c r="DI22" s="55"/>
      <c r="DJ22" s="55"/>
      <c r="DK22" s="55"/>
      <c r="DL22" s="55"/>
      <c r="DN22" s="55"/>
      <c r="DO22" s="55"/>
      <c r="DP22" s="55"/>
      <c r="DQ22" s="55"/>
      <c r="DR22" s="55"/>
      <c r="DT22" s="55"/>
      <c r="DU22" s="55"/>
      <c r="DV22" s="55"/>
      <c r="DW22" s="55"/>
      <c r="DX22" s="55"/>
      <c r="DZ22" s="55"/>
      <c r="EA22" s="55"/>
      <c r="EB22" s="55"/>
      <c r="EC22" s="55"/>
      <c r="ED22" s="55"/>
      <c r="EF22" s="55"/>
      <c r="EG22" s="55"/>
      <c r="EH22" s="55"/>
      <c r="EI22" s="55"/>
      <c r="EJ22" s="55"/>
      <c r="EL22" s="55"/>
      <c r="EM22" s="55"/>
      <c r="EN22" s="55"/>
      <c r="EO22" s="55"/>
      <c r="EP22" s="55"/>
      <c r="ER22" s="55"/>
      <c r="ES22" s="55"/>
      <c r="ET22" s="55"/>
      <c r="EU22" s="55"/>
      <c r="EV22" s="55"/>
    </row>
    <row r="23" spans="1:152" x14ac:dyDescent="0.25">
      <c r="B23" s="53" t="s">
        <v>112</v>
      </c>
      <c r="C23" s="54"/>
      <c r="D23" s="54"/>
      <c r="E23" s="54"/>
      <c r="F23" s="54"/>
      <c r="G23" s="54"/>
      <c r="H23" s="54"/>
      <c r="J23" s="54"/>
      <c r="K23" s="54"/>
      <c r="L23" s="54"/>
      <c r="M23" s="54"/>
      <c r="N23" s="54"/>
      <c r="P23" s="54"/>
      <c r="Q23" s="54"/>
      <c r="R23" s="54"/>
      <c r="S23" s="54"/>
      <c r="T23" s="54"/>
      <c r="V23" s="54"/>
      <c r="W23" s="54"/>
      <c r="X23" s="54"/>
      <c r="Y23" s="54"/>
      <c r="Z23" s="54"/>
      <c r="AB23" s="54"/>
      <c r="AC23" s="54"/>
      <c r="AD23" s="54"/>
      <c r="AE23" s="54"/>
      <c r="AF23" s="54"/>
      <c r="AH23" s="54"/>
      <c r="AI23" s="54"/>
      <c r="AJ23" s="54"/>
      <c r="AK23" s="54"/>
      <c r="AL23" s="54"/>
      <c r="AN23" s="54"/>
      <c r="AO23" s="54"/>
      <c r="AP23" s="54"/>
      <c r="AQ23" s="54"/>
      <c r="AR23" s="54"/>
      <c r="AT23" s="54"/>
      <c r="AU23" s="54"/>
      <c r="AV23" s="54"/>
      <c r="AW23" s="54"/>
      <c r="AX23" s="54"/>
      <c r="AZ23" s="54"/>
      <c r="BA23" s="54"/>
      <c r="BB23" s="54"/>
      <c r="BC23" s="54"/>
      <c r="BD23" s="54"/>
      <c r="BF23" s="54"/>
      <c r="BG23" s="54"/>
      <c r="BH23" s="54"/>
      <c r="BI23" s="54"/>
      <c r="BJ23" s="54"/>
      <c r="BL23" s="54"/>
      <c r="BM23" s="54"/>
      <c r="BN23" s="54"/>
      <c r="BO23" s="54"/>
      <c r="BP23" s="54"/>
      <c r="BR23" s="54"/>
      <c r="BS23" s="54"/>
      <c r="BT23" s="54"/>
      <c r="BU23" s="54"/>
      <c r="BV23" s="54"/>
      <c r="BX23" s="54"/>
      <c r="BY23" s="54"/>
      <c r="BZ23" s="54"/>
      <c r="CA23" s="54"/>
      <c r="CB23" s="54"/>
      <c r="CD23" s="54"/>
      <c r="CE23" s="54"/>
      <c r="CF23" s="54"/>
      <c r="CG23" s="54"/>
      <c r="CH23" s="54"/>
      <c r="CJ23" s="54"/>
      <c r="CK23" s="54"/>
      <c r="CL23" s="54"/>
      <c r="CM23" s="54"/>
      <c r="CN23" s="54"/>
      <c r="CP23" s="54"/>
      <c r="CQ23" s="54"/>
      <c r="CR23" s="54"/>
      <c r="CS23" s="54"/>
      <c r="CT23" s="54"/>
      <c r="CV23" s="54"/>
      <c r="CW23" s="54"/>
      <c r="CX23" s="54"/>
      <c r="CY23" s="54"/>
      <c r="CZ23" s="54"/>
      <c r="DB23" s="54"/>
      <c r="DC23" s="54"/>
      <c r="DD23" s="54"/>
      <c r="DE23" s="54"/>
      <c r="DF23" s="54"/>
      <c r="DH23" s="54"/>
      <c r="DI23" s="54"/>
      <c r="DJ23" s="54"/>
      <c r="DK23" s="54"/>
      <c r="DL23" s="54"/>
      <c r="DN23" s="54"/>
      <c r="DO23" s="54"/>
      <c r="DP23" s="54"/>
      <c r="DQ23" s="54"/>
      <c r="DR23" s="54"/>
      <c r="DT23" s="54"/>
      <c r="DU23" s="54"/>
      <c r="DV23" s="54"/>
      <c r="DW23" s="54"/>
      <c r="DX23" s="54"/>
      <c r="DZ23" s="54"/>
      <c r="EA23" s="54"/>
      <c r="EB23" s="54"/>
      <c r="EC23" s="54"/>
      <c r="ED23" s="54"/>
      <c r="EF23" s="54"/>
      <c r="EG23" s="54"/>
      <c r="EH23" s="54"/>
      <c r="EI23" s="54"/>
      <c r="EJ23" s="54"/>
      <c r="EL23" s="54"/>
      <c r="EM23" s="54"/>
      <c r="EN23" s="54"/>
      <c r="EO23" s="54"/>
      <c r="EP23" s="54"/>
      <c r="ER23" s="54"/>
      <c r="ES23" s="54"/>
      <c r="ET23" s="54"/>
      <c r="EU23" s="54"/>
      <c r="EV23" s="54"/>
    </row>
    <row r="24" spans="1:152" x14ac:dyDescent="0.25">
      <c r="B24" s="56" t="s">
        <v>113</v>
      </c>
      <c r="C24" s="55" t="s">
        <v>71</v>
      </c>
      <c r="D24" s="129">
        <f>INDEX('W3'!$K$24:$AJ$24,MATCH('W6 - Operating cost'!H$2,'W3'!$K$14:$AJ$14,0))</f>
        <v>0.5</v>
      </c>
      <c r="E24" s="55"/>
      <c r="F24" s="55"/>
      <c r="G24" s="136"/>
      <c r="H24" s="55"/>
      <c r="J24" s="129">
        <f>INDEX('W3'!$K$24:$AJ$24,MATCH('W6 - Operating cost'!N$2,'W3'!$K$14:$AJ$14,0))</f>
        <v>0.7</v>
      </c>
      <c r="K24" s="55"/>
      <c r="L24" s="55"/>
      <c r="M24" s="136"/>
      <c r="N24" s="55"/>
      <c r="P24" s="129">
        <f>INDEX('W3'!$K$24:$AJ$24,MATCH('W6 - Operating cost'!T$2,'W3'!$K$14:$AJ$14,0))</f>
        <v>1</v>
      </c>
      <c r="Q24" s="55"/>
      <c r="R24" s="55"/>
      <c r="S24" s="136"/>
      <c r="T24" s="55"/>
      <c r="V24" s="129">
        <f>INDEX('W3'!$K$24:$AJ$24,MATCH('W6 - Operating cost'!Z$2,'W3'!$K$14:$AJ$14,0))</f>
        <v>1</v>
      </c>
      <c r="W24" s="55"/>
      <c r="X24" s="55"/>
      <c r="Y24" s="136"/>
      <c r="Z24" s="55"/>
      <c r="AB24" s="129">
        <f>INDEX('W3'!$K$24:$AJ$24,MATCH('W6 - Operating cost'!AF$2,'W3'!$K$14:$AJ$14,0))</f>
        <v>1</v>
      </c>
      <c r="AC24" s="55"/>
      <c r="AD24" s="55"/>
      <c r="AE24" s="136"/>
      <c r="AF24" s="55"/>
      <c r="AH24" s="129">
        <f>INDEX('W3'!$K$24:$AJ$24,MATCH('W6 - Operating cost'!AL$2,'W3'!$K$14:$AJ$14,0))</f>
        <v>1</v>
      </c>
      <c r="AI24" s="55"/>
      <c r="AJ24" s="55"/>
      <c r="AK24" s="136"/>
      <c r="AL24" s="55"/>
      <c r="AN24" s="129">
        <f>INDEX('W3'!$K$24:$AJ$24,MATCH('W6 - Operating cost'!AR$2,'W3'!$K$14:$AJ$14,0))</f>
        <v>1</v>
      </c>
      <c r="AO24" s="55"/>
      <c r="AP24" s="55"/>
      <c r="AQ24" s="136"/>
      <c r="AR24" s="55"/>
      <c r="AT24" s="129">
        <f>INDEX('W3'!$K$24:$AJ$24,MATCH('W6 - Operating cost'!AX$2,'W3'!$K$14:$AJ$14,0))</f>
        <v>1</v>
      </c>
      <c r="AU24" s="55"/>
      <c r="AV24" s="55"/>
      <c r="AW24" s="136"/>
      <c r="AX24" s="55"/>
      <c r="AZ24" s="129">
        <f>INDEX('W3'!$K$24:$AJ$24,MATCH('W6 - Operating cost'!BD$2,'W3'!$K$14:$AJ$14,0))</f>
        <v>1</v>
      </c>
      <c r="BA24" s="55"/>
      <c r="BB24" s="55"/>
      <c r="BC24" s="136"/>
      <c r="BD24" s="55"/>
      <c r="BF24" s="129">
        <f>INDEX('W3'!$K$24:$AJ$24,MATCH('W6 - Operating cost'!BJ$2,'W3'!$K$14:$AJ$14,0))</f>
        <v>1</v>
      </c>
      <c r="BG24" s="55"/>
      <c r="BH24" s="55"/>
      <c r="BI24" s="136"/>
      <c r="BJ24" s="55"/>
      <c r="BL24" s="129">
        <f>INDEX('W3'!$K$24:$AJ$24,MATCH('W6 - Operating cost'!BP$2,'W3'!$K$14:$AJ$14,0))</f>
        <v>1</v>
      </c>
      <c r="BM24" s="55"/>
      <c r="BN24" s="55"/>
      <c r="BO24" s="136"/>
      <c r="BP24" s="55"/>
      <c r="BR24" s="129">
        <f>INDEX('W3'!$K$24:$AJ$24,MATCH('W6 - Operating cost'!BV$2,'W3'!$K$14:$AJ$14,0))</f>
        <v>1</v>
      </c>
      <c r="BS24" s="55"/>
      <c r="BT24" s="55"/>
      <c r="BU24" s="136"/>
      <c r="BV24" s="55"/>
      <c r="BX24" s="129">
        <f>INDEX('W3'!$K$24:$AJ$24,MATCH('W6 - Operating cost'!CB$2,'W3'!$K$14:$AJ$14,0))</f>
        <v>1</v>
      </c>
      <c r="BY24" s="55"/>
      <c r="BZ24" s="55"/>
      <c r="CA24" s="136"/>
      <c r="CB24" s="55"/>
      <c r="CD24" s="129">
        <f>INDEX('W3'!$K$24:$AJ$24,MATCH('W6 - Operating cost'!CH$2,'W3'!$K$14:$AJ$14,0))</f>
        <v>1</v>
      </c>
      <c r="CE24" s="55"/>
      <c r="CF24" s="55"/>
      <c r="CG24" s="136"/>
      <c r="CH24" s="55"/>
      <c r="CJ24" s="129">
        <f>INDEX('W3'!$K$24:$AJ$24,MATCH('W6 - Operating cost'!CN$2,'W3'!$K$14:$AJ$14,0))</f>
        <v>1</v>
      </c>
      <c r="CK24" s="55"/>
      <c r="CL24" s="55"/>
      <c r="CM24" s="136"/>
      <c r="CN24" s="55"/>
      <c r="CP24" s="129">
        <f>INDEX('W3'!$K$24:$AJ$24,MATCH('W6 - Operating cost'!CT$2,'W3'!$K$14:$AJ$14,0))</f>
        <v>1</v>
      </c>
      <c r="CQ24" s="55"/>
      <c r="CR24" s="55"/>
      <c r="CS24" s="136"/>
      <c r="CT24" s="55"/>
      <c r="CV24" s="129">
        <f>INDEX('W3'!$K$24:$AJ$24,MATCH('W6 - Operating cost'!CZ$2,'W3'!$K$14:$AJ$14,0))</f>
        <v>1</v>
      </c>
      <c r="CW24" s="55"/>
      <c r="CX24" s="55"/>
      <c r="CY24" s="136"/>
      <c r="CZ24" s="55"/>
      <c r="DB24" s="129">
        <f>INDEX('W3'!$K$24:$AJ$24,MATCH('W6 - Operating cost'!DF$2,'W3'!$K$14:$AJ$14,0))</f>
        <v>1</v>
      </c>
      <c r="DC24" s="55"/>
      <c r="DD24" s="55"/>
      <c r="DE24" s="136"/>
      <c r="DF24" s="55"/>
      <c r="DH24" s="129">
        <f>INDEX('W3'!$K$24:$AJ$24,MATCH('W6 - Operating cost'!DL$2,'W3'!$K$14:$AJ$14,0))</f>
        <v>1</v>
      </c>
      <c r="DI24" s="55"/>
      <c r="DJ24" s="55"/>
      <c r="DK24" s="136"/>
      <c r="DL24" s="55"/>
      <c r="DN24" s="129">
        <f>INDEX('W3'!$K$24:$AJ$24,MATCH('W6 - Operating cost'!DR$2,'W3'!$K$14:$AJ$14,0))</f>
        <v>1</v>
      </c>
      <c r="DO24" s="55"/>
      <c r="DP24" s="55"/>
      <c r="DQ24" s="136"/>
      <c r="DR24" s="55"/>
      <c r="DT24" s="129">
        <f>INDEX('W3'!$K$24:$AJ$24,MATCH('W6 - Operating cost'!DX$2,'W3'!$K$14:$AJ$14,0))</f>
        <v>1</v>
      </c>
      <c r="DU24" s="55"/>
      <c r="DV24" s="55"/>
      <c r="DW24" s="136"/>
      <c r="DX24" s="55"/>
      <c r="DZ24" s="129">
        <f>INDEX('W3'!$K$24:$AJ$24,MATCH('W6 - Operating cost'!ED$2,'W3'!$K$14:$AJ$14,0))</f>
        <v>1</v>
      </c>
      <c r="EA24" s="55"/>
      <c r="EB24" s="55"/>
      <c r="EC24" s="136"/>
      <c r="ED24" s="55"/>
      <c r="EF24" s="129">
        <f>INDEX('W3'!$K$24:$AJ$24,MATCH('W6 - Operating cost'!EJ$2,'W3'!$K$14:$AJ$14,0))</f>
        <v>1</v>
      </c>
      <c r="EG24" s="55"/>
      <c r="EH24" s="55"/>
      <c r="EI24" s="136"/>
      <c r="EJ24" s="55"/>
      <c r="EL24" s="129">
        <f>INDEX('W3'!$K$24:$AJ$24,MATCH('W6 - Operating cost'!EP$2,'W3'!$K$14:$AJ$14,0))</f>
        <v>1</v>
      </c>
      <c r="EM24" s="55"/>
      <c r="EN24" s="55"/>
      <c r="EO24" s="136"/>
      <c r="EP24" s="55"/>
      <c r="ER24" s="129">
        <f>INDEX('W3'!$K$24:$AJ$24,MATCH('W6 - Operating cost'!EV$2,'W3'!$K$14:$AJ$14,0))</f>
        <v>1</v>
      </c>
      <c r="ES24" s="55"/>
      <c r="ET24" s="55"/>
      <c r="EU24" s="136"/>
      <c r="EV24" s="55"/>
    </row>
    <row r="25" spans="1:152" x14ac:dyDescent="0.25">
      <c r="B25" s="56" t="s">
        <v>143</v>
      </c>
      <c r="C25" s="55" t="s">
        <v>71</v>
      </c>
      <c r="D25" s="129">
        <f>INDEX('W2'!$M$41:$R$41,MATCH('W6 - Operating cost'!$B$1,'W2'!$M$7:$R$7,0))</f>
        <v>7.0000000000000007E-2</v>
      </c>
      <c r="E25" s="55"/>
      <c r="F25" s="55"/>
      <c r="G25" s="136"/>
      <c r="H25" s="55"/>
      <c r="J25" s="129">
        <f>INDEX('W2'!$M$41:$R$41,MATCH('W6 - Operating cost'!$B$1,'W2'!$M$7:$R$7,0))</f>
        <v>7.0000000000000007E-2</v>
      </c>
      <c r="K25" s="55"/>
      <c r="L25" s="55"/>
      <c r="M25" s="136"/>
      <c r="N25" s="55"/>
      <c r="P25" s="129">
        <f>INDEX('W2'!$M$41:$R$41,MATCH('W6 - Operating cost'!$B$1,'W2'!$M$7:$R$7,0))</f>
        <v>7.0000000000000007E-2</v>
      </c>
      <c r="Q25" s="55"/>
      <c r="R25" s="55"/>
      <c r="S25" s="136"/>
      <c r="T25" s="55"/>
      <c r="V25" s="129">
        <f>INDEX('W2'!$M$41:$R$41,MATCH('W6 - Operating cost'!$B$1,'W2'!$M$7:$R$7,0))</f>
        <v>7.0000000000000007E-2</v>
      </c>
      <c r="W25" s="55"/>
      <c r="X25" s="55"/>
      <c r="Y25" s="136"/>
      <c r="Z25" s="55"/>
      <c r="AB25" s="129">
        <f>INDEX('W2'!$M$41:$R$41,MATCH('W6 - Operating cost'!$B$1,'W2'!$M$7:$R$7,0))</f>
        <v>7.0000000000000007E-2</v>
      </c>
      <c r="AC25" s="55"/>
      <c r="AD25" s="55"/>
      <c r="AE25" s="136"/>
      <c r="AF25" s="55"/>
      <c r="AH25" s="129">
        <f>INDEX('W2'!$M$41:$R$41,MATCH('W6 - Operating cost'!$B$1,'W2'!$M$7:$R$7,0))</f>
        <v>7.0000000000000007E-2</v>
      </c>
      <c r="AI25" s="55"/>
      <c r="AJ25" s="55"/>
      <c r="AK25" s="136"/>
      <c r="AL25" s="55"/>
      <c r="AN25" s="129">
        <f>INDEX('W2'!$M$41:$R$41,MATCH('W6 - Operating cost'!$B$1,'W2'!$M$7:$R$7,0))</f>
        <v>7.0000000000000007E-2</v>
      </c>
      <c r="AO25" s="55"/>
      <c r="AP25" s="55"/>
      <c r="AQ25" s="136"/>
      <c r="AR25" s="55"/>
      <c r="AT25" s="129">
        <f>INDEX('W2'!$M$41:$R$41,MATCH('W6 - Operating cost'!$B$1,'W2'!$M$7:$R$7,0))</f>
        <v>7.0000000000000007E-2</v>
      </c>
      <c r="AU25" s="55"/>
      <c r="AV25" s="55"/>
      <c r="AW25" s="136"/>
      <c r="AX25" s="55"/>
      <c r="AZ25" s="129">
        <f>INDEX('W2'!$M$41:$R$41,MATCH('W6 - Operating cost'!$B$1,'W2'!$M$7:$R$7,0))</f>
        <v>7.0000000000000007E-2</v>
      </c>
      <c r="BA25" s="55"/>
      <c r="BB25" s="55"/>
      <c r="BC25" s="136"/>
      <c r="BD25" s="55"/>
      <c r="BF25" s="129">
        <f>INDEX('W2'!$M$41:$R$41,MATCH('W6 - Operating cost'!$B$1,'W2'!$M$7:$R$7,0))</f>
        <v>7.0000000000000007E-2</v>
      </c>
      <c r="BG25" s="55"/>
      <c r="BH25" s="55"/>
      <c r="BI25" s="136"/>
      <c r="BJ25" s="55"/>
      <c r="BL25" s="129">
        <f>INDEX('W2'!$M$41:$R$41,MATCH('W6 - Operating cost'!$B$1,'W2'!$M$7:$R$7,0))</f>
        <v>7.0000000000000007E-2</v>
      </c>
      <c r="BM25" s="55"/>
      <c r="BN25" s="55"/>
      <c r="BO25" s="136"/>
      <c r="BP25" s="55"/>
      <c r="BR25" s="129">
        <f>INDEX('W2'!$M$41:$R$41,MATCH('W6 - Operating cost'!$B$1,'W2'!$M$7:$R$7,0))</f>
        <v>7.0000000000000007E-2</v>
      </c>
      <c r="BS25" s="55"/>
      <c r="BT25" s="55"/>
      <c r="BU25" s="136"/>
      <c r="BV25" s="55"/>
      <c r="BX25" s="129">
        <f>INDEX('W2'!$M$41:$R$41,MATCH('W6 - Operating cost'!$B$1,'W2'!$M$7:$R$7,0))</f>
        <v>7.0000000000000007E-2</v>
      </c>
      <c r="BY25" s="55"/>
      <c r="BZ25" s="55"/>
      <c r="CA25" s="136"/>
      <c r="CB25" s="55"/>
      <c r="CD25" s="129">
        <f>INDEX('W2'!$M$41:$R$41,MATCH('W6 - Operating cost'!$B$1,'W2'!$M$7:$R$7,0))</f>
        <v>7.0000000000000007E-2</v>
      </c>
      <c r="CE25" s="55"/>
      <c r="CF25" s="55"/>
      <c r="CG25" s="136"/>
      <c r="CH25" s="55"/>
      <c r="CJ25" s="129">
        <f>INDEX('W2'!$M$41:$R$41,MATCH('W6 - Operating cost'!$B$1,'W2'!$M$7:$R$7,0))</f>
        <v>7.0000000000000007E-2</v>
      </c>
      <c r="CK25" s="55"/>
      <c r="CL25" s="55"/>
      <c r="CM25" s="136"/>
      <c r="CN25" s="55"/>
      <c r="CP25" s="129">
        <f>INDEX('W2'!$M$41:$R$41,MATCH('W6 - Operating cost'!$B$1,'W2'!$M$7:$R$7,0))</f>
        <v>7.0000000000000007E-2</v>
      </c>
      <c r="CQ25" s="55"/>
      <c r="CR25" s="55"/>
      <c r="CS25" s="136"/>
      <c r="CT25" s="55"/>
      <c r="CV25" s="129">
        <f>INDEX('W2'!$M$41:$R$41,MATCH('W6 - Operating cost'!$B$1,'W2'!$M$7:$R$7,0))</f>
        <v>7.0000000000000007E-2</v>
      </c>
      <c r="CW25" s="55"/>
      <c r="CX25" s="55"/>
      <c r="CY25" s="136"/>
      <c r="CZ25" s="55"/>
      <c r="DB25" s="129">
        <f>INDEX('W2'!$M$41:$R$41,MATCH('W6 - Operating cost'!$B$1,'W2'!$M$7:$R$7,0))</f>
        <v>7.0000000000000007E-2</v>
      </c>
      <c r="DC25" s="55"/>
      <c r="DD25" s="55"/>
      <c r="DE25" s="136"/>
      <c r="DF25" s="55"/>
      <c r="DH25" s="129">
        <f>INDEX('W2'!$M$41:$R$41,MATCH('W6 - Operating cost'!$B$1,'W2'!$M$7:$R$7,0))</f>
        <v>7.0000000000000007E-2</v>
      </c>
      <c r="DI25" s="55"/>
      <c r="DJ25" s="55"/>
      <c r="DK25" s="136"/>
      <c r="DL25" s="55"/>
      <c r="DN25" s="129">
        <f>INDEX('W2'!$M$41:$R$41,MATCH('W6 - Operating cost'!$B$1,'W2'!$M$7:$R$7,0))</f>
        <v>7.0000000000000007E-2</v>
      </c>
      <c r="DO25" s="55"/>
      <c r="DP25" s="55"/>
      <c r="DQ25" s="136"/>
      <c r="DR25" s="55"/>
      <c r="DT25" s="129">
        <f>INDEX('W2'!$M$41:$R$41,MATCH('W6 - Operating cost'!$B$1,'W2'!$M$7:$R$7,0))</f>
        <v>7.0000000000000007E-2</v>
      </c>
      <c r="DU25" s="55"/>
      <c r="DV25" s="55"/>
      <c r="DW25" s="136"/>
      <c r="DX25" s="55"/>
      <c r="DZ25" s="129">
        <f>INDEX('W2'!$M$41:$R$41,MATCH('W6 - Operating cost'!$B$1,'W2'!$M$7:$R$7,0))</f>
        <v>7.0000000000000007E-2</v>
      </c>
      <c r="EA25" s="55"/>
      <c r="EB25" s="55"/>
      <c r="EC25" s="136"/>
      <c r="ED25" s="55"/>
      <c r="EF25" s="129">
        <f>INDEX('W2'!$M$41:$R$41,MATCH('W6 - Operating cost'!$B$1,'W2'!$M$7:$R$7,0))</f>
        <v>7.0000000000000007E-2</v>
      </c>
      <c r="EG25" s="55"/>
      <c r="EH25" s="55"/>
      <c r="EI25" s="136"/>
      <c r="EJ25" s="55"/>
      <c r="EL25" s="129">
        <f>INDEX('W2'!$M$41:$R$41,MATCH('W6 - Operating cost'!$B$1,'W2'!$M$7:$R$7,0))</f>
        <v>7.0000000000000007E-2</v>
      </c>
      <c r="EM25" s="55"/>
      <c r="EN25" s="55"/>
      <c r="EO25" s="136"/>
      <c r="EP25" s="55"/>
      <c r="ER25" s="129">
        <f>INDEX('W2'!$M$41:$R$41,MATCH('W6 - Operating cost'!$B$1,'W2'!$M$7:$R$7,0))</f>
        <v>7.0000000000000007E-2</v>
      </c>
      <c r="ES25" s="55"/>
      <c r="ET25" s="55"/>
      <c r="EU25" s="136"/>
      <c r="EV25" s="55"/>
    </row>
    <row r="26" spans="1:152" x14ac:dyDescent="0.25">
      <c r="B26" s="56" t="s">
        <v>114</v>
      </c>
      <c r="C26" s="55" t="s">
        <v>115</v>
      </c>
      <c r="D26" s="55">
        <f>'Cover Page'!$F$26</f>
        <v>128</v>
      </c>
      <c r="E26" s="55"/>
      <c r="F26" s="55"/>
      <c r="G26" s="136"/>
      <c r="H26" s="55"/>
      <c r="J26" s="55">
        <f>'Cover Page'!$F$26</f>
        <v>128</v>
      </c>
      <c r="K26" s="55"/>
      <c r="L26" s="55"/>
      <c r="M26" s="136"/>
      <c r="N26" s="55"/>
      <c r="P26" s="55">
        <f>'Cover Page'!$F$26</f>
        <v>128</v>
      </c>
      <c r="Q26" s="55"/>
      <c r="R26" s="55"/>
      <c r="S26" s="136"/>
      <c r="T26" s="55"/>
      <c r="V26" s="55">
        <f>'Cover Page'!$F$26</f>
        <v>128</v>
      </c>
      <c r="W26" s="55"/>
      <c r="X26" s="55"/>
      <c r="Y26" s="136"/>
      <c r="Z26" s="55"/>
      <c r="AB26" s="55">
        <f>'Cover Page'!$F$26</f>
        <v>128</v>
      </c>
      <c r="AC26" s="55"/>
      <c r="AD26" s="55"/>
      <c r="AE26" s="136"/>
      <c r="AF26" s="55"/>
      <c r="AH26" s="55">
        <f>'Cover Page'!$F$26</f>
        <v>128</v>
      </c>
      <c r="AI26" s="55"/>
      <c r="AJ26" s="55"/>
      <c r="AK26" s="136"/>
      <c r="AL26" s="55"/>
      <c r="AN26" s="55">
        <f>'Cover Page'!$F$26</f>
        <v>128</v>
      </c>
      <c r="AO26" s="55"/>
      <c r="AP26" s="55"/>
      <c r="AQ26" s="136"/>
      <c r="AR26" s="55"/>
      <c r="AT26" s="55">
        <f>'Cover Page'!$F$26</f>
        <v>128</v>
      </c>
      <c r="AU26" s="55"/>
      <c r="AV26" s="55"/>
      <c r="AW26" s="136"/>
      <c r="AX26" s="55"/>
      <c r="AZ26" s="55">
        <f>'Cover Page'!$F$26</f>
        <v>128</v>
      </c>
      <c r="BA26" s="55"/>
      <c r="BB26" s="55"/>
      <c r="BC26" s="136"/>
      <c r="BD26" s="55"/>
      <c r="BF26" s="55">
        <f>'Cover Page'!$F$26</f>
        <v>128</v>
      </c>
      <c r="BG26" s="55"/>
      <c r="BH26" s="55"/>
      <c r="BI26" s="136"/>
      <c r="BJ26" s="55"/>
      <c r="BL26" s="55">
        <f>'Cover Page'!$F$26</f>
        <v>128</v>
      </c>
      <c r="BM26" s="55"/>
      <c r="BN26" s="55"/>
      <c r="BO26" s="136"/>
      <c r="BP26" s="55"/>
      <c r="BR26" s="55">
        <f>'Cover Page'!$F$26</f>
        <v>128</v>
      </c>
      <c r="BS26" s="55"/>
      <c r="BT26" s="55"/>
      <c r="BU26" s="136"/>
      <c r="BV26" s="55"/>
      <c r="BX26" s="55">
        <f>'Cover Page'!$F$26</f>
        <v>128</v>
      </c>
      <c r="BY26" s="55"/>
      <c r="BZ26" s="55"/>
      <c r="CA26" s="136"/>
      <c r="CB26" s="55"/>
      <c r="CD26" s="55">
        <f>'Cover Page'!$F$26</f>
        <v>128</v>
      </c>
      <c r="CE26" s="55"/>
      <c r="CF26" s="55"/>
      <c r="CG26" s="136"/>
      <c r="CH26" s="55"/>
      <c r="CJ26" s="55">
        <f>'Cover Page'!$F$26</f>
        <v>128</v>
      </c>
      <c r="CK26" s="55"/>
      <c r="CL26" s="55"/>
      <c r="CM26" s="136"/>
      <c r="CN26" s="55"/>
      <c r="CP26" s="55">
        <f>'Cover Page'!$F$26</f>
        <v>128</v>
      </c>
      <c r="CQ26" s="55"/>
      <c r="CR26" s="55"/>
      <c r="CS26" s="136"/>
      <c r="CT26" s="55"/>
      <c r="CV26" s="55">
        <f>'Cover Page'!$F$26</f>
        <v>128</v>
      </c>
      <c r="CW26" s="55"/>
      <c r="CX26" s="55"/>
      <c r="CY26" s="136"/>
      <c r="CZ26" s="55"/>
      <c r="DB26" s="55">
        <f>'Cover Page'!$F$26</f>
        <v>128</v>
      </c>
      <c r="DC26" s="55"/>
      <c r="DD26" s="55"/>
      <c r="DE26" s="136"/>
      <c r="DF26" s="55"/>
      <c r="DH26" s="55">
        <f>'Cover Page'!$F$26</f>
        <v>128</v>
      </c>
      <c r="DI26" s="55"/>
      <c r="DJ26" s="55"/>
      <c r="DK26" s="136"/>
      <c r="DL26" s="55"/>
      <c r="DN26" s="55">
        <f>'Cover Page'!$F$26</f>
        <v>128</v>
      </c>
      <c r="DO26" s="55"/>
      <c r="DP26" s="55"/>
      <c r="DQ26" s="136"/>
      <c r="DR26" s="55"/>
      <c r="DT26" s="55">
        <f>'Cover Page'!$F$26</f>
        <v>128</v>
      </c>
      <c r="DU26" s="55"/>
      <c r="DV26" s="55"/>
      <c r="DW26" s="136"/>
      <c r="DX26" s="55"/>
      <c r="DZ26" s="55">
        <f>'Cover Page'!$F$26</f>
        <v>128</v>
      </c>
      <c r="EA26" s="55"/>
      <c r="EB26" s="55"/>
      <c r="EC26" s="136"/>
      <c r="ED26" s="55"/>
      <c r="EF26" s="55">
        <f>'Cover Page'!$F$26</f>
        <v>128</v>
      </c>
      <c r="EG26" s="55"/>
      <c r="EH26" s="55"/>
      <c r="EI26" s="136"/>
      <c r="EJ26" s="55"/>
      <c r="EL26" s="55">
        <f>'Cover Page'!$F$26</f>
        <v>128</v>
      </c>
      <c r="EM26" s="55"/>
      <c r="EN26" s="55"/>
      <c r="EO26" s="136"/>
      <c r="EP26" s="55"/>
      <c r="ER26" s="55">
        <f>'Cover Page'!$F$26</f>
        <v>128</v>
      </c>
      <c r="ES26" s="55"/>
      <c r="ET26" s="55"/>
      <c r="EU26" s="136"/>
      <c r="EV26" s="55"/>
    </row>
    <row r="27" spans="1:152" x14ac:dyDescent="0.25">
      <c r="B27" s="56" t="s">
        <v>116</v>
      </c>
      <c r="C27" s="55" t="s">
        <v>117</v>
      </c>
      <c r="D27" s="55">
        <f>'Cover Page'!$F$27</f>
        <v>8</v>
      </c>
      <c r="E27" s="55"/>
      <c r="F27" s="55"/>
      <c r="G27" s="55"/>
      <c r="H27" s="55"/>
      <c r="J27" s="55">
        <f>'Cover Page'!$F$27</f>
        <v>8</v>
      </c>
      <c r="K27" s="55"/>
      <c r="L27" s="55"/>
      <c r="M27" s="55"/>
      <c r="N27" s="55"/>
      <c r="P27" s="55">
        <f>'Cover Page'!$F$27</f>
        <v>8</v>
      </c>
      <c r="Q27" s="55"/>
      <c r="R27" s="55"/>
      <c r="S27" s="55"/>
      <c r="T27" s="55"/>
      <c r="V27" s="55">
        <f>'Cover Page'!$F$27</f>
        <v>8</v>
      </c>
      <c r="W27" s="55"/>
      <c r="X27" s="55"/>
      <c r="Y27" s="55"/>
      <c r="Z27" s="55"/>
      <c r="AB27" s="55">
        <f>'Cover Page'!$F$27</f>
        <v>8</v>
      </c>
      <c r="AC27" s="55"/>
      <c r="AD27" s="55"/>
      <c r="AE27" s="55"/>
      <c r="AF27" s="55"/>
      <c r="AH27" s="55">
        <f>'Cover Page'!$F$27</f>
        <v>8</v>
      </c>
      <c r="AI27" s="55"/>
      <c r="AJ27" s="55"/>
      <c r="AK27" s="55"/>
      <c r="AL27" s="55"/>
      <c r="AN27" s="55">
        <f>'Cover Page'!$F$27</f>
        <v>8</v>
      </c>
      <c r="AO27" s="55"/>
      <c r="AP27" s="55"/>
      <c r="AQ27" s="55"/>
      <c r="AR27" s="55"/>
      <c r="AT27" s="55">
        <f>'Cover Page'!$F$27</f>
        <v>8</v>
      </c>
      <c r="AU27" s="55"/>
      <c r="AV27" s="55"/>
      <c r="AW27" s="55"/>
      <c r="AX27" s="55"/>
      <c r="AZ27" s="55">
        <f>'Cover Page'!$F$27</f>
        <v>8</v>
      </c>
      <c r="BA27" s="55"/>
      <c r="BB27" s="55"/>
      <c r="BC27" s="55"/>
      <c r="BD27" s="55"/>
      <c r="BF27" s="55">
        <f>'Cover Page'!$F$27</f>
        <v>8</v>
      </c>
      <c r="BG27" s="55"/>
      <c r="BH27" s="55"/>
      <c r="BI27" s="55"/>
      <c r="BJ27" s="55"/>
      <c r="BL27" s="55">
        <f>'Cover Page'!$F$27</f>
        <v>8</v>
      </c>
      <c r="BM27" s="55"/>
      <c r="BN27" s="55"/>
      <c r="BO27" s="55"/>
      <c r="BP27" s="55"/>
      <c r="BR27" s="55">
        <f>'Cover Page'!$F$27</f>
        <v>8</v>
      </c>
      <c r="BS27" s="55"/>
      <c r="BT27" s="55"/>
      <c r="BU27" s="55"/>
      <c r="BV27" s="55"/>
      <c r="BX27" s="55">
        <f>'Cover Page'!$F$27</f>
        <v>8</v>
      </c>
      <c r="BY27" s="55"/>
      <c r="BZ27" s="55"/>
      <c r="CA27" s="55"/>
      <c r="CB27" s="55"/>
      <c r="CD27" s="55">
        <f>'Cover Page'!$F$27</f>
        <v>8</v>
      </c>
      <c r="CE27" s="55"/>
      <c r="CF27" s="55"/>
      <c r="CG27" s="55"/>
      <c r="CH27" s="55"/>
      <c r="CJ27" s="55">
        <f>'Cover Page'!$F$27</f>
        <v>8</v>
      </c>
      <c r="CK27" s="55"/>
      <c r="CL27" s="55"/>
      <c r="CM27" s="55"/>
      <c r="CN27" s="55"/>
      <c r="CP27" s="55">
        <f>'Cover Page'!$F$27</f>
        <v>8</v>
      </c>
      <c r="CQ27" s="55"/>
      <c r="CR27" s="55"/>
      <c r="CS27" s="55"/>
      <c r="CT27" s="55"/>
      <c r="CV27" s="55">
        <f>'Cover Page'!$F$27</f>
        <v>8</v>
      </c>
      <c r="CW27" s="55"/>
      <c r="CX27" s="55"/>
      <c r="CY27" s="55"/>
      <c r="CZ27" s="55"/>
      <c r="DB27" s="55">
        <f>'Cover Page'!$F$27</f>
        <v>8</v>
      </c>
      <c r="DC27" s="55"/>
      <c r="DD27" s="55"/>
      <c r="DE27" s="55"/>
      <c r="DF27" s="55"/>
      <c r="DH27" s="55">
        <f>'Cover Page'!$F$27</f>
        <v>8</v>
      </c>
      <c r="DI27" s="55"/>
      <c r="DJ27" s="55"/>
      <c r="DK27" s="55"/>
      <c r="DL27" s="55"/>
      <c r="DN27" s="55">
        <f>'Cover Page'!$F$27</f>
        <v>8</v>
      </c>
      <c r="DO27" s="55"/>
      <c r="DP27" s="55"/>
      <c r="DQ27" s="55"/>
      <c r="DR27" s="55"/>
      <c r="DT27" s="55">
        <f>'Cover Page'!$F$27</f>
        <v>8</v>
      </c>
      <c r="DU27" s="55"/>
      <c r="DV27" s="55"/>
      <c r="DW27" s="55"/>
      <c r="DX27" s="55"/>
      <c r="DZ27" s="55">
        <f>'Cover Page'!$F$27</f>
        <v>8</v>
      </c>
      <c r="EA27" s="55"/>
      <c r="EB27" s="55"/>
      <c r="EC27" s="55"/>
      <c r="ED27" s="55"/>
      <c r="EF27" s="55">
        <f>'Cover Page'!$F$27</f>
        <v>8</v>
      </c>
      <c r="EG27" s="55"/>
      <c r="EH27" s="55"/>
      <c r="EI27" s="55"/>
      <c r="EJ27" s="55"/>
      <c r="EL27" s="55">
        <f>'Cover Page'!$F$27</f>
        <v>8</v>
      </c>
      <c r="EM27" s="55"/>
      <c r="EN27" s="55"/>
      <c r="EO27" s="55"/>
      <c r="EP27" s="55"/>
      <c r="ER27" s="55">
        <f>'Cover Page'!$F$27</f>
        <v>8</v>
      </c>
      <c r="ES27" s="55"/>
      <c r="ET27" s="55"/>
      <c r="EU27" s="55"/>
      <c r="EV27" s="55"/>
    </row>
    <row r="28" spans="1:152" x14ac:dyDescent="0.25">
      <c r="B28" s="56" t="s">
        <v>118</v>
      </c>
      <c r="C28" s="55" t="s">
        <v>71</v>
      </c>
      <c r="D28" s="129">
        <f>'W3'!$L$23</f>
        <v>0.88</v>
      </c>
      <c r="E28" s="55"/>
      <c r="F28" s="55"/>
      <c r="G28" s="55"/>
      <c r="H28" s="55"/>
      <c r="J28" s="129">
        <f>'W3'!$L$23</f>
        <v>0.88</v>
      </c>
      <c r="K28" s="55"/>
      <c r="L28" s="55"/>
      <c r="M28" s="55"/>
      <c r="N28" s="55"/>
      <c r="P28" s="129">
        <f>'W3'!$L$23</f>
        <v>0.88</v>
      </c>
      <c r="Q28" s="55"/>
      <c r="R28" s="55"/>
      <c r="S28" s="55"/>
      <c r="T28" s="55"/>
      <c r="V28" s="129">
        <f>'W3'!$L$23</f>
        <v>0.88</v>
      </c>
      <c r="W28" s="55"/>
      <c r="X28" s="55"/>
      <c r="Y28" s="55"/>
      <c r="Z28" s="55"/>
      <c r="AB28" s="129">
        <f>'W3'!$L$23</f>
        <v>0.88</v>
      </c>
      <c r="AC28" s="55"/>
      <c r="AD28" s="55"/>
      <c r="AE28" s="55"/>
      <c r="AF28" s="55"/>
      <c r="AH28" s="129">
        <f>'W3'!$L$23</f>
        <v>0.88</v>
      </c>
      <c r="AI28" s="55"/>
      <c r="AJ28" s="55"/>
      <c r="AK28" s="55"/>
      <c r="AL28" s="55"/>
      <c r="AN28" s="129">
        <f>'W3'!$L$23</f>
        <v>0.88</v>
      </c>
      <c r="AO28" s="55"/>
      <c r="AP28" s="55"/>
      <c r="AQ28" s="55"/>
      <c r="AR28" s="55"/>
      <c r="AT28" s="129">
        <f>'W3'!$L$23</f>
        <v>0.88</v>
      </c>
      <c r="AU28" s="55"/>
      <c r="AV28" s="55"/>
      <c r="AW28" s="55"/>
      <c r="AX28" s="55"/>
      <c r="AZ28" s="129">
        <f>'W3'!$L$23</f>
        <v>0.88</v>
      </c>
      <c r="BA28" s="55"/>
      <c r="BB28" s="55"/>
      <c r="BC28" s="55"/>
      <c r="BD28" s="55"/>
      <c r="BF28" s="129">
        <f>'W3'!$L$23</f>
        <v>0.88</v>
      </c>
      <c r="BG28" s="55"/>
      <c r="BH28" s="55"/>
      <c r="BI28" s="55"/>
      <c r="BJ28" s="55"/>
      <c r="BL28" s="129">
        <f>'W3'!$L$23</f>
        <v>0.88</v>
      </c>
      <c r="BM28" s="55"/>
      <c r="BN28" s="55"/>
      <c r="BO28" s="55"/>
      <c r="BP28" s="55"/>
      <c r="BR28" s="129">
        <f>'W3'!$L$23</f>
        <v>0.88</v>
      </c>
      <c r="BS28" s="55"/>
      <c r="BT28" s="55"/>
      <c r="BU28" s="55"/>
      <c r="BV28" s="55"/>
      <c r="BX28" s="129">
        <f>'W3'!$L$23</f>
        <v>0.88</v>
      </c>
      <c r="BY28" s="55"/>
      <c r="BZ28" s="55"/>
      <c r="CA28" s="55"/>
      <c r="CB28" s="55"/>
      <c r="CD28" s="129">
        <f>'W3'!$L$23</f>
        <v>0.88</v>
      </c>
      <c r="CE28" s="55"/>
      <c r="CF28" s="55"/>
      <c r="CG28" s="55"/>
      <c r="CH28" s="55"/>
      <c r="CJ28" s="129">
        <f>'W3'!$L$23</f>
        <v>0.88</v>
      </c>
      <c r="CK28" s="55"/>
      <c r="CL28" s="55"/>
      <c r="CM28" s="55"/>
      <c r="CN28" s="55"/>
      <c r="CP28" s="129">
        <f>'W3'!$L$23</f>
        <v>0.88</v>
      </c>
      <c r="CQ28" s="55"/>
      <c r="CR28" s="55"/>
      <c r="CS28" s="55"/>
      <c r="CT28" s="55"/>
      <c r="CV28" s="129">
        <f>'W3'!$L$23</f>
        <v>0.88</v>
      </c>
      <c r="CW28" s="55"/>
      <c r="CX28" s="55"/>
      <c r="CY28" s="55"/>
      <c r="CZ28" s="55"/>
      <c r="DB28" s="129">
        <f>'W3'!$L$23</f>
        <v>0.88</v>
      </c>
      <c r="DC28" s="55"/>
      <c r="DD28" s="55"/>
      <c r="DE28" s="55"/>
      <c r="DF28" s="55"/>
      <c r="DH28" s="129">
        <f>'W3'!$L$23</f>
        <v>0.88</v>
      </c>
      <c r="DI28" s="55"/>
      <c r="DJ28" s="55"/>
      <c r="DK28" s="55"/>
      <c r="DL28" s="55"/>
      <c r="DN28" s="129">
        <f>'W3'!$L$23</f>
        <v>0.88</v>
      </c>
      <c r="DO28" s="55"/>
      <c r="DP28" s="55"/>
      <c r="DQ28" s="55"/>
      <c r="DR28" s="55"/>
      <c r="DT28" s="129">
        <f>'W3'!$L$23</f>
        <v>0.88</v>
      </c>
      <c r="DU28" s="55"/>
      <c r="DV28" s="55"/>
      <c r="DW28" s="55"/>
      <c r="DX28" s="55"/>
      <c r="DZ28" s="129">
        <f>'W3'!$L$23</f>
        <v>0.88</v>
      </c>
      <c r="EA28" s="55"/>
      <c r="EB28" s="55"/>
      <c r="EC28" s="55"/>
      <c r="ED28" s="55"/>
      <c r="EF28" s="129">
        <f>'W3'!$L$23</f>
        <v>0.88</v>
      </c>
      <c r="EG28" s="55"/>
      <c r="EH28" s="55"/>
      <c r="EI28" s="55"/>
      <c r="EJ28" s="55"/>
      <c r="EL28" s="129">
        <f>'W3'!$L$23</f>
        <v>0.88</v>
      </c>
      <c r="EM28" s="55"/>
      <c r="EN28" s="55"/>
      <c r="EO28" s="55"/>
      <c r="EP28" s="55"/>
      <c r="ER28" s="129">
        <f>'W3'!$L$23</f>
        <v>0.88</v>
      </c>
      <c r="ES28" s="55"/>
      <c r="ET28" s="55"/>
      <c r="EU28" s="55"/>
      <c r="EV28" s="55"/>
    </row>
    <row r="29" spans="1:152" x14ac:dyDescent="0.25">
      <c r="B29" s="56" t="s">
        <v>119</v>
      </c>
      <c r="C29" s="55" t="s">
        <v>120</v>
      </c>
      <c r="D29" s="100">
        <f>60*60/D27*D26*(1-D25)</f>
        <v>53568</v>
      </c>
      <c r="E29" s="55"/>
      <c r="F29" s="55"/>
      <c r="G29" s="55"/>
      <c r="H29" s="55"/>
      <c r="J29" s="100">
        <f>60*60/J27*J26*(1-J25)</f>
        <v>53568</v>
      </c>
      <c r="K29" s="55"/>
      <c r="L29" s="55"/>
      <c r="M29" s="55"/>
      <c r="N29" s="55"/>
      <c r="P29" s="100">
        <f>60*60/P27*P26*(1-P25)</f>
        <v>53568</v>
      </c>
      <c r="Q29" s="55"/>
      <c r="R29" s="55"/>
      <c r="S29" s="55"/>
      <c r="T29" s="55"/>
      <c r="V29" s="100">
        <f>60*60/V27*V26*(1-V25)</f>
        <v>53568</v>
      </c>
      <c r="W29" s="55"/>
      <c r="X29" s="55"/>
      <c r="Y29" s="55"/>
      <c r="Z29" s="55"/>
      <c r="AB29" s="100">
        <f t="shared" ref="AB29" si="399">60*60/AB27*AB26*(1-AB25)</f>
        <v>53568</v>
      </c>
      <c r="AC29" s="55"/>
      <c r="AD29" s="55"/>
      <c r="AE29" s="55"/>
      <c r="AF29" s="55"/>
      <c r="AH29" s="100">
        <f t="shared" ref="AH29" si="400">60*60/AH27*AH26*(1-AH25)</f>
        <v>53568</v>
      </c>
      <c r="AI29" s="55"/>
      <c r="AJ29" s="55"/>
      <c r="AK29" s="55"/>
      <c r="AL29" s="55"/>
      <c r="AN29" s="100">
        <f t="shared" ref="AN29" si="401">60*60/AN27*AN26*(1-AN25)</f>
        <v>53568</v>
      </c>
      <c r="AO29" s="55"/>
      <c r="AP29" s="55"/>
      <c r="AQ29" s="55"/>
      <c r="AR29" s="55"/>
      <c r="AT29" s="100">
        <f t="shared" ref="AT29" si="402">60*60/AT27*AT26*(1-AT25)</f>
        <v>53568</v>
      </c>
      <c r="AU29" s="55"/>
      <c r="AV29" s="55"/>
      <c r="AW29" s="55"/>
      <c r="AX29" s="55"/>
      <c r="AZ29" s="100">
        <f t="shared" ref="AZ29" si="403">60*60/AZ27*AZ26*(1-AZ25)</f>
        <v>53568</v>
      </c>
      <c r="BA29" s="55"/>
      <c r="BB29" s="55"/>
      <c r="BC29" s="55"/>
      <c r="BD29" s="55"/>
      <c r="BF29" s="100">
        <f t="shared" ref="BF29" si="404">60*60/BF27*BF26*(1-BF25)</f>
        <v>53568</v>
      </c>
      <c r="BG29" s="55"/>
      <c r="BH29" s="55"/>
      <c r="BI29" s="55"/>
      <c r="BJ29" s="55"/>
      <c r="BL29" s="100">
        <f t="shared" ref="BL29" si="405">60*60/BL27*BL26*(1-BL25)</f>
        <v>53568</v>
      </c>
      <c r="BM29" s="55"/>
      <c r="BN29" s="55"/>
      <c r="BO29" s="55"/>
      <c r="BP29" s="55"/>
      <c r="BR29" s="100">
        <f t="shared" ref="BR29" si="406">60*60/BR27*BR26*(1-BR25)</f>
        <v>53568</v>
      </c>
      <c r="BS29" s="55"/>
      <c r="BT29" s="55"/>
      <c r="BU29" s="55"/>
      <c r="BV29" s="55"/>
      <c r="BX29" s="100">
        <f t="shared" ref="BX29" si="407">60*60/BX27*BX26*(1-BX25)</f>
        <v>53568</v>
      </c>
      <c r="BY29" s="55"/>
      <c r="BZ29" s="55"/>
      <c r="CA29" s="55"/>
      <c r="CB29" s="55"/>
      <c r="CD29" s="100">
        <f t="shared" ref="CD29" si="408">60*60/CD27*CD26*(1-CD25)</f>
        <v>53568</v>
      </c>
      <c r="CE29" s="55"/>
      <c r="CF29" s="55"/>
      <c r="CG29" s="55"/>
      <c r="CH29" s="55"/>
      <c r="CJ29" s="100">
        <f t="shared" ref="CJ29" si="409">60*60/CJ27*CJ26*(1-CJ25)</f>
        <v>53568</v>
      </c>
      <c r="CK29" s="55"/>
      <c r="CL29" s="55"/>
      <c r="CM29" s="55"/>
      <c r="CN29" s="55"/>
      <c r="CP29" s="100">
        <f t="shared" ref="CP29" si="410">60*60/CP27*CP26*(1-CP25)</f>
        <v>53568</v>
      </c>
      <c r="CQ29" s="55"/>
      <c r="CR29" s="55"/>
      <c r="CS29" s="55"/>
      <c r="CT29" s="55"/>
      <c r="CV29" s="100">
        <f t="shared" ref="CV29" si="411">60*60/CV27*CV26*(1-CV25)</f>
        <v>53568</v>
      </c>
      <c r="CW29" s="55"/>
      <c r="CX29" s="55"/>
      <c r="CY29" s="55"/>
      <c r="CZ29" s="55"/>
      <c r="DB29" s="100">
        <f t="shared" ref="DB29" si="412">60*60/DB27*DB26*(1-DB25)</f>
        <v>53568</v>
      </c>
      <c r="DC29" s="55"/>
      <c r="DD29" s="55"/>
      <c r="DE29" s="55"/>
      <c r="DF29" s="55"/>
      <c r="DH29" s="100">
        <f t="shared" ref="DH29" si="413">60*60/DH27*DH26*(1-DH25)</f>
        <v>53568</v>
      </c>
      <c r="DI29" s="55"/>
      <c r="DJ29" s="55"/>
      <c r="DK29" s="55"/>
      <c r="DL29" s="55"/>
      <c r="DN29" s="100">
        <f t="shared" ref="DN29" si="414">60*60/DN27*DN26*(1-DN25)</f>
        <v>53568</v>
      </c>
      <c r="DO29" s="55"/>
      <c r="DP29" s="55"/>
      <c r="DQ29" s="55"/>
      <c r="DR29" s="55"/>
      <c r="DT29" s="100">
        <f t="shared" ref="DT29" si="415">60*60/DT27*DT26*(1-DT25)</f>
        <v>53568</v>
      </c>
      <c r="DU29" s="55"/>
      <c r="DV29" s="55"/>
      <c r="DW29" s="55"/>
      <c r="DX29" s="55"/>
      <c r="DZ29" s="100">
        <f t="shared" ref="DZ29" si="416">60*60/DZ27*DZ26*(1-DZ25)</f>
        <v>53568</v>
      </c>
      <c r="EA29" s="55"/>
      <c r="EB29" s="55"/>
      <c r="EC29" s="55"/>
      <c r="ED29" s="55"/>
      <c r="EF29" s="100">
        <f t="shared" ref="EF29" si="417">60*60/EF27*EF26*(1-EF25)</f>
        <v>53568</v>
      </c>
      <c r="EG29" s="55"/>
      <c r="EH29" s="55"/>
      <c r="EI29" s="55"/>
      <c r="EJ29" s="55"/>
      <c r="EL29" s="100">
        <f t="shared" ref="EL29" si="418">60*60/EL27*EL26*(1-EL25)</f>
        <v>53568</v>
      </c>
      <c r="EM29" s="55"/>
      <c r="EN29" s="55"/>
      <c r="EO29" s="55"/>
      <c r="EP29" s="55"/>
      <c r="ER29" s="100">
        <f t="shared" ref="ER29" si="419">60*60/ER27*ER26*(1-ER25)</f>
        <v>53568</v>
      </c>
      <c r="ES29" s="55"/>
      <c r="ET29" s="55"/>
      <c r="EU29" s="55"/>
      <c r="EV29" s="55"/>
    </row>
    <row r="30" spans="1:152" x14ac:dyDescent="0.25">
      <c r="B30" s="56" t="s">
        <v>121</v>
      </c>
      <c r="C30" s="55" t="s">
        <v>120</v>
      </c>
      <c r="D30" s="100">
        <f>D29*D28*24*365/12*D24</f>
        <v>17206041.600000001</v>
      </c>
      <c r="E30" s="137"/>
      <c r="F30" s="128"/>
      <c r="G30" s="138"/>
      <c r="H30" s="55"/>
      <c r="J30" s="100">
        <f>J29*J28*24*365/12*J24</f>
        <v>24088458.240000002</v>
      </c>
      <c r="K30" s="137"/>
      <c r="L30" s="128"/>
      <c r="M30" s="138"/>
      <c r="N30" s="55"/>
      <c r="P30" s="100">
        <f>P29*P28*24*365/12*P24</f>
        <v>34412083.200000003</v>
      </c>
      <c r="Q30" s="137"/>
      <c r="R30" s="128"/>
      <c r="S30" s="138"/>
      <c r="T30" s="55"/>
      <c r="V30" s="100">
        <f>V29*V28*24*365/12*V24</f>
        <v>34412083.200000003</v>
      </c>
      <c r="W30" s="137"/>
      <c r="X30" s="128"/>
      <c r="Y30" s="138"/>
      <c r="Z30" s="55"/>
      <c r="AB30" s="100">
        <f t="shared" ref="AB30" si="420">AB29*AB28*24*365/12*AB24</f>
        <v>34412083.200000003</v>
      </c>
      <c r="AC30" s="137"/>
      <c r="AD30" s="128"/>
      <c r="AE30" s="138"/>
      <c r="AF30" s="55"/>
      <c r="AH30" s="100">
        <f t="shared" ref="AH30" si="421">AH29*AH28*24*365/12*AH24</f>
        <v>34412083.200000003</v>
      </c>
      <c r="AI30" s="137"/>
      <c r="AJ30" s="128"/>
      <c r="AK30" s="138"/>
      <c r="AL30" s="55"/>
      <c r="AN30" s="100">
        <f t="shared" ref="AN30" si="422">AN29*AN28*24*365/12*AN24</f>
        <v>34412083.200000003</v>
      </c>
      <c r="AO30" s="137"/>
      <c r="AP30" s="128"/>
      <c r="AQ30" s="138"/>
      <c r="AR30" s="55"/>
      <c r="AT30" s="100">
        <f t="shared" ref="AT30" si="423">AT29*AT28*24*365/12*AT24</f>
        <v>34412083.200000003</v>
      </c>
      <c r="AU30" s="137"/>
      <c r="AV30" s="128"/>
      <c r="AW30" s="138"/>
      <c r="AX30" s="55"/>
      <c r="AZ30" s="100">
        <f t="shared" ref="AZ30" si="424">AZ29*AZ28*24*365/12*AZ24</f>
        <v>34412083.200000003</v>
      </c>
      <c r="BA30" s="137"/>
      <c r="BB30" s="128"/>
      <c r="BC30" s="138"/>
      <c r="BD30" s="55"/>
      <c r="BF30" s="100">
        <f t="shared" ref="BF30" si="425">BF29*BF28*24*365/12*BF24</f>
        <v>34412083.200000003</v>
      </c>
      <c r="BG30" s="137"/>
      <c r="BH30" s="128"/>
      <c r="BI30" s="138"/>
      <c r="BJ30" s="55"/>
      <c r="BL30" s="100">
        <f t="shared" ref="BL30" si="426">BL29*BL28*24*365/12*BL24</f>
        <v>34412083.200000003</v>
      </c>
      <c r="BM30" s="137"/>
      <c r="BN30" s="128"/>
      <c r="BO30" s="138"/>
      <c r="BP30" s="55"/>
      <c r="BR30" s="100">
        <f t="shared" ref="BR30" si="427">BR29*BR28*24*365/12*BR24</f>
        <v>34412083.200000003</v>
      </c>
      <c r="BS30" s="137"/>
      <c r="BT30" s="128"/>
      <c r="BU30" s="138"/>
      <c r="BV30" s="55"/>
      <c r="BX30" s="100">
        <f t="shared" ref="BX30" si="428">BX29*BX28*24*365/12*BX24</f>
        <v>34412083.200000003</v>
      </c>
      <c r="BY30" s="137"/>
      <c r="BZ30" s="128"/>
      <c r="CA30" s="138"/>
      <c r="CB30" s="55"/>
      <c r="CD30" s="100">
        <f t="shared" ref="CD30" si="429">CD29*CD28*24*365/12*CD24</f>
        <v>34412083.200000003</v>
      </c>
      <c r="CE30" s="137"/>
      <c r="CF30" s="128"/>
      <c r="CG30" s="138"/>
      <c r="CH30" s="55"/>
      <c r="CJ30" s="100">
        <f t="shared" ref="CJ30" si="430">CJ29*CJ28*24*365/12*CJ24</f>
        <v>34412083.200000003</v>
      </c>
      <c r="CK30" s="137"/>
      <c r="CL30" s="128"/>
      <c r="CM30" s="138"/>
      <c r="CN30" s="55"/>
      <c r="CP30" s="100">
        <f t="shared" ref="CP30" si="431">CP29*CP28*24*365/12*CP24</f>
        <v>34412083.200000003</v>
      </c>
      <c r="CQ30" s="137"/>
      <c r="CR30" s="128"/>
      <c r="CS30" s="138"/>
      <c r="CT30" s="55"/>
      <c r="CV30" s="100">
        <f t="shared" ref="CV30" si="432">CV29*CV28*24*365/12*CV24</f>
        <v>34412083.200000003</v>
      </c>
      <c r="CW30" s="137"/>
      <c r="CX30" s="128"/>
      <c r="CY30" s="138"/>
      <c r="CZ30" s="55"/>
      <c r="DB30" s="100">
        <f t="shared" ref="DB30" si="433">DB29*DB28*24*365/12*DB24</f>
        <v>34412083.200000003</v>
      </c>
      <c r="DC30" s="137"/>
      <c r="DD30" s="128"/>
      <c r="DE30" s="138"/>
      <c r="DF30" s="55"/>
      <c r="DH30" s="100">
        <f t="shared" ref="DH30" si="434">DH29*DH28*24*365/12*DH24</f>
        <v>34412083.200000003</v>
      </c>
      <c r="DI30" s="137"/>
      <c r="DJ30" s="128"/>
      <c r="DK30" s="138"/>
      <c r="DL30" s="55"/>
      <c r="DN30" s="100">
        <f t="shared" ref="DN30" si="435">DN29*DN28*24*365/12*DN24</f>
        <v>34412083.200000003</v>
      </c>
      <c r="DO30" s="137"/>
      <c r="DP30" s="128"/>
      <c r="DQ30" s="138"/>
      <c r="DR30" s="55"/>
      <c r="DT30" s="100">
        <f t="shared" ref="DT30" si="436">DT29*DT28*24*365/12*DT24</f>
        <v>34412083.200000003</v>
      </c>
      <c r="DU30" s="137"/>
      <c r="DV30" s="128"/>
      <c r="DW30" s="138"/>
      <c r="DX30" s="55"/>
      <c r="DZ30" s="100">
        <f t="shared" ref="DZ30" si="437">DZ29*DZ28*24*365/12*DZ24</f>
        <v>34412083.200000003</v>
      </c>
      <c r="EA30" s="137"/>
      <c r="EB30" s="128"/>
      <c r="EC30" s="138"/>
      <c r="ED30" s="55"/>
      <c r="EF30" s="100">
        <f t="shared" ref="EF30" si="438">EF29*EF28*24*365/12*EF24</f>
        <v>34412083.200000003</v>
      </c>
      <c r="EG30" s="137"/>
      <c r="EH30" s="128"/>
      <c r="EI30" s="138"/>
      <c r="EJ30" s="55"/>
      <c r="EL30" s="100">
        <f t="shared" ref="EL30" si="439">EL29*EL28*24*365/12*EL24</f>
        <v>34412083.200000003</v>
      </c>
      <c r="EM30" s="137"/>
      <c r="EN30" s="128"/>
      <c r="EO30" s="138"/>
      <c r="EP30" s="55"/>
      <c r="ER30" s="100">
        <f t="shared" ref="ER30" si="440">ER29*ER28*24*365/12*ER24</f>
        <v>34412083.200000003</v>
      </c>
      <c r="ES30" s="137"/>
      <c r="ET30" s="128"/>
      <c r="EU30" s="138"/>
      <c r="EV30" s="55"/>
    </row>
    <row r="31" spans="1:152" x14ac:dyDescent="0.25">
      <c r="B31" s="56" t="s">
        <v>122</v>
      </c>
      <c r="C31" s="55" t="s">
        <v>120</v>
      </c>
      <c r="D31" s="100">
        <f>D30*12</f>
        <v>206472499.20000002</v>
      </c>
      <c r="E31" s="101"/>
      <c r="F31" s="55"/>
      <c r="G31" s="55"/>
      <c r="H31" s="55"/>
      <c r="J31" s="100">
        <f>J30*12</f>
        <v>289061498.88</v>
      </c>
      <c r="K31" s="101"/>
      <c r="L31" s="55"/>
      <c r="M31" s="55"/>
      <c r="N31" s="55"/>
      <c r="P31" s="100">
        <f>P30*12</f>
        <v>412944998.40000004</v>
      </c>
      <c r="Q31" s="101"/>
      <c r="R31" s="55"/>
      <c r="S31" s="55"/>
      <c r="T31" s="55"/>
      <c r="V31" s="100">
        <f>V30*12</f>
        <v>412944998.40000004</v>
      </c>
      <c r="W31" s="101"/>
      <c r="X31" s="55"/>
      <c r="Y31" s="55"/>
      <c r="Z31" s="55"/>
      <c r="AB31" s="100">
        <f t="shared" ref="AB31" si="441">AB30*12</f>
        <v>412944998.40000004</v>
      </c>
      <c r="AC31" s="101"/>
      <c r="AD31" s="55"/>
      <c r="AE31" s="55"/>
      <c r="AF31" s="55"/>
      <c r="AH31" s="100">
        <f t="shared" ref="AH31" si="442">AH30*12</f>
        <v>412944998.40000004</v>
      </c>
      <c r="AI31" s="101"/>
      <c r="AJ31" s="55"/>
      <c r="AK31" s="55"/>
      <c r="AL31" s="55"/>
      <c r="AN31" s="100">
        <f t="shared" ref="AN31" si="443">AN30*12</f>
        <v>412944998.40000004</v>
      </c>
      <c r="AO31" s="101"/>
      <c r="AP31" s="55"/>
      <c r="AQ31" s="55"/>
      <c r="AR31" s="55"/>
      <c r="AT31" s="100">
        <f t="shared" ref="AT31" si="444">AT30*12</f>
        <v>412944998.40000004</v>
      </c>
      <c r="AU31" s="101"/>
      <c r="AV31" s="55"/>
      <c r="AW31" s="55"/>
      <c r="AX31" s="55"/>
      <c r="AZ31" s="100">
        <f t="shared" ref="AZ31" si="445">AZ30*12</f>
        <v>412944998.40000004</v>
      </c>
      <c r="BA31" s="101"/>
      <c r="BB31" s="55"/>
      <c r="BC31" s="55"/>
      <c r="BD31" s="55"/>
      <c r="BF31" s="100">
        <f t="shared" ref="BF31" si="446">BF30*12</f>
        <v>412944998.40000004</v>
      </c>
      <c r="BG31" s="101"/>
      <c r="BH31" s="55"/>
      <c r="BI31" s="55"/>
      <c r="BJ31" s="55"/>
      <c r="BL31" s="100">
        <f t="shared" ref="BL31" si="447">BL30*12</f>
        <v>412944998.40000004</v>
      </c>
      <c r="BM31" s="101"/>
      <c r="BN31" s="55"/>
      <c r="BO31" s="55"/>
      <c r="BP31" s="55"/>
      <c r="BR31" s="100">
        <f t="shared" ref="BR31" si="448">BR30*12</f>
        <v>412944998.40000004</v>
      </c>
      <c r="BS31" s="101"/>
      <c r="BT31" s="55"/>
      <c r="BU31" s="55"/>
      <c r="BV31" s="55"/>
      <c r="BX31" s="100">
        <f t="shared" ref="BX31" si="449">BX30*12</f>
        <v>412944998.40000004</v>
      </c>
      <c r="BY31" s="101"/>
      <c r="BZ31" s="55"/>
      <c r="CA31" s="55"/>
      <c r="CB31" s="55"/>
      <c r="CD31" s="100">
        <f t="shared" ref="CD31" si="450">CD30*12</f>
        <v>412944998.40000004</v>
      </c>
      <c r="CE31" s="101"/>
      <c r="CF31" s="55"/>
      <c r="CG31" s="55"/>
      <c r="CH31" s="55"/>
      <c r="CJ31" s="100">
        <f t="shared" ref="CJ31" si="451">CJ30*12</f>
        <v>412944998.40000004</v>
      </c>
      <c r="CK31" s="101"/>
      <c r="CL31" s="55"/>
      <c r="CM31" s="55"/>
      <c r="CN31" s="55"/>
      <c r="CP31" s="100">
        <f t="shared" ref="CP31" si="452">CP30*12</f>
        <v>412944998.40000004</v>
      </c>
      <c r="CQ31" s="101"/>
      <c r="CR31" s="55"/>
      <c r="CS31" s="55"/>
      <c r="CT31" s="55"/>
      <c r="CV31" s="100">
        <f t="shared" ref="CV31" si="453">CV30*12</f>
        <v>412944998.40000004</v>
      </c>
      <c r="CW31" s="101"/>
      <c r="CX31" s="55"/>
      <c r="CY31" s="55"/>
      <c r="CZ31" s="55"/>
      <c r="DB31" s="100">
        <f t="shared" ref="DB31" si="454">DB30*12</f>
        <v>412944998.40000004</v>
      </c>
      <c r="DC31" s="101"/>
      <c r="DD31" s="55"/>
      <c r="DE31" s="55"/>
      <c r="DF31" s="55"/>
      <c r="DH31" s="100">
        <f t="shared" ref="DH31" si="455">DH30*12</f>
        <v>412944998.40000004</v>
      </c>
      <c r="DI31" s="101"/>
      <c r="DJ31" s="55"/>
      <c r="DK31" s="55"/>
      <c r="DL31" s="55"/>
      <c r="DN31" s="100">
        <f t="shared" ref="DN31" si="456">DN30*12</f>
        <v>412944998.40000004</v>
      </c>
      <c r="DO31" s="101"/>
      <c r="DP31" s="55"/>
      <c r="DQ31" s="55"/>
      <c r="DR31" s="55"/>
      <c r="DT31" s="100">
        <f t="shared" ref="DT31" si="457">DT30*12</f>
        <v>412944998.40000004</v>
      </c>
      <c r="DU31" s="101"/>
      <c r="DV31" s="55"/>
      <c r="DW31" s="55"/>
      <c r="DX31" s="55"/>
      <c r="DZ31" s="100">
        <f t="shared" ref="DZ31" si="458">DZ30*12</f>
        <v>412944998.40000004</v>
      </c>
      <c r="EA31" s="101"/>
      <c r="EB31" s="55"/>
      <c r="EC31" s="55"/>
      <c r="ED31" s="55"/>
      <c r="EF31" s="100">
        <f t="shared" ref="EF31" si="459">EF30*12</f>
        <v>412944998.40000004</v>
      </c>
      <c r="EG31" s="101"/>
      <c r="EH31" s="55"/>
      <c r="EI31" s="55"/>
      <c r="EJ31" s="55"/>
      <c r="EL31" s="100">
        <f t="shared" ref="EL31" si="460">EL30*12</f>
        <v>412944998.40000004</v>
      </c>
      <c r="EM31" s="101"/>
      <c r="EN31" s="55"/>
      <c r="EO31" s="55"/>
      <c r="EP31" s="55"/>
      <c r="ER31" s="100">
        <f t="shared" ref="ER31" si="461">ER30*12</f>
        <v>412944998.40000004</v>
      </c>
      <c r="ES31" s="101"/>
      <c r="ET31" s="55"/>
      <c r="EU31" s="55"/>
      <c r="EV31" s="55"/>
    </row>
    <row r="32" spans="1:152" x14ac:dyDescent="0.25">
      <c r="A32" t="s">
        <v>149</v>
      </c>
      <c r="B32" s="56" t="s">
        <v>123</v>
      </c>
      <c r="C32" s="55" t="s">
        <v>71</v>
      </c>
      <c r="D32" s="138">
        <f>INDEX('W2'!$M$27:$R$27,MATCH('W6 - Operating cost'!$B$1,'W2'!$M$7:$R$7,0))</f>
        <v>3.5000000000000003E-2</v>
      </c>
      <c r="E32" s="55"/>
      <c r="F32" s="134">
        <f>D32*SUM(E41:E45)/12*POWER(1+$C$72,G$1)</f>
        <v>918720833.33333349</v>
      </c>
      <c r="G32" s="134">
        <f>F32*12</f>
        <v>11024650000.000002</v>
      </c>
      <c r="H32" s="55"/>
      <c r="J32" s="138">
        <f>INDEX('W2'!$M$27:$R$27,MATCH('W6 - Operating cost'!$B$1,'W2'!$M$7:$R$7,0))</f>
        <v>3.5000000000000003E-2</v>
      </c>
      <c r="K32" s="55"/>
      <c r="L32" s="134">
        <f>J32*SUM(K41:K45)/12*POWER(1+$C$72,M$1)</f>
        <v>918720833.33333349</v>
      </c>
      <c r="M32" s="134">
        <f>L32*12</f>
        <v>11024650000.000002</v>
      </c>
      <c r="N32" s="55"/>
      <c r="P32" s="138">
        <f>INDEX('W2'!$M$27:$R$27,MATCH('W6 - Operating cost'!$B$1,'W2'!$M$7:$R$7,0))</f>
        <v>3.5000000000000003E-2</v>
      </c>
      <c r="Q32" s="55"/>
      <c r="R32" s="134">
        <f>P32*SUM(Q41:Q45)/12*POWER(1+$C$72,S$1)</f>
        <v>964656875.00000024</v>
      </c>
      <c r="S32" s="134">
        <f>R32*12</f>
        <v>11575882500.000004</v>
      </c>
      <c r="T32" s="55"/>
      <c r="V32" s="138">
        <f>INDEX('W2'!$M$27:$R$27,MATCH('W6 - Operating cost'!$B$1,'W2'!$M$7:$R$7,0))</f>
        <v>3.5000000000000003E-2</v>
      </c>
      <c r="W32" s="55"/>
      <c r="X32" s="134">
        <f>V32*SUM(W41:W45)/12*POWER(1+$C$72,Y$1)</f>
        <v>1012889718.7500002</v>
      </c>
      <c r="Y32" s="134">
        <f>X32*12</f>
        <v>12154676625.000004</v>
      </c>
      <c r="Z32" s="55"/>
      <c r="AB32" s="138">
        <f>INDEX('W2'!$M$27:$R$27,MATCH('W6 - Operating cost'!$B$1,'W2'!$M$7:$R$7,0))</f>
        <v>3.5000000000000003E-2</v>
      </c>
      <c r="AC32" s="55"/>
      <c r="AD32" s="134">
        <f t="shared" ref="AD32" si="462">AB32*SUM(AC41:AC45)/12*POWER(1+$C$72,AE$1)</f>
        <v>1063534204.6875004</v>
      </c>
      <c r="AE32" s="134">
        <f t="shared" ref="AE32" si="463">AD32*12</f>
        <v>12762410456.250004</v>
      </c>
      <c r="AF32" s="55"/>
      <c r="AH32" s="138">
        <f>INDEX('W2'!$M$27:$R$27,MATCH('W6 - Operating cost'!$B$1,'W2'!$M$7:$R$7,0))</f>
        <v>3.5000000000000003E-2</v>
      </c>
      <c r="AI32" s="55"/>
      <c r="AJ32" s="134">
        <f t="shared" ref="AJ32" si="464">AH32*SUM(AI41:AI45)/12*POWER(1+$C$72,AK$1)</f>
        <v>1116710914.9218752</v>
      </c>
      <c r="AK32" s="134">
        <f t="shared" ref="AK32" si="465">AJ32*12</f>
        <v>13400530979.062504</v>
      </c>
      <c r="AL32" s="55"/>
      <c r="AN32" s="138">
        <f>INDEX('W2'!$M$27:$R$27,MATCH('W6 - Operating cost'!$B$1,'W2'!$M$7:$R$7,0))</f>
        <v>3.5000000000000003E-2</v>
      </c>
      <c r="AO32" s="55"/>
      <c r="AP32" s="134">
        <f t="shared" ref="AP32" si="466">AN32*SUM(AO41:AO45)/12*POWER(1+$C$72,AQ$1)</f>
        <v>1172546460.667969</v>
      </c>
      <c r="AQ32" s="134">
        <f t="shared" ref="AQ32" si="467">AP32*12</f>
        <v>14070557528.015629</v>
      </c>
      <c r="AR32" s="55"/>
      <c r="AT32" s="138">
        <f>INDEX('W2'!$M$27:$R$27,MATCH('W6 - Operating cost'!$B$1,'W2'!$M$7:$R$7,0))</f>
        <v>3.5000000000000003E-2</v>
      </c>
      <c r="AU32" s="55"/>
      <c r="AV32" s="134">
        <f t="shared" ref="AV32" si="468">AT32*SUM(AU41:AU45)/12*POWER(1+$C$72,AW$1)</f>
        <v>1231173783.7013674</v>
      </c>
      <c r="AW32" s="134">
        <f t="shared" ref="AW32" si="469">AV32*12</f>
        <v>14774085404.416409</v>
      </c>
      <c r="AX32" s="55"/>
      <c r="AZ32" s="138">
        <f>INDEX('W2'!$M$27:$R$27,MATCH('W6 - Operating cost'!$B$1,'W2'!$M$7:$R$7,0))</f>
        <v>3.5000000000000003E-2</v>
      </c>
      <c r="BA32" s="55"/>
      <c r="BB32" s="134">
        <f t="shared" ref="BB32" si="470">AZ32*SUM(BA41:BA45)/12*POWER(1+$C$72,BC$1)</f>
        <v>1292732472.886436</v>
      </c>
      <c r="BC32" s="134">
        <f t="shared" ref="BC32" si="471">BB32*12</f>
        <v>15512789674.637232</v>
      </c>
      <c r="BD32" s="55"/>
      <c r="BF32" s="138">
        <f>INDEX('W2'!$M$27:$R$27,MATCH('W6 - Operating cost'!$B$1,'W2'!$M$7:$R$7,0))</f>
        <v>3.5000000000000003E-2</v>
      </c>
      <c r="BG32" s="55"/>
      <c r="BH32" s="134">
        <f t="shared" ref="BH32" si="472">BF32*SUM(BG41:BG45)/12*POWER(1+$C$72,BI$1)</f>
        <v>1357369096.5307577</v>
      </c>
      <c r="BI32" s="134">
        <f t="shared" ref="BI32" si="473">BH32*12</f>
        <v>16288429158.369091</v>
      </c>
      <c r="BJ32" s="55"/>
      <c r="BL32" s="138">
        <f>INDEX('W2'!$M$27:$R$27,MATCH('W6 - Operating cost'!$B$1,'W2'!$M$7:$R$7,0))</f>
        <v>3.5000000000000003E-2</v>
      </c>
      <c r="BM32" s="55"/>
      <c r="BN32" s="134">
        <f t="shared" ref="BN32" si="474">BL32*SUM(BM41:BM45)/12*POWER(1+$C$72,BO$1)</f>
        <v>1425237551.3572955</v>
      </c>
      <c r="BO32" s="134">
        <f t="shared" ref="BO32" si="475">BN32*12</f>
        <v>17102850616.287546</v>
      </c>
      <c r="BP32" s="55"/>
      <c r="BR32" s="138">
        <f>INDEX('W2'!$M$27:$R$27,MATCH('W6 - Operating cost'!$B$1,'W2'!$M$7:$R$7,0))</f>
        <v>3.5000000000000003E-2</v>
      </c>
      <c r="BS32" s="55"/>
      <c r="BT32" s="134">
        <f t="shared" ref="BT32" si="476">BR32*SUM(BS41:BS45)/12*POWER(1+$C$72,BU$1)</f>
        <v>1496499428.9251604</v>
      </c>
      <c r="BU32" s="134">
        <f t="shared" ref="BU32" si="477">BT32*12</f>
        <v>17957993147.101925</v>
      </c>
      <c r="BV32" s="55"/>
      <c r="BX32" s="138">
        <f>INDEX('W2'!$M$27:$R$27,MATCH('W6 - Operating cost'!$B$1,'W2'!$M$7:$R$7,0))</f>
        <v>3.5000000000000003E-2</v>
      </c>
      <c r="BY32" s="55"/>
      <c r="BZ32" s="134">
        <f t="shared" ref="BZ32" si="478">BX32*SUM(BY41:BY45)/12*POWER(1+$C$72,CA$1)</f>
        <v>1571324400.3714185</v>
      </c>
      <c r="CA32" s="134">
        <f t="shared" ref="CA32" si="479">BZ32*12</f>
        <v>18855892804.457024</v>
      </c>
      <c r="CB32" s="55"/>
      <c r="CD32" s="138">
        <f>INDEX('W2'!$M$27:$R$27,MATCH('W6 - Operating cost'!$B$1,'W2'!$M$7:$R$7,0))</f>
        <v>3.5000000000000003E-2</v>
      </c>
      <c r="CE32" s="55"/>
      <c r="CF32" s="134">
        <f t="shared" ref="CF32" si="480">CD32*SUM(CE41:CE45)/12*POWER(1+$C$72,CG$1)</f>
        <v>1649890620.3899891</v>
      </c>
      <c r="CG32" s="134">
        <f t="shared" ref="CG32" si="481">CF32*12</f>
        <v>19798687444.679871</v>
      </c>
      <c r="CH32" s="55"/>
      <c r="CJ32" s="138">
        <f>INDEX('W2'!$M$27:$R$27,MATCH('W6 - Operating cost'!$B$1,'W2'!$M$7:$R$7,0))</f>
        <v>3.5000000000000003E-2</v>
      </c>
      <c r="CK32" s="55"/>
      <c r="CL32" s="134">
        <f t="shared" ref="CL32" si="482">CJ32*SUM(CK41:CK45)/12*POWER(1+$C$72,CM$1)</f>
        <v>1732385151.4094889</v>
      </c>
      <c r="CM32" s="134">
        <f t="shared" ref="CM32" si="483">CL32*12</f>
        <v>20788621816.913868</v>
      </c>
      <c r="CN32" s="55"/>
      <c r="CP32" s="138">
        <f>INDEX('W2'!$M$27:$R$27,MATCH('W6 - Operating cost'!$B$1,'W2'!$M$7:$R$7,0))</f>
        <v>3.5000000000000003E-2</v>
      </c>
      <c r="CQ32" s="55"/>
      <c r="CR32" s="134">
        <f t="shared" ref="CR32" si="484">CP32*SUM(CQ41:CQ45)/12*POWER(1+$C$72,CS$1)</f>
        <v>1819004408.9799631</v>
      </c>
      <c r="CS32" s="134">
        <f t="shared" ref="CS32" si="485">CR32*12</f>
        <v>21828052907.759556</v>
      </c>
      <c r="CT32" s="55"/>
      <c r="CV32" s="138">
        <f>INDEX('W2'!$M$27:$R$27,MATCH('W6 - Operating cost'!$B$1,'W2'!$M$7:$R$7,0))</f>
        <v>3.5000000000000003E-2</v>
      </c>
      <c r="CW32" s="55"/>
      <c r="CX32" s="134">
        <f t="shared" ref="CX32" si="486">CV32*SUM(CW41:CW45)/12*POWER(1+$C$72,CY$1)</f>
        <v>1909954629.4289618</v>
      </c>
      <c r="CY32" s="134">
        <f t="shared" ref="CY32" si="487">CX32*12</f>
        <v>22919455553.147541</v>
      </c>
      <c r="CZ32" s="55"/>
      <c r="DB32" s="138">
        <f>INDEX('W2'!$M$27:$R$27,MATCH('W6 - Operating cost'!$B$1,'W2'!$M$7:$R$7,0))</f>
        <v>3.5000000000000003E-2</v>
      </c>
      <c r="DC32" s="55"/>
      <c r="DD32" s="134">
        <f t="shared" ref="DD32" si="488">DB32*SUM(DC41:DC45)/12*POWER(1+$C$72,DE$1)</f>
        <v>2005452360.9004097</v>
      </c>
      <c r="DE32" s="134">
        <f t="shared" ref="DE32" si="489">DD32*12</f>
        <v>24065428330.804916</v>
      </c>
      <c r="DF32" s="55"/>
      <c r="DH32" s="138">
        <f>INDEX('W2'!$M$27:$R$27,MATCH('W6 - Operating cost'!$B$1,'W2'!$M$7:$R$7,0))</f>
        <v>3.5000000000000003E-2</v>
      </c>
      <c r="DI32" s="55"/>
      <c r="DJ32" s="134">
        <f t="shared" ref="DJ32" si="490">DH32*SUM(DI41:DI45)/12*POWER(1+$C$72,DK$1)</f>
        <v>2105724978.9454303</v>
      </c>
      <c r="DK32" s="134">
        <f t="shared" ref="DK32" si="491">DJ32*12</f>
        <v>25268699747.345161</v>
      </c>
      <c r="DL32" s="55"/>
      <c r="DN32" s="138">
        <f>INDEX('W2'!$M$27:$R$27,MATCH('W6 - Operating cost'!$B$1,'W2'!$M$7:$R$7,0))</f>
        <v>3.5000000000000003E-2</v>
      </c>
      <c r="DO32" s="55"/>
      <c r="DP32" s="134">
        <f t="shared" ref="DP32" si="492">DN32*SUM(DO41:DO45)/12*POWER(1+$C$72,DQ$1)</f>
        <v>2211011227.8927016</v>
      </c>
      <c r="DQ32" s="134">
        <f t="shared" ref="DQ32" si="493">DP32*12</f>
        <v>26532134734.712418</v>
      </c>
      <c r="DR32" s="55"/>
      <c r="DT32" s="138">
        <f>INDEX('W2'!$M$27:$R$27,MATCH('W6 - Operating cost'!$B$1,'W2'!$M$7:$R$7,0))</f>
        <v>3.5000000000000003E-2</v>
      </c>
      <c r="DU32" s="55"/>
      <c r="DV32" s="134">
        <f t="shared" ref="DV32" si="494">DT32*SUM(DU41:DU45)/12*POWER(1+$C$72,DW$1)</f>
        <v>2321561789.2873368</v>
      </c>
      <c r="DW32" s="134">
        <f t="shared" ref="DW32" si="495">DV32*12</f>
        <v>27858741471.448044</v>
      </c>
      <c r="DX32" s="55"/>
      <c r="DZ32" s="138">
        <f>INDEX('W2'!$M$27:$R$27,MATCH('W6 - Operating cost'!$B$1,'W2'!$M$7:$R$7,0))</f>
        <v>3.5000000000000003E-2</v>
      </c>
      <c r="EA32" s="55"/>
      <c r="EB32" s="134">
        <f t="shared" ref="EB32" si="496">DZ32*SUM(EA41:EA45)/12*POWER(1+$C$72,EC$1)</f>
        <v>2437639878.7517037</v>
      </c>
      <c r="EC32" s="134">
        <f t="shared" ref="EC32" si="497">EB32*12</f>
        <v>29251678545.020447</v>
      </c>
      <c r="ED32" s="55"/>
      <c r="EF32" s="138">
        <f>INDEX('W2'!$M$27:$R$27,MATCH('W6 - Operating cost'!$B$1,'W2'!$M$7:$R$7,0))</f>
        <v>3.5000000000000003E-2</v>
      </c>
      <c r="EG32" s="55"/>
      <c r="EH32" s="134">
        <f t="shared" ref="EH32" si="498">EF32*SUM(EG41:EG45)/12*POWER(1+$C$72,EI$1)</f>
        <v>2559521872.6892886</v>
      </c>
      <c r="EI32" s="134">
        <f t="shared" ref="EI32" si="499">EH32*12</f>
        <v>30714262472.271461</v>
      </c>
      <c r="EJ32" s="55"/>
      <c r="EL32" s="138">
        <f>INDEX('W2'!$M$27:$R$27,MATCH('W6 - Operating cost'!$B$1,'W2'!$M$7:$R$7,0))</f>
        <v>3.5000000000000003E-2</v>
      </c>
      <c r="EM32" s="55"/>
      <c r="EN32" s="134">
        <f t="shared" ref="EN32" si="500">EL32*SUM(EM41:EM45)/12*POWER(1+$C$72,EO$1)</f>
        <v>2687497966.3237534</v>
      </c>
      <c r="EO32" s="134">
        <f t="shared" ref="EO32" si="501">EN32*12</f>
        <v>32249975595.88504</v>
      </c>
      <c r="EP32" s="55"/>
      <c r="ER32" s="138">
        <f>INDEX('W2'!$M$27:$R$27,MATCH('W6 - Operating cost'!$B$1,'W2'!$M$7:$R$7,0))</f>
        <v>3.5000000000000003E-2</v>
      </c>
      <c r="ES32" s="55"/>
      <c r="ET32" s="134">
        <f t="shared" ref="ET32" si="502">ER32*SUM(ES41:ES45)/12*POWER(1+$C$72,EU$1)</f>
        <v>2821872864.6399412</v>
      </c>
      <c r="EU32" s="134">
        <f t="shared" ref="EU32" si="503">ET32*12</f>
        <v>33862474375.679295</v>
      </c>
      <c r="EV32" s="55"/>
    </row>
    <row r="33" spans="1:152" x14ac:dyDescent="0.25">
      <c r="A33" t="s">
        <v>523</v>
      </c>
      <c r="B33" s="56" t="s">
        <v>523</v>
      </c>
      <c r="C33" s="55" t="s">
        <v>71</v>
      </c>
      <c r="D33" s="138">
        <f>'W2'!$L$73</f>
        <v>2E-3</v>
      </c>
      <c r="E33" s="55"/>
      <c r="F33" s="134">
        <f>D33*SUM(E41:E45,E49)/12</f>
        <v>77498333.333333328</v>
      </c>
      <c r="G33" s="134">
        <f>F33*12</f>
        <v>929980000</v>
      </c>
      <c r="H33" s="55"/>
      <c r="J33" s="138">
        <f>'W2'!$L$73</f>
        <v>2E-3</v>
      </c>
      <c r="K33" s="55"/>
      <c r="L33" s="134">
        <f>J33*SUM(K41:K45,K49)/12</f>
        <v>77498333.333333328</v>
      </c>
      <c r="M33" s="134">
        <f>L33*12</f>
        <v>929980000</v>
      </c>
      <c r="N33" s="55"/>
      <c r="P33" s="138">
        <f>'W2'!$L$73</f>
        <v>2E-3</v>
      </c>
      <c r="Q33" s="55"/>
      <c r="R33" s="134">
        <f>P33*SUM(Q41:Q45,Q49)/12</f>
        <v>77498333.333333328</v>
      </c>
      <c r="S33" s="134">
        <f>R33*12</f>
        <v>929980000</v>
      </c>
      <c r="T33" s="55"/>
      <c r="V33" s="138">
        <f>'W2'!$L$73</f>
        <v>2E-3</v>
      </c>
      <c r="W33" s="55"/>
      <c r="X33" s="134">
        <f>V33*SUM(W41:W45,W49)/12</f>
        <v>77498333.333333328</v>
      </c>
      <c r="Y33" s="134">
        <f>X33*12</f>
        <v>929980000</v>
      </c>
      <c r="Z33" s="55"/>
      <c r="AB33" s="138">
        <f>'W2'!$L$73</f>
        <v>2E-3</v>
      </c>
      <c r="AC33" s="55"/>
      <c r="AD33" s="134">
        <f t="shared" ref="AD33" si="504">AB33*SUM(AC41:AC45,AC49)/12</f>
        <v>77498333.333333328</v>
      </c>
      <c r="AE33" s="134">
        <f t="shared" ref="AE33" si="505">AD33*12</f>
        <v>929980000</v>
      </c>
      <c r="AF33" s="55"/>
      <c r="AH33" s="138">
        <f>'W2'!$L$73</f>
        <v>2E-3</v>
      </c>
      <c r="AI33" s="55"/>
      <c r="AJ33" s="134">
        <f t="shared" ref="AJ33" si="506">AH33*SUM(AI41:AI45,AI49)/12</f>
        <v>77498333.333333328</v>
      </c>
      <c r="AK33" s="134">
        <f t="shared" ref="AK33" si="507">AJ33*12</f>
        <v>929980000</v>
      </c>
      <c r="AL33" s="55"/>
      <c r="AN33" s="138">
        <f>'W2'!$L$73</f>
        <v>2E-3</v>
      </c>
      <c r="AO33" s="55"/>
      <c r="AP33" s="134">
        <f t="shared" ref="AP33" si="508">AN33*SUM(AO41:AO45,AO49)/12</f>
        <v>77498333.333333328</v>
      </c>
      <c r="AQ33" s="134">
        <f t="shared" ref="AQ33" si="509">AP33*12</f>
        <v>929980000</v>
      </c>
      <c r="AR33" s="55"/>
      <c r="AT33" s="138">
        <f>'W2'!$L$73</f>
        <v>2E-3</v>
      </c>
      <c r="AU33" s="55"/>
      <c r="AV33" s="134">
        <f t="shared" ref="AV33" si="510">AT33*SUM(AU41:AU45,AU49)/12</f>
        <v>77498333.333333328</v>
      </c>
      <c r="AW33" s="134">
        <f t="shared" ref="AW33" si="511">AV33*12</f>
        <v>929980000</v>
      </c>
      <c r="AX33" s="55"/>
      <c r="AZ33" s="138">
        <f>'W2'!$L$73</f>
        <v>2E-3</v>
      </c>
      <c r="BA33" s="55"/>
      <c r="BB33" s="134">
        <f t="shared" ref="BB33" si="512">AZ33*SUM(BA41:BA45,BA49)/12</f>
        <v>77498333.333333328</v>
      </c>
      <c r="BC33" s="134">
        <f t="shared" ref="BC33" si="513">BB33*12</f>
        <v>929980000</v>
      </c>
      <c r="BD33" s="55"/>
      <c r="BF33" s="138">
        <f>'W2'!$L$73</f>
        <v>2E-3</v>
      </c>
      <c r="BG33" s="55"/>
      <c r="BH33" s="134">
        <f t="shared" ref="BH33" si="514">BF33*SUM(BG41:BG45,BG49)/12</f>
        <v>77498333.333333328</v>
      </c>
      <c r="BI33" s="134">
        <f t="shared" ref="BI33" si="515">BH33*12</f>
        <v>929980000</v>
      </c>
      <c r="BJ33" s="55"/>
      <c r="BL33" s="138">
        <f>'W2'!$L$73</f>
        <v>2E-3</v>
      </c>
      <c r="BM33" s="55"/>
      <c r="BN33" s="134">
        <f t="shared" ref="BN33" si="516">BL33*SUM(BM41:BM45,BM49)/12</f>
        <v>77498333.333333328</v>
      </c>
      <c r="BO33" s="134">
        <f t="shared" ref="BO33" si="517">BN33*12</f>
        <v>929980000</v>
      </c>
      <c r="BP33" s="55"/>
      <c r="BR33" s="138">
        <f>'W2'!$L$73</f>
        <v>2E-3</v>
      </c>
      <c r="BS33" s="55"/>
      <c r="BT33" s="134">
        <f t="shared" ref="BT33" si="518">BR33*SUM(BS41:BS45,BS49)/12</f>
        <v>77498333.333333328</v>
      </c>
      <c r="BU33" s="134">
        <f t="shared" ref="BU33" si="519">BT33*12</f>
        <v>929980000</v>
      </c>
      <c r="BV33" s="55"/>
      <c r="BX33" s="138">
        <f>'W2'!$L$73</f>
        <v>2E-3</v>
      </c>
      <c r="BY33" s="55"/>
      <c r="BZ33" s="134">
        <f t="shared" ref="BZ33" si="520">BX33*SUM(BY41:BY45,BY49)/12</f>
        <v>77498333.333333328</v>
      </c>
      <c r="CA33" s="134">
        <f t="shared" ref="CA33" si="521">BZ33*12</f>
        <v>929980000</v>
      </c>
      <c r="CB33" s="55"/>
      <c r="CD33" s="138">
        <f>'W2'!$L$73</f>
        <v>2E-3</v>
      </c>
      <c r="CE33" s="55"/>
      <c r="CF33" s="134">
        <f t="shared" ref="CF33" si="522">CD33*SUM(CE41:CE45,CE49)/12</f>
        <v>77498333.333333328</v>
      </c>
      <c r="CG33" s="134">
        <f t="shared" ref="CG33" si="523">CF33*12</f>
        <v>929980000</v>
      </c>
      <c r="CH33" s="55"/>
      <c r="CJ33" s="138">
        <f>'W2'!$L$73</f>
        <v>2E-3</v>
      </c>
      <c r="CK33" s="55"/>
      <c r="CL33" s="134">
        <f t="shared" ref="CL33" si="524">CJ33*SUM(CK41:CK45,CK49)/12</f>
        <v>77498333.333333328</v>
      </c>
      <c r="CM33" s="134">
        <f t="shared" ref="CM33" si="525">CL33*12</f>
        <v>929980000</v>
      </c>
      <c r="CN33" s="55"/>
      <c r="CP33" s="138">
        <f>'W2'!$L$73</f>
        <v>2E-3</v>
      </c>
      <c r="CQ33" s="55"/>
      <c r="CR33" s="134">
        <f t="shared" ref="CR33" si="526">CP33*SUM(CQ41:CQ45,CQ49)/12</f>
        <v>77498333.333333328</v>
      </c>
      <c r="CS33" s="134">
        <f t="shared" ref="CS33" si="527">CR33*12</f>
        <v>929980000</v>
      </c>
      <c r="CT33" s="55"/>
      <c r="CV33" s="138">
        <f>'W2'!$L$73</f>
        <v>2E-3</v>
      </c>
      <c r="CW33" s="55"/>
      <c r="CX33" s="134">
        <f t="shared" ref="CX33" si="528">CV33*SUM(CW41:CW45,CW49)/12</f>
        <v>77498333.333333328</v>
      </c>
      <c r="CY33" s="134">
        <f t="shared" ref="CY33" si="529">CX33*12</f>
        <v>929980000</v>
      </c>
      <c r="CZ33" s="55"/>
      <c r="DB33" s="138">
        <f>'W2'!$L$73</f>
        <v>2E-3</v>
      </c>
      <c r="DC33" s="55"/>
      <c r="DD33" s="134">
        <f t="shared" ref="DD33" si="530">DB33*SUM(DC41:DC45,DC49)/12</f>
        <v>77498333.333333328</v>
      </c>
      <c r="DE33" s="134">
        <f t="shared" ref="DE33" si="531">DD33*12</f>
        <v>929980000</v>
      </c>
      <c r="DF33" s="55"/>
      <c r="DH33" s="138">
        <f>'W2'!$L$73</f>
        <v>2E-3</v>
      </c>
      <c r="DI33" s="55"/>
      <c r="DJ33" s="134">
        <f t="shared" ref="DJ33" si="532">DH33*SUM(DI41:DI45,DI49)/12</f>
        <v>77498333.333333328</v>
      </c>
      <c r="DK33" s="134">
        <f t="shared" ref="DK33" si="533">DJ33*12</f>
        <v>929980000</v>
      </c>
      <c r="DL33" s="55"/>
      <c r="DN33" s="138">
        <f>'W2'!$L$73</f>
        <v>2E-3</v>
      </c>
      <c r="DO33" s="55"/>
      <c r="DP33" s="134">
        <f t="shared" ref="DP33" si="534">DN33*SUM(DO41:DO45,DO49)/12</f>
        <v>77498333.333333328</v>
      </c>
      <c r="DQ33" s="134">
        <f t="shared" ref="DQ33" si="535">DP33*12</f>
        <v>929980000</v>
      </c>
      <c r="DR33" s="55"/>
      <c r="DT33" s="138">
        <f>'W2'!$L$73</f>
        <v>2E-3</v>
      </c>
      <c r="DU33" s="55"/>
      <c r="DV33" s="134">
        <f t="shared" ref="DV33" si="536">DT33*SUM(DU41:DU45,DU49)/12</f>
        <v>77498333.333333328</v>
      </c>
      <c r="DW33" s="134">
        <f t="shared" ref="DW33" si="537">DV33*12</f>
        <v>929980000</v>
      </c>
      <c r="DX33" s="55"/>
      <c r="DZ33" s="138">
        <f>'W2'!$L$73</f>
        <v>2E-3</v>
      </c>
      <c r="EA33" s="55"/>
      <c r="EB33" s="134">
        <f t="shared" ref="EB33" si="538">DZ33*SUM(EA41:EA45,EA49)/12</f>
        <v>77498333.333333328</v>
      </c>
      <c r="EC33" s="134">
        <f t="shared" ref="EC33" si="539">EB33*12</f>
        <v>929980000</v>
      </c>
      <c r="ED33" s="55"/>
      <c r="EF33" s="138">
        <f>'W2'!$L$73</f>
        <v>2E-3</v>
      </c>
      <c r="EG33" s="55"/>
      <c r="EH33" s="134">
        <f t="shared" ref="EH33" si="540">EF33*SUM(EG41:EG45,EG49)/12</f>
        <v>77498333.333333328</v>
      </c>
      <c r="EI33" s="134">
        <f t="shared" ref="EI33" si="541">EH33*12</f>
        <v>929980000</v>
      </c>
      <c r="EJ33" s="55"/>
      <c r="EL33" s="138">
        <f>'W2'!$L$73</f>
        <v>2E-3</v>
      </c>
      <c r="EM33" s="55"/>
      <c r="EN33" s="134">
        <f t="shared" ref="EN33" si="542">EL33*SUM(EM41:EM45,EM49)/12</f>
        <v>77498333.333333328</v>
      </c>
      <c r="EO33" s="134">
        <f t="shared" ref="EO33" si="543">EN33*12</f>
        <v>929980000</v>
      </c>
      <c r="EP33" s="55"/>
      <c r="ER33" s="138">
        <f>'W2'!$L$73</f>
        <v>2E-3</v>
      </c>
      <c r="ES33" s="55"/>
      <c r="ET33" s="134">
        <f t="shared" ref="ET33" si="544">ER33*SUM(ES41:ES45,ES49)/12</f>
        <v>77498333.333333328</v>
      </c>
      <c r="EU33" s="134">
        <f t="shared" ref="EU33" si="545">ET33*12</f>
        <v>929980000</v>
      </c>
      <c r="EV33" s="55"/>
    </row>
    <row r="34" spans="1:152" x14ac:dyDescent="0.25">
      <c r="B34" s="56" t="s">
        <v>528</v>
      </c>
      <c r="C34" s="55" t="s">
        <v>531</v>
      </c>
      <c r="D34" s="100">
        <f>'W2'!K38</f>
        <v>2</v>
      </c>
      <c r="E34" s="55"/>
      <c r="F34" s="134">
        <f>D34*(D35+D36)</f>
        <v>48300000</v>
      </c>
      <c r="G34" s="134">
        <f>F34*12</f>
        <v>579600000</v>
      </c>
      <c r="H34" s="55"/>
      <c r="J34" s="100">
        <v>2</v>
      </c>
      <c r="K34" s="55"/>
      <c r="L34" s="134">
        <f>J34*(J35+J36)</f>
        <v>48300000</v>
      </c>
      <c r="M34" s="134">
        <f>L34*12</f>
        <v>579600000</v>
      </c>
      <c r="N34" s="55"/>
      <c r="P34" s="100">
        <v>2</v>
      </c>
      <c r="Q34" s="55"/>
      <c r="R34" s="134">
        <f>P34*(P35+P36)</f>
        <v>50715000</v>
      </c>
      <c r="S34" s="134">
        <f>R34*12</f>
        <v>608580000</v>
      </c>
      <c r="T34" s="55"/>
      <c r="V34" s="100">
        <v>2</v>
      </c>
      <c r="W34" s="55"/>
      <c r="X34" s="134">
        <f>V34*(V35+V36)</f>
        <v>53250750</v>
      </c>
      <c r="Y34" s="134">
        <f>X34*12</f>
        <v>639009000</v>
      </c>
      <c r="Z34" s="55"/>
      <c r="AB34" s="100">
        <v>2</v>
      </c>
      <c r="AC34" s="55"/>
      <c r="AD34" s="134">
        <f t="shared" ref="AD34" si="546">AB34*(AB35+AB36)</f>
        <v>55913287.500000007</v>
      </c>
      <c r="AE34" s="134">
        <f t="shared" ref="AE34" si="547">AD34*12</f>
        <v>670959450.00000012</v>
      </c>
      <c r="AF34" s="55"/>
      <c r="AH34" s="100">
        <v>2</v>
      </c>
      <c r="AI34" s="55"/>
      <c r="AJ34" s="134">
        <f t="shared" ref="AJ34" si="548">AH34*(AH35+AH36)</f>
        <v>58708951.875</v>
      </c>
      <c r="AK34" s="134">
        <f t="shared" ref="AK34" si="549">AJ34*12</f>
        <v>704507422.5</v>
      </c>
      <c r="AL34" s="55"/>
      <c r="AN34" s="100">
        <v>2</v>
      </c>
      <c r="AO34" s="55"/>
      <c r="AP34" s="134">
        <f t="shared" ref="AP34" si="550">AN34*(AN35+AN36)</f>
        <v>61644399.468750007</v>
      </c>
      <c r="AQ34" s="134">
        <f t="shared" ref="AQ34" si="551">AP34*12</f>
        <v>739732793.62500012</v>
      </c>
      <c r="AR34" s="55"/>
      <c r="AT34" s="100">
        <v>2</v>
      </c>
      <c r="AU34" s="55"/>
      <c r="AV34" s="134">
        <f t="shared" ref="AV34" si="552">AT34*(AT35+AT36)</f>
        <v>64726619.442187503</v>
      </c>
      <c r="AW34" s="134">
        <f t="shared" ref="AW34" si="553">AV34*12</f>
        <v>776719433.3062501</v>
      </c>
      <c r="AX34" s="55"/>
      <c r="AZ34" s="100">
        <v>2</v>
      </c>
      <c r="BA34" s="55"/>
      <c r="BB34" s="134">
        <f t="shared" ref="BB34" si="554">AZ34*(AZ35+AZ36)</f>
        <v>67962950.414296895</v>
      </c>
      <c r="BC34" s="134">
        <f t="shared" ref="BC34" si="555">BB34*12</f>
        <v>815555404.97156274</v>
      </c>
      <c r="BD34" s="55"/>
      <c r="BF34" s="100">
        <v>2</v>
      </c>
      <c r="BG34" s="55"/>
      <c r="BH34" s="134">
        <f t="shared" ref="BH34" si="556">BF34*(BF35+BF36)</f>
        <v>71361097.935011715</v>
      </c>
      <c r="BI34" s="134">
        <f t="shared" ref="BI34" si="557">BH34*12</f>
        <v>856333175.22014058</v>
      </c>
      <c r="BJ34" s="55"/>
      <c r="BL34" s="100">
        <v>2</v>
      </c>
      <c r="BM34" s="55"/>
      <c r="BN34" s="134">
        <f t="shared" ref="BN34" si="558">BL34*(BL35+BL36)</f>
        <v>74929152.831762314</v>
      </c>
      <c r="BO34" s="134">
        <f t="shared" ref="BO34" si="559">BN34*12</f>
        <v>899149833.98114777</v>
      </c>
      <c r="BP34" s="55"/>
      <c r="BR34" s="100">
        <v>2</v>
      </c>
      <c r="BS34" s="55"/>
      <c r="BT34" s="134">
        <f t="shared" ref="BT34" si="560">BR34*(BR35+BR36)</f>
        <v>78675610.473350435</v>
      </c>
      <c r="BU34" s="134">
        <f t="shared" ref="BU34" si="561">BT34*12</f>
        <v>944107325.68020523</v>
      </c>
      <c r="BV34" s="55"/>
      <c r="BX34" s="100">
        <v>2</v>
      </c>
      <c r="BY34" s="55"/>
      <c r="BZ34" s="134">
        <f t="shared" ref="BZ34" si="562">BX34*(BX35+BX36)</f>
        <v>82609390.99701795</v>
      </c>
      <c r="CA34" s="134">
        <f t="shared" ref="CA34" si="563">BZ34*12</f>
        <v>991312691.9642154</v>
      </c>
      <c r="CB34" s="55"/>
      <c r="CD34" s="100">
        <v>2</v>
      </c>
      <c r="CE34" s="55"/>
      <c r="CF34" s="134">
        <f t="shared" ref="CF34" si="564">CD34*(CD35+CD36)</f>
        <v>86739860.546868846</v>
      </c>
      <c r="CG34" s="134">
        <f t="shared" ref="CG34" si="565">CF34*12</f>
        <v>1040878326.5624261</v>
      </c>
      <c r="CH34" s="55"/>
      <c r="CJ34" s="100">
        <v>2</v>
      </c>
      <c r="CK34" s="55"/>
      <c r="CL34" s="134">
        <f t="shared" ref="CL34" si="566">CJ34*(CJ35+CJ36)</f>
        <v>91076853.574212298</v>
      </c>
      <c r="CM34" s="134">
        <f t="shared" ref="CM34" si="567">CL34*12</f>
        <v>1092922242.8905475</v>
      </c>
      <c r="CN34" s="55"/>
      <c r="CP34" s="100">
        <v>2</v>
      </c>
      <c r="CQ34" s="55"/>
      <c r="CR34" s="134">
        <f t="shared" ref="CR34" si="568">CP34*(CP35+CP36)</f>
        <v>95630696.252922893</v>
      </c>
      <c r="CS34" s="134">
        <f t="shared" ref="CS34" si="569">CR34*12</f>
        <v>1147568355.0350747</v>
      </c>
      <c r="CT34" s="55"/>
      <c r="CV34" s="100">
        <v>2</v>
      </c>
      <c r="CW34" s="55"/>
      <c r="CX34" s="134">
        <f t="shared" ref="CX34" si="570">CV34*(CV35+CV36)</f>
        <v>100412231.06556907</v>
      </c>
      <c r="CY34" s="134">
        <f t="shared" ref="CY34" si="571">CX34*12</f>
        <v>1204946772.786829</v>
      </c>
      <c r="CZ34" s="55"/>
      <c r="DB34" s="100">
        <v>2</v>
      </c>
      <c r="DC34" s="55"/>
      <c r="DD34" s="134">
        <f t="shared" ref="DD34" si="572">DB34*(DB35+DB36)</f>
        <v>105432842.61884752</v>
      </c>
      <c r="DE34" s="134">
        <f t="shared" ref="DE34" si="573">DD34*12</f>
        <v>1265194111.4261703</v>
      </c>
      <c r="DF34" s="55"/>
      <c r="DH34" s="100">
        <v>2</v>
      </c>
      <c r="DI34" s="55"/>
      <c r="DJ34" s="134">
        <f t="shared" ref="DJ34" si="574">DH34*(DH35+DH36)</f>
        <v>110704484.74978989</v>
      </c>
      <c r="DK34" s="134">
        <f t="shared" ref="DK34" si="575">DJ34*12</f>
        <v>1328453816.9974787</v>
      </c>
      <c r="DL34" s="55"/>
      <c r="DN34" s="100">
        <v>2</v>
      </c>
      <c r="DO34" s="55"/>
      <c r="DP34" s="134">
        <f t="shared" ref="DP34" si="576">DN34*(DN35+DN36)</f>
        <v>116239708.98727939</v>
      </c>
      <c r="DQ34" s="134">
        <f t="shared" ref="DQ34" si="577">DP34*12</f>
        <v>1394876507.8473525</v>
      </c>
      <c r="DR34" s="55"/>
      <c r="DT34" s="100">
        <v>2</v>
      </c>
      <c r="DU34" s="55"/>
      <c r="DV34" s="134">
        <f t="shared" ref="DV34" si="578">DT34*(DT35+DT36)</f>
        <v>122051694.43664336</v>
      </c>
      <c r="DW34" s="134">
        <f t="shared" ref="DW34" si="579">DV34*12</f>
        <v>1464620333.2397203</v>
      </c>
      <c r="DX34" s="55"/>
      <c r="DZ34" s="100">
        <v>2</v>
      </c>
      <c r="EA34" s="55"/>
      <c r="EB34" s="134">
        <f t="shared" ref="EB34" si="580">DZ34*(DZ35+DZ36)</f>
        <v>128154279.15847553</v>
      </c>
      <c r="EC34" s="134">
        <f t="shared" ref="EC34" si="581">EB34*12</f>
        <v>1537851349.9017065</v>
      </c>
      <c r="ED34" s="55"/>
      <c r="EF34" s="100">
        <v>2</v>
      </c>
      <c r="EG34" s="55"/>
      <c r="EH34" s="134">
        <f t="shared" ref="EH34" si="582">EF34*(EF35+EF36)</f>
        <v>134561993.11639932</v>
      </c>
      <c r="EI34" s="134">
        <f t="shared" ref="EI34" si="583">EH34*12</f>
        <v>1614743917.3967919</v>
      </c>
      <c r="EJ34" s="55"/>
      <c r="EL34" s="100">
        <v>2</v>
      </c>
      <c r="EM34" s="55"/>
      <c r="EN34" s="134">
        <f t="shared" ref="EN34" si="584">EL34*(EL35+EL36)</f>
        <v>141290092.77221924</v>
      </c>
      <c r="EO34" s="134">
        <f t="shared" ref="EO34" si="585">EN34*12</f>
        <v>1695481113.2666309</v>
      </c>
      <c r="EP34" s="55"/>
      <c r="ER34" s="100">
        <v>2</v>
      </c>
      <c r="ES34" s="55"/>
      <c r="ET34" s="134">
        <f t="shared" ref="ET34" si="586">ER34*(ER35+ER36)</f>
        <v>148354597.41083026</v>
      </c>
      <c r="EU34" s="134">
        <f t="shared" ref="EU34" si="587">ET34*12</f>
        <v>1780255168.9299631</v>
      </c>
      <c r="EV34" s="55"/>
    </row>
    <row r="35" spans="1:152" x14ac:dyDescent="0.25">
      <c r="B35" s="56" t="s">
        <v>529</v>
      </c>
      <c r="C35" s="55" t="s">
        <v>530</v>
      </c>
      <c r="D35" s="100" cm="1">
        <f t="array" ref="D35">'W2'!$L$38*$E$1*
_xlfn.SWITCH($C$1,1,1,2,1+Opt2_CPSX,3,1+Opt3_CPSX,4,1+Opt4_CPSX,5,1+Opt5_CPSX,6,1+Opt6_CPSX)
*POWER(1+$C$72,G$1)</f>
        <v>21000000</v>
      </c>
      <c r="E35" s="55"/>
      <c r="F35" s="134"/>
      <c r="G35" s="134"/>
      <c r="H35" s="55"/>
      <c r="J35" s="100" cm="1">
        <f t="array" ref="J35">'W2'!$L$38*$E$1*
_xlfn.SWITCH($C$1,1,1,2,1+Opt2_CPSX,3,1+Opt3_CPSX,4,1+Opt4_CPSX,5,1+Opt5_CPSX,6,1+Opt6_CPSX)
*POWER(1+$C$72,M$1)</f>
        <v>21000000</v>
      </c>
      <c r="K35" s="55"/>
      <c r="L35" s="134"/>
      <c r="M35" s="134"/>
      <c r="N35" s="55"/>
      <c r="P35" s="100" cm="1">
        <f t="array" ref="P35">'W2'!$L$38*$E$1*
_xlfn.SWITCH($C$1,1,1,2,1+Opt2_CPSX,3,1+Opt3_CPSX,4,1+Opt4_CPSX,5,1+Opt5_CPSX,6,1+Opt6_CPSX)
*POWER(1+$C$72,S$1)</f>
        <v>22050000</v>
      </c>
      <c r="Q35" s="55"/>
      <c r="R35" s="134"/>
      <c r="S35" s="134"/>
      <c r="T35" s="55"/>
      <c r="V35" s="100" cm="1">
        <f t="array" ref="V35">'W2'!$L$38*$E$1*
_xlfn.SWITCH($C$1,1,1,2,1+Opt2_CPSX,3,1+Opt3_CPSX,4,1+Opt4_CPSX,5,1+Opt5_CPSX,6,1+Opt6_CPSX)
*POWER(1+$C$72,Y$1)</f>
        <v>23152500</v>
      </c>
      <c r="W35" s="55"/>
      <c r="X35" s="134"/>
      <c r="Y35" s="134"/>
      <c r="Z35" s="55"/>
      <c r="AB35" s="100" cm="1">
        <f t="array" ref="AB35">'W2'!$L$38*$E$1*
_xlfn.SWITCH($C$1,1,1,2,1+Opt2_CPSX,3,1+Opt3_CPSX,4,1+Opt4_CPSX,5,1+Opt5_CPSX,6,1+Opt6_CPSX)
*POWER(1+$C$72,AE$1)</f>
        <v>24310125.000000004</v>
      </c>
      <c r="AC35" s="55"/>
      <c r="AD35" s="134"/>
      <c r="AE35" s="134"/>
      <c r="AF35" s="55"/>
      <c r="AH35" s="100" cm="1">
        <f t="array" ref="AH35">'W2'!$L$38*$E$1*
_xlfn.SWITCH($C$1,1,1,2,1+Opt2_CPSX,3,1+Opt3_CPSX,4,1+Opt4_CPSX,5,1+Opt5_CPSX,6,1+Opt6_CPSX)
*POWER(1+$C$72,AK$1)</f>
        <v>25525631.25</v>
      </c>
      <c r="AI35" s="55"/>
      <c r="AJ35" s="134"/>
      <c r="AK35" s="134"/>
      <c r="AL35" s="55"/>
      <c r="AN35" s="100" cm="1">
        <f t="array" ref="AN35">'W2'!$L$38*$E$1*
_xlfn.SWITCH($C$1,1,1,2,1+Opt2_CPSX,3,1+Opt3_CPSX,4,1+Opt4_CPSX,5,1+Opt5_CPSX,6,1+Opt6_CPSX)
*POWER(1+$C$72,AQ$1)</f>
        <v>26801912.812500004</v>
      </c>
      <c r="AO35" s="55"/>
      <c r="AP35" s="134"/>
      <c r="AQ35" s="134"/>
      <c r="AR35" s="55"/>
      <c r="AT35" s="100" cm="1">
        <f t="array" ref="AT35">'W2'!$L$38*$E$1*
_xlfn.SWITCH($C$1,1,1,2,1+Opt2_CPSX,3,1+Opt3_CPSX,4,1+Opt4_CPSX,5,1+Opt5_CPSX,6,1+Opt6_CPSX)
*POWER(1+$C$72,AW$1)</f>
        <v>28142008.453125</v>
      </c>
      <c r="AU35" s="55"/>
      <c r="AV35" s="134"/>
      <c r="AW35" s="134"/>
      <c r="AX35" s="55"/>
      <c r="AZ35" s="100" cm="1">
        <f t="array" ref="AZ35">'W2'!$L$38*$E$1*
_xlfn.SWITCH($C$1,1,1,2,1+Opt2_CPSX,3,1+Opt3_CPSX,4,1+Opt4_CPSX,5,1+Opt5_CPSX,6,1+Opt6_CPSX)
*POWER(1+$C$72,BC$1)</f>
        <v>29549108.875781257</v>
      </c>
      <c r="BA35" s="55"/>
      <c r="BB35" s="134"/>
      <c r="BC35" s="134"/>
      <c r="BD35" s="55"/>
      <c r="BF35" s="100" cm="1">
        <f t="array" ref="BF35">'W2'!$L$38*$E$1*
_xlfn.SWITCH($C$1,1,1,2,1+Opt2_CPSX,3,1+Opt3_CPSX,4,1+Opt4_CPSX,5,1+Opt5_CPSX,6,1+Opt6_CPSX)
*POWER(1+$C$72,BI$1)</f>
        <v>31026564.319570314</v>
      </c>
      <c r="BG35" s="55"/>
      <c r="BH35" s="134"/>
      <c r="BI35" s="134"/>
      <c r="BJ35" s="55"/>
      <c r="BL35" s="100" cm="1">
        <f t="array" ref="BL35">'W2'!$L$38*$E$1*
_xlfn.SWITCH($C$1,1,1,2,1+Opt2_CPSX,3,1+Opt3_CPSX,4,1+Opt4_CPSX,5,1+Opt5_CPSX,6,1+Opt6_CPSX)
*POWER(1+$C$72,BO$1)</f>
        <v>32577892.535548832</v>
      </c>
      <c r="BM35" s="55"/>
      <c r="BN35" s="134"/>
      <c r="BO35" s="134"/>
      <c r="BP35" s="55"/>
      <c r="BR35" s="100" cm="1">
        <f t="array" ref="BR35">'W2'!$L$38*$E$1*
_xlfn.SWITCH($C$1,1,1,2,1+Opt2_CPSX,3,1+Opt3_CPSX,4,1+Opt4_CPSX,5,1+Opt5_CPSX,6,1+Opt6_CPSX)
*POWER(1+$C$72,BU$1)</f>
        <v>34206787.162326276</v>
      </c>
      <c r="BS35" s="55"/>
      <c r="BT35" s="134"/>
      <c r="BU35" s="134"/>
      <c r="BV35" s="55"/>
      <c r="BX35" s="100" cm="1">
        <f t="array" ref="BX35">'W2'!$L$38*$E$1*
_xlfn.SWITCH($C$1,1,1,2,1+Opt2_CPSX,3,1+Opt3_CPSX,4,1+Opt4_CPSX,5,1+Opt5_CPSX,6,1+Opt6_CPSX)
*POWER(1+$C$72,CA$1)</f>
        <v>35917126.52044259</v>
      </c>
      <c r="BY35" s="55"/>
      <c r="BZ35" s="134"/>
      <c r="CA35" s="134"/>
      <c r="CB35" s="55"/>
      <c r="CD35" s="100" cm="1">
        <f t="array" ref="CD35">'W2'!$L$38*$E$1*
_xlfn.SWITCH($C$1,1,1,2,1+Opt2_CPSX,3,1+Opt3_CPSX,4,1+Opt4_CPSX,5,1+Opt5_CPSX,6,1+Opt6_CPSX)
*POWER(1+$C$72,CG$1)</f>
        <v>37712982.846464716</v>
      </c>
      <c r="CE35" s="55"/>
      <c r="CF35" s="134"/>
      <c r="CG35" s="134"/>
      <c r="CH35" s="55"/>
      <c r="CJ35" s="100" cm="1">
        <f t="array" ref="CJ35">'W2'!$L$38*$E$1*
_xlfn.SWITCH($C$1,1,1,2,1+Opt2_CPSX,3,1+Opt3_CPSX,4,1+Opt4_CPSX,5,1+Opt5_CPSX,6,1+Opt6_CPSX)
*POWER(1+$C$72,CM$1)</f>
        <v>39598631.988787957</v>
      </c>
      <c r="CK35" s="55"/>
      <c r="CL35" s="134"/>
      <c r="CM35" s="134"/>
      <c r="CN35" s="55"/>
      <c r="CP35" s="100" cm="1">
        <f t="array" ref="CP35">'W2'!$L$38*$E$1*
_xlfn.SWITCH($C$1,1,1,2,1+Opt2_CPSX,3,1+Opt3_CPSX,4,1+Opt4_CPSX,5,1+Opt5_CPSX,6,1+Opt6_CPSX)
*POWER(1+$C$72,CS$1)</f>
        <v>41578563.588227347</v>
      </c>
      <c r="CQ35" s="55"/>
      <c r="CR35" s="134"/>
      <c r="CS35" s="134"/>
      <c r="CT35" s="55"/>
      <c r="CV35" s="100" cm="1">
        <f t="array" ref="CV35">'W2'!$L$38*$E$1*
_xlfn.SWITCH($C$1,1,1,2,1+Opt2_CPSX,3,1+Opt3_CPSX,4,1+Opt4_CPSX,5,1+Opt5_CPSX,6,1+Opt6_CPSX)
*POWER(1+$C$72,CY$1)</f>
        <v>43657491.767638728</v>
      </c>
      <c r="CW35" s="55"/>
      <c r="CX35" s="134"/>
      <c r="CY35" s="134"/>
      <c r="CZ35" s="55"/>
      <c r="DB35" s="100" cm="1">
        <f t="array" ref="DB35">'W2'!$L$38*$E$1*
_xlfn.SWITCH($C$1,1,1,2,1+Opt2_CPSX,3,1+Opt3_CPSX,4,1+Opt4_CPSX,5,1+Opt5_CPSX,6,1+Opt6_CPSX)
*POWER(1+$C$72,DE$1)</f>
        <v>45840366.356020659</v>
      </c>
      <c r="DC35" s="55"/>
      <c r="DD35" s="134"/>
      <c r="DE35" s="134"/>
      <c r="DF35" s="55"/>
      <c r="DH35" s="100" cm="1">
        <f t="array" ref="DH35">'W2'!$L$38*$E$1*
_xlfn.SWITCH($C$1,1,1,2,1+Opt2_CPSX,3,1+Opt3_CPSX,4,1+Opt4_CPSX,5,1+Opt5_CPSX,6,1+Opt6_CPSX)
*POWER(1+$C$72,DK$1)</f>
        <v>48132384.673821695</v>
      </c>
      <c r="DI35" s="55"/>
      <c r="DJ35" s="134"/>
      <c r="DK35" s="134"/>
      <c r="DL35" s="55"/>
      <c r="DN35" s="100" cm="1">
        <f t="array" ref="DN35">'W2'!$L$38*$E$1*
_xlfn.SWITCH($C$1,1,1,2,1+Opt2_CPSX,3,1+Opt3_CPSX,4,1+Opt4_CPSX,5,1+Opt5_CPSX,6,1+Opt6_CPSX)
*POWER(1+$C$72,DQ$1)</f>
        <v>50539003.907512777</v>
      </c>
      <c r="DO35" s="55"/>
      <c r="DP35" s="134"/>
      <c r="DQ35" s="134"/>
      <c r="DR35" s="55"/>
      <c r="DT35" s="100" cm="1">
        <f t="array" ref="DT35">'W2'!$L$38*$E$1*
_xlfn.SWITCH($C$1,1,1,2,1+Opt2_CPSX,3,1+Opt3_CPSX,4,1+Opt4_CPSX,5,1+Opt5_CPSX,6,1+Opt6_CPSX)
*POWER(1+$C$72,DW$1)</f>
        <v>53065954.10288842</v>
      </c>
      <c r="DU35" s="55"/>
      <c r="DV35" s="134"/>
      <c r="DW35" s="134"/>
      <c r="DX35" s="55"/>
      <c r="DZ35" s="100" cm="1">
        <f t="array" ref="DZ35">'W2'!$L$38*$E$1*
_xlfn.SWITCH($C$1,1,1,2,1+Opt2_CPSX,3,1+Opt3_CPSX,4,1+Opt4_CPSX,5,1+Opt5_CPSX,6,1+Opt6_CPSX)
*POWER(1+$C$72,EC$1)</f>
        <v>55719251.80803284</v>
      </c>
      <c r="EA35" s="55"/>
      <c r="EB35" s="134"/>
      <c r="EC35" s="134"/>
      <c r="ED35" s="55"/>
      <c r="EF35" s="100" cm="1">
        <f t="array" ref="EF35">'W2'!$L$38*$E$1*
_xlfn.SWITCH($C$1,1,1,2,1+Opt2_CPSX,3,1+Opt3_CPSX,4,1+Opt4_CPSX,5,1+Opt5_CPSX,6,1+Opt6_CPSX)
*POWER(1+$C$72,EI$1)</f>
        <v>58505214.398434483</v>
      </c>
      <c r="EG35" s="55"/>
      <c r="EH35" s="134"/>
      <c r="EI35" s="134"/>
      <c r="EJ35" s="55"/>
      <c r="EL35" s="100" cm="1">
        <f t="array" ref="EL35">'W2'!$L$38*$E$1*
_xlfn.SWITCH($C$1,1,1,2,1+Opt2_CPSX,3,1+Opt3_CPSX,4,1+Opt4_CPSX,5,1+Opt5_CPSX,6,1+Opt6_CPSX)
*POWER(1+$C$72,EO$1)</f>
        <v>61430475.118356198</v>
      </c>
      <c r="EM35" s="55"/>
      <c r="EN35" s="134"/>
      <c r="EO35" s="134"/>
      <c r="EP35" s="55"/>
      <c r="ER35" s="100" cm="1">
        <f t="array" ref="ER35">'W2'!$L$38*$E$1*
_xlfn.SWITCH($C$1,1,1,2,1+Opt2_CPSX,3,1+Opt3_CPSX,4,1+Opt4_CPSX,5,1+Opt5_CPSX,6,1+Opt6_CPSX)
*POWER(1+$C$72,EU$1)</f>
        <v>64501998.874274023</v>
      </c>
      <c r="ES35" s="55"/>
      <c r="ET35" s="134"/>
      <c r="EU35" s="134"/>
      <c r="EV35" s="55"/>
    </row>
    <row r="36" spans="1:152" x14ac:dyDescent="0.25">
      <c r="B36" s="56" t="s">
        <v>532</v>
      </c>
      <c r="C36" s="55" t="s">
        <v>530</v>
      </c>
      <c r="D36" s="100" cm="1">
        <f t="array" ref="D36">'W2'!$L$39*$E$1
*_xlfn.SWITCH($C$1,1,1,2,1+Opt2_CPSX,3,1+Opt3_CPSX,4,1+Opt4_CPSX,5,1+Opt5_CPSX,6,1+Opt6_CPSX)
*POWER(1+$C$72,G$1)</f>
        <v>3150000</v>
      </c>
      <c r="E36" s="55"/>
      <c r="F36" s="134"/>
      <c r="G36" s="134"/>
      <c r="H36" s="55"/>
      <c r="J36" s="100" cm="1">
        <f t="array" ref="J36">'W2'!$L$39*$E$1
*_xlfn.SWITCH($C$1,1,1,2,1+Opt2_CPSX,3,1+Opt3_CPSX,4,1+Opt4_CPSX,5,1+Opt5_CPSX,6,1+Opt6_CPSX)
*POWER(1+$C$72,M$1)</f>
        <v>3150000</v>
      </c>
      <c r="K36" s="55"/>
      <c r="L36" s="134"/>
      <c r="M36" s="134"/>
      <c r="N36" s="55"/>
      <c r="P36" s="100" cm="1">
        <f t="array" ref="P36">'W2'!$L$39*$E$1
*_xlfn.SWITCH($C$1,1,1,2,1+Opt2_CPSX,3,1+Opt3_CPSX,4,1+Opt4_CPSX,5,1+Opt5_CPSX,6,1+Opt6_CPSX)
*POWER(1+$C$72,S$1)</f>
        <v>3307500</v>
      </c>
      <c r="Q36" s="55"/>
      <c r="R36" s="134"/>
      <c r="S36" s="134"/>
      <c r="T36" s="55"/>
      <c r="V36" s="100" cm="1">
        <f t="array" ref="V36">'W2'!$L$39*$E$1
*_xlfn.SWITCH($C$1,1,1,2,1+Opt2_CPSX,3,1+Opt3_CPSX,4,1+Opt4_CPSX,5,1+Opt5_CPSX,6,1+Opt6_CPSX)
*POWER(1+$C$72,Y$1)</f>
        <v>3472875</v>
      </c>
      <c r="W36" s="55"/>
      <c r="X36" s="134"/>
      <c r="Y36" s="134"/>
      <c r="Z36" s="55"/>
      <c r="AB36" s="100" cm="1">
        <f t="array" ref="AB36">'W2'!$L$39*$E$1
*_xlfn.SWITCH($C$1,1,1,2,1+Opt2_CPSX,3,1+Opt3_CPSX,4,1+Opt4_CPSX,5,1+Opt5_CPSX,6,1+Opt6_CPSX)
*POWER(1+$C$72,AE$1)</f>
        <v>3646518.7500000005</v>
      </c>
      <c r="AC36" s="55"/>
      <c r="AD36" s="134"/>
      <c r="AE36" s="134"/>
      <c r="AF36" s="55"/>
      <c r="AH36" s="100" cm="1">
        <f t="array" ref="AH36">'W2'!$L$39*$E$1
*_xlfn.SWITCH($C$1,1,1,2,1+Opt2_CPSX,3,1+Opt3_CPSX,4,1+Opt4_CPSX,5,1+Opt5_CPSX,6,1+Opt6_CPSX)
*POWER(1+$C$72,AK$1)</f>
        <v>3828844.6875</v>
      </c>
      <c r="AI36" s="55"/>
      <c r="AJ36" s="134"/>
      <c r="AK36" s="134"/>
      <c r="AL36" s="55"/>
      <c r="AN36" s="100" cm="1">
        <f t="array" ref="AN36">'W2'!$L$39*$E$1
*_xlfn.SWITCH($C$1,1,1,2,1+Opt2_CPSX,3,1+Opt3_CPSX,4,1+Opt4_CPSX,5,1+Opt5_CPSX,6,1+Opt6_CPSX)
*POWER(1+$C$72,AQ$1)</f>
        <v>4020286.9218750005</v>
      </c>
      <c r="AO36" s="55"/>
      <c r="AP36" s="134"/>
      <c r="AQ36" s="134"/>
      <c r="AR36" s="55"/>
      <c r="AT36" s="100" cm="1">
        <f t="array" ref="AT36">'W2'!$L$39*$E$1
*_xlfn.SWITCH($C$1,1,1,2,1+Opt2_CPSX,3,1+Opt3_CPSX,4,1+Opt4_CPSX,5,1+Opt5_CPSX,6,1+Opt6_CPSX)
*POWER(1+$C$72,AW$1)</f>
        <v>4221301.2679687496</v>
      </c>
      <c r="AU36" s="55"/>
      <c r="AV36" s="134"/>
      <c r="AW36" s="134"/>
      <c r="AX36" s="55"/>
      <c r="AZ36" s="100" cm="1">
        <f t="array" ref="AZ36">'W2'!$L$39*$E$1
*_xlfn.SWITCH($C$1,1,1,2,1+Opt2_CPSX,3,1+Opt3_CPSX,4,1+Opt4_CPSX,5,1+Opt5_CPSX,6,1+Opt6_CPSX)
*POWER(1+$C$72,BC$1)</f>
        <v>4432366.3313671881</v>
      </c>
      <c r="BA36" s="55"/>
      <c r="BB36" s="134"/>
      <c r="BC36" s="134"/>
      <c r="BD36" s="55"/>
      <c r="BF36" s="100" cm="1">
        <f t="array" ref="BF36">'W2'!$L$39*$E$1
*_xlfn.SWITCH($C$1,1,1,2,1+Opt2_CPSX,3,1+Opt3_CPSX,4,1+Opt4_CPSX,5,1+Opt5_CPSX,6,1+Opt6_CPSX)
*POWER(1+$C$72,BI$1)</f>
        <v>4653984.6479355469</v>
      </c>
      <c r="BG36" s="55"/>
      <c r="BH36" s="134"/>
      <c r="BI36" s="134"/>
      <c r="BJ36" s="55"/>
      <c r="BL36" s="100" cm="1">
        <f t="array" ref="BL36">'W2'!$L$39*$E$1
*_xlfn.SWITCH($C$1,1,1,2,1+Opt2_CPSX,3,1+Opt3_CPSX,4,1+Opt4_CPSX,5,1+Opt5_CPSX,6,1+Opt6_CPSX)
*POWER(1+$C$72,BO$1)</f>
        <v>4886683.8803323247</v>
      </c>
      <c r="BM36" s="55"/>
      <c r="BN36" s="134"/>
      <c r="BO36" s="134"/>
      <c r="BP36" s="55"/>
      <c r="BR36" s="100" cm="1">
        <f t="array" ref="BR36">'W2'!$L$39*$E$1
*_xlfn.SWITCH($C$1,1,1,2,1+Opt2_CPSX,3,1+Opt3_CPSX,4,1+Opt4_CPSX,5,1+Opt5_CPSX,6,1+Opt6_CPSX)
*POWER(1+$C$72,BU$1)</f>
        <v>5131018.0743489405</v>
      </c>
      <c r="BS36" s="55"/>
      <c r="BT36" s="134"/>
      <c r="BU36" s="134"/>
      <c r="BV36" s="55"/>
      <c r="BX36" s="100" cm="1">
        <f t="array" ref="BX36">'W2'!$L$39*$E$1
*_xlfn.SWITCH($C$1,1,1,2,1+Opt2_CPSX,3,1+Opt3_CPSX,4,1+Opt4_CPSX,5,1+Opt5_CPSX,6,1+Opt6_CPSX)
*POWER(1+$C$72,CA$1)</f>
        <v>5387568.9780663885</v>
      </c>
      <c r="BY36" s="55"/>
      <c r="BZ36" s="134"/>
      <c r="CA36" s="134"/>
      <c r="CB36" s="55"/>
      <c r="CD36" s="100" cm="1">
        <f t="array" ref="CD36">'W2'!$L$39*$E$1
*_xlfn.SWITCH($C$1,1,1,2,1+Opt2_CPSX,3,1+Opt3_CPSX,4,1+Opt4_CPSX,5,1+Opt5_CPSX,6,1+Opt6_CPSX)
*POWER(1+$C$72,CG$1)</f>
        <v>5656947.426969707</v>
      </c>
      <c r="CE36" s="55"/>
      <c r="CF36" s="134"/>
      <c r="CG36" s="134"/>
      <c r="CH36" s="55"/>
      <c r="CJ36" s="100" cm="1">
        <f t="array" ref="CJ36">'W2'!$L$39*$E$1
*_xlfn.SWITCH($C$1,1,1,2,1+Opt2_CPSX,3,1+Opt3_CPSX,4,1+Opt4_CPSX,5,1+Opt5_CPSX,6,1+Opt6_CPSX)
*POWER(1+$C$72,CM$1)</f>
        <v>5939794.7983181933</v>
      </c>
      <c r="CK36" s="55"/>
      <c r="CL36" s="134"/>
      <c r="CM36" s="134"/>
      <c r="CN36" s="55"/>
      <c r="CP36" s="100" cm="1">
        <f t="array" ref="CP36">'W2'!$L$39*$E$1
*_xlfn.SWITCH($C$1,1,1,2,1+Opt2_CPSX,3,1+Opt3_CPSX,4,1+Opt4_CPSX,5,1+Opt5_CPSX,6,1+Opt6_CPSX)
*POWER(1+$C$72,CS$1)</f>
        <v>6236784.5382341016</v>
      </c>
      <c r="CQ36" s="55"/>
      <c r="CR36" s="134"/>
      <c r="CS36" s="134"/>
      <c r="CT36" s="55"/>
      <c r="CV36" s="100" cm="1">
        <f t="array" ref="CV36">'W2'!$L$39*$E$1
*_xlfn.SWITCH($C$1,1,1,2,1+Opt2_CPSX,3,1+Opt3_CPSX,4,1+Opt4_CPSX,5,1+Opt5_CPSX,6,1+Opt6_CPSX)
*POWER(1+$C$72,CY$1)</f>
        <v>6548623.7651458085</v>
      </c>
      <c r="CW36" s="55"/>
      <c r="CX36" s="134"/>
      <c r="CY36" s="134"/>
      <c r="CZ36" s="55"/>
      <c r="DB36" s="100" cm="1">
        <f t="array" ref="DB36">'W2'!$L$39*$E$1
*_xlfn.SWITCH($C$1,1,1,2,1+Opt2_CPSX,3,1+Opt3_CPSX,4,1+Opt4_CPSX,5,1+Opt5_CPSX,6,1+Opt6_CPSX)
*POWER(1+$C$72,DE$1)</f>
        <v>6876054.9534030985</v>
      </c>
      <c r="DC36" s="55"/>
      <c r="DD36" s="134"/>
      <c r="DE36" s="134"/>
      <c r="DF36" s="55"/>
      <c r="DH36" s="100" cm="1">
        <f t="array" ref="DH36">'W2'!$L$39*$E$1
*_xlfn.SWITCH($C$1,1,1,2,1+Opt2_CPSX,3,1+Opt3_CPSX,4,1+Opt4_CPSX,5,1+Opt5_CPSX,6,1+Opt6_CPSX)
*POWER(1+$C$72,DK$1)</f>
        <v>7219857.7010732545</v>
      </c>
      <c r="DI36" s="55"/>
      <c r="DJ36" s="134"/>
      <c r="DK36" s="134"/>
      <c r="DL36" s="55"/>
      <c r="DN36" s="100" cm="1">
        <f t="array" ref="DN36">'W2'!$L$39*$E$1
*_xlfn.SWITCH($C$1,1,1,2,1+Opt2_CPSX,3,1+Opt3_CPSX,4,1+Opt4_CPSX,5,1+Opt5_CPSX,6,1+Opt6_CPSX)
*POWER(1+$C$72,DQ$1)</f>
        <v>7580850.586126917</v>
      </c>
      <c r="DO36" s="55"/>
      <c r="DP36" s="134"/>
      <c r="DQ36" s="134"/>
      <c r="DR36" s="55"/>
      <c r="DT36" s="100" cm="1">
        <f t="array" ref="DT36">'W2'!$L$39*$E$1
*_xlfn.SWITCH($C$1,1,1,2,1+Opt2_CPSX,3,1+Opt3_CPSX,4,1+Opt4_CPSX,5,1+Opt5_CPSX,6,1+Opt6_CPSX)
*POWER(1+$C$72,DW$1)</f>
        <v>7959893.1154332627</v>
      </c>
      <c r="DU36" s="55"/>
      <c r="DV36" s="134"/>
      <c r="DW36" s="134"/>
      <c r="DX36" s="55"/>
      <c r="DZ36" s="100" cm="1">
        <f t="array" ref="DZ36">'W2'!$L$39*$E$1
*_xlfn.SWITCH($C$1,1,1,2,1+Opt2_CPSX,3,1+Opt3_CPSX,4,1+Opt4_CPSX,5,1+Opt5_CPSX,6,1+Opt6_CPSX)
*POWER(1+$C$72,EC$1)</f>
        <v>8357887.7712049261</v>
      </c>
      <c r="EA36" s="55"/>
      <c r="EB36" s="134"/>
      <c r="EC36" s="134"/>
      <c r="ED36" s="55"/>
      <c r="EF36" s="100" cm="1">
        <f t="array" ref="EF36">'W2'!$L$39*$E$1
*_xlfn.SWITCH($C$1,1,1,2,1+Opt2_CPSX,3,1+Opt3_CPSX,4,1+Opt4_CPSX,5,1+Opt5_CPSX,6,1+Opt6_CPSX)
*POWER(1+$C$72,EI$1)</f>
        <v>8775782.1597651727</v>
      </c>
      <c r="EG36" s="55"/>
      <c r="EH36" s="134"/>
      <c r="EI36" s="134"/>
      <c r="EJ36" s="55"/>
      <c r="EL36" s="100" cm="1">
        <f t="array" ref="EL36">'W2'!$L$39*$E$1
*_xlfn.SWITCH($C$1,1,1,2,1+Opt2_CPSX,3,1+Opt3_CPSX,4,1+Opt4_CPSX,5,1+Opt5_CPSX,6,1+Opt6_CPSX)
*POWER(1+$C$72,EO$1)</f>
        <v>9214571.2677534297</v>
      </c>
      <c r="EM36" s="55"/>
      <c r="EN36" s="134"/>
      <c r="EO36" s="134"/>
      <c r="EP36" s="55"/>
      <c r="ER36" s="100" cm="1">
        <f t="array" ref="ER36">'W2'!$L$39*$E$1
*_xlfn.SWITCH($C$1,1,1,2,1+Opt2_CPSX,3,1+Opt3_CPSX,4,1+Opt4_CPSX,5,1+Opt5_CPSX,6,1+Opt6_CPSX)
*POWER(1+$C$72,EU$1)</f>
        <v>9675299.8311411031</v>
      </c>
      <c r="ES36" s="55"/>
      <c r="ET36" s="134"/>
      <c r="EU36" s="134"/>
      <c r="EV36" s="55"/>
    </row>
    <row r="37" spans="1:152" x14ac:dyDescent="0.25">
      <c r="B37" s="56" t="s">
        <v>124</v>
      </c>
      <c r="C37" s="55" t="s">
        <v>125</v>
      </c>
      <c r="D37" s="100">
        <f>INDEX('W2'!$M$45:$R$45,MATCH('W6 - Operating cost'!$B$1,'W2'!$M$7:$R$7,0))</f>
        <v>765</v>
      </c>
      <c r="E37" s="55"/>
      <c r="F37" s="55"/>
      <c r="G37" s="55"/>
      <c r="H37" s="55"/>
      <c r="J37" s="100">
        <f>INDEX('W2'!$M$45:$R$45,MATCH('W6 - Operating cost'!$B$1,'W2'!$M$7:$R$7,0))</f>
        <v>765</v>
      </c>
      <c r="K37" s="55"/>
      <c r="L37" s="55"/>
      <c r="M37" s="55"/>
      <c r="N37" s="55"/>
      <c r="P37" s="100">
        <f>INDEX('W2'!$M$45:$R$45,MATCH('W6 - Operating cost'!$B$1,'W2'!$M$7:$R$7,0))</f>
        <v>765</v>
      </c>
      <c r="Q37" s="55"/>
      <c r="R37" s="55"/>
      <c r="S37" s="55"/>
      <c r="T37" s="55"/>
      <c r="V37" s="100">
        <f>INDEX('W2'!$M$45:$R$45,MATCH('W6 - Operating cost'!$B$1,'W2'!$M$7:$R$7,0))</f>
        <v>765</v>
      </c>
      <c r="W37" s="55"/>
      <c r="X37" s="55"/>
      <c r="Y37" s="55"/>
      <c r="Z37" s="55"/>
      <c r="AB37" s="100">
        <f>INDEX('W2'!$M$45:$R$45,MATCH('W6 - Operating cost'!$B$1,'W2'!$M$7:$R$7,0))</f>
        <v>765</v>
      </c>
      <c r="AC37" s="55"/>
      <c r="AD37" s="55"/>
      <c r="AE37" s="55"/>
      <c r="AF37" s="55"/>
      <c r="AH37" s="100">
        <f>INDEX('W2'!$M$45:$R$45,MATCH('W6 - Operating cost'!$B$1,'W2'!$M$7:$R$7,0))</f>
        <v>765</v>
      </c>
      <c r="AI37" s="55"/>
      <c r="AJ37" s="55"/>
      <c r="AK37" s="55"/>
      <c r="AL37" s="55"/>
      <c r="AN37" s="100">
        <f>INDEX('W2'!$M$45:$R$45,MATCH('W6 - Operating cost'!$B$1,'W2'!$M$7:$R$7,0))</f>
        <v>765</v>
      </c>
      <c r="AO37" s="55"/>
      <c r="AP37" s="55"/>
      <c r="AQ37" s="55"/>
      <c r="AR37" s="55"/>
      <c r="AT37" s="100">
        <f>INDEX('W2'!$M$45:$R$45,MATCH('W6 - Operating cost'!$B$1,'W2'!$M$7:$R$7,0))</f>
        <v>765</v>
      </c>
      <c r="AU37" s="55"/>
      <c r="AV37" s="55"/>
      <c r="AW37" s="55"/>
      <c r="AX37" s="55"/>
      <c r="AZ37" s="100">
        <f>INDEX('W2'!$M$45:$R$45,MATCH('W6 - Operating cost'!$B$1,'W2'!$M$7:$R$7,0))</f>
        <v>765</v>
      </c>
      <c r="BA37" s="55"/>
      <c r="BB37" s="55"/>
      <c r="BC37" s="55"/>
      <c r="BD37" s="55"/>
      <c r="BF37" s="100">
        <f>INDEX('W2'!$M$45:$R$45,MATCH('W6 - Operating cost'!$B$1,'W2'!$M$7:$R$7,0))</f>
        <v>765</v>
      </c>
      <c r="BG37" s="55"/>
      <c r="BH37" s="55"/>
      <c r="BI37" s="55"/>
      <c r="BJ37" s="55"/>
      <c r="BL37" s="100">
        <f>INDEX('W2'!$M$45:$R$45,MATCH('W6 - Operating cost'!$B$1,'W2'!$M$7:$R$7,0))</f>
        <v>765</v>
      </c>
      <c r="BM37" s="55"/>
      <c r="BN37" s="55"/>
      <c r="BO37" s="55"/>
      <c r="BP37" s="55"/>
      <c r="BR37" s="100">
        <f>INDEX('W2'!$M$45:$R$45,MATCH('W6 - Operating cost'!$B$1,'W2'!$M$7:$R$7,0))</f>
        <v>765</v>
      </c>
      <c r="BS37" s="55"/>
      <c r="BT37" s="55"/>
      <c r="BU37" s="55"/>
      <c r="BV37" s="55"/>
      <c r="BX37" s="100">
        <f>INDEX('W2'!$M$45:$R$45,MATCH('W6 - Operating cost'!$B$1,'W2'!$M$7:$R$7,0))</f>
        <v>765</v>
      </c>
      <c r="BY37" s="55"/>
      <c r="BZ37" s="55"/>
      <c r="CA37" s="55"/>
      <c r="CB37" s="55"/>
      <c r="CD37" s="100">
        <f>INDEX('W2'!$M$45:$R$45,MATCH('W6 - Operating cost'!$B$1,'W2'!$M$7:$R$7,0))</f>
        <v>765</v>
      </c>
      <c r="CE37" s="55"/>
      <c r="CF37" s="55"/>
      <c r="CG37" s="55"/>
      <c r="CH37" s="55"/>
      <c r="CJ37" s="100">
        <f>INDEX('W2'!$M$45:$R$45,MATCH('W6 - Operating cost'!$B$1,'W2'!$M$7:$R$7,0))</f>
        <v>765</v>
      </c>
      <c r="CK37" s="55"/>
      <c r="CL37" s="55"/>
      <c r="CM37" s="55"/>
      <c r="CN37" s="55"/>
      <c r="CP37" s="100">
        <f>INDEX('W2'!$M$45:$R$45,MATCH('W6 - Operating cost'!$B$1,'W2'!$M$7:$R$7,0))</f>
        <v>765</v>
      </c>
      <c r="CQ37" s="55"/>
      <c r="CR37" s="55"/>
      <c r="CS37" s="55"/>
      <c r="CT37" s="55"/>
      <c r="CV37" s="100">
        <f>INDEX('W2'!$M$45:$R$45,MATCH('W6 - Operating cost'!$B$1,'W2'!$M$7:$R$7,0))</f>
        <v>765</v>
      </c>
      <c r="CW37" s="55"/>
      <c r="CX37" s="55"/>
      <c r="CY37" s="55"/>
      <c r="CZ37" s="55"/>
      <c r="DB37" s="100">
        <f>INDEX('W2'!$M$45:$R$45,MATCH('W6 - Operating cost'!$B$1,'W2'!$M$7:$R$7,0))</f>
        <v>765</v>
      </c>
      <c r="DC37" s="55"/>
      <c r="DD37" s="55"/>
      <c r="DE37" s="55"/>
      <c r="DF37" s="55"/>
      <c r="DH37" s="100">
        <f>INDEX('W2'!$M$45:$R$45,MATCH('W6 - Operating cost'!$B$1,'W2'!$M$7:$R$7,0))</f>
        <v>765</v>
      </c>
      <c r="DI37" s="55"/>
      <c r="DJ37" s="55"/>
      <c r="DK37" s="55"/>
      <c r="DL37" s="55"/>
      <c r="DN37" s="100">
        <f>INDEX('W2'!$M$45:$R$45,MATCH('W6 - Operating cost'!$B$1,'W2'!$M$7:$R$7,0))</f>
        <v>765</v>
      </c>
      <c r="DO37" s="55"/>
      <c r="DP37" s="55"/>
      <c r="DQ37" s="55"/>
      <c r="DR37" s="55"/>
      <c r="DT37" s="100">
        <f>INDEX('W2'!$M$45:$R$45,MATCH('W6 - Operating cost'!$B$1,'W2'!$M$7:$R$7,0))</f>
        <v>765</v>
      </c>
      <c r="DU37" s="55"/>
      <c r="DV37" s="55"/>
      <c r="DW37" s="55"/>
      <c r="DX37" s="55"/>
      <c r="DZ37" s="100">
        <f>INDEX('W2'!$M$45:$R$45,MATCH('W6 - Operating cost'!$B$1,'W2'!$M$7:$R$7,0))</f>
        <v>765</v>
      </c>
      <c r="EA37" s="55"/>
      <c r="EB37" s="55"/>
      <c r="EC37" s="55"/>
      <c r="ED37" s="55"/>
      <c r="EF37" s="100">
        <f>INDEX('W2'!$M$45:$R$45,MATCH('W6 - Operating cost'!$B$1,'W2'!$M$7:$R$7,0))</f>
        <v>765</v>
      </c>
      <c r="EG37" s="55"/>
      <c r="EH37" s="55"/>
      <c r="EI37" s="55"/>
      <c r="EJ37" s="55"/>
      <c r="EL37" s="100">
        <f>INDEX('W2'!$M$45:$R$45,MATCH('W6 - Operating cost'!$B$1,'W2'!$M$7:$R$7,0))</f>
        <v>765</v>
      </c>
      <c r="EM37" s="55"/>
      <c r="EN37" s="55"/>
      <c r="EO37" s="55"/>
      <c r="EP37" s="55"/>
      <c r="ER37" s="100">
        <f>INDEX('W2'!$M$45:$R$45,MATCH('W6 - Operating cost'!$B$1,'W2'!$M$7:$R$7,0))</f>
        <v>765</v>
      </c>
      <c r="ES37" s="55"/>
      <c r="ET37" s="55"/>
      <c r="EU37" s="55"/>
      <c r="EV37" s="55"/>
    </row>
    <row r="38" spans="1:152" x14ac:dyDescent="0.25">
      <c r="B38" s="56" t="s">
        <v>126</v>
      </c>
      <c r="C38" s="55" t="s">
        <v>127</v>
      </c>
      <c r="D38" s="100">
        <f>INDEX('W2'!$M$46:$R$46,MATCH('W6 - Operating cost'!$B$1,'W2'!$M$7:$R$7,0))*POWER(1+$C$72,G$1)*$E$1</f>
        <v>1952</v>
      </c>
      <c r="E38" s="55"/>
      <c r="F38" s="55"/>
      <c r="G38" s="55"/>
      <c r="H38" s="55"/>
      <c r="J38" s="100">
        <f>INDEX('W2'!$M$46:$R$46,MATCH('W6 - Operating cost'!$B$1,'W2'!$M$7:$R$7,0))*POWER(1+$C$72,M$1)*$E$1</f>
        <v>1952</v>
      </c>
      <c r="K38" s="55"/>
      <c r="L38" s="55"/>
      <c r="M38" s="55"/>
      <c r="N38" s="55"/>
      <c r="P38" s="100">
        <f>INDEX('W2'!$M$46:$R$46,MATCH('W6 - Operating cost'!$B$1,'W2'!$M$7:$R$7,0))*POWER(1+$C$72,S$1)*$E$1</f>
        <v>2049.6</v>
      </c>
      <c r="Q38" s="55"/>
      <c r="R38" s="55"/>
      <c r="S38" s="55"/>
      <c r="T38" s="55"/>
      <c r="V38" s="100">
        <f>INDEX('W2'!$M$46:$R$46,MATCH('W6 - Operating cost'!$B$1,'W2'!$M$7:$R$7,0))*POWER(1+$C$72,Y$1)*$E$1</f>
        <v>2152.08</v>
      </c>
      <c r="W38" s="55"/>
      <c r="X38" s="55"/>
      <c r="Y38" s="55"/>
      <c r="Z38" s="55"/>
      <c r="AB38" s="100">
        <f>INDEX('W2'!$M$46:$R$46,MATCH('W6 - Operating cost'!$B$1,'W2'!$M$7:$R$7,0))*POWER(1+$C$72,AE$1)*$E$1</f>
        <v>2259.6840000000002</v>
      </c>
      <c r="AC38" s="55"/>
      <c r="AD38" s="55"/>
      <c r="AE38" s="55"/>
      <c r="AF38" s="55"/>
      <c r="AH38" s="100">
        <f>INDEX('W2'!$M$46:$R$46,MATCH('W6 - Operating cost'!$B$1,'W2'!$M$7:$R$7,0))*POWER(1+$C$72,AK$1)*$E$1</f>
        <v>2372.6682000000001</v>
      </c>
      <c r="AI38" s="55"/>
      <c r="AJ38" s="55"/>
      <c r="AK38" s="55"/>
      <c r="AL38" s="55"/>
      <c r="AN38" s="100">
        <f>INDEX('W2'!$M$46:$R$46,MATCH('W6 - Operating cost'!$B$1,'W2'!$M$7:$R$7,0))*POWER(1+$C$72,AQ$1)*$E$1</f>
        <v>2491.3016100000004</v>
      </c>
      <c r="AO38" s="55"/>
      <c r="AP38" s="55"/>
      <c r="AQ38" s="55"/>
      <c r="AR38" s="55"/>
      <c r="AT38" s="100">
        <f>INDEX('W2'!$M$46:$R$46,MATCH('W6 - Operating cost'!$B$1,'W2'!$M$7:$R$7,0))*POWER(1+$C$72,AW$1)*$E$1</f>
        <v>2615.8666905</v>
      </c>
      <c r="AU38" s="55"/>
      <c r="AV38" s="55"/>
      <c r="AW38" s="55"/>
      <c r="AX38" s="55"/>
      <c r="AZ38" s="100">
        <f>INDEX('W2'!$M$46:$R$46,MATCH('W6 - Operating cost'!$B$1,'W2'!$M$7:$R$7,0))*POWER(1+$C$72,BC$1)*$E$1</f>
        <v>2746.6600250250003</v>
      </c>
      <c r="BA38" s="55"/>
      <c r="BB38" s="55"/>
      <c r="BC38" s="55"/>
      <c r="BD38" s="55"/>
      <c r="BF38" s="100">
        <f>INDEX('W2'!$M$46:$R$46,MATCH('W6 - Operating cost'!$B$1,'W2'!$M$7:$R$7,0))*POWER(1+$C$72,BI$1)*$E$1</f>
        <v>2883.99302627625</v>
      </c>
      <c r="BG38" s="55"/>
      <c r="BH38" s="55"/>
      <c r="BI38" s="55"/>
      <c r="BJ38" s="55"/>
      <c r="BL38" s="100">
        <f>INDEX('W2'!$M$46:$R$46,MATCH('W6 - Operating cost'!$B$1,'W2'!$M$7:$R$7,0))*POWER(1+$C$72,BO$1)*$E$1</f>
        <v>3028.1926775900629</v>
      </c>
      <c r="BM38" s="55"/>
      <c r="BN38" s="55"/>
      <c r="BO38" s="55"/>
      <c r="BP38" s="55"/>
      <c r="BR38" s="100">
        <f>INDEX('W2'!$M$46:$R$46,MATCH('W6 - Operating cost'!$B$1,'W2'!$M$7:$R$7,0))*POWER(1+$C$72,BU$1)*$E$1</f>
        <v>3179.6023114695658</v>
      </c>
      <c r="BS38" s="55"/>
      <c r="BT38" s="55"/>
      <c r="BU38" s="55"/>
      <c r="BV38" s="55"/>
      <c r="BX38" s="100">
        <f>INDEX('W2'!$M$46:$R$46,MATCH('W6 - Operating cost'!$B$1,'W2'!$M$7:$R$7,0))*POWER(1+$C$72,CA$1)*$E$1</f>
        <v>3338.5824270430444</v>
      </c>
      <c r="BY38" s="55"/>
      <c r="BZ38" s="55"/>
      <c r="CA38" s="55"/>
      <c r="CB38" s="55"/>
      <c r="CD38" s="100">
        <f>INDEX('W2'!$M$46:$R$46,MATCH('W6 - Operating cost'!$B$1,'W2'!$M$7:$R$7,0))*POWER(1+$C$72,CG$1)*$E$1</f>
        <v>3505.5115483951963</v>
      </c>
      <c r="CE38" s="55"/>
      <c r="CF38" s="55"/>
      <c r="CG38" s="55"/>
      <c r="CH38" s="55"/>
      <c r="CJ38" s="100">
        <f>INDEX('W2'!$M$46:$R$46,MATCH('W6 - Operating cost'!$B$1,'W2'!$M$7:$R$7,0))*POWER(1+$C$72,CM$1)*$E$1</f>
        <v>3680.7871258149567</v>
      </c>
      <c r="CK38" s="55"/>
      <c r="CL38" s="55"/>
      <c r="CM38" s="55"/>
      <c r="CN38" s="55"/>
      <c r="CP38" s="100">
        <f>INDEX('W2'!$M$46:$R$46,MATCH('W6 - Operating cost'!$B$1,'W2'!$M$7:$R$7,0))*POWER(1+$C$72,CS$1)*$E$1</f>
        <v>3864.8264821057037</v>
      </c>
      <c r="CQ38" s="55"/>
      <c r="CR38" s="55"/>
      <c r="CS38" s="55"/>
      <c r="CT38" s="55"/>
      <c r="CV38" s="100">
        <f>INDEX('W2'!$M$46:$R$46,MATCH('W6 - Operating cost'!$B$1,'W2'!$M$7:$R$7,0))*POWER(1+$C$72,CY$1)*$E$1</f>
        <v>4058.0678062109901</v>
      </c>
      <c r="CW38" s="55"/>
      <c r="CX38" s="55"/>
      <c r="CY38" s="55"/>
      <c r="CZ38" s="55"/>
      <c r="DB38" s="100">
        <f>INDEX('W2'!$M$46:$R$46,MATCH('W6 - Operating cost'!$B$1,'W2'!$M$7:$R$7,0))*POWER(1+$C$72,DE$1)*$E$1</f>
        <v>4260.9711965215392</v>
      </c>
      <c r="DC38" s="55"/>
      <c r="DD38" s="55"/>
      <c r="DE38" s="55"/>
      <c r="DF38" s="55"/>
      <c r="DH38" s="100">
        <f>INDEX('W2'!$M$46:$R$46,MATCH('W6 - Operating cost'!$B$1,'W2'!$M$7:$R$7,0))*POWER(1+$C$72,DK$1)*$E$1</f>
        <v>4474.0197563476167</v>
      </c>
      <c r="DI38" s="55"/>
      <c r="DJ38" s="55"/>
      <c r="DK38" s="55"/>
      <c r="DL38" s="55"/>
      <c r="DN38" s="100">
        <f>INDEX('W2'!$M$46:$R$46,MATCH('W6 - Operating cost'!$B$1,'W2'!$M$7:$R$7,0))*POWER(1+$C$72,DQ$1)*$E$1</f>
        <v>4697.7207441649971</v>
      </c>
      <c r="DO38" s="55"/>
      <c r="DP38" s="55"/>
      <c r="DQ38" s="55"/>
      <c r="DR38" s="55"/>
      <c r="DT38" s="100">
        <f>INDEX('W2'!$M$46:$R$46,MATCH('W6 - Operating cost'!$B$1,'W2'!$M$7:$R$7,0))*POWER(1+$C$72,DW$1)*$E$1</f>
        <v>4932.606781373247</v>
      </c>
      <c r="DU38" s="55"/>
      <c r="DV38" s="55"/>
      <c r="DW38" s="55"/>
      <c r="DX38" s="55"/>
      <c r="DZ38" s="100">
        <f>INDEX('W2'!$M$46:$R$46,MATCH('W6 - Operating cost'!$B$1,'W2'!$M$7:$R$7,0))*POWER(1+$C$72,EC$1)*$E$1</f>
        <v>5179.2371204419096</v>
      </c>
      <c r="EA38" s="55"/>
      <c r="EB38" s="55"/>
      <c r="EC38" s="55"/>
      <c r="ED38" s="55"/>
      <c r="EF38" s="100">
        <f>INDEX('W2'!$M$46:$R$46,MATCH('W6 - Operating cost'!$B$1,'W2'!$M$7:$R$7,0))*POWER(1+$C$72,EI$1)*$E$1</f>
        <v>5438.1989764640048</v>
      </c>
      <c r="EG38" s="55"/>
      <c r="EH38" s="55"/>
      <c r="EI38" s="55"/>
      <c r="EJ38" s="55"/>
      <c r="EL38" s="100">
        <f>INDEX('W2'!$M$46:$R$46,MATCH('W6 - Operating cost'!$B$1,'W2'!$M$7:$R$7,0))*POWER(1+$C$72,EO$1)*$E$1</f>
        <v>5710.1089252872043</v>
      </c>
      <c r="EM38" s="55"/>
      <c r="EN38" s="55"/>
      <c r="EO38" s="55"/>
      <c r="EP38" s="55"/>
      <c r="ER38" s="100">
        <f>INDEX('W2'!$M$46:$R$46,MATCH('W6 - Operating cost'!$B$1,'W2'!$M$7:$R$7,0))*POWER(1+$C$72,EU$1)*$E$1</f>
        <v>5995.6143715515664</v>
      </c>
      <c r="ES38" s="55"/>
      <c r="ET38" s="55"/>
      <c r="EU38" s="55"/>
      <c r="EV38" s="55"/>
    </row>
    <row r="39" spans="1:152" x14ac:dyDescent="0.25">
      <c r="B39" s="56" t="s">
        <v>111</v>
      </c>
      <c r="C39" s="55"/>
      <c r="D39" s="55"/>
      <c r="E39" s="55"/>
      <c r="F39" s="55"/>
      <c r="G39" s="55"/>
      <c r="H39" s="55"/>
      <c r="J39" s="55"/>
      <c r="K39" s="55"/>
      <c r="L39" s="55"/>
      <c r="M39" s="55"/>
      <c r="N39" s="55"/>
      <c r="P39" s="55"/>
      <c r="Q39" s="55"/>
      <c r="R39" s="55"/>
      <c r="S39" s="55"/>
      <c r="T39" s="55"/>
      <c r="V39" s="55"/>
      <c r="W39" s="55"/>
      <c r="X39" s="55"/>
      <c r="Y39" s="55"/>
      <c r="Z39" s="55"/>
      <c r="AB39" s="55"/>
      <c r="AC39" s="55"/>
      <c r="AD39" s="55"/>
      <c r="AE39" s="55"/>
      <c r="AF39" s="55"/>
      <c r="AH39" s="55"/>
      <c r="AI39" s="55"/>
      <c r="AJ39" s="55"/>
      <c r="AK39" s="55"/>
      <c r="AL39" s="55"/>
      <c r="AN39" s="55"/>
      <c r="AO39" s="55"/>
      <c r="AP39" s="55"/>
      <c r="AQ39" s="55"/>
      <c r="AR39" s="55"/>
      <c r="AT39" s="55"/>
      <c r="AU39" s="55"/>
      <c r="AV39" s="55"/>
      <c r="AW39" s="55"/>
      <c r="AX39" s="55"/>
      <c r="AZ39" s="55"/>
      <c r="BA39" s="55"/>
      <c r="BB39" s="55"/>
      <c r="BC39" s="55"/>
      <c r="BD39" s="55"/>
      <c r="BF39" s="55"/>
      <c r="BG39" s="55"/>
      <c r="BH39" s="55"/>
      <c r="BI39" s="55"/>
      <c r="BJ39" s="55"/>
      <c r="BL39" s="55"/>
      <c r="BM39" s="55"/>
      <c r="BN39" s="55"/>
      <c r="BO39" s="55"/>
      <c r="BP39" s="55"/>
      <c r="BR39" s="55"/>
      <c r="BS39" s="55"/>
      <c r="BT39" s="55"/>
      <c r="BU39" s="55"/>
      <c r="BV39" s="55"/>
      <c r="BX39" s="55"/>
      <c r="BY39" s="55"/>
      <c r="BZ39" s="55"/>
      <c r="CA39" s="55"/>
      <c r="CB39" s="55"/>
      <c r="CD39" s="55"/>
      <c r="CE39" s="55"/>
      <c r="CF39" s="55"/>
      <c r="CG39" s="55"/>
      <c r="CH39" s="55"/>
      <c r="CJ39" s="55"/>
      <c r="CK39" s="55"/>
      <c r="CL39" s="55"/>
      <c r="CM39" s="55"/>
      <c r="CN39" s="55"/>
      <c r="CP39" s="55"/>
      <c r="CQ39" s="55"/>
      <c r="CR39" s="55"/>
      <c r="CS39" s="55"/>
      <c r="CT39" s="55"/>
      <c r="CV39" s="55"/>
      <c r="CW39" s="55"/>
      <c r="CX39" s="55"/>
      <c r="CY39" s="55"/>
      <c r="CZ39" s="55"/>
      <c r="DB39" s="55"/>
      <c r="DC39" s="55"/>
      <c r="DD39" s="55"/>
      <c r="DE39" s="55"/>
      <c r="DF39" s="55"/>
      <c r="DH39" s="55"/>
      <c r="DI39" s="55"/>
      <c r="DJ39" s="55"/>
      <c r="DK39" s="55"/>
      <c r="DL39" s="55"/>
      <c r="DN39" s="55"/>
      <c r="DO39" s="55"/>
      <c r="DP39" s="55"/>
      <c r="DQ39" s="55"/>
      <c r="DR39" s="55"/>
      <c r="DT39" s="55"/>
      <c r="DU39" s="55"/>
      <c r="DV39" s="55"/>
      <c r="DW39" s="55"/>
      <c r="DX39" s="55"/>
      <c r="DZ39" s="55"/>
      <c r="EA39" s="55"/>
      <c r="EB39" s="55"/>
      <c r="EC39" s="55"/>
      <c r="ED39" s="55"/>
      <c r="EF39" s="55"/>
      <c r="EG39" s="55"/>
      <c r="EH39" s="55"/>
      <c r="EI39" s="55"/>
      <c r="EJ39" s="55"/>
      <c r="EL39" s="55"/>
      <c r="EM39" s="55"/>
      <c r="EN39" s="55"/>
      <c r="EO39" s="55"/>
      <c r="EP39" s="55"/>
      <c r="ER39" s="55"/>
      <c r="ES39" s="55"/>
      <c r="ET39" s="55"/>
      <c r="EU39" s="55"/>
      <c r="EV39" s="55"/>
    </row>
    <row r="40" spans="1:152" x14ac:dyDescent="0.25">
      <c r="B40" s="53" t="s">
        <v>128</v>
      </c>
      <c r="C40" s="54"/>
      <c r="D40" s="133"/>
      <c r="E40" s="54"/>
      <c r="F40" s="54"/>
      <c r="G40" s="54"/>
      <c r="H40" s="54"/>
      <c r="J40" s="133"/>
      <c r="K40" s="54"/>
      <c r="L40" s="54"/>
      <c r="M40" s="54"/>
      <c r="N40" s="54"/>
      <c r="P40" s="133"/>
      <c r="Q40" s="54"/>
      <c r="R40" s="54"/>
      <c r="S40" s="54"/>
      <c r="T40" s="54"/>
      <c r="V40" s="133"/>
      <c r="W40" s="54"/>
      <c r="X40" s="54"/>
      <c r="Y40" s="54"/>
      <c r="Z40" s="54"/>
      <c r="AB40" s="133"/>
      <c r="AC40" s="54"/>
      <c r="AD40" s="54"/>
      <c r="AE40" s="54"/>
      <c r="AF40" s="54"/>
      <c r="AH40" s="133"/>
      <c r="AI40" s="54"/>
      <c r="AJ40" s="54"/>
      <c r="AK40" s="54"/>
      <c r="AL40" s="54"/>
      <c r="AN40" s="133"/>
      <c r="AO40" s="54"/>
      <c r="AP40" s="54"/>
      <c r="AQ40" s="54"/>
      <c r="AR40" s="54"/>
      <c r="AT40" s="133"/>
      <c r="AU40" s="54"/>
      <c r="AV40" s="54"/>
      <c r="AW40" s="54"/>
      <c r="AX40" s="54"/>
      <c r="AZ40" s="133"/>
      <c r="BA40" s="54"/>
      <c r="BB40" s="54"/>
      <c r="BC40" s="54"/>
      <c r="BD40" s="54"/>
      <c r="BF40" s="133"/>
      <c r="BG40" s="54"/>
      <c r="BH40" s="54"/>
      <c r="BI40" s="54"/>
      <c r="BJ40" s="54"/>
      <c r="BL40" s="133"/>
      <c r="BM40" s="54"/>
      <c r="BN40" s="54"/>
      <c r="BO40" s="54"/>
      <c r="BP40" s="54"/>
      <c r="BR40" s="133"/>
      <c r="BS40" s="54"/>
      <c r="BT40" s="54"/>
      <c r="BU40" s="54"/>
      <c r="BV40" s="54"/>
      <c r="BX40" s="133"/>
      <c r="BY40" s="54"/>
      <c r="BZ40" s="54"/>
      <c r="CA40" s="54"/>
      <c r="CB40" s="54"/>
      <c r="CD40" s="133"/>
      <c r="CE40" s="54"/>
      <c r="CF40" s="54"/>
      <c r="CG40" s="54"/>
      <c r="CH40" s="54"/>
      <c r="CJ40" s="133"/>
      <c r="CK40" s="54"/>
      <c r="CL40" s="54"/>
      <c r="CM40" s="54"/>
      <c r="CN40" s="54"/>
      <c r="CP40" s="133"/>
      <c r="CQ40" s="54"/>
      <c r="CR40" s="54"/>
      <c r="CS40" s="54"/>
      <c r="CT40" s="54"/>
      <c r="CV40" s="133"/>
      <c r="CW40" s="54"/>
      <c r="CX40" s="54"/>
      <c r="CY40" s="54"/>
      <c r="CZ40" s="54"/>
      <c r="DB40" s="133"/>
      <c r="DC40" s="54"/>
      <c r="DD40" s="54"/>
      <c r="DE40" s="54"/>
      <c r="DF40" s="54"/>
      <c r="DH40" s="133"/>
      <c r="DI40" s="54"/>
      <c r="DJ40" s="54"/>
      <c r="DK40" s="54"/>
      <c r="DL40" s="54"/>
      <c r="DN40" s="133"/>
      <c r="DO40" s="54"/>
      <c r="DP40" s="54"/>
      <c r="DQ40" s="54"/>
      <c r="DR40" s="54"/>
      <c r="DT40" s="133"/>
      <c r="DU40" s="54"/>
      <c r="DV40" s="54"/>
      <c r="DW40" s="54"/>
      <c r="DX40" s="54"/>
      <c r="DZ40" s="133"/>
      <c r="EA40" s="54"/>
      <c r="EB40" s="54"/>
      <c r="EC40" s="54"/>
      <c r="ED40" s="54"/>
      <c r="EF40" s="133"/>
      <c r="EG40" s="54"/>
      <c r="EH40" s="54"/>
      <c r="EI40" s="54"/>
      <c r="EJ40" s="54"/>
      <c r="EL40" s="133"/>
      <c r="EM40" s="54"/>
      <c r="EN40" s="54"/>
      <c r="EO40" s="54"/>
      <c r="EP40" s="54"/>
      <c r="ER40" s="133"/>
      <c r="ES40" s="54"/>
      <c r="ET40" s="54"/>
      <c r="EU40" s="54"/>
      <c r="EV40" s="54"/>
    </row>
    <row r="41" spans="1:152" x14ac:dyDescent="0.25">
      <c r="A41" t="s">
        <v>147</v>
      </c>
      <c r="B41" s="56" t="s">
        <v>344</v>
      </c>
      <c r="C41" s="55" t="s">
        <v>129</v>
      </c>
      <c r="D41" s="55"/>
      <c r="E41" s="132" cm="1">
        <f t="array" ref="E41">SUMPRODUCT('W1'!$I$10:$AI$60*('W1'!$B$10:$B$60=$B41)*('W1'!$I$6:$AI$6=$B$1))*$E$1</f>
        <v>119626000000</v>
      </c>
      <c r="F41" s="134">
        <f>IF(H$2&lt;=E$46,E41/E$47,0)</f>
        <v>830736111.11111116</v>
      </c>
      <c r="G41" s="134">
        <f>F41*12</f>
        <v>9968833333.333334</v>
      </c>
      <c r="H41" s="55"/>
      <c r="J41" s="55"/>
      <c r="K41" s="132" cm="1">
        <f t="array" ref="K41">SUMPRODUCT('W1'!$I$10:$AI$60*('W1'!$B$10:$B$60=$B41)*('W1'!$I$6:$AI$6=$B$1))*$E$1</f>
        <v>119626000000</v>
      </c>
      <c r="L41" s="134">
        <f>IF(N$2&lt;=K$46,K41/K$47,0)</f>
        <v>830736111.11111116</v>
      </c>
      <c r="M41" s="134">
        <f>L41*12</f>
        <v>9968833333.333334</v>
      </c>
      <c r="N41" s="55"/>
      <c r="P41" s="55"/>
      <c r="Q41" s="132" cm="1">
        <f t="array" ref="Q41">SUMPRODUCT('W1'!$I$10:$AI$60*('W1'!$B$10:$B$60=$B41)*('W1'!$I$6:$AI$6=$B$1))*$E$1</f>
        <v>119626000000</v>
      </c>
      <c r="R41" s="134">
        <f>IF(T$2&lt;=Q$46,Q41/Q$47,0)</f>
        <v>830736111.11111116</v>
      </c>
      <c r="S41" s="134">
        <f>R41*12</f>
        <v>9968833333.333334</v>
      </c>
      <c r="T41" s="55"/>
      <c r="V41" s="55"/>
      <c r="W41" s="132" cm="1">
        <f t="array" ref="W41">SUMPRODUCT('W1'!$I$10:$AI$60*('W1'!$B$10:$B$60=$B41)*('W1'!$I$6:$AI$6=$B$1))*$E$1</f>
        <v>119626000000</v>
      </c>
      <c r="X41" s="134">
        <f t="shared" ref="X41:X45" si="588">IF(Z$2&lt;=W$46,W41/W$47,0)</f>
        <v>830736111.11111116</v>
      </c>
      <c r="Y41" s="134">
        <f t="shared" ref="Y41:Y45" si="589">X41*12</f>
        <v>9968833333.333334</v>
      </c>
      <c r="Z41" s="55"/>
      <c r="AB41" s="55"/>
      <c r="AC41" s="132" cm="1">
        <f t="array" ref="AC41">SUMPRODUCT('W1'!$I$10:$AI$60*('W1'!$B$10:$B$60=$B41)*('W1'!$I$6:$AI$6=$B$1))*$E$1</f>
        <v>119626000000</v>
      </c>
      <c r="AD41" s="134">
        <f t="shared" ref="AD41:AD45" si="590">IF(AF$2&lt;=AC$46,AC41/AC$47,0)</f>
        <v>830736111.11111116</v>
      </c>
      <c r="AE41" s="134">
        <f t="shared" ref="AE41:AE45" si="591">AD41*12</f>
        <v>9968833333.333334</v>
      </c>
      <c r="AF41" s="55"/>
      <c r="AH41" s="55"/>
      <c r="AI41" s="132" cm="1">
        <f t="array" ref="AI41">SUMPRODUCT('W1'!$I$10:$AI$60*('W1'!$B$10:$B$60=$B41)*('W1'!$I$6:$AI$6=$B$1))*$E$1</f>
        <v>119626000000</v>
      </c>
      <c r="AJ41" s="134">
        <f t="shared" ref="AJ41:AJ45" si="592">IF(AL$2&lt;=AI$46,AI41/AI$47,0)</f>
        <v>830736111.11111116</v>
      </c>
      <c r="AK41" s="134">
        <f t="shared" ref="AK41:AK45" si="593">AJ41*12</f>
        <v>9968833333.333334</v>
      </c>
      <c r="AL41" s="55"/>
      <c r="AN41" s="55"/>
      <c r="AO41" s="132" cm="1">
        <f t="array" ref="AO41">SUMPRODUCT('W1'!$I$10:$AI$60*('W1'!$B$10:$B$60=$B41)*('W1'!$I$6:$AI$6=$B$1))*$E$1</f>
        <v>119626000000</v>
      </c>
      <c r="AP41" s="134">
        <f t="shared" ref="AP41:AP45" si="594">IF(AR$2&lt;=AO$46,AO41/AO$47,0)</f>
        <v>830736111.11111116</v>
      </c>
      <c r="AQ41" s="134">
        <f t="shared" ref="AQ41:AQ45" si="595">AP41*12</f>
        <v>9968833333.333334</v>
      </c>
      <c r="AR41" s="55"/>
      <c r="AT41" s="55"/>
      <c r="AU41" s="132" cm="1">
        <f t="array" ref="AU41">SUMPRODUCT('W1'!$I$10:$AI$60*('W1'!$B$10:$B$60=$B41)*('W1'!$I$6:$AI$6=$B$1))*$E$1</f>
        <v>119626000000</v>
      </c>
      <c r="AV41" s="134">
        <f t="shared" ref="AV41:AV45" si="596">IF(AX$2&lt;=AU$46,AU41/AU$47,0)</f>
        <v>830736111.11111116</v>
      </c>
      <c r="AW41" s="134">
        <f t="shared" ref="AW41:AW45" si="597">AV41*12</f>
        <v>9968833333.333334</v>
      </c>
      <c r="AX41" s="55"/>
      <c r="AZ41" s="55"/>
      <c r="BA41" s="132" cm="1">
        <f t="array" ref="BA41">SUMPRODUCT('W1'!$I$10:$AI$60*('W1'!$B$10:$B$60=$B41)*('W1'!$I$6:$AI$6=$B$1))*$E$1</f>
        <v>119626000000</v>
      </c>
      <c r="BB41" s="134">
        <f t="shared" ref="BB41:BB45" si="598">IF(BD$2&lt;=BA$46,BA41/BA$47,0)</f>
        <v>830736111.11111116</v>
      </c>
      <c r="BC41" s="134">
        <f t="shared" ref="BC41:BC45" si="599">BB41*12</f>
        <v>9968833333.333334</v>
      </c>
      <c r="BD41" s="55"/>
      <c r="BF41" s="55"/>
      <c r="BG41" s="132" cm="1">
        <f t="array" ref="BG41">SUMPRODUCT('W1'!$I$10:$AI$60*('W1'!$B$10:$B$60=$B41)*('W1'!$I$6:$AI$6=$B$1))*$E$1</f>
        <v>119626000000</v>
      </c>
      <c r="BH41" s="134">
        <f t="shared" ref="BH41:BH45" si="600">IF(BJ$2&lt;=BG$46,BG41/BG$47,0)</f>
        <v>830736111.11111116</v>
      </c>
      <c r="BI41" s="134">
        <f t="shared" ref="BI41:BI45" si="601">BH41*12</f>
        <v>9968833333.333334</v>
      </c>
      <c r="BJ41" s="55"/>
      <c r="BL41" s="55"/>
      <c r="BM41" s="132" cm="1">
        <f t="array" ref="BM41">SUMPRODUCT('W1'!$I$10:$AI$60*('W1'!$B$10:$B$60=$B41)*('W1'!$I$6:$AI$6=$B$1))*$E$1</f>
        <v>119626000000</v>
      </c>
      <c r="BN41" s="134">
        <f t="shared" ref="BN41:BN45" si="602">IF(BP$2&lt;=BM$46,BM41/BM$47,0)</f>
        <v>830736111.11111116</v>
      </c>
      <c r="BO41" s="134">
        <f t="shared" ref="BO41:BO45" si="603">BN41*12</f>
        <v>9968833333.333334</v>
      </c>
      <c r="BP41" s="55"/>
      <c r="BR41" s="55"/>
      <c r="BS41" s="132" cm="1">
        <f t="array" ref="BS41">SUMPRODUCT('W1'!$I$10:$AI$60*('W1'!$B$10:$B$60=$B41)*('W1'!$I$6:$AI$6=$B$1))*$E$1</f>
        <v>119626000000</v>
      </c>
      <c r="BT41" s="134">
        <f t="shared" ref="BT41:BT45" si="604">IF(BV$2&lt;=BS$46,BS41/BS$47,0)</f>
        <v>830736111.11111116</v>
      </c>
      <c r="BU41" s="134">
        <f t="shared" ref="BU41:BU45" si="605">BT41*12</f>
        <v>9968833333.333334</v>
      </c>
      <c r="BV41" s="55"/>
      <c r="BX41" s="55"/>
      <c r="BY41" s="132" cm="1">
        <f t="array" ref="BY41">SUMPRODUCT('W1'!$I$10:$AI$60*('W1'!$B$10:$B$60=$B41)*('W1'!$I$6:$AI$6=$B$1))*$E$1</f>
        <v>119626000000</v>
      </c>
      <c r="BZ41" s="134">
        <f t="shared" ref="BZ41:BZ45" si="606">IF(CB$2&lt;=BY$46,BY41/BY$47,0)</f>
        <v>0</v>
      </c>
      <c r="CA41" s="134">
        <f t="shared" ref="CA41:CA45" si="607">BZ41*12</f>
        <v>0</v>
      </c>
      <c r="CB41" s="55"/>
      <c r="CD41" s="55"/>
      <c r="CE41" s="132" cm="1">
        <f t="array" ref="CE41">SUMPRODUCT('W1'!$I$10:$AI$60*('W1'!$B$10:$B$60=$B41)*('W1'!$I$6:$AI$6=$B$1))*$E$1</f>
        <v>119626000000</v>
      </c>
      <c r="CF41" s="134">
        <f t="shared" ref="CF41:CF45" si="608">IF(CH$2&lt;=CE$46,CE41/CE$47,0)</f>
        <v>0</v>
      </c>
      <c r="CG41" s="134">
        <f t="shared" ref="CG41:CG45" si="609">CF41*12</f>
        <v>0</v>
      </c>
      <c r="CH41" s="55"/>
      <c r="CJ41" s="55"/>
      <c r="CK41" s="132" cm="1">
        <f t="array" ref="CK41">SUMPRODUCT('W1'!$I$10:$AI$60*('W1'!$B$10:$B$60=$B41)*('W1'!$I$6:$AI$6=$B$1))*$E$1</f>
        <v>119626000000</v>
      </c>
      <c r="CL41" s="134">
        <f t="shared" ref="CL41:CL45" si="610">IF(CN$2&lt;=CK$46,CK41/CK$47,0)</f>
        <v>0</v>
      </c>
      <c r="CM41" s="134">
        <f t="shared" ref="CM41:CM45" si="611">CL41*12</f>
        <v>0</v>
      </c>
      <c r="CN41" s="55"/>
      <c r="CP41" s="55"/>
      <c r="CQ41" s="132" cm="1">
        <f t="array" ref="CQ41">SUMPRODUCT('W1'!$I$10:$AI$60*('W1'!$B$10:$B$60=$B41)*('W1'!$I$6:$AI$6=$B$1))*$E$1</f>
        <v>119626000000</v>
      </c>
      <c r="CR41" s="134">
        <f t="shared" ref="CR41:CR45" si="612">IF(CT$2&lt;=CQ$46,CQ41/CQ$47,0)</f>
        <v>0</v>
      </c>
      <c r="CS41" s="134">
        <f t="shared" ref="CS41:CS45" si="613">CR41*12</f>
        <v>0</v>
      </c>
      <c r="CT41" s="55"/>
      <c r="CV41" s="55"/>
      <c r="CW41" s="132" cm="1">
        <f t="array" ref="CW41">SUMPRODUCT('W1'!$I$10:$AI$60*('W1'!$B$10:$B$60=$B41)*('W1'!$I$6:$AI$6=$B$1))*$E$1</f>
        <v>119626000000</v>
      </c>
      <c r="CX41" s="134">
        <f t="shared" ref="CX41:CX45" si="614">IF(CZ$2&lt;=CW$46,CW41/CW$47,0)</f>
        <v>0</v>
      </c>
      <c r="CY41" s="134">
        <f t="shared" ref="CY41:CY45" si="615">CX41*12</f>
        <v>0</v>
      </c>
      <c r="CZ41" s="55"/>
      <c r="DB41" s="55"/>
      <c r="DC41" s="132" cm="1">
        <f t="array" ref="DC41">SUMPRODUCT('W1'!$I$10:$AI$60*('W1'!$B$10:$B$60=$B41)*('W1'!$I$6:$AI$6=$B$1))*$E$1</f>
        <v>119626000000</v>
      </c>
      <c r="DD41" s="134">
        <f t="shared" ref="DD41:DD45" si="616">IF(DF$2&lt;=DC$46,DC41/DC$47,0)</f>
        <v>0</v>
      </c>
      <c r="DE41" s="134">
        <f t="shared" ref="DE41:DE45" si="617">DD41*12</f>
        <v>0</v>
      </c>
      <c r="DF41" s="55"/>
      <c r="DH41" s="55"/>
      <c r="DI41" s="132" cm="1">
        <f t="array" ref="DI41">SUMPRODUCT('W1'!$I$10:$AI$60*('W1'!$B$10:$B$60=$B41)*('W1'!$I$6:$AI$6=$B$1))*$E$1</f>
        <v>119626000000</v>
      </c>
      <c r="DJ41" s="134">
        <f t="shared" ref="DJ41:DJ45" si="618">IF(DL$2&lt;=DI$46,DI41/DI$47,0)</f>
        <v>0</v>
      </c>
      <c r="DK41" s="134">
        <f t="shared" ref="DK41:DK45" si="619">DJ41*12</f>
        <v>0</v>
      </c>
      <c r="DL41" s="55"/>
      <c r="DN41" s="55"/>
      <c r="DO41" s="132" cm="1">
        <f t="array" ref="DO41">SUMPRODUCT('W1'!$I$10:$AI$60*('W1'!$B$10:$B$60=$B41)*('W1'!$I$6:$AI$6=$B$1))*$E$1</f>
        <v>119626000000</v>
      </c>
      <c r="DP41" s="134">
        <f t="shared" ref="DP41:DP45" si="620">IF(DR$2&lt;=DO$46,DO41/DO$47,0)</f>
        <v>0</v>
      </c>
      <c r="DQ41" s="134">
        <f t="shared" ref="DQ41:DQ45" si="621">DP41*12</f>
        <v>0</v>
      </c>
      <c r="DR41" s="55"/>
      <c r="DT41" s="55"/>
      <c r="DU41" s="132" cm="1">
        <f t="array" ref="DU41">SUMPRODUCT('W1'!$I$10:$AI$60*('W1'!$B$10:$B$60=$B41)*('W1'!$I$6:$AI$6=$B$1))*$E$1</f>
        <v>119626000000</v>
      </c>
      <c r="DV41" s="134">
        <f t="shared" ref="DV41:DV45" si="622">IF(DX$2&lt;=DU$46,DU41/DU$47,0)</f>
        <v>0</v>
      </c>
      <c r="DW41" s="134">
        <f t="shared" ref="DW41:DW45" si="623">DV41*12</f>
        <v>0</v>
      </c>
      <c r="DX41" s="55"/>
      <c r="DZ41" s="55"/>
      <c r="EA41" s="132" cm="1">
        <f t="array" ref="EA41">SUMPRODUCT('W1'!$I$10:$AI$60*('W1'!$B$10:$B$60=$B41)*('W1'!$I$6:$AI$6=$B$1))*$E$1</f>
        <v>119626000000</v>
      </c>
      <c r="EB41" s="134">
        <f t="shared" ref="EB41:EB45" si="624">IF(ED$2&lt;=EA$46,EA41/EA$47,0)</f>
        <v>0</v>
      </c>
      <c r="EC41" s="134">
        <f t="shared" ref="EC41:EC45" si="625">EB41*12</f>
        <v>0</v>
      </c>
      <c r="ED41" s="55"/>
      <c r="EF41" s="55"/>
      <c r="EG41" s="132" cm="1">
        <f t="array" ref="EG41">SUMPRODUCT('W1'!$I$10:$AI$60*('W1'!$B$10:$B$60=$B41)*('W1'!$I$6:$AI$6=$B$1))*$E$1</f>
        <v>119626000000</v>
      </c>
      <c r="EH41" s="134">
        <f t="shared" ref="EH41:EH45" si="626">IF(EJ$2&lt;=EG$46,EG41/EG$47,0)</f>
        <v>0</v>
      </c>
      <c r="EI41" s="134">
        <f t="shared" ref="EI41:EI45" si="627">EH41*12</f>
        <v>0</v>
      </c>
      <c r="EJ41" s="55"/>
      <c r="EL41" s="55"/>
      <c r="EM41" s="132" cm="1">
        <f t="array" ref="EM41">SUMPRODUCT('W1'!$I$10:$AI$60*('W1'!$B$10:$B$60=$B41)*('W1'!$I$6:$AI$6=$B$1))*$E$1</f>
        <v>119626000000</v>
      </c>
      <c r="EN41" s="134">
        <f t="shared" ref="EN41:EN45" si="628">IF(EP$2&lt;=EM$46,EM41/EM$47,0)</f>
        <v>0</v>
      </c>
      <c r="EO41" s="134">
        <f t="shared" ref="EO41:EO45" si="629">EN41*12</f>
        <v>0</v>
      </c>
      <c r="EP41" s="55"/>
      <c r="ER41" s="55"/>
      <c r="ES41" s="132" cm="1">
        <f t="array" ref="ES41">SUMPRODUCT('W1'!$I$10:$AI$60*('W1'!$B$10:$B$60=$B41)*('W1'!$I$6:$AI$6=$B$1))*$E$1</f>
        <v>119626000000</v>
      </c>
      <c r="ET41" s="134">
        <f t="shared" ref="ET41:ET45" si="630">IF(EV$2&lt;=ES$46,ES41/ES$47,0)</f>
        <v>0</v>
      </c>
      <c r="EU41" s="134">
        <f t="shared" ref="EU41:EU45" si="631">ET41*12</f>
        <v>0</v>
      </c>
      <c r="EV41" s="55"/>
    </row>
    <row r="42" spans="1:152" x14ac:dyDescent="0.25">
      <c r="A42" t="s">
        <v>147</v>
      </c>
      <c r="B42" s="56" t="s">
        <v>130</v>
      </c>
      <c r="C42" s="55" t="s">
        <v>129</v>
      </c>
      <c r="D42" s="55"/>
      <c r="E42" s="132" cm="1">
        <f t="array" ref="E42">SUMPRODUCT('W1'!$I$10:$AI$60*('W1'!$B$10:$B$60=$B42)*('W1'!$I$6:$AI$6=$B$1))*$E$1</f>
        <v>128180000000</v>
      </c>
      <c r="F42" s="101">
        <f>IF(H$2&lt;=E$46,E42/E$47,0)</f>
        <v>890138888.88888884</v>
      </c>
      <c r="G42" s="134">
        <f t="shared" ref="G42:G45" si="632">F42*12</f>
        <v>10681666666.666666</v>
      </c>
      <c r="H42" s="55"/>
      <c r="J42" s="55"/>
      <c r="K42" s="132" cm="1">
        <f t="array" ref="K42">SUMPRODUCT('W1'!$I$10:$AI$60*('W1'!$B$10:$B$60=$B42)*('W1'!$I$6:$AI$6=$B$1))*$E$1</f>
        <v>128180000000</v>
      </c>
      <c r="L42" s="134">
        <f>IF(N$2&lt;=K$46,K42/K$47,0)</f>
        <v>890138888.88888884</v>
      </c>
      <c r="M42" s="134">
        <f t="shared" ref="M42:M45" si="633">L42*12</f>
        <v>10681666666.666666</v>
      </c>
      <c r="N42" s="55"/>
      <c r="P42" s="55"/>
      <c r="Q42" s="132" cm="1">
        <f t="array" ref="Q42">SUMPRODUCT('W1'!$I$10:$AI$60*('W1'!$B$10:$B$60=$B42)*('W1'!$I$6:$AI$6=$B$1))*$E$1</f>
        <v>128180000000</v>
      </c>
      <c r="R42" s="134">
        <f>IF(T$2&lt;=Q$46,Q42/Q$47,0)</f>
        <v>890138888.88888884</v>
      </c>
      <c r="S42" s="134">
        <f t="shared" ref="S42:S45" si="634">R42*12</f>
        <v>10681666666.666666</v>
      </c>
      <c r="T42" s="55"/>
      <c r="V42" s="55"/>
      <c r="W42" s="132" cm="1">
        <f t="array" ref="W42">SUMPRODUCT('W1'!$I$10:$AI$60*('W1'!$B$10:$B$60=$B42)*('W1'!$I$6:$AI$6=$B$1))*$E$1</f>
        <v>128180000000</v>
      </c>
      <c r="X42" s="134">
        <f t="shared" si="588"/>
        <v>890138888.88888884</v>
      </c>
      <c r="Y42" s="134">
        <f t="shared" si="589"/>
        <v>10681666666.666666</v>
      </c>
      <c r="Z42" s="55"/>
      <c r="AB42" s="55"/>
      <c r="AC42" s="132" cm="1">
        <f t="array" ref="AC42">SUMPRODUCT('W1'!$I$10:$AI$60*('W1'!$B$10:$B$60=$B42)*('W1'!$I$6:$AI$6=$B$1))*$E$1</f>
        <v>128180000000</v>
      </c>
      <c r="AD42" s="134">
        <f t="shared" si="590"/>
        <v>890138888.88888884</v>
      </c>
      <c r="AE42" s="134">
        <f t="shared" si="591"/>
        <v>10681666666.666666</v>
      </c>
      <c r="AF42" s="55"/>
      <c r="AH42" s="55"/>
      <c r="AI42" s="132" cm="1">
        <f t="array" ref="AI42">SUMPRODUCT('W1'!$I$10:$AI$60*('W1'!$B$10:$B$60=$B42)*('W1'!$I$6:$AI$6=$B$1))*$E$1</f>
        <v>128180000000</v>
      </c>
      <c r="AJ42" s="134">
        <f t="shared" si="592"/>
        <v>890138888.88888884</v>
      </c>
      <c r="AK42" s="134">
        <f t="shared" si="593"/>
        <v>10681666666.666666</v>
      </c>
      <c r="AL42" s="55"/>
      <c r="AN42" s="55"/>
      <c r="AO42" s="132" cm="1">
        <f t="array" ref="AO42">SUMPRODUCT('W1'!$I$10:$AI$60*('W1'!$B$10:$B$60=$B42)*('W1'!$I$6:$AI$6=$B$1))*$E$1</f>
        <v>128180000000</v>
      </c>
      <c r="AP42" s="134">
        <f t="shared" si="594"/>
        <v>890138888.88888884</v>
      </c>
      <c r="AQ42" s="134">
        <f t="shared" si="595"/>
        <v>10681666666.666666</v>
      </c>
      <c r="AR42" s="55"/>
      <c r="AT42" s="55"/>
      <c r="AU42" s="132" cm="1">
        <f t="array" ref="AU42">SUMPRODUCT('W1'!$I$10:$AI$60*('W1'!$B$10:$B$60=$B42)*('W1'!$I$6:$AI$6=$B$1))*$E$1</f>
        <v>128180000000</v>
      </c>
      <c r="AV42" s="134">
        <f t="shared" si="596"/>
        <v>890138888.88888884</v>
      </c>
      <c r="AW42" s="134">
        <f t="shared" si="597"/>
        <v>10681666666.666666</v>
      </c>
      <c r="AX42" s="55"/>
      <c r="AZ42" s="55"/>
      <c r="BA42" s="132" cm="1">
        <f t="array" ref="BA42">SUMPRODUCT('W1'!$I$10:$AI$60*('W1'!$B$10:$B$60=$B42)*('W1'!$I$6:$AI$6=$B$1))*$E$1</f>
        <v>128180000000</v>
      </c>
      <c r="BB42" s="134">
        <f t="shared" si="598"/>
        <v>890138888.88888884</v>
      </c>
      <c r="BC42" s="134">
        <f t="shared" si="599"/>
        <v>10681666666.666666</v>
      </c>
      <c r="BD42" s="55"/>
      <c r="BF42" s="55"/>
      <c r="BG42" s="132" cm="1">
        <f t="array" ref="BG42">SUMPRODUCT('W1'!$I$10:$AI$60*('W1'!$B$10:$B$60=$B42)*('W1'!$I$6:$AI$6=$B$1))*$E$1</f>
        <v>128180000000</v>
      </c>
      <c r="BH42" s="134">
        <f t="shared" si="600"/>
        <v>890138888.88888884</v>
      </c>
      <c r="BI42" s="134">
        <f t="shared" si="601"/>
        <v>10681666666.666666</v>
      </c>
      <c r="BJ42" s="55"/>
      <c r="BL42" s="55"/>
      <c r="BM42" s="132" cm="1">
        <f t="array" ref="BM42">SUMPRODUCT('W1'!$I$10:$AI$60*('W1'!$B$10:$B$60=$B42)*('W1'!$I$6:$AI$6=$B$1))*$E$1</f>
        <v>128180000000</v>
      </c>
      <c r="BN42" s="134">
        <f t="shared" si="602"/>
        <v>890138888.88888884</v>
      </c>
      <c r="BO42" s="134">
        <f t="shared" si="603"/>
        <v>10681666666.666666</v>
      </c>
      <c r="BP42" s="55"/>
      <c r="BR42" s="55"/>
      <c r="BS42" s="132" cm="1">
        <f t="array" ref="BS42">SUMPRODUCT('W1'!$I$10:$AI$60*('W1'!$B$10:$B$60=$B42)*('W1'!$I$6:$AI$6=$B$1))*$E$1</f>
        <v>128180000000</v>
      </c>
      <c r="BT42" s="134">
        <f t="shared" si="604"/>
        <v>890138888.88888884</v>
      </c>
      <c r="BU42" s="134">
        <f t="shared" si="605"/>
        <v>10681666666.666666</v>
      </c>
      <c r="BV42" s="55"/>
      <c r="BX42" s="55"/>
      <c r="BY42" s="132" cm="1">
        <f t="array" ref="BY42">SUMPRODUCT('W1'!$I$10:$AI$60*('W1'!$B$10:$B$60=$B42)*('W1'!$I$6:$AI$6=$B$1))*$E$1</f>
        <v>128180000000</v>
      </c>
      <c r="BZ42" s="134">
        <f t="shared" si="606"/>
        <v>0</v>
      </c>
      <c r="CA42" s="134">
        <f t="shared" si="607"/>
        <v>0</v>
      </c>
      <c r="CB42" s="55"/>
      <c r="CD42" s="55"/>
      <c r="CE42" s="132" cm="1">
        <f t="array" ref="CE42">SUMPRODUCT('W1'!$I$10:$AI$60*('W1'!$B$10:$B$60=$B42)*('W1'!$I$6:$AI$6=$B$1))*$E$1</f>
        <v>128180000000</v>
      </c>
      <c r="CF42" s="134">
        <f t="shared" si="608"/>
        <v>0</v>
      </c>
      <c r="CG42" s="134">
        <f t="shared" si="609"/>
        <v>0</v>
      </c>
      <c r="CH42" s="55"/>
      <c r="CJ42" s="55"/>
      <c r="CK42" s="132" cm="1">
        <f t="array" ref="CK42">SUMPRODUCT('W1'!$I$10:$AI$60*('W1'!$B$10:$B$60=$B42)*('W1'!$I$6:$AI$6=$B$1))*$E$1</f>
        <v>128180000000</v>
      </c>
      <c r="CL42" s="134">
        <f t="shared" si="610"/>
        <v>0</v>
      </c>
      <c r="CM42" s="134">
        <f t="shared" si="611"/>
        <v>0</v>
      </c>
      <c r="CN42" s="55"/>
      <c r="CP42" s="55"/>
      <c r="CQ42" s="132" cm="1">
        <f t="array" ref="CQ42">SUMPRODUCT('W1'!$I$10:$AI$60*('W1'!$B$10:$B$60=$B42)*('W1'!$I$6:$AI$6=$B$1))*$E$1</f>
        <v>128180000000</v>
      </c>
      <c r="CR42" s="134">
        <f t="shared" si="612"/>
        <v>0</v>
      </c>
      <c r="CS42" s="134">
        <f t="shared" si="613"/>
        <v>0</v>
      </c>
      <c r="CT42" s="55"/>
      <c r="CV42" s="55"/>
      <c r="CW42" s="132" cm="1">
        <f t="array" ref="CW42">SUMPRODUCT('W1'!$I$10:$AI$60*('W1'!$B$10:$B$60=$B42)*('W1'!$I$6:$AI$6=$B$1))*$E$1</f>
        <v>128180000000</v>
      </c>
      <c r="CX42" s="134">
        <f t="shared" si="614"/>
        <v>0</v>
      </c>
      <c r="CY42" s="134">
        <f t="shared" si="615"/>
        <v>0</v>
      </c>
      <c r="CZ42" s="55"/>
      <c r="DB42" s="55"/>
      <c r="DC42" s="132" cm="1">
        <f t="array" ref="DC42">SUMPRODUCT('W1'!$I$10:$AI$60*('W1'!$B$10:$B$60=$B42)*('W1'!$I$6:$AI$6=$B$1))*$E$1</f>
        <v>128180000000</v>
      </c>
      <c r="DD42" s="134">
        <f t="shared" si="616"/>
        <v>0</v>
      </c>
      <c r="DE42" s="134">
        <f t="shared" si="617"/>
        <v>0</v>
      </c>
      <c r="DF42" s="55"/>
      <c r="DH42" s="55"/>
      <c r="DI42" s="132" cm="1">
        <f t="array" ref="DI42">SUMPRODUCT('W1'!$I$10:$AI$60*('W1'!$B$10:$B$60=$B42)*('W1'!$I$6:$AI$6=$B$1))*$E$1</f>
        <v>128180000000</v>
      </c>
      <c r="DJ42" s="134">
        <f t="shared" si="618"/>
        <v>0</v>
      </c>
      <c r="DK42" s="134">
        <f t="shared" si="619"/>
        <v>0</v>
      </c>
      <c r="DL42" s="55"/>
      <c r="DN42" s="55"/>
      <c r="DO42" s="132" cm="1">
        <f t="array" ref="DO42">SUMPRODUCT('W1'!$I$10:$AI$60*('W1'!$B$10:$B$60=$B42)*('W1'!$I$6:$AI$6=$B$1))*$E$1</f>
        <v>128180000000</v>
      </c>
      <c r="DP42" s="134">
        <f t="shared" si="620"/>
        <v>0</v>
      </c>
      <c r="DQ42" s="134">
        <f t="shared" si="621"/>
        <v>0</v>
      </c>
      <c r="DR42" s="55"/>
      <c r="DT42" s="55"/>
      <c r="DU42" s="132" cm="1">
        <f t="array" ref="DU42">SUMPRODUCT('W1'!$I$10:$AI$60*('W1'!$B$10:$B$60=$B42)*('W1'!$I$6:$AI$6=$B$1))*$E$1</f>
        <v>128180000000</v>
      </c>
      <c r="DV42" s="134">
        <f t="shared" si="622"/>
        <v>0</v>
      </c>
      <c r="DW42" s="134">
        <f t="shared" si="623"/>
        <v>0</v>
      </c>
      <c r="DX42" s="55"/>
      <c r="DZ42" s="55"/>
      <c r="EA42" s="132" cm="1">
        <f t="array" ref="EA42">SUMPRODUCT('W1'!$I$10:$AI$60*('W1'!$B$10:$B$60=$B42)*('W1'!$I$6:$AI$6=$B$1))*$E$1</f>
        <v>128180000000</v>
      </c>
      <c r="EB42" s="134">
        <f t="shared" si="624"/>
        <v>0</v>
      </c>
      <c r="EC42" s="134">
        <f t="shared" si="625"/>
        <v>0</v>
      </c>
      <c r="ED42" s="55"/>
      <c r="EF42" s="55"/>
      <c r="EG42" s="132" cm="1">
        <f t="array" ref="EG42">SUMPRODUCT('W1'!$I$10:$AI$60*('W1'!$B$10:$B$60=$B42)*('W1'!$I$6:$AI$6=$B$1))*$E$1</f>
        <v>128180000000</v>
      </c>
      <c r="EH42" s="134">
        <f t="shared" si="626"/>
        <v>0</v>
      </c>
      <c r="EI42" s="134">
        <f t="shared" si="627"/>
        <v>0</v>
      </c>
      <c r="EJ42" s="55"/>
      <c r="EL42" s="55"/>
      <c r="EM42" s="132" cm="1">
        <f t="array" ref="EM42">SUMPRODUCT('W1'!$I$10:$AI$60*('W1'!$B$10:$B$60=$B42)*('W1'!$I$6:$AI$6=$B$1))*$E$1</f>
        <v>128180000000</v>
      </c>
      <c r="EN42" s="134">
        <f t="shared" si="628"/>
        <v>0</v>
      </c>
      <c r="EO42" s="134">
        <f t="shared" si="629"/>
        <v>0</v>
      </c>
      <c r="EP42" s="55"/>
      <c r="ER42" s="55"/>
      <c r="ES42" s="132" cm="1">
        <f t="array" ref="ES42">SUMPRODUCT('W1'!$I$10:$AI$60*('W1'!$B$10:$B$60=$B42)*('W1'!$I$6:$AI$6=$B$1))*$E$1</f>
        <v>128180000000</v>
      </c>
      <c r="ET42" s="134">
        <f t="shared" si="630"/>
        <v>0</v>
      </c>
      <c r="EU42" s="134">
        <f t="shared" si="631"/>
        <v>0</v>
      </c>
      <c r="EV42" s="55"/>
    </row>
    <row r="43" spans="1:152" x14ac:dyDescent="0.25">
      <c r="A43" t="s">
        <v>147</v>
      </c>
      <c r="B43" s="56" t="s">
        <v>347</v>
      </c>
      <c r="C43" s="55" t="s">
        <v>129</v>
      </c>
      <c r="D43" s="55"/>
      <c r="E43" s="132" cm="1">
        <f t="array" ref="E43">SUMPRODUCT('W1'!$I$10:$AI$60*('W1'!$B$10:$B$60=$B43)*('W1'!$I$6:$AI$6=$B$1))*$E$1</f>
        <v>12792000000</v>
      </c>
      <c r="F43" s="134">
        <f>IF(H$2&lt;=E$46,E43/E$47,0)</f>
        <v>88833333.333333328</v>
      </c>
      <c r="G43" s="134">
        <f t="shared" si="632"/>
        <v>1066000000</v>
      </c>
      <c r="H43" s="55"/>
      <c r="J43" s="55"/>
      <c r="K43" s="132" cm="1">
        <f t="array" ref="K43">SUMPRODUCT('W1'!$I$10:$AI$60*('W1'!$B$10:$B$60=$B43)*('W1'!$I$6:$AI$6=$B$1))*$E$1</f>
        <v>12792000000</v>
      </c>
      <c r="L43" s="134">
        <f>IF(N$2&lt;=K$46,K43/K$47,0)</f>
        <v>88833333.333333328</v>
      </c>
      <c r="M43" s="134">
        <f t="shared" si="633"/>
        <v>1066000000</v>
      </c>
      <c r="N43" s="55"/>
      <c r="P43" s="55"/>
      <c r="Q43" s="132" cm="1">
        <f t="array" ref="Q43">SUMPRODUCT('W1'!$I$10:$AI$60*('W1'!$B$10:$B$60=$B43)*('W1'!$I$6:$AI$6=$B$1))*$E$1</f>
        <v>12792000000</v>
      </c>
      <c r="R43" s="134">
        <f>IF(T$2&lt;=Q$46,Q43/Q$47,0)</f>
        <v>88833333.333333328</v>
      </c>
      <c r="S43" s="134">
        <f t="shared" si="634"/>
        <v>1066000000</v>
      </c>
      <c r="T43" s="55"/>
      <c r="V43" s="55"/>
      <c r="W43" s="132" cm="1">
        <f t="array" ref="W43">SUMPRODUCT('W1'!$I$10:$AI$60*('W1'!$B$10:$B$60=$B43)*('W1'!$I$6:$AI$6=$B$1))*$E$1</f>
        <v>12792000000</v>
      </c>
      <c r="X43" s="134">
        <f t="shared" si="588"/>
        <v>88833333.333333328</v>
      </c>
      <c r="Y43" s="134">
        <f t="shared" si="589"/>
        <v>1066000000</v>
      </c>
      <c r="Z43" s="55"/>
      <c r="AB43" s="55"/>
      <c r="AC43" s="132" cm="1">
        <f t="array" ref="AC43">SUMPRODUCT('W1'!$I$10:$AI$60*('W1'!$B$10:$B$60=$B43)*('W1'!$I$6:$AI$6=$B$1))*$E$1</f>
        <v>12792000000</v>
      </c>
      <c r="AD43" s="134">
        <f t="shared" si="590"/>
        <v>88833333.333333328</v>
      </c>
      <c r="AE43" s="134">
        <f t="shared" si="591"/>
        <v>1066000000</v>
      </c>
      <c r="AF43" s="55"/>
      <c r="AH43" s="55"/>
      <c r="AI43" s="132" cm="1">
        <f t="array" ref="AI43">SUMPRODUCT('W1'!$I$10:$AI$60*('W1'!$B$10:$B$60=$B43)*('W1'!$I$6:$AI$6=$B$1))*$E$1</f>
        <v>12792000000</v>
      </c>
      <c r="AJ43" s="134">
        <f t="shared" si="592"/>
        <v>88833333.333333328</v>
      </c>
      <c r="AK43" s="134">
        <f t="shared" si="593"/>
        <v>1066000000</v>
      </c>
      <c r="AL43" s="55"/>
      <c r="AN43" s="55"/>
      <c r="AO43" s="132" cm="1">
        <f t="array" ref="AO43">SUMPRODUCT('W1'!$I$10:$AI$60*('W1'!$B$10:$B$60=$B43)*('W1'!$I$6:$AI$6=$B$1))*$E$1</f>
        <v>12792000000</v>
      </c>
      <c r="AP43" s="134">
        <f t="shared" si="594"/>
        <v>88833333.333333328</v>
      </c>
      <c r="AQ43" s="134">
        <f t="shared" si="595"/>
        <v>1066000000</v>
      </c>
      <c r="AR43" s="55"/>
      <c r="AT43" s="55"/>
      <c r="AU43" s="132" cm="1">
        <f t="array" ref="AU43">SUMPRODUCT('W1'!$I$10:$AI$60*('W1'!$B$10:$B$60=$B43)*('W1'!$I$6:$AI$6=$B$1))*$E$1</f>
        <v>12792000000</v>
      </c>
      <c r="AV43" s="134">
        <f t="shared" si="596"/>
        <v>88833333.333333328</v>
      </c>
      <c r="AW43" s="134">
        <f t="shared" si="597"/>
        <v>1066000000</v>
      </c>
      <c r="AX43" s="55"/>
      <c r="AZ43" s="55"/>
      <c r="BA43" s="132" cm="1">
        <f t="array" ref="BA43">SUMPRODUCT('W1'!$I$10:$AI$60*('W1'!$B$10:$B$60=$B43)*('W1'!$I$6:$AI$6=$B$1))*$E$1</f>
        <v>12792000000</v>
      </c>
      <c r="BB43" s="134">
        <f t="shared" si="598"/>
        <v>88833333.333333328</v>
      </c>
      <c r="BC43" s="134">
        <f t="shared" si="599"/>
        <v>1066000000</v>
      </c>
      <c r="BD43" s="55"/>
      <c r="BF43" s="55"/>
      <c r="BG43" s="132" cm="1">
        <f t="array" ref="BG43">SUMPRODUCT('W1'!$I$10:$AI$60*('W1'!$B$10:$B$60=$B43)*('W1'!$I$6:$AI$6=$B$1))*$E$1</f>
        <v>12792000000</v>
      </c>
      <c r="BH43" s="134">
        <f t="shared" si="600"/>
        <v>88833333.333333328</v>
      </c>
      <c r="BI43" s="134">
        <f t="shared" si="601"/>
        <v>1066000000</v>
      </c>
      <c r="BJ43" s="55"/>
      <c r="BL43" s="55"/>
      <c r="BM43" s="132" cm="1">
        <f t="array" ref="BM43">SUMPRODUCT('W1'!$I$10:$AI$60*('W1'!$B$10:$B$60=$B43)*('W1'!$I$6:$AI$6=$B$1))*$E$1</f>
        <v>12792000000</v>
      </c>
      <c r="BN43" s="134">
        <f t="shared" si="602"/>
        <v>88833333.333333328</v>
      </c>
      <c r="BO43" s="134">
        <f t="shared" si="603"/>
        <v>1066000000</v>
      </c>
      <c r="BP43" s="55"/>
      <c r="BR43" s="55"/>
      <c r="BS43" s="132" cm="1">
        <f t="array" ref="BS43">SUMPRODUCT('W1'!$I$10:$AI$60*('W1'!$B$10:$B$60=$B43)*('W1'!$I$6:$AI$6=$B$1))*$E$1</f>
        <v>12792000000</v>
      </c>
      <c r="BT43" s="134">
        <f t="shared" si="604"/>
        <v>88833333.333333328</v>
      </c>
      <c r="BU43" s="134">
        <f t="shared" si="605"/>
        <v>1066000000</v>
      </c>
      <c r="BV43" s="55"/>
      <c r="BX43" s="55"/>
      <c r="BY43" s="132" cm="1">
        <f t="array" ref="BY43">SUMPRODUCT('W1'!$I$10:$AI$60*('W1'!$B$10:$B$60=$B43)*('W1'!$I$6:$AI$6=$B$1))*$E$1</f>
        <v>12792000000</v>
      </c>
      <c r="BZ43" s="134">
        <f t="shared" si="606"/>
        <v>0</v>
      </c>
      <c r="CA43" s="134">
        <f t="shared" si="607"/>
        <v>0</v>
      </c>
      <c r="CB43" s="55"/>
      <c r="CD43" s="55"/>
      <c r="CE43" s="132" cm="1">
        <f t="array" ref="CE43">SUMPRODUCT('W1'!$I$10:$AI$60*('W1'!$B$10:$B$60=$B43)*('W1'!$I$6:$AI$6=$B$1))*$E$1</f>
        <v>12792000000</v>
      </c>
      <c r="CF43" s="134">
        <f t="shared" si="608"/>
        <v>0</v>
      </c>
      <c r="CG43" s="134">
        <f t="shared" si="609"/>
        <v>0</v>
      </c>
      <c r="CH43" s="55"/>
      <c r="CJ43" s="55"/>
      <c r="CK43" s="132" cm="1">
        <f t="array" ref="CK43">SUMPRODUCT('W1'!$I$10:$AI$60*('W1'!$B$10:$B$60=$B43)*('W1'!$I$6:$AI$6=$B$1))*$E$1</f>
        <v>12792000000</v>
      </c>
      <c r="CL43" s="134">
        <f t="shared" si="610"/>
        <v>0</v>
      </c>
      <c r="CM43" s="134">
        <f t="shared" si="611"/>
        <v>0</v>
      </c>
      <c r="CN43" s="55"/>
      <c r="CP43" s="55"/>
      <c r="CQ43" s="132" cm="1">
        <f t="array" ref="CQ43">SUMPRODUCT('W1'!$I$10:$AI$60*('W1'!$B$10:$B$60=$B43)*('W1'!$I$6:$AI$6=$B$1))*$E$1</f>
        <v>12792000000</v>
      </c>
      <c r="CR43" s="134">
        <f t="shared" si="612"/>
        <v>0</v>
      </c>
      <c r="CS43" s="134">
        <f t="shared" si="613"/>
        <v>0</v>
      </c>
      <c r="CT43" s="55"/>
      <c r="CV43" s="55"/>
      <c r="CW43" s="132" cm="1">
        <f t="array" ref="CW43">SUMPRODUCT('W1'!$I$10:$AI$60*('W1'!$B$10:$B$60=$B43)*('W1'!$I$6:$AI$6=$B$1))*$E$1</f>
        <v>12792000000</v>
      </c>
      <c r="CX43" s="134">
        <f t="shared" si="614"/>
        <v>0</v>
      </c>
      <c r="CY43" s="134">
        <f t="shared" si="615"/>
        <v>0</v>
      </c>
      <c r="CZ43" s="55"/>
      <c r="DB43" s="55"/>
      <c r="DC43" s="132" cm="1">
        <f t="array" ref="DC43">SUMPRODUCT('W1'!$I$10:$AI$60*('W1'!$B$10:$B$60=$B43)*('W1'!$I$6:$AI$6=$B$1))*$E$1</f>
        <v>12792000000</v>
      </c>
      <c r="DD43" s="134">
        <f t="shared" si="616"/>
        <v>0</v>
      </c>
      <c r="DE43" s="134">
        <f t="shared" si="617"/>
        <v>0</v>
      </c>
      <c r="DF43" s="55"/>
      <c r="DH43" s="55"/>
      <c r="DI43" s="132" cm="1">
        <f t="array" ref="DI43">SUMPRODUCT('W1'!$I$10:$AI$60*('W1'!$B$10:$B$60=$B43)*('W1'!$I$6:$AI$6=$B$1))*$E$1</f>
        <v>12792000000</v>
      </c>
      <c r="DJ43" s="134">
        <f t="shared" si="618"/>
        <v>0</v>
      </c>
      <c r="DK43" s="134">
        <f t="shared" si="619"/>
        <v>0</v>
      </c>
      <c r="DL43" s="55"/>
      <c r="DN43" s="55"/>
      <c r="DO43" s="132" cm="1">
        <f t="array" ref="DO43">SUMPRODUCT('W1'!$I$10:$AI$60*('W1'!$B$10:$B$60=$B43)*('W1'!$I$6:$AI$6=$B$1))*$E$1</f>
        <v>12792000000</v>
      </c>
      <c r="DP43" s="134">
        <f t="shared" si="620"/>
        <v>0</v>
      </c>
      <c r="DQ43" s="134">
        <f t="shared" si="621"/>
        <v>0</v>
      </c>
      <c r="DR43" s="55"/>
      <c r="DT43" s="55"/>
      <c r="DU43" s="132" cm="1">
        <f t="array" ref="DU43">SUMPRODUCT('W1'!$I$10:$AI$60*('W1'!$B$10:$B$60=$B43)*('W1'!$I$6:$AI$6=$B$1))*$E$1</f>
        <v>12792000000</v>
      </c>
      <c r="DV43" s="134">
        <f t="shared" si="622"/>
        <v>0</v>
      </c>
      <c r="DW43" s="134">
        <f t="shared" si="623"/>
        <v>0</v>
      </c>
      <c r="DX43" s="55"/>
      <c r="DZ43" s="55"/>
      <c r="EA43" s="132" cm="1">
        <f t="array" ref="EA43">SUMPRODUCT('W1'!$I$10:$AI$60*('W1'!$B$10:$B$60=$B43)*('W1'!$I$6:$AI$6=$B$1))*$E$1</f>
        <v>12792000000</v>
      </c>
      <c r="EB43" s="134">
        <f t="shared" si="624"/>
        <v>0</v>
      </c>
      <c r="EC43" s="134">
        <f t="shared" si="625"/>
        <v>0</v>
      </c>
      <c r="ED43" s="55"/>
      <c r="EF43" s="55"/>
      <c r="EG43" s="132" cm="1">
        <f t="array" ref="EG43">SUMPRODUCT('W1'!$I$10:$AI$60*('W1'!$B$10:$B$60=$B43)*('W1'!$I$6:$AI$6=$B$1))*$E$1</f>
        <v>12792000000</v>
      </c>
      <c r="EH43" s="134">
        <f t="shared" si="626"/>
        <v>0</v>
      </c>
      <c r="EI43" s="134">
        <f t="shared" si="627"/>
        <v>0</v>
      </c>
      <c r="EJ43" s="55"/>
      <c r="EL43" s="55"/>
      <c r="EM43" s="132" cm="1">
        <f t="array" ref="EM43">SUMPRODUCT('W1'!$I$10:$AI$60*('W1'!$B$10:$B$60=$B43)*('W1'!$I$6:$AI$6=$B$1))*$E$1</f>
        <v>12792000000</v>
      </c>
      <c r="EN43" s="134">
        <f t="shared" si="628"/>
        <v>0</v>
      </c>
      <c r="EO43" s="134">
        <f t="shared" si="629"/>
        <v>0</v>
      </c>
      <c r="EP43" s="55"/>
      <c r="ER43" s="55"/>
      <c r="ES43" s="132" cm="1">
        <f t="array" ref="ES43">SUMPRODUCT('W1'!$I$10:$AI$60*('W1'!$B$10:$B$60=$B43)*('W1'!$I$6:$AI$6=$B$1))*$E$1</f>
        <v>12792000000</v>
      </c>
      <c r="ET43" s="134">
        <f t="shared" si="630"/>
        <v>0</v>
      </c>
      <c r="EU43" s="134">
        <f t="shared" si="631"/>
        <v>0</v>
      </c>
      <c r="EV43" s="55"/>
    </row>
    <row r="44" spans="1:152" x14ac:dyDescent="0.25">
      <c r="A44" t="s">
        <v>147</v>
      </c>
      <c r="B44" s="56" t="s">
        <v>346</v>
      </c>
      <c r="C44" s="55" t="s">
        <v>129</v>
      </c>
      <c r="D44" s="55"/>
      <c r="E44" s="132" cm="1">
        <f t="array" ref="E44">SUMPRODUCT('W1'!$I$10:$AI$60*('W1'!$B$10:$B$60=$B44)*('W1'!$I$6:$AI$6=$B$1))*$E$1</f>
        <v>38116000000</v>
      </c>
      <c r="F44" s="134">
        <f>IF(H$2&lt;=E$46,E44/E$47,0)</f>
        <v>264694444.44444445</v>
      </c>
      <c r="G44" s="134">
        <f t="shared" si="632"/>
        <v>3176333333.3333335</v>
      </c>
      <c r="H44" s="55"/>
      <c r="J44" s="55"/>
      <c r="K44" s="132" cm="1">
        <f t="array" ref="K44">SUMPRODUCT('W1'!$I$10:$AI$60*('W1'!$B$10:$B$60=$B44)*('W1'!$I$6:$AI$6=$B$1))*$E$1</f>
        <v>38116000000</v>
      </c>
      <c r="L44" s="134">
        <f>IF(N$2&lt;=K$46,K44/K$47,0)</f>
        <v>264694444.44444445</v>
      </c>
      <c r="M44" s="134">
        <f t="shared" si="633"/>
        <v>3176333333.3333335</v>
      </c>
      <c r="N44" s="55"/>
      <c r="P44" s="55"/>
      <c r="Q44" s="132" cm="1">
        <f t="array" ref="Q44">SUMPRODUCT('W1'!$I$10:$AI$60*('W1'!$B$10:$B$60=$B44)*('W1'!$I$6:$AI$6=$B$1))*$E$1</f>
        <v>38116000000</v>
      </c>
      <c r="R44" s="134">
        <f>IF(T$2&lt;=Q$46,Q44/Q$47,0)</f>
        <v>264694444.44444445</v>
      </c>
      <c r="S44" s="134">
        <f t="shared" si="634"/>
        <v>3176333333.3333335</v>
      </c>
      <c r="T44" s="55"/>
      <c r="V44" s="55"/>
      <c r="W44" s="132" cm="1">
        <f t="array" ref="W44">SUMPRODUCT('W1'!$I$10:$AI$60*('W1'!$B$10:$B$60=$B44)*('W1'!$I$6:$AI$6=$B$1))*$E$1</f>
        <v>38116000000</v>
      </c>
      <c r="X44" s="134">
        <f t="shared" si="588"/>
        <v>264694444.44444445</v>
      </c>
      <c r="Y44" s="134">
        <f t="shared" si="589"/>
        <v>3176333333.3333335</v>
      </c>
      <c r="Z44" s="55"/>
      <c r="AB44" s="55"/>
      <c r="AC44" s="132" cm="1">
        <f t="array" ref="AC44">SUMPRODUCT('W1'!$I$10:$AI$60*('W1'!$B$10:$B$60=$B44)*('W1'!$I$6:$AI$6=$B$1))*$E$1</f>
        <v>38116000000</v>
      </c>
      <c r="AD44" s="134">
        <f t="shared" si="590"/>
        <v>264694444.44444445</v>
      </c>
      <c r="AE44" s="134">
        <f t="shared" si="591"/>
        <v>3176333333.3333335</v>
      </c>
      <c r="AF44" s="55"/>
      <c r="AH44" s="55"/>
      <c r="AI44" s="132" cm="1">
        <f t="array" ref="AI44">SUMPRODUCT('W1'!$I$10:$AI$60*('W1'!$B$10:$B$60=$B44)*('W1'!$I$6:$AI$6=$B$1))*$E$1</f>
        <v>38116000000</v>
      </c>
      <c r="AJ44" s="134">
        <f t="shared" si="592"/>
        <v>264694444.44444445</v>
      </c>
      <c r="AK44" s="134">
        <f t="shared" si="593"/>
        <v>3176333333.3333335</v>
      </c>
      <c r="AL44" s="55"/>
      <c r="AN44" s="55"/>
      <c r="AO44" s="132" cm="1">
        <f t="array" ref="AO44">SUMPRODUCT('W1'!$I$10:$AI$60*('W1'!$B$10:$B$60=$B44)*('W1'!$I$6:$AI$6=$B$1))*$E$1</f>
        <v>38116000000</v>
      </c>
      <c r="AP44" s="134">
        <f t="shared" si="594"/>
        <v>264694444.44444445</v>
      </c>
      <c r="AQ44" s="134">
        <f t="shared" si="595"/>
        <v>3176333333.3333335</v>
      </c>
      <c r="AR44" s="55"/>
      <c r="AT44" s="55"/>
      <c r="AU44" s="132" cm="1">
        <f t="array" ref="AU44">SUMPRODUCT('W1'!$I$10:$AI$60*('W1'!$B$10:$B$60=$B44)*('W1'!$I$6:$AI$6=$B$1))*$E$1</f>
        <v>38116000000</v>
      </c>
      <c r="AV44" s="134">
        <f t="shared" si="596"/>
        <v>264694444.44444445</v>
      </c>
      <c r="AW44" s="134">
        <f t="shared" si="597"/>
        <v>3176333333.3333335</v>
      </c>
      <c r="AX44" s="55"/>
      <c r="AZ44" s="55"/>
      <c r="BA44" s="132" cm="1">
        <f t="array" ref="BA44">SUMPRODUCT('W1'!$I$10:$AI$60*('W1'!$B$10:$B$60=$B44)*('W1'!$I$6:$AI$6=$B$1))*$E$1</f>
        <v>38116000000</v>
      </c>
      <c r="BB44" s="134">
        <f t="shared" si="598"/>
        <v>264694444.44444445</v>
      </c>
      <c r="BC44" s="134">
        <f t="shared" si="599"/>
        <v>3176333333.3333335</v>
      </c>
      <c r="BD44" s="55"/>
      <c r="BF44" s="55"/>
      <c r="BG44" s="132" cm="1">
        <f t="array" ref="BG44">SUMPRODUCT('W1'!$I$10:$AI$60*('W1'!$B$10:$B$60=$B44)*('W1'!$I$6:$AI$6=$B$1))*$E$1</f>
        <v>38116000000</v>
      </c>
      <c r="BH44" s="134">
        <f t="shared" si="600"/>
        <v>264694444.44444445</v>
      </c>
      <c r="BI44" s="134">
        <f t="shared" si="601"/>
        <v>3176333333.3333335</v>
      </c>
      <c r="BJ44" s="55"/>
      <c r="BL44" s="55"/>
      <c r="BM44" s="132" cm="1">
        <f t="array" ref="BM44">SUMPRODUCT('W1'!$I$10:$AI$60*('W1'!$B$10:$B$60=$B44)*('W1'!$I$6:$AI$6=$B$1))*$E$1</f>
        <v>38116000000</v>
      </c>
      <c r="BN44" s="134">
        <f t="shared" si="602"/>
        <v>264694444.44444445</v>
      </c>
      <c r="BO44" s="134">
        <f t="shared" si="603"/>
        <v>3176333333.3333335</v>
      </c>
      <c r="BP44" s="55"/>
      <c r="BR44" s="55"/>
      <c r="BS44" s="132" cm="1">
        <f t="array" ref="BS44">SUMPRODUCT('W1'!$I$10:$AI$60*('W1'!$B$10:$B$60=$B44)*('W1'!$I$6:$AI$6=$B$1))*$E$1</f>
        <v>38116000000</v>
      </c>
      <c r="BT44" s="134">
        <f t="shared" si="604"/>
        <v>264694444.44444445</v>
      </c>
      <c r="BU44" s="134">
        <f t="shared" si="605"/>
        <v>3176333333.3333335</v>
      </c>
      <c r="BV44" s="55"/>
      <c r="BX44" s="55"/>
      <c r="BY44" s="132" cm="1">
        <f t="array" ref="BY44">SUMPRODUCT('W1'!$I$10:$AI$60*('W1'!$B$10:$B$60=$B44)*('W1'!$I$6:$AI$6=$B$1))*$E$1</f>
        <v>38116000000</v>
      </c>
      <c r="BZ44" s="134">
        <f t="shared" si="606"/>
        <v>0</v>
      </c>
      <c r="CA44" s="134">
        <f t="shared" si="607"/>
        <v>0</v>
      </c>
      <c r="CB44" s="55"/>
      <c r="CD44" s="55"/>
      <c r="CE44" s="132" cm="1">
        <f t="array" ref="CE44">SUMPRODUCT('W1'!$I$10:$AI$60*('W1'!$B$10:$B$60=$B44)*('W1'!$I$6:$AI$6=$B$1))*$E$1</f>
        <v>38116000000</v>
      </c>
      <c r="CF44" s="134">
        <f t="shared" si="608"/>
        <v>0</v>
      </c>
      <c r="CG44" s="134">
        <f t="shared" si="609"/>
        <v>0</v>
      </c>
      <c r="CH44" s="55"/>
      <c r="CJ44" s="55"/>
      <c r="CK44" s="132" cm="1">
        <f t="array" ref="CK44">SUMPRODUCT('W1'!$I$10:$AI$60*('W1'!$B$10:$B$60=$B44)*('W1'!$I$6:$AI$6=$B$1))*$E$1</f>
        <v>38116000000</v>
      </c>
      <c r="CL44" s="134">
        <f t="shared" si="610"/>
        <v>0</v>
      </c>
      <c r="CM44" s="134">
        <f t="shared" si="611"/>
        <v>0</v>
      </c>
      <c r="CN44" s="55"/>
      <c r="CP44" s="55"/>
      <c r="CQ44" s="132" cm="1">
        <f t="array" ref="CQ44">SUMPRODUCT('W1'!$I$10:$AI$60*('W1'!$B$10:$B$60=$B44)*('W1'!$I$6:$AI$6=$B$1))*$E$1</f>
        <v>38116000000</v>
      </c>
      <c r="CR44" s="134">
        <f t="shared" si="612"/>
        <v>0</v>
      </c>
      <c r="CS44" s="134">
        <f t="shared" si="613"/>
        <v>0</v>
      </c>
      <c r="CT44" s="55"/>
      <c r="CV44" s="55"/>
      <c r="CW44" s="132" cm="1">
        <f t="array" ref="CW44">SUMPRODUCT('W1'!$I$10:$AI$60*('W1'!$B$10:$B$60=$B44)*('W1'!$I$6:$AI$6=$B$1))*$E$1</f>
        <v>38116000000</v>
      </c>
      <c r="CX44" s="134">
        <f t="shared" si="614"/>
        <v>0</v>
      </c>
      <c r="CY44" s="134">
        <f t="shared" si="615"/>
        <v>0</v>
      </c>
      <c r="CZ44" s="55"/>
      <c r="DB44" s="55"/>
      <c r="DC44" s="132" cm="1">
        <f t="array" ref="DC44">SUMPRODUCT('W1'!$I$10:$AI$60*('W1'!$B$10:$B$60=$B44)*('W1'!$I$6:$AI$6=$B$1))*$E$1</f>
        <v>38116000000</v>
      </c>
      <c r="DD44" s="134">
        <f t="shared" si="616"/>
        <v>0</v>
      </c>
      <c r="DE44" s="134">
        <f t="shared" si="617"/>
        <v>0</v>
      </c>
      <c r="DF44" s="55"/>
      <c r="DH44" s="55"/>
      <c r="DI44" s="132" cm="1">
        <f t="array" ref="DI44">SUMPRODUCT('W1'!$I$10:$AI$60*('W1'!$B$10:$B$60=$B44)*('W1'!$I$6:$AI$6=$B$1))*$E$1</f>
        <v>38116000000</v>
      </c>
      <c r="DJ44" s="134">
        <f t="shared" si="618"/>
        <v>0</v>
      </c>
      <c r="DK44" s="134">
        <f t="shared" si="619"/>
        <v>0</v>
      </c>
      <c r="DL44" s="55"/>
      <c r="DN44" s="55"/>
      <c r="DO44" s="132" cm="1">
        <f t="array" ref="DO44">SUMPRODUCT('W1'!$I$10:$AI$60*('W1'!$B$10:$B$60=$B44)*('W1'!$I$6:$AI$6=$B$1))*$E$1</f>
        <v>38116000000</v>
      </c>
      <c r="DP44" s="134">
        <f t="shared" si="620"/>
        <v>0</v>
      </c>
      <c r="DQ44" s="134">
        <f t="shared" si="621"/>
        <v>0</v>
      </c>
      <c r="DR44" s="55"/>
      <c r="DT44" s="55"/>
      <c r="DU44" s="132" cm="1">
        <f t="array" ref="DU44">SUMPRODUCT('W1'!$I$10:$AI$60*('W1'!$B$10:$B$60=$B44)*('W1'!$I$6:$AI$6=$B$1))*$E$1</f>
        <v>38116000000</v>
      </c>
      <c r="DV44" s="134">
        <f t="shared" si="622"/>
        <v>0</v>
      </c>
      <c r="DW44" s="134">
        <f t="shared" si="623"/>
        <v>0</v>
      </c>
      <c r="DX44" s="55"/>
      <c r="DZ44" s="55"/>
      <c r="EA44" s="132" cm="1">
        <f t="array" ref="EA44">SUMPRODUCT('W1'!$I$10:$AI$60*('W1'!$B$10:$B$60=$B44)*('W1'!$I$6:$AI$6=$B$1))*$E$1</f>
        <v>38116000000</v>
      </c>
      <c r="EB44" s="134">
        <f t="shared" si="624"/>
        <v>0</v>
      </c>
      <c r="EC44" s="134">
        <f t="shared" si="625"/>
        <v>0</v>
      </c>
      <c r="ED44" s="55"/>
      <c r="EF44" s="55"/>
      <c r="EG44" s="132" cm="1">
        <f t="array" ref="EG44">SUMPRODUCT('W1'!$I$10:$AI$60*('W1'!$B$10:$B$60=$B44)*('W1'!$I$6:$AI$6=$B$1))*$E$1</f>
        <v>38116000000</v>
      </c>
      <c r="EH44" s="134">
        <f t="shared" si="626"/>
        <v>0</v>
      </c>
      <c r="EI44" s="134">
        <f t="shared" si="627"/>
        <v>0</v>
      </c>
      <c r="EJ44" s="55"/>
      <c r="EL44" s="55"/>
      <c r="EM44" s="132" cm="1">
        <f t="array" ref="EM44">SUMPRODUCT('W1'!$I$10:$AI$60*('W1'!$B$10:$B$60=$B44)*('W1'!$I$6:$AI$6=$B$1))*$E$1</f>
        <v>38116000000</v>
      </c>
      <c r="EN44" s="134">
        <f t="shared" si="628"/>
        <v>0</v>
      </c>
      <c r="EO44" s="134">
        <f t="shared" si="629"/>
        <v>0</v>
      </c>
      <c r="EP44" s="55"/>
      <c r="ER44" s="55"/>
      <c r="ES44" s="132" cm="1">
        <f t="array" ref="ES44">SUMPRODUCT('W1'!$I$10:$AI$60*('W1'!$B$10:$B$60=$B44)*('W1'!$I$6:$AI$6=$B$1))*$E$1</f>
        <v>38116000000</v>
      </c>
      <c r="ET44" s="134">
        <f t="shared" si="630"/>
        <v>0</v>
      </c>
      <c r="EU44" s="134">
        <f t="shared" si="631"/>
        <v>0</v>
      </c>
      <c r="EV44" s="55"/>
    </row>
    <row r="45" spans="1:152" x14ac:dyDescent="0.25">
      <c r="A45" t="s">
        <v>147</v>
      </c>
      <c r="B45" s="56" t="s">
        <v>345</v>
      </c>
      <c r="C45" s="55" t="s">
        <v>129</v>
      </c>
      <c r="D45" s="55"/>
      <c r="E45" s="132" cm="1">
        <f t="array" ref="E45">SUMPRODUCT('W1'!$I$10:$AI$60*('W1'!$B$10:$B$60=$B45)*('W1'!$I$6:$AI$6=$B$1))*$E$1</f>
        <v>16276000000</v>
      </c>
      <c r="F45" s="134">
        <f>IF(H$2&lt;=E$46,E45/E$47,0)</f>
        <v>113027777.77777778</v>
      </c>
      <c r="G45" s="134">
        <f t="shared" si="632"/>
        <v>1356333333.3333333</v>
      </c>
      <c r="H45" s="55"/>
      <c r="J45" s="55"/>
      <c r="K45" s="132" cm="1">
        <f t="array" ref="K45">SUMPRODUCT('W1'!$I$10:$AI$60*('W1'!$B$10:$B$60=$B45)*('W1'!$I$6:$AI$6=$B$1))*$E$1</f>
        <v>16276000000</v>
      </c>
      <c r="L45" s="134">
        <f>IF(N$2&lt;=K$46,K45/K$47,0)</f>
        <v>113027777.77777778</v>
      </c>
      <c r="M45" s="134">
        <f t="shared" si="633"/>
        <v>1356333333.3333333</v>
      </c>
      <c r="N45" s="55"/>
      <c r="P45" s="55"/>
      <c r="Q45" s="132" cm="1">
        <f t="array" ref="Q45">SUMPRODUCT('W1'!$I$10:$AI$60*('W1'!$B$10:$B$60=$B45)*('W1'!$I$6:$AI$6=$B$1))*$E$1</f>
        <v>16276000000</v>
      </c>
      <c r="R45" s="134">
        <f>IF(T$2&lt;=Q$46,Q45/Q$47,0)</f>
        <v>113027777.77777778</v>
      </c>
      <c r="S45" s="134">
        <f t="shared" si="634"/>
        <v>1356333333.3333333</v>
      </c>
      <c r="T45" s="55"/>
      <c r="V45" s="55"/>
      <c r="W45" s="132" cm="1">
        <f t="array" ref="W45">SUMPRODUCT('W1'!$I$10:$AI$60*('W1'!$B$10:$B$60=$B45)*('W1'!$I$6:$AI$6=$B$1))*$E$1</f>
        <v>16276000000</v>
      </c>
      <c r="X45" s="134">
        <f t="shared" si="588"/>
        <v>113027777.77777778</v>
      </c>
      <c r="Y45" s="134">
        <f t="shared" si="589"/>
        <v>1356333333.3333333</v>
      </c>
      <c r="Z45" s="55"/>
      <c r="AB45" s="55"/>
      <c r="AC45" s="132" cm="1">
        <f t="array" ref="AC45">SUMPRODUCT('W1'!$I$10:$AI$60*('W1'!$B$10:$B$60=$B45)*('W1'!$I$6:$AI$6=$B$1))*$E$1</f>
        <v>16276000000</v>
      </c>
      <c r="AD45" s="134">
        <f t="shared" si="590"/>
        <v>113027777.77777778</v>
      </c>
      <c r="AE45" s="134">
        <f t="shared" si="591"/>
        <v>1356333333.3333333</v>
      </c>
      <c r="AF45" s="55"/>
      <c r="AH45" s="55"/>
      <c r="AI45" s="132" cm="1">
        <f t="array" ref="AI45">SUMPRODUCT('W1'!$I$10:$AI$60*('W1'!$B$10:$B$60=$B45)*('W1'!$I$6:$AI$6=$B$1))*$E$1</f>
        <v>16276000000</v>
      </c>
      <c r="AJ45" s="134">
        <f t="shared" si="592"/>
        <v>113027777.77777778</v>
      </c>
      <c r="AK45" s="134">
        <f t="shared" si="593"/>
        <v>1356333333.3333333</v>
      </c>
      <c r="AL45" s="55"/>
      <c r="AN45" s="55"/>
      <c r="AO45" s="132" cm="1">
        <f t="array" ref="AO45">SUMPRODUCT('W1'!$I$10:$AI$60*('W1'!$B$10:$B$60=$B45)*('W1'!$I$6:$AI$6=$B$1))*$E$1</f>
        <v>16276000000</v>
      </c>
      <c r="AP45" s="134">
        <f t="shared" si="594"/>
        <v>113027777.77777778</v>
      </c>
      <c r="AQ45" s="134">
        <f t="shared" si="595"/>
        <v>1356333333.3333333</v>
      </c>
      <c r="AR45" s="55"/>
      <c r="AT45" s="55"/>
      <c r="AU45" s="132" cm="1">
        <f t="array" ref="AU45">SUMPRODUCT('W1'!$I$10:$AI$60*('W1'!$B$10:$B$60=$B45)*('W1'!$I$6:$AI$6=$B$1))*$E$1</f>
        <v>16276000000</v>
      </c>
      <c r="AV45" s="134">
        <f t="shared" si="596"/>
        <v>113027777.77777778</v>
      </c>
      <c r="AW45" s="134">
        <f t="shared" si="597"/>
        <v>1356333333.3333333</v>
      </c>
      <c r="AX45" s="55"/>
      <c r="AZ45" s="55"/>
      <c r="BA45" s="132" cm="1">
        <f t="array" ref="BA45">SUMPRODUCT('W1'!$I$10:$AI$60*('W1'!$B$10:$B$60=$B45)*('W1'!$I$6:$AI$6=$B$1))*$E$1</f>
        <v>16276000000</v>
      </c>
      <c r="BB45" s="134">
        <f t="shared" si="598"/>
        <v>113027777.77777778</v>
      </c>
      <c r="BC45" s="134">
        <f t="shared" si="599"/>
        <v>1356333333.3333333</v>
      </c>
      <c r="BD45" s="55"/>
      <c r="BF45" s="55"/>
      <c r="BG45" s="132" cm="1">
        <f t="array" ref="BG45">SUMPRODUCT('W1'!$I$10:$AI$60*('W1'!$B$10:$B$60=$B45)*('W1'!$I$6:$AI$6=$B$1))*$E$1</f>
        <v>16276000000</v>
      </c>
      <c r="BH45" s="134">
        <f t="shared" si="600"/>
        <v>113027777.77777778</v>
      </c>
      <c r="BI45" s="134">
        <f t="shared" si="601"/>
        <v>1356333333.3333333</v>
      </c>
      <c r="BJ45" s="55"/>
      <c r="BL45" s="55"/>
      <c r="BM45" s="132" cm="1">
        <f t="array" ref="BM45">SUMPRODUCT('W1'!$I$10:$AI$60*('W1'!$B$10:$B$60=$B45)*('W1'!$I$6:$AI$6=$B$1))*$E$1</f>
        <v>16276000000</v>
      </c>
      <c r="BN45" s="134">
        <f t="shared" si="602"/>
        <v>113027777.77777778</v>
      </c>
      <c r="BO45" s="134">
        <f t="shared" si="603"/>
        <v>1356333333.3333333</v>
      </c>
      <c r="BP45" s="55"/>
      <c r="BR45" s="55"/>
      <c r="BS45" s="132" cm="1">
        <f t="array" ref="BS45">SUMPRODUCT('W1'!$I$10:$AI$60*('W1'!$B$10:$B$60=$B45)*('W1'!$I$6:$AI$6=$B$1))*$E$1</f>
        <v>16276000000</v>
      </c>
      <c r="BT45" s="134">
        <f t="shared" si="604"/>
        <v>113027777.77777778</v>
      </c>
      <c r="BU45" s="134">
        <f t="shared" si="605"/>
        <v>1356333333.3333333</v>
      </c>
      <c r="BV45" s="55"/>
      <c r="BX45" s="55"/>
      <c r="BY45" s="132" cm="1">
        <f t="array" ref="BY45">SUMPRODUCT('W1'!$I$10:$AI$60*('W1'!$B$10:$B$60=$B45)*('W1'!$I$6:$AI$6=$B$1))*$E$1</f>
        <v>16276000000</v>
      </c>
      <c r="BZ45" s="134">
        <f t="shared" si="606"/>
        <v>0</v>
      </c>
      <c r="CA45" s="134">
        <f t="shared" si="607"/>
        <v>0</v>
      </c>
      <c r="CB45" s="55"/>
      <c r="CD45" s="55"/>
      <c r="CE45" s="132" cm="1">
        <f t="array" ref="CE45">SUMPRODUCT('W1'!$I$10:$AI$60*('W1'!$B$10:$B$60=$B45)*('W1'!$I$6:$AI$6=$B$1))*$E$1</f>
        <v>16276000000</v>
      </c>
      <c r="CF45" s="134">
        <f t="shared" si="608"/>
        <v>0</v>
      </c>
      <c r="CG45" s="134">
        <f t="shared" si="609"/>
        <v>0</v>
      </c>
      <c r="CH45" s="55"/>
      <c r="CJ45" s="55"/>
      <c r="CK45" s="132" cm="1">
        <f t="array" ref="CK45">SUMPRODUCT('W1'!$I$10:$AI$60*('W1'!$B$10:$B$60=$B45)*('W1'!$I$6:$AI$6=$B$1))*$E$1</f>
        <v>16276000000</v>
      </c>
      <c r="CL45" s="134">
        <f t="shared" si="610"/>
        <v>0</v>
      </c>
      <c r="CM45" s="134">
        <f t="shared" si="611"/>
        <v>0</v>
      </c>
      <c r="CN45" s="55"/>
      <c r="CP45" s="55"/>
      <c r="CQ45" s="132" cm="1">
        <f t="array" ref="CQ45">SUMPRODUCT('W1'!$I$10:$AI$60*('W1'!$B$10:$B$60=$B45)*('W1'!$I$6:$AI$6=$B$1))*$E$1</f>
        <v>16276000000</v>
      </c>
      <c r="CR45" s="134">
        <f t="shared" si="612"/>
        <v>0</v>
      </c>
      <c r="CS45" s="134">
        <f t="shared" si="613"/>
        <v>0</v>
      </c>
      <c r="CT45" s="55"/>
      <c r="CV45" s="55"/>
      <c r="CW45" s="132" cm="1">
        <f t="array" ref="CW45">SUMPRODUCT('W1'!$I$10:$AI$60*('W1'!$B$10:$B$60=$B45)*('W1'!$I$6:$AI$6=$B$1))*$E$1</f>
        <v>16276000000</v>
      </c>
      <c r="CX45" s="134">
        <f t="shared" si="614"/>
        <v>0</v>
      </c>
      <c r="CY45" s="134">
        <f t="shared" si="615"/>
        <v>0</v>
      </c>
      <c r="CZ45" s="55"/>
      <c r="DB45" s="55"/>
      <c r="DC45" s="132" cm="1">
        <f t="array" ref="DC45">SUMPRODUCT('W1'!$I$10:$AI$60*('W1'!$B$10:$B$60=$B45)*('W1'!$I$6:$AI$6=$B$1))*$E$1</f>
        <v>16276000000</v>
      </c>
      <c r="DD45" s="134">
        <f t="shared" si="616"/>
        <v>0</v>
      </c>
      <c r="DE45" s="134">
        <f t="shared" si="617"/>
        <v>0</v>
      </c>
      <c r="DF45" s="55"/>
      <c r="DH45" s="55"/>
      <c r="DI45" s="132" cm="1">
        <f t="array" ref="DI45">SUMPRODUCT('W1'!$I$10:$AI$60*('W1'!$B$10:$B$60=$B45)*('W1'!$I$6:$AI$6=$B$1))*$E$1</f>
        <v>16276000000</v>
      </c>
      <c r="DJ45" s="134">
        <f t="shared" si="618"/>
        <v>0</v>
      </c>
      <c r="DK45" s="134">
        <f t="shared" si="619"/>
        <v>0</v>
      </c>
      <c r="DL45" s="55"/>
      <c r="DN45" s="55"/>
      <c r="DO45" s="132" cm="1">
        <f t="array" ref="DO45">SUMPRODUCT('W1'!$I$10:$AI$60*('W1'!$B$10:$B$60=$B45)*('W1'!$I$6:$AI$6=$B$1))*$E$1</f>
        <v>16276000000</v>
      </c>
      <c r="DP45" s="134">
        <f t="shared" si="620"/>
        <v>0</v>
      </c>
      <c r="DQ45" s="134">
        <f t="shared" si="621"/>
        <v>0</v>
      </c>
      <c r="DR45" s="55"/>
      <c r="DT45" s="55"/>
      <c r="DU45" s="132" cm="1">
        <f t="array" ref="DU45">SUMPRODUCT('W1'!$I$10:$AI$60*('W1'!$B$10:$B$60=$B45)*('W1'!$I$6:$AI$6=$B$1))*$E$1</f>
        <v>16276000000</v>
      </c>
      <c r="DV45" s="134">
        <f t="shared" si="622"/>
        <v>0</v>
      </c>
      <c r="DW45" s="134">
        <f t="shared" si="623"/>
        <v>0</v>
      </c>
      <c r="DX45" s="55"/>
      <c r="DZ45" s="55"/>
      <c r="EA45" s="132" cm="1">
        <f t="array" ref="EA45">SUMPRODUCT('W1'!$I$10:$AI$60*('W1'!$B$10:$B$60=$B45)*('W1'!$I$6:$AI$6=$B$1))*$E$1</f>
        <v>16276000000</v>
      </c>
      <c r="EB45" s="134">
        <f t="shared" si="624"/>
        <v>0</v>
      </c>
      <c r="EC45" s="134">
        <f t="shared" si="625"/>
        <v>0</v>
      </c>
      <c r="ED45" s="55"/>
      <c r="EF45" s="55"/>
      <c r="EG45" s="132" cm="1">
        <f t="array" ref="EG45">SUMPRODUCT('W1'!$I$10:$AI$60*('W1'!$B$10:$B$60=$B45)*('W1'!$I$6:$AI$6=$B$1))*$E$1</f>
        <v>16276000000</v>
      </c>
      <c r="EH45" s="134">
        <f t="shared" si="626"/>
        <v>0</v>
      </c>
      <c r="EI45" s="134">
        <f t="shared" si="627"/>
        <v>0</v>
      </c>
      <c r="EJ45" s="55"/>
      <c r="EL45" s="55"/>
      <c r="EM45" s="132" cm="1">
        <f t="array" ref="EM45">SUMPRODUCT('W1'!$I$10:$AI$60*('W1'!$B$10:$B$60=$B45)*('W1'!$I$6:$AI$6=$B$1))*$E$1</f>
        <v>16276000000</v>
      </c>
      <c r="EN45" s="134">
        <f t="shared" si="628"/>
        <v>0</v>
      </c>
      <c r="EO45" s="134">
        <f t="shared" si="629"/>
        <v>0</v>
      </c>
      <c r="EP45" s="55"/>
      <c r="ER45" s="55"/>
      <c r="ES45" s="132" cm="1">
        <f t="array" ref="ES45">SUMPRODUCT('W1'!$I$10:$AI$60*('W1'!$B$10:$B$60=$B45)*('W1'!$I$6:$AI$6=$B$1))*$E$1</f>
        <v>16276000000</v>
      </c>
      <c r="ET45" s="134">
        <f t="shared" si="630"/>
        <v>0</v>
      </c>
      <c r="EU45" s="134">
        <f t="shared" si="631"/>
        <v>0</v>
      </c>
      <c r="EV45" s="55"/>
    </row>
    <row r="46" spans="1:152" x14ac:dyDescent="0.25">
      <c r="B46" s="56" t="s">
        <v>351</v>
      </c>
      <c r="C46" s="55" t="s">
        <v>131</v>
      </c>
      <c r="D46" s="55"/>
      <c r="E46" s="55" cm="1">
        <f t="array" ref="E46">_xlfn.SWITCH($C$1,1,'W1'!$G$13,2,'W1'!$L$13,3,'W1'!$Q$13,4,'W1'!$V$13,5,'W1'!$AA$13,6,'W1'!$AF$13)</f>
        <v>12</v>
      </c>
      <c r="F46" s="55"/>
      <c r="G46" s="55"/>
      <c r="H46" s="55"/>
      <c r="J46" s="55"/>
      <c r="K46" s="55" cm="1">
        <f t="array" ref="K46">_xlfn.SWITCH($C$1,1,'W1'!$G$13,2,'W1'!$L$13,3,'W1'!$Q$13,4,'W1'!$V$13,5,'W1'!$AA$13,6,'W1'!$AF$13)</f>
        <v>12</v>
      </c>
      <c r="L46" s="55"/>
      <c r="M46" s="55"/>
      <c r="N46" s="55"/>
      <c r="P46" s="55"/>
      <c r="Q46" s="55" cm="1">
        <f t="array" ref="Q46">_xlfn.SWITCH($C$1,1,'W1'!$G$13,2,'W1'!$L$13,3,'W1'!$Q$13,4,'W1'!$V$13,5,'W1'!$AA$13,6,'W1'!$AF$13)</f>
        <v>12</v>
      </c>
      <c r="R46" s="55"/>
      <c r="S46" s="55"/>
      <c r="T46" s="55"/>
      <c r="V46" s="55"/>
      <c r="W46" s="55" cm="1">
        <f t="array" ref="W46">_xlfn.SWITCH($C$1,1,'W1'!$G$13,2,'W1'!$L$13,3,'W1'!$Q$13,4,'W1'!$V$13,5,'W1'!$AA$13,6,'W1'!$AF$13)</f>
        <v>12</v>
      </c>
      <c r="X46" s="55"/>
      <c r="Y46" s="55"/>
      <c r="Z46" s="55"/>
      <c r="AB46" s="55"/>
      <c r="AC46" s="55" cm="1">
        <f t="array" ref="AC46">_xlfn.SWITCH($C$1,1,'W1'!$G$13,2,'W1'!$L$13,3,'W1'!$Q$13,4,'W1'!$V$13,5,'W1'!$AA$13,6,'W1'!$AF$13)</f>
        <v>12</v>
      </c>
      <c r="AD46" s="55"/>
      <c r="AE46" s="55"/>
      <c r="AF46" s="55"/>
      <c r="AH46" s="55"/>
      <c r="AI46" s="55" cm="1">
        <f t="array" ref="AI46">_xlfn.SWITCH($C$1,1,'W1'!$G$13,2,'W1'!$L$13,3,'W1'!$Q$13,4,'W1'!$V$13,5,'W1'!$AA$13,6,'W1'!$AF$13)</f>
        <v>12</v>
      </c>
      <c r="AJ46" s="55"/>
      <c r="AK46" s="55"/>
      <c r="AL46" s="55"/>
      <c r="AN46" s="55"/>
      <c r="AO46" s="55" cm="1">
        <f t="array" ref="AO46">_xlfn.SWITCH($C$1,1,'W1'!$G$13,2,'W1'!$L$13,3,'W1'!$Q$13,4,'W1'!$V$13,5,'W1'!$AA$13,6,'W1'!$AF$13)</f>
        <v>12</v>
      </c>
      <c r="AP46" s="55"/>
      <c r="AQ46" s="55"/>
      <c r="AR46" s="55"/>
      <c r="AT46" s="55"/>
      <c r="AU46" s="55" cm="1">
        <f t="array" ref="AU46">_xlfn.SWITCH($C$1,1,'W1'!$G$13,2,'W1'!$L$13,3,'W1'!$Q$13,4,'W1'!$V$13,5,'W1'!$AA$13,6,'W1'!$AF$13)</f>
        <v>12</v>
      </c>
      <c r="AV46" s="55"/>
      <c r="AW46" s="55"/>
      <c r="AX46" s="55"/>
      <c r="AZ46" s="55"/>
      <c r="BA46" s="55" cm="1">
        <f t="array" ref="BA46">_xlfn.SWITCH($C$1,1,'W1'!$G$13,2,'W1'!$L$13,3,'W1'!$Q$13,4,'W1'!$V$13,5,'W1'!$AA$13,6,'W1'!$AF$13)</f>
        <v>12</v>
      </c>
      <c r="BB46" s="55"/>
      <c r="BC46" s="55"/>
      <c r="BD46" s="55"/>
      <c r="BF46" s="55"/>
      <c r="BG46" s="55" cm="1">
        <f t="array" ref="BG46">_xlfn.SWITCH($C$1,1,'W1'!$G$13,2,'W1'!$L$13,3,'W1'!$Q$13,4,'W1'!$V$13,5,'W1'!$AA$13,6,'W1'!$AF$13)</f>
        <v>12</v>
      </c>
      <c r="BH46" s="55"/>
      <c r="BI46" s="55"/>
      <c r="BJ46" s="55"/>
      <c r="BL46" s="55"/>
      <c r="BM46" s="55" cm="1">
        <f t="array" ref="BM46">_xlfn.SWITCH($C$1,1,'W1'!$G$13,2,'W1'!$L$13,3,'W1'!$Q$13,4,'W1'!$V$13,5,'W1'!$AA$13,6,'W1'!$AF$13)</f>
        <v>12</v>
      </c>
      <c r="BN46" s="55"/>
      <c r="BO46" s="55"/>
      <c r="BP46" s="55"/>
      <c r="BR46" s="55"/>
      <c r="BS46" s="55" cm="1">
        <f t="array" ref="BS46">_xlfn.SWITCH($C$1,1,'W1'!$G$13,2,'W1'!$L$13,3,'W1'!$Q$13,4,'W1'!$V$13,5,'W1'!$AA$13,6,'W1'!$AF$13)</f>
        <v>12</v>
      </c>
      <c r="BT46" s="55"/>
      <c r="BU46" s="55"/>
      <c r="BV46" s="55"/>
      <c r="BX46" s="55"/>
      <c r="BY46" s="55" cm="1">
        <f t="array" ref="BY46">_xlfn.SWITCH($C$1,1,'W1'!$G$13,2,'W1'!$L$13,3,'W1'!$Q$13,4,'W1'!$V$13,5,'W1'!$AA$13,6,'W1'!$AF$13)</f>
        <v>12</v>
      </c>
      <c r="BZ46" s="55"/>
      <c r="CA46" s="55"/>
      <c r="CB46" s="55"/>
      <c r="CD46" s="55"/>
      <c r="CE46" s="55" cm="1">
        <f t="array" ref="CE46">_xlfn.SWITCH($C$1,1,'W1'!$G$13,2,'W1'!$L$13,3,'W1'!$Q$13,4,'W1'!$V$13,5,'W1'!$AA$13,6,'W1'!$AF$13)</f>
        <v>12</v>
      </c>
      <c r="CF46" s="55"/>
      <c r="CG46" s="55"/>
      <c r="CH46" s="55"/>
      <c r="CJ46" s="55"/>
      <c r="CK46" s="55" cm="1">
        <f t="array" ref="CK46">_xlfn.SWITCH($C$1,1,'W1'!$G$13,2,'W1'!$L$13,3,'W1'!$Q$13,4,'W1'!$V$13,5,'W1'!$AA$13,6,'W1'!$AF$13)</f>
        <v>12</v>
      </c>
      <c r="CL46" s="55"/>
      <c r="CM46" s="55"/>
      <c r="CN46" s="55"/>
      <c r="CP46" s="55"/>
      <c r="CQ46" s="55" cm="1">
        <f t="array" ref="CQ46">_xlfn.SWITCH($C$1,1,'W1'!$G$13,2,'W1'!$L$13,3,'W1'!$Q$13,4,'W1'!$V$13,5,'W1'!$AA$13,6,'W1'!$AF$13)</f>
        <v>12</v>
      </c>
      <c r="CR46" s="55"/>
      <c r="CS46" s="55"/>
      <c r="CT46" s="55"/>
      <c r="CV46" s="55"/>
      <c r="CW46" s="55" cm="1">
        <f t="array" ref="CW46">_xlfn.SWITCH($C$1,1,'W1'!$G$13,2,'W1'!$L$13,3,'W1'!$Q$13,4,'W1'!$V$13,5,'W1'!$AA$13,6,'W1'!$AF$13)</f>
        <v>12</v>
      </c>
      <c r="CX46" s="55"/>
      <c r="CY46" s="55"/>
      <c r="CZ46" s="55"/>
      <c r="DB46" s="55"/>
      <c r="DC46" s="55" cm="1">
        <f t="array" ref="DC46">_xlfn.SWITCH($C$1,1,'W1'!$G$13,2,'W1'!$L$13,3,'W1'!$Q$13,4,'W1'!$V$13,5,'W1'!$AA$13,6,'W1'!$AF$13)</f>
        <v>12</v>
      </c>
      <c r="DD46" s="55"/>
      <c r="DE46" s="55"/>
      <c r="DF46" s="55"/>
      <c r="DH46" s="55"/>
      <c r="DI46" s="55" cm="1">
        <f t="array" ref="DI46">_xlfn.SWITCH($C$1,1,'W1'!$G$13,2,'W1'!$L$13,3,'W1'!$Q$13,4,'W1'!$V$13,5,'W1'!$AA$13,6,'W1'!$AF$13)</f>
        <v>12</v>
      </c>
      <c r="DJ46" s="55"/>
      <c r="DK46" s="55"/>
      <c r="DL46" s="55"/>
      <c r="DN46" s="55"/>
      <c r="DO46" s="55" cm="1">
        <f t="array" ref="DO46">_xlfn.SWITCH($C$1,1,'W1'!$G$13,2,'W1'!$L$13,3,'W1'!$Q$13,4,'W1'!$V$13,5,'W1'!$AA$13,6,'W1'!$AF$13)</f>
        <v>12</v>
      </c>
      <c r="DP46" s="55"/>
      <c r="DQ46" s="55"/>
      <c r="DR46" s="55"/>
      <c r="DT46" s="55"/>
      <c r="DU46" s="55" cm="1">
        <f t="array" ref="DU46">_xlfn.SWITCH($C$1,1,'W1'!$G$13,2,'W1'!$L$13,3,'W1'!$Q$13,4,'W1'!$V$13,5,'W1'!$AA$13,6,'W1'!$AF$13)</f>
        <v>12</v>
      </c>
      <c r="DV46" s="55"/>
      <c r="DW46" s="55"/>
      <c r="DX46" s="55"/>
      <c r="DZ46" s="55"/>
      <c r="EA46" s="55" cm="1">
        <f t="array" ref="EA46">_xlfn.SWITCH($C$1,1,'W1'!$G$13,2,'W1'!$L$13,3,'W1'!$Q$13,4,'W1'!$V$13,5,'W1'!$AA$13,6,'W1'!$AF$13)</f>
        <v>12</v>
      </c>
      <c r="EB46" s="55"/>
      <c r="EC46" s="55"/>
      <c r="ED46" s="55"/>
      <c r="EF46" s="55"/>
      <c r="EG46" s="55" cm="1">
        <f t="array" ref="EG46">_xlfn.SWITCH($C$1,1,'W1'!$G$13,2,'W1'!$L$13,3,'W1'!$Q$13,4,'W1'!$V$13,5,'W1'!$AA$13,6,'W1'!$AF$13)</f>
        <v>12</v>
      </c>
      <c r="EH46" s="55"/>
      <c r="EI46" s="55"/>
      <c r="EJ46" s="55"/>
      <c r="EL46" s="55"/>
      <c r="EM46" s="55" cm="1">
        <f t="array" ref="EM46">_xlfn.SWITCH($C$1,1,'W1'!$G$13,2,'W1'!$L$13,3,'W1'!$Q$13,4,'W1'!$V$13,5,'W1'!$AA$13,6,'W1'!$AF$13)</f>
        <v>12</v>
      </c>
      <c r="EN46" s="55"/>
      <c r="EO46" s="55"/>
      <c r="EP46" s="55"/>
      <c r="ER46" s="55"/>
      <c r="ES46" s="55" cm="1">
        <f t="array" ref="ES46">_xlfn.SWITCH($C$1,1,'W1'!$G$13,2,'W1'!$L$13,3,'W1'!$Q$13,4,'W1'!$V$13,5,'W1'!$AA$13,6,'W1'!$AF$13)</f>
        <v>12</v>
      </c>
      <c r="ET46" s="55"/>
      <c r="EU46" s="55"/>
      <c r="EV46" s="55"/>
    </row>
    <row r="47" spans="1:152" x14ac:dyDescent="0.25">
      <c r="B47" s="56" t="s">
        <v>352</v>
      </c>
      <c r="C47" s="55" t="s">
        <v>360</v>
      </c>
      <c r="D47" s="55"/>
      <c r="E47" s="55">
        <f>E46*12</f>
        <v>144</v>
      </c>
      <c r="F47" s="55"/>
      <c r="G47" s="55"/>
      <c r="H47" s="55"/>
      <c r="J47" s="55"/>
      <c r="K47" s="55">
        <f t="shared" ref="K47" si="635">K46*12</f>
        <v>144</v>
      </c>
      <c r="L47" s="55"/>
      <c r="M47" s="55"/>
      <c r="N47" s="55"/>
      <c r="P47" s="55"/>
      <c r="Q47" s="55">
        <f t="shared" ref="Q47" si="636">Q46*12</f>
        <v>144</v>
      </c>
      <c r="R47" s="55"/>
      <c r="S47" s="55"/>
      <c r="T47" s="55"/>
      <c r="V47" s="55"/>
      <c r="W47" s="55">
        <f t="shared" ref="W47" si="637">W46*12</f>
        <v>144</v>
      </c>
      <c r="X47" s="55"/>
      <c r="Y47" s="55"/>
      <c r="Z47" s="55"/>
      <c r="AB47" s="55"/>
      <c r="AC47" s="55">
        <f t="shared" ref="AC47" si="638">AC46*12</f>
        <v>144</v>
      </c>
      <c r="AD47" s="55"/>
      <c r="AE47" s="55"/>
      <c r="AF47" s="55"/>
      <c r="AH47" s="55"/>
      <c r="AI47" s="55">
        <f t="shared" ref="AI47" si="639">AI46*12</f>
        <v>144</v>
      </c>
      <c r="AJ47" s="55"/>
      <c r="AK47" s="55"/>
      <c r="AL47" s="55"/>
      <c r="AN47" s="55"/>
      <c r="AO47" s="55">
        <f t="shared" ref="AO47" si="640">AO46*12</f>
        <v>144</v>
      </c>
      <c r="AP47" s="55"/>
      <c r="AQ47" s="55"/>
      <c r="AR47" s="55"/>
      <c r="AT47" s="55"/>
      <c r="AU47" s="55">
        <f t="shared" ref="AU47" si="641">AU46*12</f>
        <v>144</v>
      </c>
      <c r="AV47" s="55"/>
      <c r="AW47" s="55"/>
      <c r="AX47" s="55"/>
      <c r="AZ47" s="55"/>
      <c r="BA47" s="55">
        <f t="shared" ref="BA47" si="642">BA46*12</f>
        <v>144</v>
      </c>
      <c r="BB47" s="55"/>
      <c r="BC47" s="55"/>
      <c r="BD47" s="55"/>
      <c r="BF47" s="55"/>
      <c r="BG47" s="55">
        <f t="shared" ref="BG47" si="643">BG46*12</f>
        <v>144</v>
      </c>
      <c r="BH47" s="55"/>
      <c r="BI47" s="55"/>
      <c r="BJ47" s="55"/>
      <c r="BL47" s="55"/>
      <c r="BM47" s="55">
        <f t="shared" ref="BM47" si="644">BM46*12</f>
        <v>144</v>
      </c>
      <c r="BN47" s="55"/>
      <c r="BO47" s="55"/>
      <c r="BP47" s="55"/>
      <c r="BR47" s="55"/>
      <c r="BS47" s="55">
        <f t="shared" ref="BS47" si="645">BS46*12</f>
        <v>144</v>
      </c>
      <c r="BT47" s="55"/>
      <c r="BU47" s="55"/>
      <c r="BV47" s="55"/>
      <c r="BX47" s="55"/>
      <c r="BY47" s="55">
        <f t="shared" ref="BY47" si="646">BY46*12</f>
        <v>144</v>
      </c>
      <c r="BZ47" s="55"/>
      <c r="CA47" s="55"/>
      <c r="CB47" s="55"/>
      <c r="CD47" s="55"/>
      <c r="CE47" s="55">
        <f t="shared" ref="CE47" si="647">CE46*12</f>
        <v>144</v>
      </c>
      <c r="CF47" s="55"/>
      <c r="CG47" s="55"/>
      <c r="CH47" s="55"/>
      <c r="CJ47" s="55"/>
      <c r="CK47" s="55">
        <f t="shared" ref="CK47" si="648">CK46*12</f>
        <v>144</v>
      </c>
      <c r="CL47" s="55"/>
      <c r="CM47" s="55"/>
      <c r="CN47" s="55"/>
      <c r="CP47" s="55"/>
      <c r="CQ47" s="55">
        <f t="shared" ref="CQ47" si="649">CQ46*12</f>
        <v>144</v>
      </c>
      <c r="CR47" s="55"/>
      <c r="CS47" s="55"/>
      <c r="CT47" s="55"/>
      <c r="CV47" s="55"/>
      <c r="CW47" s="55">
        <f t="shared" ref="CW47" si="650">CW46*12</f>
        <v>144</v>
      </c>
      <c r="CX47" s="55"/>
      <c r="CY47" s="55"/>
      <c r="CZ47" s="55"/>
      <c r="DB47" s="55"/>
      <c r="DC47" s="55">
        <f t="shared" ref="DC47" si="651">DC46*12</f>
        <v>144</v>
      </c>
      <c r="DD47" s="55"/>
      <c r="DE47" s="55"/>
      <c r="DF47" s="55"/>
      <c r="DH47" s="55"/>
      <c r="DI47" s="55">
        <f t="shared" ref="DI47" si="652">DI46*12</f>
        <v>144</v>
      </c>
      <c r="DJ47" s="55"/>
      <c r="DK47" s="55"/>
      <c r="DL47" s="55"/>
      <c r="DN47" s="55"/>
      <c r="DO47" s="55">
        <f t="shared" ref="DO47" si="653">DO46*12</f>
        <v>144</v>
      </c>
      <c r="DP47" s="55"/>
      <c r="DQ47" s="55"/>
      <c r="DR47" s="55"/>
      <c r="DT47" s="55"/>
      <c r="DU47" s="55">
        <f t="shared" ref="DU47" si="654">DU46*12</f>
        <v>144</v>
      </c>
      <c r="DV47" s="55"/>
      <c r="DW47" s="55"/>
      <c r="DX47" s="55"/>
      <c r="DZ47" s="55"/>
      <c r="EA47" s="55">
        <f t="shared" ref="EA47" si="655">EA46*12</f>
        <v>144</v>
      </c>
      <c r="EB47" s="55"/>
      <c r="EC47" s="55"/>
      <c r="ED47" s="55"/>
      <c r="EF47" s="55"/>
      <c r="EG47" s="55">
        <f t="shared" ref="EG47" si="656">EG46*12</f>
        <v>144</v>
      </c>
      <c r="EH47" s="55"/>
      <c r="EI47" s="55"/>
      <c r="EJ47" s="55"/>
      <c r="EL47" s="55"/>
      <c r="EM47" s="55">
        <f t="shared" ref="EM47" si="657">EM46*12</f>
        <v>144</v>
      </c>
      <c r="EN47" s="55"/>
      <c r="EO47" s="55"/>
      <c r="EP47" s="55"/>
      <c r="ER47" s="55"/>
      <c r="ES47" s="55">
        <f t="shared" ref="ES47" si="658">ES46*12</f>
        <v>144</v>
      </c>
      <c r="ET47" s="55"/>
      <c r="EU47" s="55"/>
      <c r="EV47" s="55"/>
    </row>
    <row r="48" spans="1:152" x14ac:dyDescent="0.25">
      <c r="B48" s="56" t="s">
        <v>132</v>
      </c>
      <c r="C48" s="55" t="s">
        <v>129</v>
      </c>
      <c r="D48" s="55"/>
      <c r="E48" s="55"/>
      <c r="F48" s="55"/>
      <c r="G48" s="55"/>
      <c r="H48" s="55"/>
      <c r="J48" s="55"/>
      <c r="K48" s="55"/>
      <c r="L48" s="55"/>
      <c r="M48" s="55"/>
      <c r="N48" s="55"/>
      <c r="P48" s="55"/>
      <c r="Q48" s="55"/>
      <c r="R48" s="55"/>
      <c r="S48" s="55"/>
      <c r="T48" s="55"/>
      <c r="V48" s="55"/>
      <c r="W48" s="55"/>
      <c r="X48" s="55"/>
      <c r="Y48" s="55"/>
      <c r="Z48" s="55"/>
      <c r="AB48" s="55"/>
      <c r="AC48" s="55"/>
      <c r="AD48" s="55"/>
      <c r="AE48" s="55"/>
      <c r="AF48" s="55"/>
      <c r="AH48" s="55"/>
      <c r="AI48" s="55"/>
      <c r="AJ48" s="55"/>
      <c r="AK48" s="55"/>
      <c r="AL48" s="55"/>
      <c r="AN48" s="55"/>
      <c r="AO48" s="55"/>
      <c r="AP48" s="55"/>
      <c r="AQ48" s="55"/>
      <c r="AR48" s="55"/>
      <c r="AT48" s="55"/>
      <c r="AU48" s="55"/>
      <c r="AV48" s="55"/>
      <c r="AW48" s="55"/>
      <c r="AX48" s="55"/>
      <c r="AZ48" s="55"/>
      <c r="BA48" s="55"/>
      <c r="BB48" s="55"/>
      <c r="BC48" s="55"/>
      <c r="BD48" s="55"/>
      <c r="BF48" s="55"/>
      <c r="BG48" s="55"/>
      <c r="BH48" s="55"/>
      <c r="BI48" s="55"/>
      <c r="BJ48" s="55"/>
      <c r="BL48" s="55"/>
      <c r="BM48" s="55"/>
      <c r="BN48" s="55"/>
      <c r="BO48" s="55"/>
      <c r="BP48" s="55"/>
      <c r="BR48" s="55"/>
      <c r="BS48" s="55"/>
      <c r="BT48" s="55"/>
      <c r="BU48" s="55"/>
      <c r="BV48" s="55"/>
      <c r="BX48" s="55"/>
      <c r="BY48" s="55"/>
      <c r="BZ48" s="55"/>
      <c r="CA48" s="55"/>
      <c r="CB48" s="55"/>
      <c r="CD48" s="55"/>
      <c r="CE48" s="55"/>
      <c r="CF48" s="55"/>
      <c r="CG48" s="55"/>
      <c r="CH48" s="55"/>
      <c r="CJ48" s="55"/>
      <c r="CK48" s="55"/>
      <c r="CL48" s="55"/>
      <c r="CM48" s="55"/>
      <c r="CN48" s="55"/>
      <c r="CP48" s="55"/>
      <c r="CQ48" s="55"/>
      <c r="CR48" s="55"/>
      <c r="CS48" s="55"/>
      <c r="CT48" s="55"/>
      <c r="CV48" s="55"/>
      <c r="CW48" s="55"/>
      <c r="CX48" s="55"/>
      <c r="CY48" s="55"/>
      <c r="CZ48" s="55"/>
      <c r="DB48" s="55"/>
      <c r="DC48" s="55"/>
      <c r="DD48" s="55"/>
      <c r="DE48" s="55"/>
      <c r="DF48" s="55"/>
      <c r="DH48" s="55"/>
      <c r="DI48" s="55"/>
      <c r="DJ48" s="55"/>
      <c r="DK48" s="55"/>
      <c r="DL48" s="55"/>
      <c r="DN48" s="55"/>
      <c r="DO48" s="55"/>
      <c r="DP48" s="55"/>
      <c r="DQ48" s="55"/>
      <c r="DR48" s="55"/>
      <c r="DT48" s="55"/>
      <c r="DU48" s="55"/>
      <c r="DV48" s="55"/>
      <c r="DW48" s="55"/>
      <c r="DX48" s="55"/>
      <c r="DZ48" s="55"/>
      <c r="EA48" s="55"/>
      <c r="EB48" s="55"/>
      <c r="EC48" s="55"/>
      <c r="ED48" s="55"/>
      <c r="EF48" s="55"/>
      <c r="EG48" s="55"/>
      <c r="EH48" s="55"/>
      <c r="EI48" s="55"/>
      <c r="EJ48" s="55"/>
      <c r="EL48" s="55"/>
      <c r="EM48" s="55"/>
      <c r="EN48" s="55"/>
      <c r="EO48" s="55"/>
      <c r="EP48" s="55"/>
      <c r="ER48" s="55"/>
      <c r="ES48" s="55"/>
      <c r="ET48" s="55"/>
      <c r="EU48" s="55"/>
      <c r="EV48" s="55"/>
    </row>
    <row r="49" spans="1:152" x14ac:dyDescent="0.25">
      <c r="A49" t="s">
        <v>155</v>
      </c>
      <c r="B49" s="56" t="s">
        <v>133</v>
      </c>
      <c r="C49" s="55" t="s">
        <v>129</v>
      </c>
      <c r="D49" s="55"/>
      <c r="E49" s="132" cm="1">
        <f t="array" ref="E49">SUMPRODUCT('W1'!$I$10:$AI$60*('W1'!$B$10:$B$60=$B49)*('W1'!$I$6:$AI$6=$B$1))*$E$1</f>
        <v>150000000000</v>
      </c>
      <c r="F49" s="134">
        <f>IF(H$2&lt;=E$50,E49/E$51,0)</f>
        <v>500000000</v>
      </c>
      <c r="G49" s="134">
        <f>F49*12</f>
        <v>6000000000</v>
      </c>
      <c r="H49" s="55"/>
      <c r="J49" s="55"/>
      <c r="K49" s="132" cm="1">
        <f t="array" ref="K49">SUMPRODUCT('W1'!$I$10:$AI$60*('W1'!$B$10:$B$60=$B49)*('W1'!$I$6:$AI$6=$B$1))*$E$1</f>
        <v>150000000000</v>
      </c>
      <c r="L49" s="134">
        <f t="shared" ref="L49" si="659">IF(N$2&lt;=K$50,K49/K$51,0)</f>
        <v>500000000</v>
      </c>
      <c r="M49" s="134">
        <f t="shared" ref="M49" si="660">L49*12</f>
        <v>6000000000</v>
      </c>
      <c r="N49" s="55"/>
      <c r="P49" s="55"/>
      <c r="Q49" s="132" cm="1">
        <f t="array" ref="Q49">SUMPRODUCT('W1'!$I$10:$AI$60*('W1'!$B$10:$B$60=$B49)*('W1'!$I$6:$AI$6=$B$1))*$E$1</f>
        <v>150000000000</v>
      </c>
      <c r="R49" s="134">
        <f t="shared" ref="R49" si="661">IF(T$2&lt;=Q$50,Q49/Q$51,0)</f>
        <v>500000000</v>
      </c>
      <c r="S49" s="134">
        <f t="shared" ref="S49" si="662">R49*12</f>
        <v>6000000000</v>
      </c>
      <c r="T49" s="55"/>
      <c r="V49" s="55"/>
      <c r="W49" s="132" cm="1">
        <f t="array" ref="W49">SUMPRODUCT('W1'!$I$10:$AI$60*('W1'!$B$10:$B$60=$B49)*('W1'!$I$6:$AI$6=$B$1))*$E$1</f>
        <v>150000000000</v>
      </c>
      <c r="X49" s="134">
        <f t="shared" ref="X49" si="663">IF(Z$2&lt;=W$50,W49/W$51,0)</f>
        <v>500000000</v>
      </c>
      <c r="Y49" s="134">
        <f t="shared" ref="Y49" si="664">X49*12</f>
        <v>6000000000</v>
      </c>
      <c r="Z49" s="55"/>
      <c r="AB49" s="55"/>
      <c r="AC49" s="132" cm="1">
        <f t="array" ref="AC49">SUMPRODUCT('W1'!$I$10:$AI$60*('W1'!$B$10:$B$60=$B49)*('W1'!$I$6:$AI$6=$B$1))*$E$1</f>
        <v>150000000000</v>
      </c>
      <c r="AD49" s="134">
        <f t="shared" ref="AD49" si="665">IF(AF$2&lt;=AC$50,AC49/AC$51,0)</f>
        <v>500000000</v>
      </c>
      <c r="AE49" s="134">
        <f t="shared" ref="AE49" si="666">AD49*12</f>
        <v>6000000000</v>
      </c>
      <c r="AF49" s="55"/>
      <c r="AH49" s="55"/>
      <c r="AI49" s="132" cm="1">
        <f t="array" ref="AI49">SUMPRODUCT('W1'!$I$10:$AI$60*('W1'!$B$10:$B$60=$B49)*('W1'!$I$6:$AI$6=$B$1))*$E$1</f>
        <v>150000000000</v>
      </c>
      <c r="AJ49" s="134">
        <f t="shared" ref="AJ49" si="667">IF(AL$2&lt;=AI$50,AI49/AI$51,0)</f>
        <v>500000000</v>
      </c>
      <c r="AK49" s="134">
        <f t="shared" ref="AK49" si="668">AJ49*12</f>
        <v>6000000000</v>
      </c>
      <c r="AL49" s="55"/>
      <c r="AN49" s="55"/>
      <c r="AO49" s="132" cm="1">
        <f t="array" ref="AO49">SUMPRODUCT('W1'!$I$10:$AI$60*('W1'!$B$10:$B$60=$B49)*('W1'!$I$6:$AI$6=$B$1))*$E$1</f>
        <v>150000000000</v>
      </c>
      <c r="AP49" s="134">
        <f t="shared" ref="AP49" si="669">IF(AR$2&lt;=AO$50,AO49/AO$51,0)</f>
        <v>500000000</v>
      </c>
      <c r="AQ49" s="134">
        <f t="shared" ref="AQ49" si="670">AP49*12</f>
        <v>6000000000</v>
      </c>
      <c r="AR49" s="55"/>
      <c r="AT49" s="55"/>
      <c r="AU49" s="132" cm="1">
        <f t="array" ref="AU49">SUMPRODUCT('W1'!$I$10:$AI$60*('W1'!$B$10:$B$60=$B49)*('W1'!$I$6:$AI$6=$B$1))*$E$1</f>
        <v>150000000000</v>
      </c>
      <c r="AV49" s="134">
        <f t="shared" ref="AV49" si="671">IF(AX$2&lt;=AU$50,AU49/AU$51,0)</f>
        <v>500000000</v>
      </c>
      <c r="AW49" s="134">
        <f t="shared" ref="AW49" si="672">AV49*12</f>
        <v>6000000000</v>
      </c>
      <c r="AX49" s="55"/>
      <c r="AZ49" s="55"/>
      <c r="BA49" s="132" cm="1">
        <f t="array" ref="BA49">SUMPRODUCT('W1'!$I$10:$AI$60*('W1'!$B$10:$B$60=$B49)*('W1'!$I$6:$AI$6=$B$1))*$E$1</f>
        <v>150000000000</v>
      </c>
      <c r="BB49" s="134">
        <f t="shared" ref="BB49" si="673">IF(BD$2&lt;=BA$50,BA49/BA$51,0)</f>
        <v>500000000</v>
      </c>
      <c r="BC49" s="134">
        <f t="shared" ref="BC49" si="674">BB49*12</f>
        <v>6000000000</v>
      </c>
      <c r="BD49" s="55"/>
      <c r="BF49" s="55"/>
      <c r="BG49" s="132" cm="1">
        <f t="array" ref="BG49">SUMPRODUCT('W1'!$I$10:$AI$60*('W1'!$B$10:$B$60=$B49)*('W1'!$I$6:$AI$6=$B$1))*$E$1</f>
        <v>150000000000</v>
      </c>
      <c r="BH49" s="134">
        <f t="shared" ref="BH49" si="675">IF(BJ$2&lt;=BG$50,BG49/BG$51,0)</f>
        <v>500000000</v>
      </c>
      <c r="BI49" s="134">
        <f t="shared" ref="BI49" si="676">BH49*12</f>
        <v>6000000000</v>
      </c>
      <c r="BJ49" s="55"/>
      <c r="BL49" s="55"/>
      <c r="BM49" s="132" cm="1">
        <f t="array" ref="BM49">SUMPRODUCT('W1'!$I$10:$AI$60*('W1'!$B$10:$B$60=$B49)*('W1'!$I$6:$AI$6=$B$1))*$E$1</f>
        <v>150000000000</v>
      </c>
      <c r="BN49" s="134">
        <f t="shared" ref="BN49" si="677">IF(BP$2&lt;=BM$50,BM49/BM$51,0)</f>
        <v>500000000</v>
      </c>
      <c r="BO49" s="134">
        <f t="shared" ref="BO49" si="678">BN49*12</f>
        <v>6000000000</v>
      </c>
      <c r="BP49" s="55"/>
      <c r="BR49" s="55"/>
      <c r="BS49" s="132" cm="1">
        <f t="array" ref="BS49">SUMPRODUCT('W1'!$I$10:$AI$60*('W1'!$B$10:$B$60=$B49)*('W1'!$I$6:$AI$6=$B$1))*$E$1</f>
        <v>150000000000</v>
      </c>
      <c r="BT49" s="134">
        <f t="shared" ref="BT49" si="679">IF(BV$2&lt;=BS$50,BS49/BS$51,0)</f>
        <v>500000000</v>
      </c>
      <c r="BU49" s="134">
        <f t="shared" ref="BU49" si="680">BT49*12</f>
        <v>6000000000</v>
      </c>
      <c r="BV49" s="55"/>
      <c r="BX49" s="55"/>
      <c r="BY49" s="132" cm="1">
        <f t="array" ref="BY49">SUMPRODUCT('W1'!$I$10:$AI$60*('W1'!$B$10:$B$60=$B49)*('W1'!$I$6:$AI$6=$B$1))*$E$1</f>
        <v>150000000000</v>
      </c>
      <c r="BZ49" s="134">
        <f t="shared" ref="BZ49" si="681">IF(CB$2&lt;=BY$50,BY49/BY$51,0)</f>
        <v>500000000</v>
      </c>
      <c r="CA49" s="134">
        <f t="shared" ref="CA49" si="682">BZ49*12</f>
        <v>6000000000</v>
      </c>
      <c r="CB49" s="55"/>
      <c r="CD49" s="55"/>
      <c r="CE49" s="132" cm="1">
        <f t="array" ref="CE49">SUMPRODUCT('W1'!$I$10:$AI$60*('W1'!$B$10:$B$60=$B49)*('W1'!$I$6:$AI$6=$B$1))*$E$1</f>
        <v>150000000000</v>
      </c>
      <c r="CF49" s="134">
        <f t="shared" ref="CF49" si="683">IF(CH$2&lt;=CE$50,CE49/CE$51,0)</f>
        <v>500000000</v>
      </c>
      <c r="CG49" s="134">
        <f t="shared" ref="CG49" si="684">CF49*12</f>
        <v>6000000000</v>
      </c>
      <c r="CH49" s="55"/>
      <c r="CJ49" s="55"/>
      <c r="CK49" s="132" cm="1">
        <f t="array" ref="CK49">SUMPRODUCT('W1'!$I$10:$AI$60*('W1'!$B$10:$B$60=$B49)*('W1'!$I$6:$AI$6=$B$1))*$E$1</f>
        <v>150000000000</v>
      </c>
      <c r="CL49" s="134">
        <f t="shared" ref="CL49" si="685">IF(CN$2&lt;=CK$50,CK49/CK$51,0)</f>
        <v>500000000</v>
      </c>
      <c r="CM49" s="134">
        <f t="shared" ref="CM49" si="686">CL49*12</f>
        <v>6000000000</v>
      </c>
      <c r="CN49" s="55"/>
      <c r="CP49" s="55"/>
      <c r="CQ49" s="132" cm="1">
        <f t="array" ref="CQ49">SUMPRODUCT('W1'!$I$10:$AI$60*('W1'!$B$10:$B$60=$B49)*('W1'!$I$6:$AI$6=$B$1))*$E$1</f>
        <v>150000000000</v>
      </c>
      <c r="CR49" s="134">
        <f t="shared" ref="CR49" si="687">IF(CT$2&lt;=CQ$50,CQ49/CQ$51,0)</f>
        <v>500000000</v>
      </c>
      <c r="CS49" s="134">
        <f t="shared" ref="CS49" si="688">CR49*12</f>
        <v>6000000000</v>
      </c>
      <c r="CT49" s="55"/>
      <c r="CV49" s="55"/>
      <c r="CW49" s="132" cm="1">
        <f t="array" ref="CW49">SUMPRODUCT('W1'!$I$10:$AI$60*('W1'!$B$10:$B$60=$B49)*('W1'!$I$6:$AI$6=$B$1))*$E$1</f>
        <v>150000000000</v>
      </c>
      <c r="CX49" s="134">
        <f t="shared" ref="CX49" si="689">IF(CZ$2&lt;=CW$50,CW49/CW$51,0)</f>
        <v>500000000</v>
      </c>
      <c r="CY49" s="134">
        <f t="shared" ref="CY49" si="690">CX49*12</f>
        <v>6000000000</v>
      </c>
      <c r="CZ49" s="55"/>
      <c r="DB49" s="55"/>
      <c r="DC49" s="132" cm="1">
        <f t="array" ref="DC49">SUMPRODUCT('W1'!$I$10:$AI$60*('W1'!$B$10:$B$60=$B49)*('W1'!$I$6:$AI$6=$B$1))*$E$1</f>
        <v>150000000000</v>
      </c>
      <c r="DD49" s="134">
        <f t="shared" ref="DD49" si="691">IF(DF$2&lt;=DC$50,DC49/DC$51,0)</f>
        <v>500000000</v>
      </c>
      <c r="DE49" s="134">
        <f t="shared" ref="DE49" si="692">DD49*12</f>
        <v>6000000000</v>
      </c>
      <c r="DF49" s="55"/>
      <c r="DH49" s="55"/>
      <c r="DI49" s="132" cm="1">
        <f t="array" ref="DI49">SUMPRODUCT('W1'!$I$10:$AI$60*('W1'!$B$10:$B$60=$B49)*('W1'!$I$6:$AI$6=$B$1))*$E$1</f>
        <v>150000000000</v>
      </c>
      <c r="DJ49" s="134">
        <f t="shared" ref="DJ49" si="693">IF(DL$2&lt;=DI$50,DI49/DI$51,0)</f>
        <v>500000000</v>
      </c>
      <c r="DK49" s="134">
        <f t="shared" ref="DK49" si="694">DJ49*12</f>
        <v>6000000000</v>
      </c>
      <c r="DL49" s="55"/>
      <c r="DN49" s="55"/>
      <c r="DO49" s="132" cm="1">
        <f t="array" ref="DO49">SUMPRODUCT('W1'!$I$10:$AI$60*('W1'!$B$10:$B$60=$B49)*('W1'!$I$6:$AI$6=$B$1))*$E$1</f>
        <v>150000000000</v>
      </c>
      <c r="DP49" s="134">
        <f t="shared" ref="DP49" si="695">IF(DR$2&lt;=DO$50,DO49/DO$51,0)</f>
        <v>500000000</v>
      </c>
      <c r="DQ49" s="134">
        <f t="shared" ref="DQ49" si="696">DP49*12</f>
        <v>6000000000</v>
      </c>
      <c r="DR49" s="55"/>
      <c r="DT49" s="55"/>
      <c r="DU49" s="132" cm="1">
        <f t="array" ref="DU49">SUMPRODUCT('W1'!$I$10:$AI$60*('W1'!$B$10:$B$60=$B49)*('W1'!$I$6:$AI$6=$B$1))*$E$1</f>
        <v>150000000000</v>
      </c>
      <c r="DV49" s="134">
        <f t="shared" ref="DV49" si="697">IF(DX$2&lt;=DU$50,DU49/DU$51,0)</f>
        <v>500000000</v>
      </c>
      <c r="DW49" s="134">
        <f t="shared" ref="DW49" si="698">DV49*12</f>
        <v>6000000000</v>
      </c>
      <c r="DX49" s="55"/>
      <c r="DZ49" s="55"/>
      <c r="EA49" s="132" cm="1">
        <f t="array" ref="EA49">SUMPRODUCT('W1'!$I$10:$AI$60*('W1'!$B$10:$B$60=$B49)*('W1'!$I$6:$AI$6=$B$1))*$E$1</f>
        <v>150000000000</v>
      </c>
      <c r="EB49" s="134">
        <f t="shared" ref="EB49" si="699">IF(ED$2&lt;=EA$50,EA49/EA$51,0)</f>
        <v>500000000</v>
      </c>
      <c r="EC49" s="134">
        <f t="shared" ref="EC49" si="700">EB49*12</f>
        <v>6000000000</v>
      </c>
      <c r="ED49" s="55"/>
      <c r="EF49" s="55"/>
      <c r="EG49" s="132" cm="1">
        <f t="array" ref="EG49">SUMPRODUCT('W1'!$I$10:$AI$60*('W1'!$B$10:$B$60=$B49)*('W1'!$I$6:$AI$6=$B$1))*$E$1</f>
        <v>150000000000</v>
      </c>
      <c r="EH49" s="134">
        <f t="shared" ref="EH49" si="701">IF(EJ$2&lt;=EG$50,EG49/EG$51,0)</f>
        <v>500000000</v>
      </c>
      <c r="EI49" s="134">
        <f t="shared" ref="EI49" si="702">EH49*12</f>
        <v>6000000000</v>
      </c>
      <c r="EJ49" s="55"/>
      <c r="EL49" s="55"/>
      <c r="EM49" s="132" cm="1">
        <f t="array" ref="EM49">SUMPRODUCT('W1'!$I$10:$AI$60*('W1'!$B$10:$B$60=$B49)*('W1'!$I$6:$AI$6=$B$1))*$E$1</f>
        <v>150000000000</v>
      </c>
      <c r="EN49" s="134">
        <f t="shared" ref="EN49" si="703">IF(EP$2&lt;=EM$50,EM49/EM$51,0)</f>
        <v>500000000</v>
      </c>
      <c r="EO49" s="134">
        <f t="shared" ref="EO49" si="704">EN49*12</f>
        <v>6000000000</v>
      </c>
      <c r="EP49" s="55"/>
      <c r="ER49" s="55"/>
      <c r="ES49" s="132" cm="1">
        <f t="array" ref="ES49">SUMPRODUCT('W1'!$I$10:$AI$60*('W1'!$B$10:$B$60=$B49)*('W1'!$I$6:$AI$6=$B$1))*$E$1</f>
        <v>150000000000</v>
      </c>
      <c r="ET49" s="134">
        <f t="shared" ref="ET49" si="705">IF(EV$2&lt;=ES$50,ES49/ES$51,0)</f>
        <v>500000000</v>
      </c>
      <c r="EU49" s="134">
        <f t="shared" ref="EU49" si="706">ET49*12</f>
        <v>6000000000</v>
      </c>
      <c r="EV49" s="55"/>
    </row>
    <row r="50" spans="1:152" x14ac:dyDescent="0.25">
      <c r="B50" s="56" t="s">
        <v>353</v>
      </c>
      <c r="C50" s="55" t="s">
        <v>131</v>
      </c>
      <c r="D50" s="55"/>
      <c r="E50" s="55" cm="1">
        <f t="array" ref="E50">_xlfn.SWITCH($C$1,1,'W1'!$G$36,2,'W1'!$L$36,3,'W1'!$Q$36,4,'W1'!$V$36,5,'W1'!$AA$36,6,'W1'!$AF$36)</f>
        <v>25</v>
      </c>
      <c r="F50" s="55"/>
      <c r="G50" s="55"/>
      <c r="H50" s="55"/>
      <c r="J50" s="55"/>
      <c r="K50" s="55" cm="1">
        <f t="array" ref="K50">_xlfn.SWITCH($C$1,1,'W1'!$G$36,2,'W1'!$L$36,3,'W1'!$Q$36,4,'W1'!$V$36,5,'W1'!$AA$36,6,'W1'!$AF$36)</f>
        <v>25</v>
      </c>
      <c r="L50" s="55"/>
      <c r="M50" s="55"/>
      <c r="N50" s="55"/>
      <c r="P50" s="55"/>
      <c r="Q50" s="55" cm="1">
        <f t="array" ref="Q50">_xlfn.SWITCH($C$1,1,'W1'!$G$36,2,'W1'!$L$36,3,'W1'!$Q$36,4,'W1'!$V$36,5,'W1'!$AA$36,6,'W1'!$AF$36)</f>
        <v>25</v>
      </c>
      <c r="R50" s="55"/>
      <c r="S50" s="55"/>
      <c r="T50" s="55"/>
      <c r="V50" s="55"/>
      <c r="W50" s="55" cm="1">
        <f t="array" ref="W50">_xlfn.SWITCH($C$1,1,'W1'!$G$36,2,'W1'!$L$36,3,'W1'!$Q$36,4,'W1'!$V$36,5,'W1'!$AA$36,6,'W1'!$AF$36)</f>
        <v>25</v>
      </c>
      <c r="X50" s="55"/>
      <c r="Y50" s="55"/>
      <c r="Z50" s="55"/>
      <c r="AB50" s="55"/>
      <c r="AC50" s="55" cm="1">
        <f t="array" ref="AC50">_xlfn.SWITCH($C$1,1,'W1'!$G$36,2,'W1'!$L$36,3,'W1'!$Q$36,4,'W1'!$V$36,5,'W1'!$AA$36,6,'W1'!$AF$36)</f>
        <v>25</v>
      </c>
      <c r="AD50" s="55"/>
      <c r="AE50" s="55"/>
      <c r="AF50" s="55"/>
      <c r="AH50" s="55"/>
      <c r="AI50" s="55" cm="1">
        <f t="array" ref="AI50">_xlfn.SWITCH($C$1,1,'W1'!$G$36,2,'W1'!$L$36,3,'W1'!$Q$36,4,'W1'!$V$36,5,'W1'!$AA$36,6,'W1'!$AF$36)</f>
        <v>25</v>
      </c>
      <c r="AJ50" s="55"/>
      <c r="AK50" s="55"/>
      <c r="AL50" s="55"/>
      <c r="AN50" s="55"/>
      <c r="AO50" s="55" cm="1">
        <f t="array" ref="AO50">_xlfn.SWITCH($C$1,1,'W1'!$G$36,2,'W1'!$L$36,3,'W1'!$Q$36,4,'W1'!$V$36,5,'W1'!$AA$36,6,'W1'!$AF$36)</f>
        <v>25</v>
      </c>
      <c r="AP50" s="55"/>
      <c r="AQ50" s="55"/>
      <c r="AR50" s="55"/>
      <c r="AT50" s="55"/>
      <c r="AU50" s="55" cm="1">
        <f t="array" ref="AU50">_xlfn.SWITCH($C$1,1,'W1'!$G$36,2,'W1'!$L$36,3,'W1'!$Q$36,4,'W1'!$V$36,5,'W1'!$AA$36,6,'W1'!$AF$36)</f>
        <v>25</v>
      </c>
      <c r="AV50" s="55"/>
      <c r="AW50" s="55"/>
      <c r="AX50" s="55"/>
      <c r="AZ50" s="55"/>
      <c r="BA50" s="55" cm="1">
        <f t="array" ref="BA50">_xlfn.SWITCH($C$1,1,'W1'!$G$36,2,'W1'!$L$36,3,'W1'!$Q$36,4,'W1'!$V$36,5,'W1'!$AA$36,6,'W1'!$AF$36)</f>
        <v>25</v>
      </c>
      <c r="BB50" s="55"/>
      <c r="BC50" s="55"/>
      <c r="BD50" s="55"/>
      <c r="BF50" s="55"/>
      <c r="BG50" s="55" cm="1">
        <f t="array" ref="BG50">_xlfn.SWITCH($C$1,1,'W1'!$G$36,2,'W1'!$L$36,3,'W1'!$Q$36,4,'W1'!$V$36,5,'W1'!$AA$36,6,'W1'!$AF$36)</f>
        <v>25</v>
      </c>
      <c r="BH50" s="55"/>
      <c r="BI50" s="55"/>
      <c r="BJ50" s="55"/>
      <c r="BL50" s="55"/>
      <c r="BM50" s="55" cm="1">
        <f t="array" ref="BM50">_xlfn.SWITCH($C$1,1,'W1'!$G$36,2,'W1'!$L$36,3,'W1'!$Q$36,4,'W1'!$V$36,5,'W1'!$AA$36,6,'W1'!$AF$36)</f>
        <v>25</v>
      </c>
      <c r="BN50" s="55"/>
      <c r="BO50" s="55"/>
      <c r="BP50" s="55"/>
      <c r="BR50" s="55"/>
      <c r="BS50" s="55" cm="1">
        <f t="array" ref="BS50">_xlfn.SWITCH($C$1,1,'W1'!$G$36,2,'W1'!$L$36,3,'W1'!$Q$36,4,'W1'!$V$36,5,'W1'!$AA$36,6,'W1'!$AF$36)</f>
        <v>25</v>
      </c>
      <c r="BT50" s="55"/>
      <c r="BU50" s="55"/>
      <c r="BV50" s="55"/>
      <c r="BX50" s="55"/>
      <c r="BY50" s="55" cm="1">
        <f t="array" ref="BY50">_xlfn.SWITCH($C$1,1,'W1'!$G$36,2,'W1'!$L$36,3,'W1'!$Q$36,4,'W1'!$V$36,5,'W1'!$AA$36,6,'W1'!$AF$36)</f>
        <v>25</v>
      </c>
      <c r="BZ50" s="55"/>
      <c r="CA50" s="55"/>
      <c r="CB50" s="55"/>
      <c r="CD50" s="55"/>
      <c r="CE50" s="55" cm="1">
        <f t="array" ref="CE50">_xlfn.SWITCH($C$1,1,'W1'!$G$36,2,'W1'!$L$36,3,'W1'!$Q$36,4,'W1'!$V$36,5,'W1'!$AA$36,6,'W1'!$AF$36)</f>
        <v>25</v>
      </c>
      <c r="CF50" s="55"/>
      <c r="CG50" s="55"/>
      <c r="CH50" s="55"/>
      <c r="CJ50" s="55"/>
      <c r="CK50" s="55" cm="1">
        <f t="array" ref="CK50">_xlfn.SWITCH($C$1,1,'W1'!$G$36,2,'W1'!$L$36,3,'W1'!$Q$36,4,'W1'!$V$36,5,'W1'!$AA$36,6,'W1'!$AF$36)</f>
        <v>25</v>
      </c>
      <c r="CL50" s="55"/>
      <c r="CM50" s="55"/>
      <c r="CN50" s="55"/>
      <c r="CP50" s="55"/>
      <c r="CQ50" s="55" cm="1">
        <f t="array" ref="CQ50">_xlfn.SWITCH($C$1,1,'W1'!$G$36,2,'W1'!$L$36,3,'W1'!$Q$36,4,'W1'!$V$36,5,'W1'!$AA$36,6,'W1'!$AF$36)</f>
        <v>25</v>
      </c>
      <c r="CR50" s="55"/>
      <c r="CS50" s="55"/>
      <c r="CT50" s="55"/>
      <c r="CV50" s="55"/>
      <c r="CW50" s="55" cm="1">
        <f t="array" ref="CW50">_xlfn.SWITCH($C$1,1,'W1'!$G$36,2,'W1'!$L$36,3,'W1'!$Q$36,4,'W1'!$V$36,5,'W1'!$AA$36,6,'W1'!$AF$36)</f>
        <v>25</v>
      </c>
      <c r="CX50" s="55"/>
      <c r="CY50" s="55"/>
      <c r="CZ50" s="55"/>
      <c r="DB50" s="55"/>
      <c r="DC50" s="55" cm="1">
        <f t="array" ref="DC50">_xlfn.SWITCH($C$1,1,'W1'!$G$36,2,'W1'!$L$36,3,'W1'!$Q$36,4,'W1'!$V$36,5,'W1'!$AA$36,6,'W1'!$AF$36)</f>
        <v>25</v>
      </c>
      <c r="DD50" s="55"/>
      <c r="DE50" s="55"/>
      <c r="DF50" s="55"/>
      <c r="DH50" s="55"/>
      <c r="DI50" s="55" cm="1">
        <f t="array" ref="DI50">_xlfn.SWITCH($C$1,1,'W1'!$G$36,2,'W1'!$L$36,3,'W1'!$Q$36,4,'W1'!$V$36,5,'W1'!$AA$36,6,'W1'!$AF$36)</f>
        <v>25</v>
      </c>
      <c r="DJ50" s="55"/>
      <c r="DK50" s="55"/>
      <c r="DL50" s="55"/>
      <c r="DN50" s="55"/>
      <c r="DO50" s="55" cm="1">
        <f t="array" ref="DO50">_xlfn.SWITCH($C$1,1,'W1'!$G$36,2,'W1'!$L$36,3,'W1'!$Q$36,4,'W1'!$V$36,5,'W1'!$AA$36,6,'W1'!$AF$36)</f>
        <v>25</v>
      </c>
      <c r="DP50" s="55"/>
      <c r="DQ50" s="55"/>
      <c r="DR50" s="55"/>
      <c r="DT50" s="55"/>
      <c r="DU50" s="55" cm="1">
        <f t="array" ref="DU50">_xlfn.SWITCH($C$1,1,'W1'!$G$36,2,'W1'!$L$36,3,'W1'!$Q$36,4,'W1'!$V$36,5,'W1'!$AA$36,6,'W1'!$AF$36)</f>
        <v>25</v>
      </c>
      <c r="DV50" s="55"/>
      <c r="DW50" s="55"/>
      <c r="DX50" s="55"/>
      <c r="DZ50" s="55"/>
      <c r="EA50" s="55" cm="1">
        <f t="array" ref="EA50">_xlfn.SWITCH($C$1,1,'W1'!$G$36,2,'W1'!$L$36,3,'W1'!$Q$36,4,'W1'!$V$36,5,'W1'!$AA$36,6,'W1'!$AF$36)</f>
        <v>25</v>
      </c>
      <c r="EB50" s="55"/>
      <c r="EC50" s="55"/>
      <c r="ED50" s="55"/>
      <c r="EF50" s="55"/>
      <c r="EG50" s="55" cm="1">
        <f t="array" ref="EG50">_xlfn.SWITCH($C$1,1,'W1'!$G$36,2,'W1'!$L$36,3,'W1'!$Q$36,4,'W1'!$V$36,5,'W1'!$AA$36,6,'W1'!$AF$36)</f>
        <v>25</v>
      </c>
      <c r="EH50" s="55"/>
      <c r="EI50" s="55"/>
      <c r="EJ50" s="55"/>
      <c r="EL50" s="55"/>
      <c r="EM50" s="55" cm="1">
        <f t="array" ref="EM50">_xlfn.SWITCH($C$1,1,'W1'!$G$36,2,'W1'!$L$36,3,'W1'!$Q$36,4,'W1'!$V$36,5,'W1'!$AA$36,6,'W1'!$AF$36)</f>
        <v>25</v>
      </c>
      <c r="EN50" s="55"/>
      <c r="EO50" s="55"/>
      <c r="EP50" s="55"/>
      <c r="ER50" s="55"/>
      <c r="ES50" s="55" cm="1">
        <f t="array" ref="ES50">_xlfn.SWITCH($C$1,1,'W1'!$G$36,2,'W1'!$L$36,3,'W1'!$Q$36,4,'W1'!$V$36,5,'W1'!$AA$36,6,'W1'!$AF$36)</f>
        <v>25</v>
      </c>
      <c r="ET50" s="55"/>
      <c r="EU50" s="55"/>
      <c r="EV50" s="55"/>
    </row>
    <row r="51" spans="1:152" x14ac:dyDescent="0.25">
      <c r="B51" s="56" t="s">
        <v>354</v>
      </c>
      <c r="C51" s="55" t="s">
        <v>360</v>
      </c>
      <c r="D51" s="55"/>
      <c r="E51" s="55">
        <f>E50*12</f>
        <v>300</v>
      </c>
      <c r="F51" s="55"/>
      <c r="G51" s="55"/>
      <c r="H51" s="55"/>
      <c r="J51" s="55"/>
      <c r="K51" s="55">
        <f t="shared" ref="K51" si="707">K50*12</f>
        <v>300</v>
      </c>
      <c r="L51" s="55"/>
      <c r="M51" s="55"/>
      <c r="N51" s="55"/>
      <c r="P51" s="55"/>
      <c r="Q51" s="55">
        <f t="shared" ref="Q51" si="708">Q50*12</f>
        <v>300</v>
      </c>
      <c r="R51" s="55"/>
      <c r="S51" s="55"/>
      <c r="T51" s="55"/>
      <c r="V51" s="55"/>
      <c r="W51" s="55">
        <f t="shared" ref="W51" si="709">W50*12</f>
        <v>300</v>
      </c>
      <c r="X51" s="55"/>
      <c r="Y51" s="55"/>
      <c r="Z51" s="55"/>
      <c r="AB51" s="55"/>
      <c r="AC51" s="55">
        <f t="shared" ref="AC51" si="710">AC50*12</f>
        <v>300</v>
      </c>
      <c r="AD51" s="55"/>
      <c r="AE51" s="55"/>
      <c r="AF51" s="55"/>
      <c r="AH51" s="55"/>
      <c r="AI51" s="55">
        <f t="shared" ref="AI51" si="711">AI50*12</f>
        <v>300</v>
      </c>
      <c r="AJ51" s="55"/>
      <c r="AK51" s="55"/>
      <c r="AL51" s="55"/>
      <c r="AN51" s="55"/>
      <c r="AO51" s="55">
        <f t="shared" ref="AO51" si="712">AO50*12</f>
        <v>300</v>
      </c>
      <c r="AP51" s="55"/>
      <c r="AQ51" s="55"/>
      <c r="AR51" s="55"/>
      <c r="AT51" s="55"/>
      <c r="AU51" s="55">
        <f t="shared" ref="AU51" si="713">AU50*12</f>
        <v>300</v>
      </c>
      <c r="AV51" s="55"/>
      <c r="AW51" s="55"/>
      <c r="AX51" s="55"/>
      <c r="AZ51" s="55"/>
      <c r="BA51" s="55">
        <f t="shared" ref="BA51" si="714">BA50*12</f>
        <v>300</v>
      </c>
      <c r="BB51" s="55"/>
      <c r="BC51" s="55"/>
      <c r="BD51" s="55"/>
      <c r="BF51" s="55"/>
      <c r="BG51" s="55">
        <f t="shared" ref="BG51" si="715">BG50*12</f>
        <v>300</v>
      </c>
      <c r="BH51" s="55"/>
      <c r="BI51" s="55"/>
      <c r="BJ51" s="55"/>
      <c r="BL51" s="55"/>
      <c r="BM51" s="55">
        <f t="shared" ref="BM51" si="716">BM50*12</f>
        <v>300</v>
      </c>
      <c r="BN51" s="55"/>
      <c r="BO51" s="55"/>
      <c r="BP51" s="55"/>
      <c r="BR51" s="55"/>
      <c r="BS51" s="55">
        <f t="shared" ref="BS51" si="717">BS50*12</f>
        <v>300</v>
      </c>
      <c r="BT51" s="55"/>
      <c r="BU51" s="55"/>
      <c r="BV51" s="55"/>
      <c r="BX51" s="55"/>
      <c r="BY51" s="55">
        <f t="shared" ref="BY51" si="718">BY50*12</f>
        <v>300</v>
      </c>
      <c r="BZ51" s="55"/>
      <c r="CA51" s="55"/>
      <c r="CB51" s="55"/>
      <c r="CD51" s="55"/>
      <c r="CE51" s="55">
        <f t="shared" ref="CE51" si="719">CE50*12</f>
        <v>300</v>
      </c>
      <c r="CF51" s="55"/>
      <c r="CG51" s="55"/>
      <c r="CH51" s="55"/>
      <c r="CJ51" s="55"/>
      <c r="CK51" s="55">
        <f t="shared" ref="CK51" si="720">CK50*12</f>
        <v>300</v>
      </c>
      <c r="CL51" s="55"/>
      <c r="CM51" s="55"/>
      <c r="CN51" s="55"/>
      <c r="CP51" s="55"/>
      <c r="CQ51" s="55">
        <f t="shared" ref="CQ51" si="721">CQ50*12</f>
        <v>300</v>
      </c>
      <c r="CR51" s="55"/>
      <c r="CS51" s="55"/>
      <c r="CT51" s="55"/>
      <c r="CV51" s="55"/>
      <c r="CW51" s="55">
        <f t="shared" ref="CW51" si="722">CW50*12</f>
        <v>300</v>
      </c>
      <c r="CX51" s="55"/>
      <c r="CY51" s="55"/>
      <c r="CZ51" s="55"/>
      <c r="DB51" s="55"/>
      <c r="DC51" s="55">
        <f t="shared" ref="DC51" si="723">DC50*12</f>
        <v>300</v>
      </c>
      <c r="DD51" s="55"/>
      <c r="DE51" s="55"/>
      <c r="DF51" s="55"/>
      <c r="DH51" s="55"/>
      <c r="DI51" s="55">
        <f t="shared" ref="DI51" si="724">DI50*12</f>
        <v>300</v>
      </c>
      <c r="DJ51" s="55"/>
      <c r="DK51" s="55"/>
      <c r="DL51" s="55"/>
      <c r="DN51" s="55"/>
      <c r="DO51" s="55">
        <f t="shared" ref="DO51" si="725">DO50*12</f>
        <v>300</v>
      </c>
      <c r="DP51" s="55"/>
      <c r="DQ51" s="55"/>
      <c r="DR51" s="55"/>
      <c r="DT51" s="55"/>
      <c r="DU51" s="55">
        <f t="shared" ref="DU51" si="726">DU50*12</f>
        <v>300</v>
      </c>
      <c r="DV51" s="55"/>
      <c r="DW51" s="55"/>
      <c r="DX51" s="55"/>
      <c r="DZ51" s="55"/>
      <c r="EA51" s="55">
        <f t="shared" ref="EA51" si="727">EA50*12</f>
        <v>300</v>
      </c>
      <c r="EB51" s="55"/>
      <c r="EC51" s="55"/>
      <c r="ED51" s="55"/>
      <c r="EF51" s="55"/>
      <c r="EG51" s="55">
        <f t="shared" ref="EG51" si="728">EG50*12</f>
        <v>300</v>
      </c>
      <c r="EH51" s="55"/>
      <c r="EI51" s="55"/>
      <c r="EJ51" s="55"/>
      <c r="EL51" s="55"/>
      <c r="EM51" s="55">
        <f t="shared" ref="EM51" si="729">EM50*12</f>
        <v>300</v>
      </c>
      <c r="EN51" s="55"/>
      <c r="EO51" s="55"/>
      <c r="EP51" s="55"/>
      <c r="ER51" s="55"/>
      <c r="ES51" s="55">
        <f t="shared" ref="ES51" si="730">ES50*12</f>
        <v>300</v>
      </c>
      <c r="ET51" s="55"/>
      <c r="EU51" s="55"/>
      <c r="EV51" s="55"/>
    </row>
    <row r="52" spans="1:152" x14ac:dyDescent="0.25">
      <c r="B52" s="56" t="s">
        <v>111</v>
      </c>
      <c r="C52" s="55"/>
      <c r="D52" s="55"/>
      <c r="E52" s="55"/>
      <c r="F52" s="55"/>
      <c r="G52" s="55"/>
      <c r="H52" s="55"/>
      <c r="J52" s="55"/>
      <c r="K52" s="55"/>
      <c r="L52" s="55"/>
      <c r="M52" s="55"/>
      <c r="N52" s="55"/>
      <c r="P52" s="55"/>
      <c r="Q52" s="55"/>
      <c r="R52" s="55"/>
      <c r="S52" s="55"/>
      <c r="T52" s="55"/>
      <c r="V52" s="55"/>
      <c r="W52" s="55"/>
      <c r="X52" s="55"/>
      <c r="Y52" s="55"/>
      <c r="Z52" s="55"/>
      <c r="AB52" s="55"/>
      <c r="AC52" s="55"/>
      <c r="AD52" s="55"/>
      <c r="AE52" s="55"/>
      <c r="AF52" s="55"/>
      <c r="AH52" s="55"/>
      <c r="AI52" s="55"/>
      <c r="AJ52" s="55"/>
      <c r="AK52" s="55"/>
      <c r="AL52" s="55"/>
      <c r="AN52" s="55"/>
      <c r="AO52" s="55"/>
      <c r="AP52" s="55"/>
      <c r="AQ52" s="55"/>
      <c r="AR52" s="55"/>
      <c r="AT52" s="55"/>
      <c r="AU52" s="55"/>
      <c r="AV52" s="55"/>
      <c r="AW52" s="55"/>
      <c r="AX52" s="55"/>
      <c r="AZ52" s="55"/>
      <c r="BA52" s="55"/>
      <c r="BB52" s="55"/>
      <c r="BC52" s="55"/>
      <c r="BD52" s="55"/>
      <c r="BF52" s="55"/>
      <c r="BG52" s="55"/>
      <c r="BH52" s="55"/>
      <c r="BI52" s="55"/>
      <c r="BJ52" s="55"/>
      <c r="BL52" s="55"/>
      <c r="BM52" s="55"/>
      <c r="BN52" s="55"/>
      <c r="BO52" s="55"/>
      <c r="BP52" s="55"/>
      <c r="BR52" s="55"/>
      <c r="BS52" s="55"/>
      <c r="BT52" s="55"/>
      <c r="BU52" s="55"/>
      <c r="BV52" s="55"/>
      <c r="BX52" s="55"/>
      <c r="BY52" s="55"/>
      <c r="BZ52" s="55"/>
      <c r="CA52" s="55"/>
      <c r="CB52" s="55"/>
      <c r="CD52" s="55"/>
      <c r="CE52" s="55"/>
      <c r="CF52" s="55"/>
      <c r="CG52" s="55"/>
      <c r="CH52" s="55"/>
      <c r="CJ52" s="55"/>
      <c r="CK52" s="55"/>
      <c r="CL52" s="55"/>
      <c r="CM52" s="55"/>
      <c r="CN52" s="55"/>
      <c r="CP52" s="55"/>
      <c r="CQ52" s="55"/>
      <c r="CR52" s="55"/>
      <c r="CS52" s="55"/>
      <c r="CT52" s="55"/>
      <c r="CV52" s="55"/>
      <c r="CW52" s="55"/>
      <c r="CX52" s="55"/>
      <c r="CY52" s="55"/>
      <c r="CZ52" s="55"/>
      <c r="DB52" s="55"/>
      <c r="DC52" s="55"/>
      <c r="DD52" s="55"/>
      <c r="DE52" s="55"/>
      <c r="DF52" s="55"/>
      <c r="DH52" s="55"/>
      <c r="DI52" s="55"/>
      <c r="DJ52" s="55"/>
      <c r="DK52" s="55"/>
      <c r="DL52" s="55"/>
      <c r="DN52" s="55"/>
      <c r="DO52" s="55"/>
      <c r="DP52" s="55"/>
      <c r="DQ52" s="55"/>
      <c r="DR52" s="55"/>
      <c r="DT52" s="55"/>
      <c r="DU52" s="55"/>
      <c r="DV52" s="55"/>
      <c r="DW52" s="55"/>
      <c r="DX52" s="55"/>
      <c r="DZ52" s="55"/>
      <c r="EA52" s="55"/>
      <c r="EB52" s="55"/>
      <c r="EC52" s="55"/>
      <c r="ED52" s="55"/>
      <c r="EF52" s="55"/>
      <c r="EG52" s="55"/>
      <c r="EH52" s="55"/>
      <c r="EI52" s="55"/>
      <c r="EJ52" s="55"/>
      <c r="EL52" s="55"/>
      <c r="EM52" s="55"/>
      <c r="EN52" s="55"/>
      <c r="EO52" s="55"/>
      <c r="EP52" s="55"/>
      <c r="ER52" s="55"/>
      <c r="ES52" s="55"/>
      <c r="ET52" s="55"/>
      <c r="EU52" s="55"/>
      <c r="EV52" s="55"/>
    </row>
    <row r="53" spans="1:152" x14ac:dyDescent="0.25">
      <c r="B53" s="53" t="s">
        <v>134</v>
      </c>
      <c r="C53" s="54"/>
      <c r="D53" s="54"/>
      <c r="E53" s="54"/>
      <c r="F53" s="54"/>
      <c r="G53" s="54"/>
      <c r="H53" s="54"/>
      <c r="J53" s="54"/>
      <c r="K53" s="54"/>
      <c r="L53" s="54"/>
      <c r="M53" s="54"/>
      <c r="N53" s="54"/>
      <c r="P53" s="54"/>
      <c r="Q53" s="54"/>
      <c r="R53" s="54"/>
      <c r="S53" s="54"/>
      <c r="T53" s="54"/>
      <c r="V53" s="54"/>
      <c r="W53" s="54"/>
      <c r="X53" s="54"/>
      <c r="Y53" s="54"/>
      <c r="Z53" s="54"/>
      <c r="AB53" s="54"/>
      <c r="AC53" s="54"/>
      <c r="AD53" s="54"/>
      <c r="AE53" s="54"/>
      <c r="AF53" s="54"/>
      <c r="AH53" s="54"/>
      <c r="AI53" s="54"/>
      <c r="AJ53" s="54"/>
      <c r="AK53" s="54"/>
      <c r="AL53" s="54"/>
      <c r="AN53" s="54"/>
      <c r="AO53" s="54"/>
      <c r="AP53" s="54"/>
      <c r="AQ53" s="54"/>
      <c r="AR53" s="54"/>
      <c r="AT53" s="54"/>
      <c r="AU53" s="54"/>
      <c r="AV53" s="54"/>
      <c r="AW53" s="54"/>
      <c r="AX53" s="54"/>
      <c r="AZ53" s="54"/>
      <c r="BA53" s="54"/>
      <c r="BB53" s="54"/>
      <c r="BC53" s="54"/>
      <c r="BD53" s="54"/>
      <c r="BF53" s="54"/>
      <c r="BG53" s="54"/>
      <c r="BH53" s="54"/>
      <c r="BI53" s="54"/>
      <c r="BJ53" s="54"/>
      <c r="BL53" s="54"/>
      <c r="BM53" s="54"/>
      <c r="BN53" s="54"/>
      <c r="BO53" s="54"/>
      <c r="BP53" s="54"/>
      <c r="BR53" s="54"/>
      <c r="BS53" s="54"/>
      <c r="BT53" s="54"/>
      <c r="BU53" s="54"/>
      <c r="BV53" s="54"/>
      <c r="BX53" s="54"/>
      <c r="BY53" s="54"/>
      <c r="BZ53" s="54"/>
      <c r="CA53" s="54"/>
      <c r="CB53" s="54"/>
      <c r="CD53" s="54"/>
      <c r="CE53" s="54"/>
      <c r="CF53" s="54"/>
      <c r="CG53" s="54"/>
      <c r="CH53" s="54"/>
      <c r="CJ53" s="54"/>
      <c r="CK53" s="54"/>
      <c r="CL53" s="54"/>
      <c r="CM53" s="54"/>
      <c r="CN53" s="54"/>
      <c r="CP53" s="54"/>
      <c r="CQ53" s="54"/>
      <c r="CR53" s="54"/>
      <c r="CS53" s="54"/>
      <c r="CT53" s="54"/>
      <c r="CV53" s="54"/>
      <c r="CW53" s="54"/>
      <c r="CX53" s="54"/>
      <c r="CY53" s="54"/>
      <c r="CZ53" s="54"/>
      <c r="DB53" s="54"/>
      <c r="DC53" s="54"/>
      <c r="DD53" s="54"/>
      <c r="DE53" s="54"/>
      <c r="DF53" s="54"/>
      <c r="DH53" s="54"/>
      <c r="DI53" s="54"/>
      <c r="DJ53" s="54"/>
      <c r="DK53" s="54"/>
      <c r="DL53" s="54"/>
      <c r="DN53" s="54"/>
      <c r="DO53" s="54"/>
      <c r="DP53" s="54"/>
      <c r="DQ53" s="54"/>
      <c r="DR53" s="54"/>
      <c r="DT53" s="54"/>
      <c r="DU53" s="54"/>
      <c r="DV53" s="54"/>
      <c r="DW53" s="54"/>
      <c r="DX53" s="54"/>
      <c r="DZ53" s="54"/>
      <c r="EA53" s="54"/>
      <c r="EB53" s="54"/>
      <c r="EC53" s="54"/>
      <c r="ED53" s="54"/>
      <c r="EF53" s="54"/>
      <c r="EG53" s="54"/>
      <c r="EH53" s="54"/>
      <c r="EI53" s="54"/>
      <c r="EJ53" s="54"/>
      <c r="EL53" s="54"/>
      <c r="EM53" s="54"/>
      <c r="EN53" s="54"/>
      <c r="EO53" s="54"/>
      <c r="EP53" s="54"/>
      <c r="ER53" s="54"/>
      <c r="ES53" s="54"/>
      <c r="ET53" s="54"/>
      <c r="EU53" s="54"/>
      <c r="EV53" s="54"/>
    </row>
    <row r="54" spans="1:152" x14ac:dyDescent="0.25">
      <c r="B54" s="56" t="s">
        <v>135</v>
      </c>
      <c r="C54" s="55" t="s">
        <v>616</v>
      </c>
      <c r="D54" s="55"/>
      <c r="E54" s="100">
        <f>INDEX('W2'!$M$77:$R$77,MATCH($B$1,'W2'!$M$7:$R$7,0))/INDEX('W2'!$M$78:$R$78,MATCH($B$1,'W2'!$M$7:$R$7,0))*POWER(1+$C$72,G$1)*$E$1</f>
        <v>210000</v>
      </c>
      <c r="F54" s="55"/>
      <c r="G54" s="55"/>
      <c r="H54" s="55"/>
      <c r="J54" s="55"/>
      <c r="K54" s="100">
        <f>INDEX('W2'!$M$77:$R$77,MATCH($B$1,'W2'!$M$7:$R$7,0))/INDEX('W2'!$M$78:$R$78,MATCH($B$1,'W2'!$M$7:$R$7,0))*POWER(1+$C$72,M$1)*$E$1</f>
        <v>210000</v>
      </c>
      <c r="L54" s="55"/>
      <c r="M54" s="55"/>
      <c r="N54" s="55"/>
      <c r="P54" s="55"/>
      <c r="Q54" s="100">
        <f>INDEX('W2'!$M$77:$R$77,MATCH($B$1,'W2'!$M$7:$R$7,0))/INDEX('W2'!$M$78:$R$78,MATCH($B$1,'W2'!$M$7:$R$7,0))*POWER(1+$C$72,S$1)*$E$1</f>
        <v>220500</v>
      </c>
      <c r="R54" s="55"/>
      <c r="S54" s="55"/>
      <c r="T54" s="55"/>
      <c r="V54" s="55"/>
      <c r="W54" s="100">
        <f>INDEX('W2'!$M$77:$R$77,MATCH($B$1,'W2'!$M$7:$R$7,0))/INDEX('W2'!$M$78:$R$78,MATCH($B$1,'W2'!$M$7:$R$7,0))*POWER(1+$C$72,Y$1)*$E$1</f>
        <v>231525</v>
      </c>
      <c r="X54" s="55"/>
      <c r="Y54" s="55"/>
      <c r="Z54" s="55"/>
      <c r="AB54" s="55"/>
      <c r="AC54" s="100">
        <f>INDEX('W2'!$M$77:$R$77,MATCH($B$1,'W2'!$M$7:$R$7,0))/INDEX('W2'!$M$78:$R$78,MATCH($B$1,'W2'!$M$7:$R$7,0))*POWER(1+$C$72,AE$1)*$E$1</f>
        <v>243101.25000000003</v>
      </c>
      <c r="AD54" s="55"/>
      <c r="AE54" s="55"/>
      <c r="AF54" s="55"/>
      <c r="AH54" s="55"/>
      <c r="AI54" s="100">
        <f>INDEX('W2'!$M$77:$R$77,MATCH($B$1,'W2'!$M$7:$R$7,0))/INDEX('W2'!$M$78:$R$78,MATCH($B$1,'W2'!$M$7:$R$7,0))*POWER(1+$C$72,AK$1)*$E$1</f>
        <v>255256.3125</v>
      </c>
      <c r="AJ54" s="55"/>
      <c r="AK54" s="55"/>
      <c r="AL54" s="55"/>
      <c r="AN54" s="55"/>
      <c r="AO54" s="100">
        <f>INDEX('W2'!$M$77:$R$77,MATCH($B$1,'W2'!$M$7:$R$7,0))/INDEX('W2'!$M$78:$R$78,MATCH($B$1,'W2'!$M$7:$R$7,0))*POWER(1+$C$72,AQ$1)*$E$1</f>
        <v>268019.12812500005</v>
      </c>
      <c r="AP54" s="55"/>
      <c r="AQ54" s="55"/>
      <c r="AR54" s="55"/>
      <c r="AT54" s="55"/>
      <c r="AU54" s="100">
        <f>INDEX('W2'!$M$77:$R$77,MATCH($B$1,'W2'!$M$7:$R$7,0))/INDEX('W2'!$M$78:$R$78,MATCH($B$1,'W2'!$M$7:$R$7,0))*POWER(1+$C$72,AW$1)*$E$1</f>
        <v>281420.08453125</v>
      </c>
      <c r="AV54" s="55"/>
      <c r="AW54" s="55"/>
      <c r="AX54" s="55"/>
      <c r="AZ54" s="55"/>
      <c r="BA54" s="100">
        <f>INDEX('W2'!$M$77:$R$77,MATCH($B$1,'W2'!$M$7:$R$7,0))/INDEX('W2'!$M$78:$R$78,MATCH($B$1,'W2'!$M$7:$R$7,0))*POWER(1+$C$72,BC$1)*$E$1</f>
        <v>295491.08875781257</v>
      </c>
      <c r="BB54" s="55"/>
      <c r="BC54" s="55"/>
      <c r="BD54" s="55"/>
      <c r="BF54" s="55"/>
      <c r="BG54" s="100">
        <f>INDEX('W2'!$M$77:$R$77,MATCH($B$1,'W2'!$M$7:$R$7,0))/INDEX('W2'!$M$78:$R$78,MATCH($B$1,'W2'!$M$7:$R$7,0))*POWER(1+$C$72,BI$1)*$E$1</f>
        <v>310265.64319570316</v>
      </c>
      <c r="BH54" s="55"/>
      <c r="BI54" s="55"/>
      <c r="BJ54" s="55"/>
      <c r="BL54" s="55"/>
      <c r="BM54" s="100">
        <f>INDEX('W2'!$M$77:$R$77,MATCH($B$1,'W2'!$M$7:$R$7,0))/INDEX('W2'!$M$78:$R$78,MATCH($B$1,'W2'!$M$7:$R$7,0))*POWER(1+$C$72,BO$1)*$E$1</f>
        <v>325778.92535548832</v>
      </c>
      <c r="BN54" s="55"/>
      <c r="BO54" s="55"/>
      <c r="BP54" s="55"/>
      <c r="BR54" s="55"/>
      <c r="BS54" s="100">
        <f>INDEX('W2'!$M$77:$R$77,MATCH($B$1,'W2'!$M$7:$R$7,0))/INDEX('W2'!$M$78:$R$78,MATCH($B$1,'W2'!$M$7:$R$7,0))*POWER(1+$C$72,BU$1)*$E$1</f>
        <v>342067.8716232627</v>
      </c>
      <c r="BT54" s="55"/>
      <c r="BU54" s="55"/>
      <c r="BV54" s="55"/>
      <c r="BX54" s="55"/>
      <c r="BY54" s="100">
        <f>INDEX('W2'!$M$77:$R$77,MATCH($B$1,'W2'!$M$7:$R$7,0))/INDEX('W2'!$M$78:$R$78,MATCH($B$1,'W2'!$M$7:$R$7,0))*POWER(1+$C$72,CA$1)*$E$1</f>
        <v>359171.2652044259</v>
      </c>
      <c r="BZ54" s="55"/>
      <c r="CA54" s="55"/>
      <c r="CB54" s="55"/>
      <c r="CD54" s="55"/>
      <c r="CE54" s="100">
        <f>INDEX('W2'!$M$77:$R$77,MATCH($B$1,'W2'!$M$7:$R$7,0))/INDEX('W2'!$M$78:$R$78,MATCH($B$1,'W2'!$M$7:$R$7,0))*POWER(1+$C$72,CG$1)*$E$1</f>
        <v>377129.82846464711</v>
      </c>
      <c r="CF54" s="55"/>
      <c r="CG54" s="55"/>
      <c r="CH54" s="55"/>
      <c r="CJ54" s="55"/>
      <c r="CK54" s="100">
        <f>INDEX('W2'!$M$77:$R$77,MATCH($B$1,'W2'!$M$7:$R$7,0))/INDEX('W2'!$M$78:$R$78,MATCH($B$1,'W2'!$M$7:$R$7,0))*POWER(1+$C$72,CM$1)*$E$1</f>
        <v>395986.31988787954</v>
      </c>
      <c r="CL54" s="55"/>
      <c r="CM54" s="55"/>
      <c r="CN54" s="55"/>
      <c r="CP54" s="55"/>
      <c r="CQ54" s="100">
        <f>INDEX('W2'!$M$77:$R$77,MATCH($B$1,'W2'!$M$7:$R$7,0))/INDEX('W2'!$M$78:$R$78,MATCH($B$1,'W2'!$M$7:$R$7,0))*POWER(1+$C$72,CS$1)*$E$1</f>
        <v>415785.63588227343</v>
      </c>
      <c r="CR54" s="55"/>
      <c r="CS54" s="55"/>
      <c r="CT54" s="55"/>
      <c r="CV54" s="55"/>
      <c r="CW54" s="100">
        <f>INDEX('W2'!$M$77:$R$77,MATCH($B$1,'W2'!$M$7:$R$7,0))/INDEX('W2'!$M$78:$R$78,MATCH($B$1,'W2'!$M$7:$R$7,0))*POWER(1+$C$72,CY$1)*$E$1</f>
        <v>436574.91767638724</v>
      </c>
      <c r="CX54" s="55"/>
      <c r="CY54" s="55"/>
      <c r="CZ54" s="55"/>
      <c r="DB54" s="55"/>
      <c r="DC54" s="100">
        <f>INDEX('W2'!$M$77:$R$77,MATCH($B$1,'W2'!$M$7:$R$7,0))/INDEX('W2'!$M$78:$R$78,MATCH($B$1,'W2'!$M$7:$R$7,0))*POWER(1+$C$72,DE$1)*$E$1</f>
        <v>458403.66356020659</v>
      </c>
      <c r="DD54" s="55"/>
      <c r="DE54" s="55"/>
      <c r="DF54" s="55"/>
      <c r="DH54" s="55"/>
      <c r="DI54" s="100">
        <f>INDEX('W2'!$M$77:$R$77,MATCH($B$1,'W2'!$M$7:$R$7,0))/INDEX('W2'!$M$78:$R$78,MATCH($B$1,'W2'!$M$7:$R$7,0))*POWER(1+$C$72,DK$1)*$E$1</f>
        <v>481323.84673821699</v>
      </c>
      <c r="DJ54" s="55"/>
      <c r="DK54" s="55"/>
      <c r="DL54" s="55"/>
      <c r="DN54" s="55"/>
      <c r="DO54" s="100">
        <f>INDEX('W2'!$M$77:$R$77,MATCH($B$1,'W2'!$M$7:$R$7,0))/INDEX('W2'!$M$78:$R$78,MATCH($B$1,'W2'!$M$7:$R$7,0))*POWER(1+$C$72,DQ$1)*$E$1</f>
        <v>505390.0390751278</v>
      </c>
      <c r="DP54" s="55"/>
      <c r="DQ54" s="55"/>
      <c r="DR54" s="55"/>
      <c r="DT54" s="55"/>
      <c r="DU54" s="100">
        <f>INDEX('W2'!$M$77:$R$77,MATCH($B$1,'W2'!$M$7:$R$7,0))/INDEX('W2'!$M$78:$R$78,MATCH($B$1,'W2'!$M$7:$R$7,0))*POWER(1+$C$72,DW$1)*$E$1</f>
        <v>530659.54102888424</v>
      </c>
      <c r="DV54" s="55"/>
      <c r="DW54" s="55"/>
      <c r="DX54" s="55"/>
      <c r="DZ54" s="55"/>
      <c r="EA54" s="100">
        <f>INDEX('W2'!$M$77:$R$77,MATCH($B$1,'W2'!$M$7:$R$7,0))/INDEX('W2'!$M$78:$R$78,MATCH($B$1,'W2'!$M$7:$R$7,0))*POWER(1+$C$72,EC$1)*$E$1</f>
        <v>557192.51808032836</v>
      </c>
      <c r="EB54" s="55"/>
      <c r="EC54" s="55"/>
      <c r="ED54" s="55"/>
      <c r="EF54" s="55"/>
      <c r="EG54" s="100">
        <f>INDEX('W2'!$M$77:$R$77,MATCH($B$1,'W2'!$M$7:$R$7,0))/INDEX('W2'!$M$78:$R$78,MATCH($B$1,'W2'!$M$7:$R$7,0))*POWER(1+$C$72,EI$1)*$E$1</f>
        <v>585052.14398434479</v>
      </c>
      <c r="EH54" s="55"/>
      <c r="EI54" s="55"/>
      <c r="EJ54" s="55"/>
      <c r="EL54" s="55"/>
      <c r="EM54" s="100">
        <f>INDEX('W2'!$M$77:$R$77,MATCH($B$1,'W2'!$M$7:$R$7,0))/INDEX('W2'!$M$78:$R$78,MATCH($B$1,'W2'!$M$7:$R$7,0))*POWER(1+$C$72,EO$1)*$E$1</f>
        <v>614304.75118356198</v>
      </c>
      <c r="EN54" s="55"/>
      <c r="EO54" s="55"/>
      <c r="EP54" s="55"/>
      <c r="ER54" s="55"/>
      <c r="ES54" s="100">
        <f>INDEX('W2'!$M$77:$R$77,MATCH($B$1,'W2'!$M$7:$R$7,0))/INDEX('W2'!$M$78:$R$78,MATCH($B$1,'W2'!$M$7:$R$7,0))*POWER(1+$C$72,EU$1)*$E$1</f>
        <v>645019.98874274024</v>
      </c>
      <c r="ET54" s="55"/>
      <c r="EU54" s="55"/>
      <c r="EV54" s="55"/>
    </row>
    <row r="55" spans="1:152" ht="30" x14ac:dyDescent="0.25">
      <c r="B55" s="56" t="s">
        <v>136</v>
      </c>
      <c r="C55" s="55" t="s">
        <v>137</v>
      </c>
      <c r="D55" s="100"/>
      <c r="E55" s="100" cm="1">
        <f t="array" ref="E55">'W2'!$L$50*$E$1
*_xlfn.SWITCH($C$1,1,1,2,1+Opt2_CPSX,3,1+Opt3_CPSX,4,1+Opt4_CPSX,5,1+Opt5_CPSX,6,1+Opt6_CPSX)
*POWER(1+$C$72,G$1)</f>
        <v>3150000</v>
      </c>
      <c r="F55" s="55"/>
      <c r="G55" s="55"/>
      <c r="H55" s="55"/>
      <c r="J55" s="100"/>
      <c r="K55" s="100" cm="1">
        <f t="array" ref="K55">'W2'!$L$50*$E$1
*_xlfn.SWITCH($C$1,1,1,2,1+Opt2_CPSX,3,1+Opt3_CPSX,4,1+Opt4_CPSX,5,1+Opt5_CPSX,6,1+Opt6_CPSX)
*POWER(1+$C$72,M$1)</f>
        <v>3150000</v>
      </c>
      <c r="L55" s="55"/>
      <c r="M55" s="55"/>
      <c r="N55" s="55"/>
      <c r="P55" s="100"/>
      <c r="Q55" s="100" cm="1">
        <f t="array" ref="Q55">'W2'!$L$50*$E$1
*_xlfn.SWITCH($C$1,1,1,2,1+Opt2_CPSX,3,1+Opt3_CPSX,4,1+Opt4_CPSX,5,1+Opt5_CPSX,6,1+Opt6_CPSX)
*POWER(1+$C$72,S$1)</f>
        <v>3307500</v>
      </c>
      <c r="R55" s="55"/>
      <c r="S55" s="55"/>
      <c r="T55" s="55"/>
      <c r="V55" s="100"/>
      <c r="W55" s="100" cm="1">
        <f t="array" ref="W55">'W2'!$L$50*$E$1
*_xlfn.SWITCH($C$1,1,1,2,1+Opt2_CPSX,3,1+Opt3_CPSX,4,1+Opt4_CPSX,5,1+Opt5_CPSX,6,1+Opt6_CPSX)
*POWER(1+$C$72,Y$1)</f>
        <v>3472875</v>
      </c>
      <c r="X55" s="55"/>
      <c r="Y55" s="55"/>
      <c r="Z55" s="55"/>
      <c r="AB55" s="100"/>
      <c r="AC55" s="100" cm="1">
        <f t="array" ref="AC55">'W2'!$L$50*$E$1
*_xlfn.SWITCH($C$1,1,1,2,1+Opt2_CPSX,3,1+Opt3_CPSX,4,1+Opt4_CPSX,5,1+Opt5_CPSX,6,1+Opt6_CPSX)
*POWER(1+$C$72,AE$1)</f>
        <v>3646518.7500000005</v>
      </c>
      <c r="AD55" s="55"/>
      <c r="AE55" s="55"/>
      <c r="AF55" s="55"/>
      <c r="AH55" s="100"/>
      <c r="AI55" s="100" cm="1">
        <f t="array" ref="AI55">'W2'!$L$50*$E$1
*_xlfn.SWITCH($C$1,1,1,2,1+Opt2_CPSX,3,1+Opt3_CPSX,4,1+Opt4_CPSX,5,1+Opt5_CPSX,6,1+Opt6_CPSX)
*POWER(1+$C$72,AK$1)</f>
        <v>3828844.6875</v>
      </c>
      <c r="AJ55" s="55"/>
      <c r="AK55" s="55"/>
      <c r="AL55" s="55"/>
      <c r="AN55" s="100"/>
      <c r="AO55" s="100" cm="1">
        <f t="array" ref="AO55">'W2'!$L$50*$E$1
*_xlfn.SWITCH($C$1,1,1,2,1+Opt2_CPSX,3,1+Opt3_CPSX,4,1+Opt4_CPSX,5,1+Opt5_CPSX,6,1+Opt6_CPSX)
*POWER(1+$C$72,AQ$1)</f>
        <v>4020286.9218750005</v>
      </c>
      <c r="AP55" s="55"/>
      <c r="AQ55" s="55"/>
      <c r="AR55" s="55"/>
      <c r="AT55" s="100"/>
      <c r="AU55" s="100" cm="1">
        <f t="array" ref="AU55">'W2'!$L$50*$E$1
*_xlfn.SWITCH($C$1,1,1,2,1+Opt2_CPSX,3,1+Opt3_CPSX,4,1+Opt4_CPSX,5,1+Opt5_CPSX,6,1+Opt6_CPSX)
*POWER(1+$C$72,AW$1)</f>
        <v>4221301.2679687496</v>
      </c>
      <c r="AV55" s="55"/>
      <c r="AW55" s="55"/>
      <c r="AX55" s="55"/>
      <c r="AZ55" s="100"/>
      <c r="BA55" s="100" cm="1">
        <f t="array" ref="BA55">'W2'!$L$50*$E$1
*_xlfn.SWITCH($C$1,1,1,2,1+Opt2_CPSX,3,1+Opt3_CPSX,4,1+Opt4_CPSX,5,1+Opt5_CPSX,6,1+Opt6_CPSX)
*POWER(1+$C$72,BC$1)</f>
        <v>4432366.3313671881</v>
      </c>
      <c r="BB55" s="55"/>
      <c r="BC55" s="55"/>
      <c r="BD55" s="55"/>
      <c r="BF55" s="100"/>
      <c r="BG55" s="100" cm="1">
        <f t="array" ref="BG55">'W2'!$L$50*$E$1
*_xlfn.SWITCH($C$1,1,1,2,1+Opt2_CPSX,3,1+Opt3_CPSX,4,1+Opt4_CPSX,5,1+Opt5_CPSX,6,1+Opt6_CPSX)
*POWER(1+$C$72,BI$1)</f>
        <v>4653984.6479355469</v>
      </c>
      <c r="BH55" s="55"/>
      <c r="BI55" s="55"/>
      <c r="BJ55" s="55"/>
      <c r="BL55" s="100"/>
      <c r="BM55" s="100" cm="1">
        <f t="array" ref="BM55">'W2'!$L$50*$E$1
*_xlfn.SWITCH($C$1,1,1,2,1+Opt2_CPSX,3,1+Opt3_CPSX,4,1+Opt4_CPSX,5,1+Opt5_CPSX,6,1+Opt6_CPSX)
*POWER(1+$C$72,BO$1)</f>
        <v>4886683.8803323247</v>
      </c>
      <c r="BN55" s="55"/>
      <c r="BO55" s="55"/>
      <c r="BP55" s="55"/>
      <c r="BR55" s="100"/>
      <c r="BS55" s="100" cm="1">
        <f t="array" ref="BS55">'W2'!$L$50*$E$1
*_xlfn.SWITCH($C$1,1,1,2,1+Opt2_CPSX,3,1+Opt3_CPSX,4,1+Opt4_CPSX,5,1+Opt5_CPSX,6,1+Opt6_CPSX)
*POWER(1+$C$72,BU$1)</f>
        <v>5131018.0743489405</v>
      </c>
      <c r="BT55" s="55"/>
      <c r="BU55" s="55"/>
      <c r="BV55" s="55"/>
      <c r="BX55" s="100"/>
      <c r="BY55" s="100" cm="1">
        <f t="array" ref="BY55">'W2'!$L$50*$E$1
*_xlfn.SWITCH($C$1,1,1,2,1+Opt2_CPSX,3,1+Opt3_CPSX,4,1+Opt4_CPSX,5,1+Opt5_CPSX,6,1+Opt6_CPSX)
*POWER(1+$C$72,CA$1)</f>
        <v>5387568.9780663885</v>
      </c>
      <c r="BZ55" s="55"/>
      <c r="CA55" s="55"/>
      <c r="CB55" s="55"/>
      <c r="CD55" s="100"/>
      <c r="CE55" s="100" cm="1">
        <f t="array" ref="CE55">'W2'!$L$50*$E$1
*_xlfn.SWITCH($C$1,1,1,2,1+Opt2_CPSX,3,1+Opt3_CPSX,4,1+Opt4_CPSX,5,1+Opt5_CPSX,6,1+Opt6_CPSX)
*POWER(1+$C$72,CG$1)</f>
        <v>5656947.426969707</v>
      </c>
      <c r="CF55" s="55"/>
      <c r="CG55" s="55"/>
      <c r="CH55" s="55"/>
      <c r="CJ55" s="100"/>
      <c r="CK55" s="100" cm="1">
        <f t="array" ref="CK55">'W2'!$L$50*$E$1
*_xlfn.SWITCH($C$1,1,1,2,1+Opt2_CPSX,3,1+Opt3_CPSX,4,1+Opt4_CPSX,5,1+Opt5_CPSX,6,1+Opt6_CPSX)
*POWER(1+$C$72,CM$1)</f>
        <v>5939794.7983181933</v>
      </c>
      <c r="CL55" s="55"/>
      <c r="CM55" s="55"/>
      <c r="CN55" s="55"/>
      <c r="CP55" s="100"/>
      <c r="CQ55" s="100" cm="1">
        <f t="array" ref="CQ55">'W2'!$L$50*$E$1
*_xlfn.SWITCH($C$1,1,1,2,1+Opt2_CPSX,3,1+Opt3_CPSX,4,1+Opt4_CPSX,5,1+Opt5_CPSX,6,1+Opt6_CPSX)
*POWER(1+$C$72,CS$1)</f>
        <v>6236784.5382341016</v>
      </c>
      <c r="CR55" s="55"/>
      <c r="CS55" s="55"/>
      <c r="CT55" s="55"/>
      <c r="CV55" s="100"/>
      <c r="CW55" s="100" cm="1">
        <f t="array" ref="CW55">'W2'!$L$50*$E$1
*_xlfn.SWITCH($C$1,1,1,2,1+Opt2_CPSX,3,1+Opt3_CPSX,4,1+Opt4_CPSX,5,1+Opt5_CPSX,6,1+Opt6_CPSX)
*POWER(1+$C$72,CY$1)</f>
        <v>6548623.7651458085</v>
      </c>
      <c r="CX55" s="55"/>
      <c r="CY55" s="55"/>
      <c r="CZ55" s="55"/>
      <c r="DB55" s="100"/>
      <c r="DC55" s="100" cm="1">
        <f t="array" ref="DC55">'W2'!$L$50*$E$1
*_xlfn.SWITCH($C$1,1,1,2,1+Opt2_CPSX,3,1+Opt3_CPSX,4,1+Opt4_CPSX,5,1+Opt5_CPSX,6,1+Opt6_CPSX)
*POWER(1+$C$72,DE$1)</f>
        <v>6876054.9534030985</v>
      </c>
      <c r="DD55" s="55"/>
      <c r="DE55" s="55"/>
      <c r="DF55" s="55"/>
      <c r="DH55" s="100"/>
      <c r="DI55" s="100" cm="1">
        <f t="array" ref="DI55">'W2'!$L$50*$E$1
*_xlfn.SWITCH($C$1,1,1,2,1+Opt2_CPSX,3,1+Opt3_CPSX,4,1+Opt4_CPSX,5,1+Opt5_CPSX,6,1+Opt6_CPSX)
*POWER(1+$C$72,DK$1)</f>
        <v>7219857.7010732545</v>
      </c>
      <c r="DJ55" s="55"/>
      <c r="DK55" s="55"/>
      <c r="DL55" s="55"/>
      <c r="DN55" s="100"/>
      <c r="DO55" s="100" cm="1">
        <f t="array" ref="DO55">'W2'!$L$50*$E$1
*_xlfn.SWITCH($C$1,1,1,2,1+Opt2_CPSX,3,1+Opt3_CPSX,4,1+Opt4_CPSX,5,1+Opt5_CPSX,6,1+Opt6_CPSX)
*POWER(1+$C$72,DQ$1)</f>
        <v>7580850.586126917</v>
      </c>
      <c r="DP55" s="55"/>
      <c r="DQ55" s="55"/>
      <c r="DR55" s="55"/>
      <c r="DT55" s="100"/>
      <c r="DU55" s="100" cm="1">
        <f t="array" ref="DU55">'W2'!$L$50*$E$1
*_xlfn.SWITCH($C$1,1,1,2,1+Opt2_CPSX,3,1+Opt3_CPSX,4,1+Opt4_CPSX,5,1+Opt5_CPSX,6,1+Opt6_CPSX)
*POWER(1+$C$72,DW$1)</f>
        <v>7959893.1154332627</v>
      </c>
      <c r="DV55" s="55"/>
      <c r="DW55" s="55"/>
      <c r="DX55" s="55"/>
      <c r="DZ55" s="100"/>
      <c r="EA55" s="100" cm="1">
        <f t="array" ref="EA55">'W2'!$L$50*$E$1
*_xlfn.SWITCH($C$1,1,1,2,1+Opt2_CPSX,3,1+Opt3_CPSX,4,1+Opt4_CPSX,5,1+Opt5_CPSX,6,1+Opt6_CPSX)
*POWER(1+$C$72,EC$1)</f>
        <v>8357887.7712049261</v>
      </c>
      <c r="EB55" s="55"/>
      <c r="EC55" s="55"/>
      <c r="ED55" s="55"/>
      <c r="EF55" s="100"/>
      <c r="EG55" s="100" cm="1">
        <f t="array" ref="EG55">'W2'!$L$50*$E$1
*_xlfn.SWITCH($C$1,1,1,2,1+Opt2_CPSX,3,1+Opt3_CPSX,4,1+Opt4_CPSX,5,1+Opt5_CPSX,6,1+Opt6_CPSX)
*POWER(1+$C$72,EI$1)</f>
        <v>8775782.1597651727</v>
      </c>
      <c r="EH55" s="55"/>
      <c r="EI55" s="55"/>
      <c r="EJ55" s="55"/>
      <c r="EL55" s="100"/>
      <c r="EM55" s="100" cm="1">
        <f t="array" ref="EM55">'W2'!$L$50*$E$1
*_xlfn.SWITCH($C$1,1,1,2,1+Opt2_CPSX,3,1+Opt3_CPSX,4,1+Opt4_CPSX,5,1+Opt5_CPSX,6,1+Opt6_CPSX)
*POWER(1+$C$72,EO$1)</f>
        <v>9214571.2677534297</v>
      </c>
      <c r="EN55" s="55"/>
      <c r="EO55" s="55"/>
      <c r="EP55" s="55"/>
      <c r="ER55" s="100"/>
      <c r="ES55" s="100" cm="1">
        <f t="array" ref="ES55">'W2'!$L$50*$E$1
*_xlfn.SWITCH($C$1,1,1,2,1+Opt2_CPSX,3,1+Opt3_CPSX,4,1+Opt4_CPSX,5,1+Opt5_CPSX,6,1+Opt6_CPSX)
*POWER(1+$C$72,EU$1)</f>
        <v>9675299.8311411031</v>
      </c>
      <c r="ET55" s="55"/>
      <c r="EU55" s="55"/>
      <c r="EV55" s="55"/>
    </row>
    <row r="56" spans="1:152" x14ac:dyDescent="0.25">
      <c r="B56" s="56" t="s">
        <v>138</v>
      </c>
      <c r="C56" s="55" t="s">
        <v>139</v>
      </c>
      <c r="D56" s="100"/>
      <c r="E56" s="100">
        <f>'W2'!$K$52</f>
        <v>15000</v>
      </c>
      <c r="F56" s="55"/>
      <c r="G56" s="55"/>
      <c r="H56" s="55"/>
      <c r="J56" s="100"/>
      <c r="K56" s="100">
        <f>'W2'!$K$52</f>
        <v>15000</v>
      </c>
      <c r="L56" s="55"/>
      <c r="M56" s="55"/>
      <c r="N56" s="55"/>
      <c r="P56" s="100"/>
      <c r="Q56" s="100">
        <f>'W2'!$K$52</f>
        <v>15000</v>
      </c>
      <c r="R56" s="55"/>
      <c r="S56" s="55"/>
      <c r="T56" s="55"/>
      <c r="V56" s="100"/>
      <c r="W56" s="100">
        <f>'W2'!$K$52</f>
        <v>15000</v>
      </c>
      <c r="X56" s="55"/>
      <c r="Y56" s="55"/>
      <c r="Z56" s="55"/>
      <c r="AB56" s="100"/>
      <c r="AC56" s="100">
        <f>'W2'!$K$52</f>
        <v>15000</v>
      </c>
      <c r="AD56" s="55"/>
      <c r="AE56" s="55"/>
      <c r="AF56" s="55"/>
      <c r="AH56" s="100"/>
      <c r="AI56" s="100">
        <f>'W2'!$K$52</f>
        <v>15000</v>
      </c>
      <c r="AJ56" s="55"/>
      <c r="AK56" s="55"/>
      <c r="AL56" s="55"/>
      <c r="AN56" s="100"/>
      <c r="AO56" s="100">
        <f>'W2'!$K$52</f>
        <v>15000</v>
      </c>
      <c r="AP56" s="55"/>
      <c r="AQ56" s="55"/>
      <c r="AR56" s="55"/>
      <c r="AT56" s="100"/>
      <c r="AU56" s="100">
        <f>'W2'!$K$52</f>
        <v>15000</v>
      </c>
      <c r="AV56" s="55"/>
      <c r="AW56" s="55"/>
      <c r="AX56" s="55"/>
      <c r="AZ56" s="100"/>
      <c r="BA56" s="100">
        <f>'W2'!$K$52</f>
        <v>15000</v>
      </c>
      <c r="BB56" s="55"/>
      <c r="BC56" s="55"/>
      <c r="BD56" s="55"/>
      <c r="BF56" s="100"/>
      <c r="BG56" s="100">
        <f>'W2'!$K$52</f>
        <v>15000</v>
      </c>
      <c r="BH56" s="55"/>
      <c r="BI56" s="55"/>
      <c r="BJ56" s="55"/>
      <c r="BL56" s="100"/>
      <c r="BM56" s="100">
        <f>'W2'!$K$52</f>
        <v>15000</v>
      </c>
      <c r="BN56" s="55"/>
      <c r="BO56" s="55"/>
      <c r="BP56" s="55"/>
      <c r="BR56" s="100"/>
      <c r="BS56" s="100">
        <f>'W2'!$K$52</f>
        <v>15000</v>
      </c>
      <c r="BT56" s="55"/>
      <c r="BU56" s="55"/>
      <c r="BV56" s="55"/>
      <c r="BX56" s="100"/>
      <c r="BY56" s="100">
        <f>'W2'!$K$52</f>
        <v>15000</v>
      </c>
      <c r="BZ56" s="55"/>
      <c r="CA56" s="55"/>
      <c r="CB56" s="55"/>
      <c r="CD56" s="100"/>
      <c r="CE56" s="100">
        <f>'W2'!$K$52</f>
        <v>15000</v>
      </c>
      <c r="CF56" s="55"/>
      <c r="CG56" s="55"/>
      <c r="CH56" s="55"/>
      <c r="CJ56" s="100"/>
      <c r="CK56" s="100">
        <f>'W2'!$K$52</f>
        <v>15000</v>
      </c>
      <c r="CL56" s="55"/>
      <c r="CM56" s="55"/>
      <c r="CN56" s="55"/>
      <c r="CP56" s="100"/>
      <c r="CQ56" s="100">
        <f>'W2'!$K$52</f>
        <v>15000</v>
      </c>
      <c r="CR56" s="55"/>
      <c r="CS56" s="55"/>
      <c r="CT56" s="55"/>
      <c r="CV56" s="100"/>
      <c r="CW56" s="100">
        <f>'W2'!$K$52</f>
        <v>15000</v>
      </c>
      <c r="CX56" s="55"/>
      <c r="CY56" s="55"/>
      <c r="CZ56" s="55"/>
      <c r="DB56" s="100"/>
      <c r="DC56" s="100">
        <f>'W2'!$K$52</f>
        <v>15000</v>
      </c>
      <c r="DD56" s="55"/>
      <c r="DE56" s="55"/>
      <c r="DF56" s="55"/>
      <c r="DH56" s="100"/>
      <c r="DI56" s="100">
        <f>'W2'!$K$52</f>
        <v>15000</v>
      </c>
      <c r="DJ56" s="55"/>
      <c r="DK56" s="55"/>
      <c r="DL56" s="55"/>
      <c r="DN56" s="100"/>
      <c r="DO56" s="100">
        <f>'W2'!$K$52</f>
        <v>15000</v>
      </c>
      <c r="DP56" s="55"/>
      <c r="DQ56" s="55"/>
      <c r="DR56" s="55"/>
      <c r="DT56" s="100"/>
      <c r="DU56" s="100">
        <f>'W2'!$K$52</f>
        <v>15000</v>
      </c>
      <c r="DV56" s="55"/>
      <c r="DW56" s="55"/>
      <c r="DX56" s="55"/>
      <c r="DZ56" s="100"/>
      <c r="EA56" s="100">
        <f>'W2'!$K$52</f>
        <v>15000</v>
      </c>
      <c r="EB56" s="55"/>
      <c r="EC56" s="55"/>
      <c r="ED56" s="55"/>
      <c r="EF56" s="100"/>
      <c r="EG56" s="100">
        <f>'W2'!$K$52</f>
        <v>15000</v>
      </c>
      <c r="EH56" s="55"/>
      <c r="EI56" s="55"/>
      <c r="EJ56" s="55"/>
      <c r="EL56" s="100"/>
      <c r="EM56" s="100">
        <f>'W2'!$K$52</f>
        <v>15000</v>
      </c>
      <c r="EN56" s="55"/>
      <c r="EO56" s="55"/>
      <c r="EP56" s="55"/>
      <c r="ER56" s="100"/>
      <c r="ES56" s="100">
        <f>'W2'!$K$52</f>
        <v>15000</v>
      </c>
      <c r="ET56" s="55"/>
      <c r="EU56" s="55"/>
      <c r="EV56" s="55"/>
    </row>
    <row r="57" spans="1:152" x14ac:dyDescent="0.25">
      <c r="B57" s="56" t="s">
        <v>525</v>
      </c>
      <c r="C57" s="55" t="s">
        <v>526</v>
      </c>
      <c r="D57" s="100"/>
      <c r="E57" s="100" cm="1">
        <f t="array" ref="E57">'W2'!$L$51*$E$1
*_xlfn.SWITCH($C$1,1,1,2,1+Opt2_CPSX,3,1+Opt3_CPSX,4,1+Opt4_CPSX,5,1+Opt5_CPSX,6,1+Opt6_CPSX)
*POWER(1+$C$72,G$1)</f>
        <v>52500</v>
      </c>
      <c r="F57" s="55"/>
      <c r="G57" s="55"/>
      <c r="H57" s="55"/>
      <c r="J57" s="100"/>
      <c r="K57" s="100" cm="1">
        <f t="array" ref="K57">'W2'!$L$51*$E$1
*_xlfn.SWITCH($C$1,1,1,2,1+Opt2_CPSX,3,1+Opt3_CPSX,4,1+Opt4_CPSX,5,1+Opt5_CPSX,6,1+Opt6_CPSX)
*POWER(1+$C$72,M$1)</f>
        <v>52500</v>
      </c>
      <c r="L57" s="55"/>
      <c r="M57" s="55"/>
      <c r="N57" s="55"/>
      <c r="P57" s="100"/>
      <c r="Q57" s="100" cm="1">
        <f t="array" ref="Q57">'W2'!$L$51*$E$1
*_xlfn.SWITCH($C$1,1,1,2,1+Opt2_CPSX,3,1+Opt3_CPSX,4,1+Opt4_CPSX,5,1+Opt5_CPSX,6,1+Opt6_CPSX)
*POWER(1+$C$72,S$1)</f>
        <v>55125</v>
      </c>
      <c r="R57" s="55"/>
      <c r="S57" s="55"/>
      <c r="T57" s="55"/>
      <c r="V57" s="100"/>
      <c r="W57" s="100" cm="1">
        <f t="array" ref="W57">'W2'!$L$51*$E$1
*_xlfn.SWITCH($C$1,1,1,2,1+Opt2_CPSX,3,1+Opt3_CPSX,4,1+Opt4_CPSX,5,1+Opt5_CPSX,6,1+Opt6_CPSX)
*POWER(1+$C$72,Y$1)</f>
        <v>57881.25</v>
      </c>
      <c r="X57" s="55"/>
      <c r="Y57" s="55"/>
      <c r="Z57" s="55"/>
      <c r="AB57" s="100"/>
      <c r="AC57" s="100" cm="1">
        <f t="array" ref="AC57">'W2'!$L$51*$E$1
*_xlfn.SWITCH($C$1,1,1,2,1+Opt2_CPSX,3,1+Opt3_CPSX,4,1+Opt4_CPSX,5,1+Opt5_CPSX,6,1+Opt6_CPSX)
*POWER(1+$C$72,AE$1)</f>
        <v>60775.312500000007</v>
      </c>
      <c r="AD57" s="55"/>
      <c r="AE57" s="55"/>
      <c r="AF57" s="55"/>
      <c r="AH57" s="100"/>
      <c r="AI57" s="100" cm="1">
        <f t="array" ref="AI57">'W2'!$L$51*$E$1
*_xlfn.SWITCH($C$1,1,1,2,1+Opt2_CPSX,3,1+Opt3_CPSX,4,1+Opt4_CPSX,5,1+Opt5_CPSX,6,1+Opt6_CPSX)
*POWER(1+$C$72,AK$1)</f>
        <v>63814.078125</v>
      </c>
      <c r="AJ57" s="55"/>
      <c r="AK57" s="55"/>
      <c r="AL57" s="55"/>
      <c r="AN57" s="100"/>
      <c r="AO57" s="100" cm="1">
        <f t="array" ref="AO57">'W2'!$L$51*$E$1
*_xlfn.SWITCH($C$1,1,1,2,1+Opt2_CPSX,3,1+Opt3_CPSX,4,1+Opt4_CPSX,5,1+Opt5_CPSX,6,1+Opt6_CPSX)
*POWER(1+$C$72,AQ$1)</f>
        <v>67004.782031250012</v>
      </c>
      <c r="AP57" s="55"/>
      <c r="AQ57" s="55"/>
      <c r="AR57" s="55"/>
      <c r="AT57" s="100"/>
      <c r="AU57" s="100" cm="1">
        <f t="array" ref="AU57">'W2'!$L$51*$E$1
*_xlfn.SWITCH($C$1,1,1,2,1+Opt2_CPSX,3,1+Opt3_CPSX,4,1+Opt4_CPSX,5,1+Opt5_CPSX,6,1+Opt6_CPSX)
*POWER(1+$C$72,AW$1)</f>
        <v>70355.021132812501</v>
      </c>
      <c r="AV57" s="55"/>
      <c r="AW57" s="55"/>
      <c r="AX57" s="55"/>
      <c r="AZ57" s="100"/>
      <c r="BA57" s="100" cm="1">
        <f t="array" ref="BA57">'W2'!$L$51*$E$1
*_xlfn.SWITCH($C$1,1,1,2,1+Opt2_CPSX,3,1+Opt3_CPSX,4,1+Opt4_CPSX,5,1+Opt5_CPSX,6,1+Opt6_CPSX)
*POWER(1+$C$72,BC$1)</f>
        <v>73872.772189453142</v>
      </c>
      <c r="BB57" s="55"/>
      <c r="BC57" s="55"/>
      <c r="BD57" s="55"/>
      <c r="BF57" s="100"/>
      <c r="BG57" s="100" cm="1">
        <f t="array" ref="BG57">'W2'!$L$51*$E$1
*_xlfn.SWITCH($C$1,1,1,2,1+Opt2_CPSX,3,1+Opt3_CPSX,4,1+Opt4_CPSX,5,1+Opt5_CPSX,6,1+Opt6_CPSX)
*POWER(1+$C$72,BI$1)</f>
        <v>77566.41079892579</v>
      </c>
      <c r="BH57" s="55"/>
      <c r="BI57" s="55"/>
      <c r="BJ57" s="55"/>
      <c r="BL57" s="100"/>
      <c r="BM57" s="100" cm="1">
        <f t="array" ref="BM57">'W2'!$L$51*$E$1
*_xlfn.SWITCH($C$1,1,1,2,1+Opt2_CPSX,3,1+Opt3_CPSX,4,1+Opt4_CPSX,5,1+Opt5_CPSX,6,1+Opt6_CPSX)
*POWER(1+$C$72,BO$1)</f>
        <v>81444.73133887208</v>
      </c>
      <c r="BN57" s="55"/>
      <c r="BO57" s="55"/>
      <c r="BP57" s="55"/>
      <c r="BR57" s="100"/>
      <c r="BS57" s="100" cm="1">
        <f t="array" ref="BS57">'W2'!$L$51*$E$1
*_xlfn.SWITCH($C$1,1,1,2,1+Opt2_CPSX,3,1+Opt3_CPSX,4,1+Opt4_CPSX,5,1+Opt5_CPSX,6,1+Opt6_CPSX)
*POWER(1+$C$72,BU$1)</f>
        <v>85516.967905815676</v>
      </c>
      <c r="BT57" s="55"/>
      <c r="BU57" s="55"/>
      <c r="BV57" s="55"/>
      <c r="BX57" s="100"/>
      <c r="BY57" s="100" cm="1">
        <f t="array" ref="BY57">'W2'!$L$51*$E$1
*_xlfn.SWITCH($C$1,1,1,2,1+Opt2_CPSX,3,1+Opt3_CPSX,4,1+Opt4_CPSX,5,1+Opt5_CPSX,6,1+Opt6_CPSX)
*POWER(1+$C$72,CA$1)</f>
        <v>89792.816301106475</v>
      </c>
      <c r="BZ57" s="55"/>
      <c r="CA57" s="55"/>
      <c r="CB57" s="55"/>
      <c r="CD57" s="100"/>
      <c r="CE57" s="100" cm="1">
        <f t="array" ref="CE57">'W2'!$L$51*$E$1
*_xlfn.SWITCH($C$1,1,1,2,1+Opt2_CPSX,3,1+Opt3_CPSX,4,1+Opt4_CPSX,5,1+Opt5_CPSX,6,1+Opt6_CPSX)
*POWER(1+$C$72,CG$1)</f>
        <v>94282.457116161779</v>
      </c>
      <c r="CF57" s="55"/>
      <c r="CG57" s="55"/>
      <c r="CH57" s="55"/>
      <c r="CJ57" s="100"/>
      <c r="CK57" s="100" cm="1">
        <f t="array" ref="CK57">'W2'!$L$51*$E$1
*_xlfn.SWITCH($C$1,1,1,2,1+Opt2_CPSX,3,1+Opt3_CPSX,4,1+Opt4_CPSX,5,1+Opt5_CPSX,6,1+Opt6_CPSX)
*POWER(1+$C$72,CM$1)</f>
        <v>98996.579971969884</v>
      </c>
      <c r="CL57" s="55"/>
      <c r="CM57" s="55"/>
      <c r="CN57" s="55"/>
      <c r="CP57" s="100"/>
      <c r="CQ57" s="100" cm="1">
        <f t="array" ref="CQ57">'W2'!$L$51*$E$1
*_xlfn.SWITCH($C$1,1,1,2,1+Opt2_CPSX,3,1+Opt3_CPSX,4,1+Opt4_CPSX,5,1+Opt5_CPSX,6,1+Opt6_CPSX)
*POWER(1+$C$72,CS$1)</f>
        <v>103946.40897056836</v>
      </c>
      <c r="CR57" s="55"/>
      <c r="CS57" s="55"/>
      <c r="CT57" s="55"/>
      <c r="CV57" s="100"/>
      <c r="CW57" s="100" cm="1">
        <f t="array" ref="CW57">'W2'!$L$51*$E$1
*_xlfn.SWITCH($C$1,1,1,2,1+Opt2_CPSX,3,1+Opt3_CPSX,4,1+Opt4_CPSX,5,1+Opt5_CPSX,6,1+Opt6_CPSX)
*POWER(1+$C$72,CY$1)</f>
        <v>109143.72941909681</v>
      </c>
      <c r="CX57" s="55"/>
      <c r="CY57" s="55"/>
      <c r="CZ57" s="55"/>
      <c r="DB57" s="100"/>
      <c r="DC57" s="100" cm="1">
        <f t="array" ref="DC57">'W2'!$L$51*$E$1
*_xlfn.SWITCH($C$1,1,1,2,1+Opt2_CPSX,3,1+Opt3_CPSX,4,1+Opt4_CPSX,5,1+Opt5_CPSX,6,1+Opt6_CPSX)
*POWER(1+$C$72,DE$1)</f>
        <v>114600.91589005165</v>
      </c>
      <c r="DD57" s="55"/>
      <c r="DE57" s="55"/>
      <c r="DF57" s="55"/>
      <c r="DH57" s="100"/>
      <c r="DI57" s="100" cm="1">
        <f t="array" ref="DI57">'W2'!$L$51*$E$1
*_xlfn.SWITCH($C$1,1,1,2,1+Opt2_CPSX,3,1+Opt3_CPSX,4,1+Opt4_CPSX,5,1+Opt5_CPSX,6,1+Opt6_CPSX)
*POWER(1+$C$72,DK$1)</f>
        <v>120330.96168455425</v>
      </c>
      <c r="DJ57" s="55"/>
      <c r="DK57" s="55"/>
      <c r="DL57" s="55"/>
      <c r="DN57" s="100"/>
      <c r="DO57" s="100" cm="1">
        <f t="array" ref="DO57">'W2'!$L$51*$E$1
*_xlfn.SWITCH($C$1,1,1,2,1+Opt2_CPSX,3,1+Opt3_CPSX,4,1+Opt4_CPSX,5,1+Opt5_CPSX,6,1+Opt6_CPSX)
*POWER(1+$C$72,DQ$1)</f>
        <v>126347.50976878195</v>
      </c>
      <c r="DP57" s="55"/>
      <c r="DQ57" s="55"/>
      <c r="DR57" s="55"/>
      <c r="DT57" s="100"/>
      <c r="DU57" s="100" cm="1">
        <f t="array" ref="DU57">'W2'!$L$51*$E$1
*_xlfn.SWITCH($C$1,1,1,2,1+Opt2_CPSX,3,1+Opt3_CPSX,4,1+Opt4_CPSX,5,1+Opt5_CPSX,6,1+Opt6_CPSX)
*POWER(1+$C$72,DW$1)</f>
        <v>132664.88525722106</v>
      </c>
      <c r="DV57" s="55"/>
      <c r="DW57" s="55"/>
      <c r="DX57" s="55"/>
      <c r="DZ57" s="100"/>
      <c r="EA57" s="100" cm="1">
        <f t="array" ref="EA57">'W2'!$L$51*$E$1
*_xlfn.SWITCH($C$1,1,1,2,1+Opt2_CPSX,3,1+Opt3_CPSX,4,1+Opt4_CPSX,5,1+Opt5_CPSX,6,1+Opt6_CPSX)
*POWER(1+$C$72,EC$1)</f>
        <v>139298.12952008209</v>
      </c>
      <c r="EB57" s="55"/>
      <c r="EC57" s="55"/>
      <c r="ED57" s="55"/>
      <c r="EF57" s="100"/>
      <c r="EG57" s="100" cm="1">
        <f t="array" ref="EG57">'W2'!$L$51*$E$1
*_xlfn.SWITCH($C$1,1,1,2,1+Opt2_CPSX,3,1+Opt3_CPSX,4,1+Opt4_CPSX,5,1+Opt5_CPSX,6,1+Opt6_CPSX)
*POWER(1+$C$72,EI$1)</f>
        <v>146263.0359960862</v>
      </c>
      <c r="EH57" s="55"/>
      <c r="EI57" s="55"/>
      <c r="EJ57" s="55"/>
      <c r="EL57" s="100"/>
      <c r="EM57" s="100" cm="1">
        <f t="array" ref="EM57">'W2'!$L$51*$E$1
*_xlfn.SWITCH($C$1,1,1,2,1+Opt2_CPSX,3,1+Opt3_CPSX,4,1+Opt4_CPSX,5,1+Opt5_CPSX,6,1+Opt6_CPSX)
*POWER(1+$C$72,EO$1)</f>
        <v>153576.1877958905</v>
      </c>
      <c r="EN57" s="55"/>
      <c r="EO57" s="55"/>
      <c r="EP57" s="55"/>
      <c r="ER57" s="100"/>
      <c r="ES57" s="100" cm="1">
        <f t="array" ref="ES57">'W2'!$L$51*$E$1
*_xlfn.SWITCH($C$1,1,1,2,1+Opt2_CPSX,3,1+Opt3_CPSX,4,1+Opt4_CPSX,5,1+Opt5_CPSX,6,1+Opt6_CPSX)
*POWER(1+$C$72,EU$1)</f>
        <v>161254.99718568506</v>
      </c>
      <c r="ET57" s="55"/>
      <c r="EU57" s="55"/>
      <c r="EV57" s="55"/>
    </row>
    <row r="58" spans="1:152" x14ac:dyDescent="0.25">
      <c r="B58" s="56" t="s">
        <v>111</v>
      </c>
      <c r="C58" s="55"/>
      <c r="D58" s="55"/>
      <c r="E58" s="55"/>
      <c r="F58" s="55"/>
      <c r="G58" s="55"/>
      <c r="H58" s="55"/>
      <c r="J58" s="55"/>
      <c r="K58" s="55"/>
      <c r="L58" s="55"/>
      <c r="M58" s="55"/>
      <c r="N58" s="55"/>
      <c r="P58" s="55"/>
      <c r="Q58" s="55"/>
      <c r="R58" s="55"/>
      <c r="S58" s="55"/>
      <c r="T58" s="55"/>
      <c r="V58" s="55"/>
      <c r="W58" s="55"/>
      <c r="X58" s="55"/>
      <c r="Y58" s="55"/>
      <c r="Z58" s="55"/>
      <c r="AB58" s="55"/>
      <c r="AC58" s="55"/>
      <c r="AD58" s="55"/>
      <c r="AE58" s="55"/>
      <c r="AF58" s="55"/>
      <c r="AH58" s="55"/>
      <c r="AI58" s="55"/>
      <c r="AJ58" s="55"/>
      <c r="AK58" s="55"/>
      <c r="AL58" s="55"/>
      <c r="AN58" s="55"/>
      <c r="AO58" s="55"/>
      <c r="AP58" s="55"/>
      <c r="AQ58" s="55"/>
      <c r="AR58" s="55"/>
      <c r="AT58" s="55"/>
      <c r="AU58" s="55"/>
      <c r="AV58" s="55"/>
      <c r="AW58" s="55"/>
      <c r="AX58" s="55"/>
      <c r="AZ58" s="55"/>
      <c r="BA58" s="55"/>
      <c r="BB58" s="55"/>
      <c r="BC58" s="55"/>
      <c r="BD58" s="55"/>
      <c r="BF58" s="55"/>
      <c r="BG58" s="55"/>
      <c r="BH58" s="55"/>
      <c r="BI58" s="55"/>
      <c r="BJ58" s="55"/>
      <c r="BL58" s="55"/>
      <c r="BM58" s="55"/>
      <c r="BN58" s="55"/>
      <c r="BO58" s="55"/>
      <c r="BP58" s="55"/>
      <c r="BR58" s="55"/>
      <c r="BS58" s="55"/>
      <c r="BT58" s="55"/>
      <c r="BU58" s="55"/>
      <c r="BV58" s="55"/>
      <c r="BX58" s="55"/>
      <c r="BY58" s="55"/>
      <c r="BZ58" s="55"/>
      <c r="CA58" s="55"/>
      <c r="CB58" s="55"/>
      <c r="CD58" s="55"/>
      <c r="CE58" s="55"/>
      <c r="CF58" s="55"/>
      <c r="CG58" s="55"/>
      <c r="CH58" s="55"/>
      <c r="CJ58" s="55"/>
      <c r="CK58" s="55"/>
      <c r="CL58" s="55"/>
      <c r="CM58" s="55"/>
      <c r="CN58" s="55"/>
      <c r="CP58" s="55"/>
      <c r="CQ58" s="55"/>
      <c r="CR58" s="55"/>
      <c r="CS58" s="55"/>
      <c r="CT58" s="55"/>
      <c r="CV58" s="55"/>
      <c r="CW58" s="55"/>
      <c r="CX58" s="55"/>
      <c r="CY58" s="55"/>
      <c r="CZ58" s="55"/>
      <c r="DB58" s="55"/>
      <c r="DC58" s="55"/>
      <c r="DD58" s="55"/>
      <c r="DE58" s="55"/>
      <c r="DF58" s="55"/>
      <c r="DH58" s="55"/>
      <c r="DI58" s="55"/>
      <c r="DJ58" s="55"/>
      <c r="DK58" s="55"/>
      <c r="DL58" s="55"/>
      <c r="DN58" s="55"/>
      <c r="DO58" s="55"/>
      <c r="DP58" s="55"/>
      <c r="DQ58" s="55"/>
      <c r="DR58" s="55"/>
      <c r="DT58" s="55"/>
      <c r="DU58" s="55"/>
      <c r="DV58" s="55"/>
      <c r="DW58" s="55"/>
      <c r="DX58" s="55"/>
      <c r="DZ58" s="55"/>
      <c r="EA58" s="55"/>
      <c r="EB58" s="55"/>
      <c r="EC58" s="55"/>
      <c r="ED58" s="55"/>
      <c r="EF58" s="55"/>
      <c r="EG58" s="55"/>
      <c r="EH58" s="55"/>
      <c r="EI58" s="55"/>
      <c r="EJ58" s="55"/>
      <c r="EL58" s="55"/>
      <c r="EM58" s="55"/>
      <c r="EN58" s="55"/>
      <c r="EO58" s="55"/>
      <c r="EP58" s="55"/>
      <c r="ER58" s="55"/>
      <c r="ES58" s="55"/>
      <c r="ET58" s="55"/>
      <c r="EU58" s="55"/>
      <c r="EV58" s="55"/>
    </row>
    <row r="59" spans="1:152" x14ac:dyDescent="0.25">
      <c r="B59" s="53" t="s">
        <v>140</v>
      </c>
      <c r="C59" s="54"/>
      <c r="D59" s="54"/>
      <c r="E59" s="54"/>
      <c r="F59" s="54"/>
      <c r="G59" s="54"/>
      <c r="H59" s="54"/>
      <c r="J59" s="54"/>
      <c r="K59" s="54"/>
      <c r="L59" s="54"/>
      <c r="M59" s="54"/>
      <c r="N59" s="54"/>
      <c r="P59" s="54"/>
      <c r="Q59" s="54"/>
      <c r="R59" s="54"/>
      <c r="S59" s="54"/>
      <c r="T59" s="54"/>
      <c r="V59" s="54"/>
      <c r="W59" s="54"/>
      <c r="X59" s="54"/>
      <c r="Y59" s="54"/>
      <c r="Z59" s="54"/>
      <c r="AB59" s="54"/>
      <c r="AC59" s="54"/>
      <c r="AD59" s="54"/>
      <c r="AE59" s="54"/>
      <c r="AF59" s="54"/>
      <c r="AH59" s="54"/>
      <c r="AI59" s="54"/>
      <c r="AJ59" s="54"/>
      <c r="AK59" s="54"/>
      <c r="AL59" s="54"/>
      <c r="AN59" s="54"/>
      <c r="AO59" s="54"/>
      <c r="AP59" s="54"/>
      <c r="AQ59" s="54"/>
      <c r="AR59" s="54"/>
      <c r="AT59" s="54"/>
      <c r="AU59" s="54"/>
      <c r="AV59" s="54"/>
      <c r="AW59" s="54"/>
      <c r="AX59" s="54"/>
      <c r="AZ59" s="54"/>
      <c r="BA59" s="54"/>
      <c r="BB59" s="54"/>
      <c r="BC59" s="54"/>
      <c r="BD59" s="54"/>
      <c r="BF59" s="54"/>
      <c r="BG59" s="54"/>
      <c r="BH59" s="54"/>
      <c r="BI59" s="54"/>
      <c r="BJ59" s="54"/>
      <c r="BL59" s="54"/>
      <c r="BM59" s="54"/>
      <c r="BN59" s="54"/>
      <c r="BO59" s="54"/>
      <c r="BP59" s="54"/>
      <c r="BR59" s="54"/>
      <c r="BS59" s="54"/>
      <c r="BT59" s="54"/>
      <c r="BU59" s="54"/>
      <c r="BV59" s="54"/>
      <c r="BX59" s="54"/>
      <c r="BY59" s="54"/>
      <c r="BZ59" s="54"/>
      <c r="CA59" s="54"/>
      <c r="CB59" s="54"/>
      <c r="CD59" s="54"/>
      <c r="CE59" s="54"/>
      <c r="CF59" s="54"/>
      <c r="CG59" s="54"/>
      <c r="CH59" s="54"/>
      <c r="CJ59" s="54"/>
      <c r="CK59" s="54"/>
      <c r="CL59" s="54"/>
      <c r="CM59" s="54"/>
      <c r="CN59" s="54"/>
      <c r="CP59" s="54"/>
      <c r="CQ59" s="54"/>
      <c r="CR59" s="54"/>
      <c r="CS59" s="54"/>
      <c r="CT59" s="54"/>
      <c r="CV59" s="54"/>
      <c r="CW59" s="54"/>
      <c r="CX59" s="54"/>
      <c r="CY59" s="54"/>
      <c r="CZ59" s="54"/>
      <c r="DB59" s="54"/>
      <c r="DC59" s="54"/>
      <c r="DD59" s="54"/>
      <c r="DE59" s="54"/>
      <c r="DF59" s="54"/>
      <c r="DH59" s="54"/>
      <c r="DI59" s="54"/>
      <c r="DJ59" s="54"/>
      <c r="DK59" s="54"/>
      <c r="DL59" s="54"/>
      <c r="DN59" s="54"/>
      <c r="DO59" s="54"/>
      <c r="DP59" s="54"/>
      <c r="DQ59" s="54"/>
      <c r="DR59" s="54"/>
      <c r="DT59" s="54"/>
      <c r="DU59" s="54"/>
      <c r="DV59" s="54"/>
      <c r="DW59" s="54"/>
      <c r="DX59" s="54"/>
      <c r="DZ59" s="54"/>
      <c r="EA59" s="54"/>
      <c r="EB59" s="54"/>
      <c r="EC59" s="54"/>
      <c r="ED59" s="54"/>
      <c r="EF59" s="54"/>
      <c r="EG59" s="54"/>
      <c r="EH59" s="54"/>
      <c r="EI59" s="54"/>
      <c r="EJ59" s="54"/>
      <c r="EL59" s="54"/>
      <c r="EM59" s="54"/>
      <c r="EN59" s="54"/>
      <c r="EO59" s="54"/>
      <c r="EP59" s="54"/>
      <c r="ER59" s="54"/>
      <c r="ES59" s="54"/>
      <c r="ET59" s="54"/>
      <c r="EU59" s="54"/>
      <c r="EV59" s="54"/>
    </row>
    <row r="60" spans="1:152" x14ac:dyDescent="0.25">
      <c r="B60" s="56" t="s">
        <v>141</v>
      </c>
      <c r="C60" s="55" t="s">
        <v>129</v>
      </c>
      <c r="D60" s="55"/>
      <c r="E60" s="100" cm="1">
        <f t="array" ref="E60">IFERROR(SUMPRODUCT('W2'!$M$60:$R$61*'W2'!$M$64:$R$65*('W2'!$M$7:$R$7='W6 - Operating cost'!$B$1))/E61*POWER(1+$C$72,G$1)*$E$1,0)</f>
        <v>36520.846153846156</v>
      </c>
      <c r="F60" s="100">
        <f>E61*D30/(1-D25)*E60/(1/('Cover Page'!$F$25/1000))</f>
        <v>52702771.461120002</v>
      </c>
      <c r="G60" s="100">
        <f>F60*12</f>
        <v>632433257.53343999</v>
      </c>
      <c r="H60" s="55"/>
      <c r="J60" s="55"/>
      <c r="K60" s="100" cm="1">
        <f t="array" ref="K60">IFERROR(SUMPRODUCT('W2'!$M$60:$R$61*'W2'!$M$64:$R$65*('W2'!$M$7:$R$7='W6 - Operating cost'!$B$1))/K61*POWER(1+$C$72,M$1)*$E$1,0)</f>
        <v>36520.846153846156</v>
      </c>
      <c r="L60" s="100">
        <f>K61*J30/(1-J25)*K60/(1/('Cover Page'!$F$25/1000))</f>
        <v>73783880.045568004</v>
      </c>
      <c r="M60" s="100">
        <f>L60*12</f>
        <v>885406560.54681611</v>
      </c>
      <c r="N60" s="55"/>
      <c r="P60" s="55"/>
      <c r="Q60" s="100" cm="1">
        <f t="array" ref="Q60">IFERROR(SUMPRODUCT('W2'!$M$60:$R$61*'W2'!$M$64:$R$65*('W2'!$M$7:$R$7='W6 - Operating cost'!$B$1))/Q61*POWER(1+$C$72,S$1)*$E$1,0)</f>
        <v>38346.888461538467</v>
      </c>
      <c r="R60" s="100">
        <f>Q61*P30/(1-P25)*Q60/(1/('Cover Page'!$F$25/1000))</f>
        <v>110675820.06835201</v>
      </c>
      <c r="S60" s="100">
        <f t="shared" ref="S60" si="731">R60*12</f>
        <v>1328109840.8202243</v>
      </c>
      <c r="T60" s="55"/>
      <c r="V60" s="55"/>
      <c r="W60" s="100" cm="1">
        <f t="array" ref="W60">IFERROR(SUMPRODUCT('W2'!$M$60:$R$61*'W2'!$M$64:$R$65*('W2'!$M$7:$R$7='W6 - Operating cost'!$B$1))/W61*POWER(1+$C$72,Y$1)*$E$1,0)</f>
        <v>40264.232884615391</v>
      </c>
      <c r="X60" s="100">
        <f>W61*V30/(1-V25)*W60/(1/('Cover Page'!$F$25/1000))</f>
        <v>116209611.07176962</v>
      </c>
      <c r="Y60" s="100">
        <f t="shared" ref="Y60" si="732">X60*12</f>
        <v>1394515332.8612356</v>
      </c>
      <c r="Z60" s="55"/>
      <c r="AB60" s="55"/>
      <c r="AC60" s="100" cm="1">
        <f t="array" ref="AC60">IFERROR(SUMPRODUCT('W2'!$M$60:$R$61*'W2'!$M$64:$R$65*('W2'!$M$7:$R$7='W6 - Operating cost'!$B$1))/AC61*POWER(1+$C$72,AE$1)*$E$1,0)</f>
        <v>42277.444528846157</v>
      </c>
      <c r="AD60" s="100">
        <f>AC61*AB30/(1-AB25)*AC60/(1/('Cover Page'!$F$25/1000))</f>
        <v>122020091.62535809</v>
      </c>
      <c r="AE60" s="100">
        <f t="shared" ref="AE60" si="733">AD60*12</f>
        <v>1464241099.504297</v>
      </c>
      <c r="AF60" s="55"/>
      <c r="AH60" s="55"/>
      <c r="AI60" s="100" cm="1">
        <f t="array" ref="AI60">IFERROR(SUMPRODUCT('W2'!$M$60:$R$61*'W2'!$M$64:$R$65*('W2'!$M$7:$R$7='W6 - Operating cost'!$B$1))/AI61*POWER(1+$C$72,AK$1)*$E$1,0)</f>
        <v>44391.316755288462</v>
      </c>
      <c r="AJ60" s="100">
        <f>AI61*AH30/(1-AH25)*AI60/(1/('Cover Page'!$F$25/1000))</f>
        <v>128121096.20662598</v>
      </c>
      <c r="AK60" s="100">
        <f t="shared" ref="AK60" si="734">AJ60*12</f>
        <v>1537453154.4795117</v>
      </c>
      <c r="AL60" s="55"/>
      <c r="AN60" s="55"/>
      <c r="AO60" s="100" cm="1">
        <f t="array" ref="AO60">IFERROR(SUMPRODUCT('W2'!$M$60:$R$61*'W2'!$M$64:$R$65*('W2'!$M$7:$R$7='W6 - Operating cost'!$B$1))/AO61*POWER(1+$C$72,AQ$1)*$E$1,0)</f>
        <v>46610.882593052891</v>
      </c>
      <c r="AP60" s="100">
        <f>AO61*AN30/(1-AN25)*AO60/(1/('Cover Page'!$F$25/1000))</f>
        <v>134527151.01695731</v>
      </c>
      <c r="AQ60" s="100">
        <f t="shared" ref="AQ60" si="735">AP60*12</f>
        <v>1614325812.2034879</v>
      </c>
      <c r="AR60" s="55"/>
      <c r="AT60" s="55"/>
      <c r="AU60" s="100" cm="1">
        <f t="array" ref="AU60">IFERROR(SUMPRODUCT('W2'!$M$60:$R$61*'W2'!$M$64:$R$65*('W2'!$M$7:$R$7='W6 - Operating cost'!$B$1))/AU61*POWER(1+$C$72,AW$1)*$E$1,0)</f>
        <v>48941.426722705532</v>
      </c>
      <c r="AV60" s="100">
        <f>AU61*AT30/(1-AT25)*AU60/(1/('Cover Page'!$F$25/1000))</f>
        <v>141253508.56780517</v>
      </c>
      <c r="AW60" s="100">
        <f t="shared" ref="AW60" si="736">AV60*12</f>
        <v>1695042102.8136621</v>
      </c>
      <c r="AX60" s="55"/>
      <c r="AZ60" s="55"/>
      <c r="BA60" s="100" cm="1">
        <f t="array" ref="BA60">IFERROR(SUMPRODUCT('W2'!$M$60:$R$61*'W2'!$M$64:$R$65*('W2'!$M$7:$R$7='W6 - Operating cost'!$B$1))/BA61*POWER(1+$C$72,BC$1)*$E$1,0)</f>
        <v>51388.498058840814</v>
      </c>
      <c r="BB60" s="100">
        <f>BA61*AZ30/(1-AZ25)*BA60/(1/('Cover Page'!$F$25/1000))</f>
        <v>148316183.99619544</v>
      </c>
      <c r="BC60" s="100">
        <f t="shared" ref="BC60" si="737">BB60*12</f>
        <v>1779794207.9543452</v>
      </c>
      <c r="BD60" s="55"/>
      <c r="BF60" s="55"/>
      <c r="BG60" s="100" cm="1">
        <f t="array" ref="BG60">IFERROR(SUMPRODUCT('W2'!$M$60:$R$61*'W2'!$M$64:$R$65*('W2'!$M$7:$R$7='W6 - Operating cost'!$B$1))/BG61*POWER(1+$C$72,BI$1)*$E$1,0)</f>
        <v>53957.922961782853</v>
      </c>
      <c r="BH60" s="100">
        <f>BG61*BF30/(1-BF25)*BG60/(1/('Cover Page'!$F$25/1000))</f>
        <v>155731993.1960052</v>
      </c>
      <c r="BI60" s="100">
        <f t="shared" ref="BI60" si="738">BH60*12</f>
        <v>1868783918.3520622</v>
      </c>
      <c r="BJ60" s="55"/>
      <c r="BL60" s="55"/>
      <c r="BM60" s="100" cm="1">
        <f t="array" ref="BM60">IFERROR(SUMPRODUCT('W2'!$M$60:$R$61*'W2'!$M$64:$R$65*('W2'!$M$7:$R$7='W6 - Operating cost'!$B$1))/BM61*POWER(1+$C$72,BO$1)*$E$1,0)</f>
        <v>56655.819109871998</v>
      </c>
      <c r="BN60" s="100">
        <f>BM61*BL30/(1-BL25)*BM60/(1/('Cover Page'!$F$25/1000))</f>
        <v>163518592.85580546</v>
      </c>
      <c r="BO60" s="100">
        <f t="shared" ref="BO60" si="739">BN60*12</f>
        <v>1962223114.2696655</v>
      </c>
      <c r="BP60" s="55"/>
      <c r="BR60" s="55"/>
      <c r="BS60" s="100" cm="1">
        <f t="array" ref="BS60">IFERROR(SUMPRODUCT('W2'!$M$60:$R$61*'W2'!$M$64:$R$65*('W2'!$M$7:$R$7='W6 - Operating cost'!$B$1))/BS61*POWER(1+$C$72,BU$1)*$E$1,0)</f>
        <v>59488.610065365596</v>
      </c>
      <c r="BT60" s="100">
        <f>BS61*BR30/(1-BR25)*BS60/(1/('Cover Page'!$F$25/1000))</f>
        <v>171694522.49859574</v>
      </c>
      <c r="BU60" s="100">
        <f t="shared" ref="BU60" si="740">BT60*12</f>
        <v>2060334269.9831491</v>
      </c>
      <c r="BV60" s="55"/>
      <c r="BX60" s="55"/>
      <c r="BY60" s="100" cm="1">
        <f t="array" ref="BY60">IFERROR(SUMPRODUCT('W2'!$M$60:$R$61*'W2'!$M$64:$R$65*('W2'!$M$7:$R$7='W6 - Operating cost'!$B$1))/BY61*POWER(1+$C$72,CA$1)*$E$1,0)</f>
        <v>62463.040568633878</v>
      </c>
      <c r="BZ60" s="100">
        <f>BY61*BX30/(1-BX25)*BY60/(1/('Cover Page'!$F$25/1000))</f>
        <v>180279248.62352553</v>
      </c>
      <c r="CA60" s="100">
        <f t="shared" ref="CA60" si="741">BZ60*12</f>
        <v>2163350983.4823065</v>
      </c>
      <c r="CB60" s="55"/>
      <c r="CD60" s="55"/>
      <c r="CE60" s="100" cm="1">
        <f t="array" ref="CE60">IFERROR(SUMPRODUCT('W2'!$M$60:$R$61*'W2'!$M$64:$R$65*('W2'!$M$7:$R$7='W6 - Operating cost'!$B$1))/CE61*POWER(1+$C$72,CG$1)*$E$1,0)</f>
        <v>65586.192597065572</v>
      </c>
      <c r="CF60" s="100">
        <f>CE61*CD30/(1-CD25)*CE60/(1/('Cover Page'!$F$25/1000))</f>
        <v>189293211.05470181</v>
      </c>
      <c r="CG60" s="100">
        <f t="shared" ref="CG60" si="742">CF60*12</f>
        <v>2271518532.6564217</v>
      </c>
      <c r="CH60" s="55"/>
      <c r="CJ60" s="55"/>
      <c r="CK60" s="100" cm="1">
        <f t="array" ref="CK60">IFERROR(SUMPRODUCT('W2'!$M$60:$R$61*'W2'!$M$64:$R$65*('W2'!$M$7:$R$7='W6 - Operating cost'!$B$1))/CK61*POWER(1+$C$72,CM$1)*$E$1,0)</f>
        <v>68865.502226918863</v>
      </c>
      <c r="CL60" s="100">
        <f>CK61*CJ30/(1-CJ25)*CK60/(1/('Cover Page'!$F$25/1000))</f>
        <v>198757871.60743693</v>
      </c>
      <c r="CM60" s="100">
        <f t="shared" ref="CM60" si="743">CL60*12</f>
        <v>2385094459.2892432</v>
      </c>
      <c r="CN60" s="55"/>
      <c r="CP60" s="55"/>
      <c r="CQ60" s="100" cm="1">
        <f t="array" ref="CQ60">IFERROR(SUMPRODUCT('W2'!$M$60:$R$61*'W2'!$M$64:$R$65*('W2'!$M$7:$R$7='W6 - Operating cost'!$B$1))/CQ61*POWER(1+$C$72,CS$1)*$E$1,0)</f>
        <v>72308.777338264787</v>
      </c>
      <c r="CR60" s="100">
        <f>CQ61*CP30/(1-CP25)*CQ60/(1/('Cover Page'!$F$25/1000))</f>
        <v>208695765.18780872</v>
      </c>
      <c r="CS60" s="100">
        <f t="shared" ref="CS60" si="744">CR60*12</f>
        <v>2504349182.2537045</v>
      </c>
      <c r="CT60" s="55"/>
      <c r="CV60" s="55"/>
      <c r="CW60" s="100" cm="1">
        <f t="array" ref="CW60">IFERROR(SUMPRODUCT('W2'!$M$60:$R$61*'W2'!$M$64:$R$65*('W2'!$M$7:$R$7='W6 - Operating cost'!$B$1))/CW61*POWER(1+$C$72,CY$1)*$E$1,0)</f>
        <v>75924.216205178047</v>
      </c>
      <c r="CX60" s="100">
        <f>CW61*CV30/(1-CV25)*CW60/(1/('Cover Page'!$F$25/1000))</f>
        <v>219130553.44719923</v>
      </c>
      <c r="CY60" s="100">
        <f t="shared" ref="CY60" si="745">CX60*12</f>
        <v>2629566641.3663907</v>
      </c>
      <c r="CZ60" s="55"/>
      <c r="DB60" s="55"/>
      <c r="DC60" s="100" cm="1">
        <f t="array" ref="DC60">IFERROR(SUMPRODUCT('W2'!$M$60:$R$61*'W2'!$M$64:$R$65*('W2'!$M$7:$R$7='W6 - Operating cost'!$B$1))/DC61*POWER(1+$C$72,DE$1)*$E$1,0)</f>
        <v>79720.427015436944</v>
      </c>
      <c r="DD60" s="100">
        <f>DC61*DB30/(1-DB25)*DC60/(1/('Cover Page'!$F$25/1000))</f>
        <v>230087081.11955917</v>
      </c>
      <c r="DE60" s="100">
        <f t="shared" ref="DE60" si="746">DD60*12</f>
        <v>2761044973.43471</v>
      </c>
      <c r="DF60" s="55"/>
      <c r="DH60" s="55"/>
      <c r="DI60" s="100" cm="1">
        <f t="array" ref="DI60">IFERROR(SUMPRODUCT('W2'!$M$60:$R$61*'W2'!$M$64:$R$65*('W2'!$M$7:$R$7='W6 - Operating cost'!$B$1))/DI61*POWER(1+$C$72,DK$1)*$E$1,0)</f>
        <v>83706.448366208802</v>
      </c>
      <c r="DJ60" s="100">
        <f>DI61*DH30/(1-DH25)*DI60/(1/('Cover Page'!$F$25/1000))</f>
        <v>241591435.17553714</v>
      </c>
      <c r="DK60" s="100">
        <f t="shared" ref="DK60" si="747">DJ60*12</f>
        <v>2899097222.1064458</v>
      </c>
      <c r="DL60" s="55"/>
      <c r="DN60" s="55"/>
      <c r="DO60" s="100" cm="1">
        <f t="array" ref="DO60">IFERROR(SUMPRODUCT('W2'!$M$60:$R$61*'W2'!$M$64:$R$65*('W2'!$M$7:$R$7='W6 - Operating cost'!$B$1))/DO61*POWER(1+$C$72,DQ$1)*$E$1,0)</f>
        <v>87891.770784519234</v>
      </c>
      <c r="DP60" s="100">
        <f>DO61*DN30/(1-DN25)*DO60/(1/('Cover Page'!$F$25/1000))</f>
        <v>253671006.93431398</v>
      </c>
      <c r="DQ60" s="100">
        <f t="shared" ref="DQ60" si="748">DP60*12</f>
        <v>3044052083.2117677</v>
      </c>
      <c r="DR60" s="55"/>
      <c r="DT60" s="55"/>
      <c r="DU60" s="100" cm="1">
        <f t="array" ref="DU60">IFERROR(SUMPRODUCT('W2'!$M$60:$R$61*'W2'!$M$64:$R$65*('W2'!$M$7:$R$7='W6 - Operating cost'!$B$1))/DU61*POWER(1+$C$72,DW$1)*$E$1,0)</f>
        <v>92286.359323745201</v>
      </c>
      <c r="DV60" s="100">
        <f>DU61*DT30/(1-DT25)*DU60/(1/('Cover Page'!$F$25/1000))</f>
        <v>266354557.2810297</v>
      </c>
      <c r="DW60" s="100">
        <f t="shared" ref="DW60" si="749">DV60*12</f>
        <v>3196254687.3723564</v>
      </c>
      <c r="DX60" s="55"/>
      <c r="DZ60" s="55"/>
      <c r="EA60" s="100" cm="1">
        <f t="array" ref="EA60">IFERROR(SUMPRODUCT('W2'!$M$60:$R$61*'W2'!$M$64:$R$65*('W2'!$M$7:$R$7='W6 - Operating cost'!$B$1))/EA61*POWER(1+$C$72,EC$1)*$E$1,0)</f>
        <v>96900.677289932457</v>
      </c>
      <c r="EB60" s="100">
        <f>EA61*DZ30/(1-DZ25)*EA60/(1/('Cover Page'!$F$25/1000))</f>
        <v>279672285.14508122</v>
      </c>
      <c r="EC60" s="100">
        <f t="shared" ref="EC60" si="750">EB60*12</f>
        <v>3356067421.7409744</v>
      </c>
      <c r="ED60" s="55"/>
      <c r="EF60" s="55"/>
      <c r="EG60" s="100" cm="1">
        <f t="array" ref="EG60">IFERROR(SUMPRODUCT('W2'!$M$60:$R$61*'W2'!$M$64:$R$65*('W2'!$M$7:$R$7='W6 - Operating cost'!$B$1))/EG61*POWER(1+$C$72,EI$1)*$E$1,0)</f>
        <v>101745.71115442908</v>
      </c>
      <c r="EH60" s="100">
        <f>EG61*EF30/(1-EF25)*EG60/(1/('Cover Page'!$F$25/1000))</f>
        <v>293655899.40233529</v>
      </c>
      <c r="EI60" s="100">
        <f t="shared" ref="EI60" si="751">EH60*12</f>
        <v>3523870792.8280234</v>
      </c>
      <c r="EJ60" s="55"/>
      <c r="EL60" s="55"/>
      <c r="EM60" s="100" cm="1">
        <f t="array" ref="EM60">IFERROR(SUMPRODUCT('W2'!$M$60:$R$61*'W2'!$M$64:$R$65*('W2'!$M$7:$R$7='W6 - Operating cost'!$B$1))/EM61*POWER(1+$C$72,EO$1)*$E$1,0)</f>
        <v>106832.99671215052</v>
      </c>
      <c r="EN60" s="100">
        <f>EM61*EL30/(1-EL25)*EM60/(1/('Cover Page'!$F$25/1000))</f>
        <v>308338694.37245196</v>
      </c>
      <c r="EO60" s="100">
        <f t="shared" ref="EO60" si="752">EN60*12</f>
        <v>3700064332.4694233</v>
      </c>
      <c r="EP60" s="55"/>
      <c r="ER60" s="55"/>
      <c r="ES60" s="100" cm="1">
        <f t="array" ref="ES60">IFERROR(SUMPRODUCT('W2'!$M$60:$R$61*'W2'!$M$64:$R$65*('W2'!$M$7:$R$7='W6 - Operating cost'!$B$1))/ES61*POWER(1+$C$72,EU$1)*$E$1,0)</f>
        <v>112174.64654775808</v>
      </c>
      <c r="ET60" s="100">
        <f>ES61*ER30/(1-ER25)*ES60/(1/('Cover Page'!$F$25/1000))</f>
        <v>323755629.09107465</v>
      </c>
      <c r="EU60" s="100">
        <f t="shared" ref="EU60" si="753">ET60*12</f>
        <v>3885067549.0928955</v>
      </c>
      <c r="EV60" s="55"/>
    </row>
    <row r="61" spans="1:152" x14ac:dyDescent="0.25">
      <c r="B61" s="56" t="s">
        <v>142</v>
      </c>
      <c r="C61" s="55" t="s">
        <v>71</v>
      </c>
      <c r="D61" s="55"/>
      <c r="E61" s="650" cm="1">
        <f t="array" ref="E61">SUMPRODUCT('W2'!$M$12:$R$112*('W2'!$B$12:$B$112=$B61)*('W2'!$M$7:$R$7=$B$1))</f>
        <v>5.1999999999999998E-3</v>
      </c>
      <c r="F61" s="55"/>
      <c r="G61" s="55"/>
      <c r="H61" s="55"/>
      <c r="J61" s="55"/>
      <c r="K61" s="650" cm="1">
        <f t="array" ref="K61">SUMPRODUCT('W2'!$M$12:$R$112*('W2'!$B$12:$B$112=$B61)*('W2'!$M$7:$R$7=$B$1))</f>
        <v>5.1999999999999998E-3</v>
      </c>
      <c r="L61" s="55"/>
      <c r="M61" s="55"/>
      <c r="N61" s="55"/>
      <c r="P61" s="55"/>
      <c r="Q61" s="650" cm="1">
        <f t="array" ref="Q61">SUMPRODUCT('W2'!$M$12:$R$112*('W2'!$B$12:$B$112=$B61)*('W2'!$M$7:$R$7=$B$1))</f>
        <v>5.1999999999999998E-3</v>
      </c>
      <c r="R61" s="55"/>
      <c r="S61" s="55"/>
      <c r="T61" s="55"/>
      <c r="V61" s="55"/>
      <c r="W61" s="650" cm="1">
        <f t="array" ref="W61">SUMPRODUCT('W2'!$M$12:$R$112*('W2'!$B$12:$B$112=$B61)*('W2'!$M$7:$R$7=$B$1))</f>
        <v>5.1999999999999998E-3</v>
      </c>
      <c r="X61" s="55"/>
      <c r="Y61" s="55"/>
      <c r="Z61" s="55"/>
      <c r="AB61" s="55"/>
      <c r="AC61" s="650" cm="1">
        <f t="array" ref="AC61">SUMPRODUCT('W2'!$M$12:$R$112*('W2'!$B$12:$B$112=$B61)*('W2'!$M$7:$R$7=$B$1))</f>
        <v>5.1999999999999998E-3</v>
      </c>
      <c r="AD61" s="55"/>
      <c r="AE61" s="55"/>
      <c r="AF61" s="55"/>
      <c r="AH61" s="55"/>
      <c r="AI61" s="650" cm="1">
        <f t="array" ref="AI61">SUMPRODUCT('W2'!$M$12:$R$112*('W2'!$B$12:$B$112=$B61)*('W2'!$M$7:$R$7=$B$1))</f>
        <v>5.1999999999999998E-3</v>
      </c>
      <c r="AJ61" s="55"/>
      <c r="AK61" s="55"/>
      <c r="AL61" s="55"/>
      <c r="AN61" s="55"/>
      <c r="AO61" s="650" cm="1">
        <f t="array" ref="AO61">SUMPRODUCT('W2'!$M$12:$R$112*('W2'!$B$12:$B$112=$B61)*('W2'!$M$7:$R$7=$B$1))</f>
        <v>5.1999999999999998E-3</v>
      </c>
      <c r="AP61" s="55"/>
      <c r="AQ61" s="55"/>
      <c r="AR61" s="55"/>
      <c r="AT61" s="55"/>
      <c r="AU61" s="650" cm="1">
        <f t="array" ref="AU61">SUMPRODUCT('W2'!$M$12:$R$112*('W2'!$B$12:$B$112=$B61)*('W2'!$M$7:$R$7=$B$1))</f>
        <v>5.1999999999999998E-3</v>
      </c>
      <c r="AV61" s="55"/>
      <c r="AW61" s="55"/>
      <c r="AX61" s="55"/>
      <c r="AZ61" s="55"/>
      <c r="BA61" s="650" cm="1">
        <f t="array" ref="BA61">SUMPRODUCT('W2'!$M$12:$R$112*('W2'!$B$12:$B$112=$B61)*('W2'!$M$7:$R$7=$B$1))</f>
        <v>5.1999999999999998E-3</v>
      </c>
      <c r="BB61" s="55"/>
      <c r="BC61" s="55"/>
      <c r="BD61" s="55"/>
      <c r="BF61" s="55"/>
      <c r="BG61" s="650" cm="1">
        <f t="array" ref="BG61">SUMPRODUCT('W2'!$M$12:$R$112*('W2'!$B$12:$B$112=$B61)*('W2'!$M$7:$R$7=$B$1))</f>
        <v>5.1999999999999998E-3</v>
      </c>
      <c r="BH61" s="55"/>
      <c r="BI61" s="55"/>
      <c r="BJ61" s="55"/>
      <c r="BL61" s="55"/>
      <c r="BM61" s="650" cm="1">
        <f t="array" ref="BM61">SUMPRODUCT('W2'!$M$12:$R$112*('W2'!$B$12:$B$112=$B61)*('W2'!$M$7:$R$7=$B$1))</f>
        <v>5.1999999999999998E-3</v>
      </c>
      <c r="BN61" s="55"/>
      <c r="BO61" s="55"/>
      <c r="BP61" s="55"/>
      <c r="BR61" s="55"/>
      <c r="BS61" s="650" cm="1">
        <f t="array" ref="BS61">SUMPRODUCT('W2'!$M$12:$R$112*('W2'!$B$12:$B$112=$B61)*('W2'!$M$7:$R$7=$B$1))</f>
        <v>5.1999999999999998E-3</v>
      </c>
      <c r="BT61" s="55"/>
      <c r="BU61" s="55"/>
      <c r="BV61" s="55"/>
      <c r="BX61" s="55"/>
      <c r="BY61" s="650" cm="1">
        <f t="array" ref="BY61">SUMPRODUCT('W2'!$M$12:$R$112*('W2'!$B$12:$B$112=$B61)*('W2'!$M$7:$R$7=$B$1))</f>
        <v>5.1999999999999998E-3</v>
      </c>
      <c r="BZ61" s="55"/>
      <c r="CA61" s="55"/>
      <c r="CB61" s="55"/>
      <c r="CD61" s="55"/>
      <c r="CE61" s="650" cm="1">
        <f t="array" ref="CE61">SUMPRODUCT('W2'!$M$12:$R$112*('W2'!$B$12:$B$112=$B61)*('W2'!$M$7:$R$7=$B$1))</f>
        <v>5.1999999999999998E-3</v>
      </c>
      <c r="CF61" s="55"/>
      <c r="CG61" s="55"/>
      <c r="CH61" s="55"/>
      <c r="CJ61" s="55"/>
      <c r="CK61" s="650" cm="1">
        <f t="array" ref="CK61">SUMPRODUCT('W2'!$M$12:$R$112*('W2'!$B$12:$B$112=$B61)*('W2'!$M$7:$R$7=$B$1))</f>
        <v>5.1999999999999998E-3</v>
      </c>
      <c r="CL61" s="55"/>
      <c r="CM61" s="55"/>
      <c r="CN61" s="55"/>
      <c r="CP61" s="55"/>
      <c r="CQ61" s="650" cm="1">
        <f t="array" ref="CQ61">SUMPRODUCT('W2'!$M$12:$R$112*('W2'!$B$12:$B$112=$B61)*('W2'!$M$7:$R$7=$B$1))</f>
        <v>5.1999999999999998E-3</v>
      </c>
      <c r="CR61" s="55"/>
      <c r="CS61" s="55"/>
      <c r="CT61" s="55"/>
      <c r="CV61" s="55"/>
      <c r="CW61" s="650" cm="1">
        <f t="array" ref="CW61">SUMPRODUCT('W2'!$M$12:$R$112*('W2'!$B$12:$B$112=$B61)*('W2'!$M$7:$R$7=$B$1))</f>
        <v>5.1999999999999998E-3</v>
      </c>
      <c r="CX61" s="55"/>
      <c r="CY61" s="55"/>
      <c r="CZ61" s="55"/>
      <c r="DB61" s="55"/>
      <c r="DC61" s="650" cm="1">
        <f t="array" ref="DC61">SUMPRODUCT('W2'!$M$12:$R$112*('W2'!$B$12:$B$112=$B61)*('W2'!$M$7:$R$7=$B$1))</f>
        <v>5.1999999999999998E-3</v>
      </c>
      <c r="DD61" s="55"/>
      <c r="DE61" s="55"/>
      <c r="DF61" s="55"/>
      <c r="DH61" s="55"/>
      <c r="DI61" s="650" cm="1">
        <f t="array" ref="DI61">SUMPRODUCT('W2'!$M$12:$R$112*('W2'!$B$12:$B$112=$B61)*('W2'!$M$7:$R$7=$B$1))</f>
        <v>5.1999999999999998E-3</v>
      </c>
      <c r="DJ61" s="55"/>
      <c r="DK61" s="55"/>
      <c r="DL61" s="55"/>
      <c r="DN61" s="55"/>
      <c r="DO61" s="650" cm="1">
        <f t="array" ref="DO61">SUMPRODUCT('W2'!$M$12:$R$112*('W2'!$B$12:$B$112=$B61)*('W2'!$M$7:$R$7=$B$1))</f>
        <v>5.1999999999999998E-3</v>
      </c>
      <c r="DP61" s="55"/>
      <c r="DQ61" s="55"/>
      <c r="DR61" s="55"/>
      <c r="DT61" s="55"/>
      <c r="DU61" s="650" cm="1">
        <f t="array" ref="DU61">SUMPRODUCT('W2'!$M$12:$R$112*('W2'!$B$12:$B$112=$B61)*('W2'!$M$7:$R$7=$B$1))</f>
        <v>5.1999999999999998E-3</v>
      </c>
      <c r="DV61" s="55"/>
      <c r="DW61" s="55"/>
      <c r="DX61" s="55"/>
      <c r="DZ61" s="55"/>
      <c r="EA61" s="650" cm="1">
        <f t="array" ref="EA61">SUMPRODUCT('W2'!$M$12:$R$112*('W2'!$B$12:$B$112=$B61)*('W2'!$M$7:$R$7=$B$1))</f>
        <v>5.1999999999999998E-3</v>
      </c>
      <c r="EB61" s="55"/>
      <c r="EC61" s="55"/>
      <c r="ED61" s="55"/>
      <c r="EF61" s="55"/>
      <c r="EG61" s="650" cm="1">
        <f t="array" ref="EG61">SUMPRODUCT('W2'!$M$12:$R$112*('W2'!$B$12:$B$112=$B61)*('W2'!$M$7:$R$7=$B$1))</f>
        <v>5.1999999999999998E-3</v>
      </c>
      <c r="EH61" s="55"/>
      <c r="EI61" s="55"/>
      <c r="EJ61" s="55"/>
      <c r="EL61" s="55"/>
      <c r="EM61" s="650" cm="1">
        <f t="array" ref="EM61">SUMPRODUCT('W2'!$M$12:$R$112*('W2'!$B$12:$B$112=$B61)*('W2'!$M$7:$R$7=$B$1))</f>
        <v>5.1999999999999998E-3</v>
      </c>
      <c r="EN61" s="55"/>
      <c r="EO61" s="55"/>
      <c r="EP61" s="55"/>
      <c r="ER61" s="55"/>
      <c r="ES61" s="650" cm="1">
        <f t="array" ref="ES61">SUMPRODUCT('W2'!$M$12:$R$112*('W2'!$B$12:$B$112=$B61)*('W2'!$M$7:$R$7=$B$1))</f>
        <v>5.1999999999999998E-3</v>
      </c>
      <c r="ET61" s="55"/>
      <c r="EU61" s="55"/>
      <c r="EV61" s="55"/>
    </row>
    <row r="62" spans="1:152" x14ac:dyDescent="0.25">
      <c r="B62" s="56" t="s">
        <v>144</v>
      </c>
      <c r="C62" s="55" t="s">
        <v>71</v>
      </c>
      <c r="D62" s="129"/>
      <c r="E62" s="129">
        <f>INDEX('Cover Page'!$H$19:$W$19,MATCH('W6 - Operating cost'!$B$1,'Cover Page'!$H$5:$W$5,0))</f>
        <v>0.08</v>
      </c>
      <c r="F62" s="55"/>
      <c r="G62" s="55"/>
      <c r="H62" s="55"/>
      <c r="J62" s="129"/>
      <c r="K62" s="129">
        <f>INDEX('Cover Page'!$H$19:$W$19,MATCH('W6 - Operating cost'!$B$1,'Cover Page'!$H$5:$W$5,0))</f>
        <v>0.08</v>
      </c>
      <c r="L62" s="55"/>
      <c r="M62" s="55"/>
      <c r="N62" s="55"/>
      <c r="P62" s="129"/>
      <c r="Q62" s="129">
        <f>INDEX('Cover Page'!$H$19:$W$19,MATCH('W6 - Operating cost'!$B$1,'Cover Page'!$H$5:$W$5,0))</f>
        <v>0.08</v>
      </c>
      <c r="R62" s="55"/>
      <c r="S62" s="55"/>
      <c r="T62" s="55"/>
      <c r="V62" s="129"/>
      <c r="W62" s="129">
        <f>INDEX('Cover Page'!$H$19:$W$19,MATCH('W6 - Operating cost'!$B$1,'Cover Page'!$H$5:$W$5,0))</f>
        <v>0.08</v>
      </c>
      <c r="X62" s="55"/>
      <c r="Y62" s="55"/>
      <c r="Z62" s="55"/>
      <c r="AB62" s="129"/>
      <c r="AC62" s="129">
        <f>INDEX('Cover Page'!$H$19:$W$19,MATCH('W6 - Operating cost'!$B$1,'Cover Page'!$H$5:$W$5,0))</f>
        <v>0.08</v>
      </c>
      <c r="AD62" s="55"/>
      <c r="AE62" s="55"/>
      <c r="AF62" s="55"/>
      <c r="AH62" s="129"/>
      <c r="AI62" s="129">
        <f>INDEX('Cover Page'!$H$19:$W$19,MATCH('W6 - Operating cost'!$B$1,'Cover Page'!$H$5:$W$5,0))</f>
        <v>0.08</v>
      </c>
      <c r="AJ62" s="55"/>
      <c r="AK62" s="55"/>
      <c r="AL62" s="55"/>
      <c r="AN62" s="129"/>
      <c r="AO62" s="129">
        <f>INDEX('Cover Page'!$H$19:$W$19,MATCH('W6 - Operating cost'!$B$1,'Cover Page'!$H$5:$W$5,0))</f>
        <v>0.08</v>
      </c>
      <c r="AP62" s="55"/>
      <c r="AQ62" s="55"/>
      <c r="AR62" s="55"/>
      <c r="AT62" s="129"/>
      <c r="AU62" s="129">
        <f>INDEX('Cover Page'!$H$19:$W$19,MATCH('W6 - Operating cost'!$B$1,'Cover Page'!$H$5:$W$5,0))</f>
        <v>0.08</v>
      </c>
      <c r="AV62" s="55"/>
      <c r="AW62" s="55"/>
      <c r="AX62" s="55"/>
      <c r="AZ62" s="129"/>
      <c r="BA62" s="129">
        <f>INDEX('Cover Page'!$H$19:$W$19,MATCH('W6 - Operating cost'!$B$1,'Cover Page'!$H$5:$W$5,0))</f>
        <v>0.08</v>
      </c>
      <c r="BB62" s="55"/>
      <c r="BC62" s="55"/>
      <c r="BD62" s="55"/>
      <c r="BF62" s="129"/>
      <c r="BG62" s="129">
        <f>INDEX('Cover Page'!$H$19:$W$19,MATCH('W6 - Operating cost'!$B$1,'Cover Page'!$H$5:$W$5,0))</f>
        <v>0.08</v>
      </c>
      <c r="BH62" s="55"/>
      <c r="BI62" s="55"/>
      <c r="BJ62" s="55"/>
      <c r="BL62" s="129"/>
      <c r="BM62" s="129">
        <f>INDEX('Cover Page'!$H$19:$W$19,MATCH('W6 - Operating cost'!$B$1,'Cover Page'!$H$5:$W$5,0))</f>
        <v>0.08</v>
      </c>
      <c r="BN62" s="55"/>
      <c r="BO62" s="55"/>
      <c r="BP62" s="55"/>
      <c r="BR62" s="129"/>
      <c r="BS62" s="129">
        <f>INDEX('Cover Page'!$H$19:$W$19,MATCH('W6 - Operating cost'!$B$1,'Cover Page'!$H$5:$W$5,0))</f>
        <v>0.08</v>
      </c>
      <c r="BT62" s="55"/>
      <c r="BU62" s="55"/>
      <c r="BV62" s="55"/>
      <c r="BX62" s="129"/>
      <c r="BY62" s="129">
        <f>INDEX('Cover Page'!$H$19:$W$19,MATCH('W6 - Operating cost'!$B$1,'Cover Page'!$H$5:$W$5,0))</f>
        <v>0.08</v>
      </c>
      <c r="BZ62" s="55"/>
      <c r="CA62" s="55"/>
      <c r="CB62" s="55"/>
      <c r="CD62" s="129"/>
      <c r="CE62" s="129">
        <f>INDEX('Cover Page'!$H$19:$W$19,MATCH('W6 - Operating cost'!$B$1,'Cover Page'!$H$5:$W$5,0))</f>
        <v>0.08</v>
      </c>
      <c r="CF62" s="55"/>
      <c r="CG62" s="55"/>
      <c r="CH62" s="55"/>
      <c r="CJ62" s="129"/>
      <c r="CK62" s="129">
        <f>INDEX('Cover Page'!$H$19:$W$19,MATCH('W6 - Operating cost'!$B$1,'Cover Page'!$H$5:$W$5,0))</f>
        <v>0.08</v>
      </c>
      <c r="CL62" s="55"/>
      <c r="CM62" s="55"/>
      <c r="CN62" s="55"/>
      <c r="CP62" s="129"/>
      <c r="CQ62" s="129">
        <f>INDEX('Cover Page'!$H$19:$W$19,MATCH('W6 - Operating cost'!$B$1,'Cover Page'!$H$5:$W$5,0))</f>
        <v>0.08</v>
      </c>
      <c r="CR62" s="55"/>
      <c r="CS62" s="55"/>
      <c r="CT62" s="55"/>
      <c r="CV62" s="129"/>
      <c r="CW62" s="129">
        <f>INDEX('Cover Page'!$H$19:$W$19,MATCH('W6 - Operating cost'!$B$1,'Cover Page'!$H$5:$W$5,0))</f>
        <v>0.08</v>
      </c>
      <c r="CX62" s="55"/>
      <c r="CY62" s="55"/>
      <c r="CZ62" s="55"/>
      <c r="DB62" s="129"/>
      <c r="DC62" s="129">
        <f>INDEX('Cover Page'!$H$19:$W$19,MATCH('W6 - Operating cost'!$B$1,'Cover Page'!$H$5:$W$5,0))</f>
        <v>0.08</v>
      </c>
      <c r="DD62" s="55"/>
      <c r="DE62" s="55"/>
      <c r="DF62" s="55"/>
      <c r="DH62" s="129"/>
      <c r="DI62" s="129">
        <f>INDEX('Cover Page'!$H$19:$W$19,MATCH('W6 - Operating cost'!$B$1,'Cover Page'!$H$5:$W$5,0))</f>
        <v>0.08</v>
      </c>
      <c r="DJ62" s="55"/>
      <c r="DK62" s="55"/>
      <c r="DL62" s="55"/>
      <c r="DN62" s="129"/>
      <c r="DO62" s="129">
        <f>INDEX('Cover Page'!$H$19:$W$19,MATCH('W6 - Operating cost'!$B$1,'Cover Page'!$H$5:$W$5,0))</f>
        <v>0.08</v>
      </c>
      <c r="DP62" s="55"/>
      <c r="DQ62" s="55"/>
      <c r="DR62" s="55"/>
      <c r="DT62" s="129"/>
      <c r="DU62" s="129">
        <f>INDEX('Cover Page'!$H$19:$W$19,MATCH('W6 - Operating cost'!$B$1,'Cover Page'!$H$5:$W$5,0))</f>
        <v>0.08</v>
      </c>
      <c r="DV62" s="55"/>
      <c r="DW62" s="55"/>
      <c r="DX62" s="55"/>
      <c r="DZ62" s="129"/>
      <c r="EA62" s="129">
        <f>INDEX('Cover Page'!$H$19:$W$19,MATCH('W6 - Operating cost'!$B$1,'Cover Page'!$H$5:$W$5,0))</f>
        <v>0.08</v>
      </c>
      <c r="EB62" s="55"/>
      <c r="EC62" s="55"/>
      <c r="ED62" s="55"/>
      <c r="EF62" s="129"/>
      <c r="EG62" s="129">
        <f>INDEX('Cover Page'!$H$19:$W$19,MATCH('W6 - Operating cost'!$B$1,'Cover Page'!$H$5:$W$5,0))</f>
        <v>0.08</v>
      </c>
      <c r="EH62" s="55"/>
      <c r="EI62" s="55"/>
      <c r="EJ62" s="55"/>
      <c r="EL62" s="129"/>
      <c r="EM62" s="129">
        <f>INDEX('Cover Page'!$H$19:$W$19,MATCH('W6 - Operating cost'!$B$1,'Cover Page'!$H$5:$W$5,0))</f>
        <v>0.08</v>
      </c>
      <c r="EN62" s="55"/>
      <c r="EO62" s="55"/>
      <c r="EP62" s="55"/>
      <c r="ER62" s="129"/>
      <c r="ES62" s="129">
        <f>INDEX('Cover Page'!$H$19:$W$19,MATCH('W6 - Operating cost'!$B$1,'Cover Page'!$H$5:$W$5,0))</f>
        <v>0.08</v>
      </c>
      <c r="ET62" s="55"/>
      <c r="EU62" s="55"/>
      <c r="EV62" s="55"/>
    </row>
    <row r="63" spans="1:152" x14ac:dyDescent="0.25">
      <c r="B63" s="56"/>
      <c r="C63" s="55"/>
      <c r="D63" s="129"/>
      <c r="E63" s="55"/>
      <c r="F63" s="55"/>
      <c r="G63" s="55"/>
      <c r="H63" s="55"/>
      <c r="J63" s="129"/>
      <c r="K63" s="55"/>
      <c r="L63" s="55"/>
      <c r="M63" s="55"/>
      <c r="N63" s="55"/>
      <c r="P63" s="129"/>
      <c r="Q63" s="55"/>
      <c r="R63" s="55"/>
      <c r="S63" s="55"/>
      <c r="T63" s="55"/>
      <c r="V63" s="129"/>
      <c r="W63" s="55"/>
      <c r="X63" s="55"/>
      <c r="Y63" s="55"/>
      <c r="Z63" s="55"/>
      <c r="AB63" s="129"/>
      <c r="AC63" s="55"/>
      <c r="AD63" s="55"/>
      <c r="AE63" s="55"/>
      <c r="AF63" s="55"/>
      <c r="AH63" s="129"/>
      <c r="AI63" s="55"/>
      <c r="AJ63" s="55"/>
      <c r="AK63" s="55"/>
      <c r="AL63" s="55"/>
      <c r="AN63" s="129"/>
      <c r="AO63" s="55"/>
      <c r="AP63" s="55"/>
      <c r="AQ63" s="55"/>
      <c r="AR63" s="55"/>
      <c r="AT63" s="129"/>
      <c r="AU63" s="55"/>
      <c r="AV63" s="55"/>
      <c r="AW63" s="55"/>
      <c r="AX63" s="55"/>
      <c r="AZ63" s="129"/>
      <c r="BA63" s="55"/>
      <c r="BB63" s="55"/>
      <c r="BC63" s="55"/>
      <c r="BD63" s="55"/>
      <c r="BF63" s="129"/>
      <c r="BG63" s="55"/>
      <c r="BH63" s="55"/>
      <c r="BI63" s="55"/>
      <c r="BJ63" s="55"/>
      <c r="BL63" s="129"/>
      <c r="BM63" s="55"/>
      <c r="BN63" s="55"/>
      <c r="BO63" s="55"/>
      <c r="BP63" s="55"/>
      <c r="BR63" s="129"/>
      <c r="BS63" s="55"/>
      <c r="BT63" s="55"/>
      <c r="BU63" s="55"/>
      <c r="BV63" s="55"/>
      <c r="BX63" s="129"/>
      <c r="BY63" s="55"/>
      <c r="BZ63" s="55"/>
      <c r="CA63" s="55"/>
      <c r="CB63" s="55"/>
      <c r="CD63" s="129"/>
      <c r="CE63" s="55"/>
      <c r="CF63" s="55"/>
      <c r="CG63" s="55"/>
      <c r="CH63" s="55"/>
      <c r="CJ63" s="129"/>
      <c r="CK63" s="55"/>
      <c r="CL63" s="55"/>
      <c r="CM63" s="55"/>
      <c r="CN63" s="55"/>
      <c r="CP63" s="129"/>
      <c r="CQ63" s="55"/>
      <c r="CR63" s="55"/>
      <c r="CS63" s="55"/>
      <c r="CT63" s="55"/>
      <c r="CV63" s="129"/>
      <c r="CW63" s="55"/>
      <c r="CX63" s="55"/>
      <c r="CY63" s="55"/>
      <c r="CZ63" s="55"/>
      <c r="DB63" s="129"/>
      <c r="DC63" s="55"/>
      <c r="DD63" s="55"/>
      <c r="DE63" s="55"/>
      <c r="DF63" s="55"/>
      <c r="DH63" s="129"/>
      <c r="DI63" s="55"/>
      <c r="DJ63" s="55"/>
      <c r="DK63" s="55"/>
      <c r="DL63" s="55"/>
      <c r="DN63" s="129"/>
      <c r="DO63" s="55"/>
      <c r="DP63" s="55"/>
      <c r="DQ63" s="55"/>
      <c r="DR63" s="55"/>
      <c r="DT63" s="129"/>
      <c r="DU63" s="55"/>
      <c r="DV63" s="55"/>
      <c r="DW63" s="55"/>
      <c r="DX63" s="55"/>
      <c r="DZ63" s="129"/>
      <c r="EA63" s="55"/>
      <c r="EB63" s="55"/>
      <c r="EC63" s="55"/>
      <c r="ED63" s="55"/>
      <c r="EF63" s="129"/>
      <c r="EG63" s="55"/>
      <c r="EH63" s="55"/>
      <c r="EI63" s="55"/>
      <c r="EJ63" s="55"/>
      <c r="EL63" s="129"/>
      <c r="EM63" s="55"/>
      <c r="EN63" s="55"/>
      <c r="EO63" s="55"/>
      <c r="EP63" s="55"/>
      <c r="ER63" s="129"/>
      <c r="ES63" s="55"/>
      <c r="ET63" s="55"/>
      <c r="EU63" s="55"/>
      <c r="EV63" s="55"/>
    </row>
    <row r="64" spans="1:152" x14ac:dyDescent="0.25">
      <c r="B64" s="56" t="s">
        <v>348</v>
      </c>
      <c r="C64" s="55" t="s">
        <v>71</v>
      </c>
      <c r="D64" s="129"/>
      <c r="E64" s="129">
        <f>INDEX('Cover Page'!$H$21:$W$21,MATCH('W6 - Operating cost'!$B$1,'Cover Page'!$H$5:$W$5,0))</f>
        <v>0.7</v>
      </c>
      <c r="F64" s="55"/>
      <c r="G64" s="55"/>
      <c r="H64" s="55"/>
      <c r="J64" s="129"/>
      <c r="K64" s="129">
        <f>INDEX('Cover Page'!$H$21:$W$21,MATCH('W6 - Operating cost'!$B$1,'Cover Page'!$H$5:$W$5,0))</f>
        <v>0.7</v>
      </c>
      <c r="L64" s="55"/>
      <c r="M64" s="55"/>
      <c r="N64" s="55"/>
      <c r="P64" s="129"/>
      <c r="Q64" s="129">
        <f>INDEX('Cover Page'!$H$21:$W$21,MATCH('W6 - Operating cost'!$B$1,'Cover Page'!$H$5:$W$5,0))</f>
        <v>0.7</v>
      </c>
      <c r="R64" s="55"/>
      <c r="S64" s="55"/>
      <c r="T64" s="55"/>
      <c r="V64" s="129"/>
      <c r="W64" s="129">
        <f>INDEX('Cover Page'!$H$21:$W$21,MATCH('W6 - Operating cost'!$B$1,'Cover Page'!$H$5:$W$5,0))</f>
        <v>0.7</v>
      </c>
      <c r="X64" s="55"/>
      <c r="Y64" s="55"/>
      <c r="Z64" s="55"/>
      <c r="AB64" s="129"/>
      <c r="AC64" s="129">
        <f>INDEX('Cover Page'!$H$21:$W$21,MATCH('W6 - Operating cost'!$B$1,'Cover Page'!$H$5:$W$5,0))</f>
        <v>0.7</v>
      </c>
      <c r="AD64" s="55"/>
      <c r="AE64" s="55"/>
      <c r="AF64" s="55"/>
      <c r="AH64" s="129"/>
      <c r="AI64" s="129">
        <f>INDEX('Cover Page'!$H$21:$W$21,MATCH('W6 - Operating cost'!$B$1,'Cover Page'!$H$5:$W$5,0))</f>
        <v>0.7</v>
      </c>
      <c r="AJ64" s="55"/>
      <c r="AK64" s="55"/>
      <c r="AL64" s="55"/>
      <c r="AN64" s="129"/>
      <c r="AO64" s="129">
        <f>INDEX('Cover Page'!$H$21:$W$21,MATCH('W6 - Operating cost'!$B$1,'Cover Page'!$H$5:$W$5,0))</f>
        <v>0.7</v>
      </c>
      <c r="AP64" s="55"/>
      <c r="AQ64" s="55"/>
      <c r="AR64" s="55"/>
      <c r="AT64" s="129"/>
      <c r="AU64" s="129">
        <f>INDEX('Cover Page'!$H$21:$W$21,MATCH('W6 - Operating cost'!$B$1,'Cover Page'!$H$5:$W$5,0))</f>
        <v>0.7</v>
      </c>
      <c r="AV64" s="55"/>
      <c r="AW64" s="55"/>
      <c r="AX64" s="55"/>
      <c r="AZ64" s="129"/>
      <c r="BA64" s="129">
        <f>INDEX('Cover Page'!$H$21:$W$21,MATCH('W6 - Operating cost'!$B$1,'Cover Page'!$H$5:$W$5,0))</f>
        <v>0.7</v>
      </c>
      <c r="BB64" s="55"/>
      <c r="BC64" s="55"/>
      <c r="BD64" s="55"/>
      <c r="BF64" s="129"/>
      <c r="BG64" s="129">
        <f>INDEX('Cover Page'!$H$21:$W$21,MATCH('W6 - Operating cost'!$B$1,'Cover Page'!$H$5:$W$5,0))</f>
        <v>0.7</v>
      </c>
      <c r="BH64" s="55"/>
      <c r="BI64" s="55"/>
      <c r="BJ64" s="55"/>
      <c r="BL64" s="129"/>
      <c r="BM64" s="129">
        <f>INDEX('Cover Page'!$H$21:$W$21,MATCH('W6 - Operating cost'!$B$1,'Cover Page'!$H$5:$W$5,0))</f>
        <v>0.7</v>
      </c>
      <c r="BN64" s="55"/>
      <c r="BO64" s="55"/>
      <c r="BP64" s="55"/>
      <c r="BR64" s="129"/>
      <c r="BS64" s="129">
        <f>INDEX('Cover Page'!$H$21:$W$21,MATCH('W6 - Operating cost'!$B$1,'Cover Page'!$H$5:$W$5,0))</f>
        <v>0.7</v>
      </c>
      <c r="BT64" s="55"/>
      <c r="BU64" s="55"/>
      <c r="BV64" s="55"/>
      <c r="BX64" s="129"/>
      <c r="BY64" s="129">
        <f>INDEX('Cover Page'!$H$21:$W$21,MATCH('W6 - Operating cost'!$B$1,'Cover Page'!$H$5:$W$5,0))</f>
        <v>0.7</v>
      </c>
      <c r="BZ64" s="55"/>
      <c r="CA64" s="55"/>
      <c r="CB64" s="55"/>
      <c r="CD64" s="129"/>
      <c r="CE64" s="129">
        <f>INDEX('Cover Page'!$H$21:$W$21,MATCH('W6 - Operating cost'!$B$1,'Cover Page'!$H$5:$W$5,0))</f>
        <v>0.7</v>
      </c>
      <c r="CF64" s="55"/>
      <c r="CG64" s="55"/>
      <c r="CH64" s="55"/>
      <c r="CJ64" s="129"/>
      <c r="CK64" s="129">
        <f>INDEX('Cover Page'!$H$21:$W$21,MATCH('W6 - Operating cost'!$B$1,'Cover Page'!$H$5:$W$5,0))</f>
        <v>0.7</v>
      </c>
      <c r="CL64" s="55"/>
      <c r="CM64" s="55"/>
      <c r="CN64" s="55"/>
      <c r="CP64" s="129"/>
      <c r="CQ64" s="129">
        <f>INDEX('Cover Page'!$H$21:$W$21,MATCH('W6 - Operating cost'!$B$1,'Cover Page'!$H$5:$W$5,0))</f>
        <v>0.7</v>
      </c>
      <c r="CR64" s="55"/>
      <c r="CS64" s="55"/>
      <c r="CT64" s="55"/>
      <c r="CV64" s="129"/>
      <c r="CW64" s="129">
        <f>INDEX('Cover Page'!$H$21:$W$21,MATCH('W6 - Operating cost'!$B$1,'Cover Page'!$H$5:$W$5,0))</f>
        <v>0.7</v>
      </c>
      <c r="CX64" s="55"/>
      <c r="CY64" s="55"/>
      <c r="CZ64" s="55"/>
      <c r="DB64" s="129"/>
      <c r="DC64" s="129">
        <f>INDEX('Cover Page'!$H$21:$W$21,MATCH('W6 - Operating cost'!$B$1,'Cover Page'!$H$5:$W$5,0))</f>
        <v>0.7</v>
      </c>
      <c r="DD64" s="55"/>
      <c r="DE64" s="55"/>
      <c r="DF64" s="55"/>
      <c r="DH64" s="129"/>
      <c r="DI64" s="129">
        <f>INDEX('Cover Page'!$H$21:$W$21,MATCH('W6 - Operating cost'!$B$1,'Cover Page'!$H$5:$W$5,0))</f>
        <v>0.7</v>
      </c>
      <c r="DJ64" s="55"/>
      <c r="DK64" s="55"/>
      <c r="DL64" s="55"/>
      <c r="DN64" s="129"/>
      <c r="DO64" s="129">
        <f>INDEX('Cover Page'!$H$21:$W$21,MATCH('W6 - Operating cost'!$B$1,'Cover Page'!$H$5:$W$5,0))</f>
        <v>0.7</v>
      </c>
      <c r="DP64" s="55"/>
      <c r="DQ64" s="55"/>
      <c r="DR64" s="55"/>
      <c r="DT64" s="129"/>
      <c r="DU64" s="129">
        <f>INDEX('Cover Page'!$H$21:$W$21,MATCH('W6 - Operating cost'!$B$1,'Cover Page'!$H$5:$W$5,0))</f>
        <v>0.7</v>
      </c>
      <c r="DV64" s="55"/>
      <c r="DW64" s="55"/>
      <c r="DX64" s="55"/>
      <c r="DZ64" s="129"/>
      <c r="EA64" s="129">
        <f>INDEX('Cover Page'!$H$21:$W$21,MATCH('W6 - Operating cost'!$B$1,'Cover Page'!$H$5:$W$5,0))</f>
        <v>0.7</v>
      </c>
      <c r="EB64" s="55"/>
      <c r="EC64" s="55"/>
      <c r="ED64" s="55"/>
      <c r="EF64" s="129"/>
      <c r="EG64" s="129">
        <f>INDEX('Cover Page'!$H$21:$W$21,MATCH('W6 - Operating cost'!$B$1,'Cover Page'!$H$5:$W$5,0))</f>
        <v>0.7</v>
      </c>
      <c r="EH64" s="55"/>
      <c r="EI64" s="55"/>
      <c r="EJ64" s="55"/>
      <c r="EL64" s="129"/>
      <c r="EM64" s="129">
        <f>INDEX('Cover Page'!$H$21:$W$21,MATCH('W6 - Operating cost'!$B$1,'Cover Page'!$H$5:$W$5,0))</f>
        <v>0.7</v>
      </c>
      <c r="EN64" s="55"/>
      <c r="EO64" s="55"/>
      <c r="EP64" s="55"/>
      <c r="ER64" s="129"/>
      <c r="ES64" s="129">
        <f>INDEX('Cover Page'!$H$21:$W$21,MATCH('W6 - Operating cost'!$B$1,'Cover Page'!$H$5:$W$5,0))</f>
        <v>0.7</v>
      </c>
      <c r="ET64" s="55"/>
      <c r="EU64" s="55"/>
      <c r="EV64" s="55"/>
    </row>
    <row r="65" spans="2:152" x14ac:dyDescent="0.25">
      <c r="B65" s="56" t="s">
        <v>349</v>
      </c>
      <c r="C65" s="55" t="s">
        <v>71</v>
      </c>
      <c r="D65" s="129"/>
      <c r="E65" s="129">
        <f>1-E64</f>
        <v>0.30000000000000004</v>
      </c>
      <c r="F65" s="55"/>
      <c r="G65" s="55"/>
      <c r="H65" s="55"/>
      <c r="J65" s="129"/>
      <c r="K65" s="129">
        <f>1-K64</f>
        <v>0.30000000000000004</v>
      </c>
      <c r="L65" s="55"/>
      <c r="M65" s="55"/>
      <c r="N65" s="55"/>
      <c r="P65" s="129"/>
      <c r="Q65" s="129">
        <f>1-Q64</f>
        <v>0.30000000000000004</v>
      </c>
      <c r="R65" s="55"/>
      <c r="S65" s="55"/>
      <c r="T65" s="55"/>
      <c r="V65" s="129"/>
      <c r="W65" s="129">
        <f>1-W64</f>
        <v>0.30000000000000004</v>
      </c>
      <c r="X65" s="55"/>
      <c r="Y65" s="55"/>
      <c r="Z65" s="55"/>
      <c r="AB65" s="129"/>
      <c r="AC65" s="129">
        <f>1-AC64</f>
        <v>0.30000000000000004</v>
      </c>
      <c r="AD65" s="55"/>
      <c r="AE65" s="55"/>
      <c r="AF65" s="55"/>
      <c r="AH65" s="129"/>
      <c r="AI65" s="129">
        <f>1-AI64</f>
        <v>0.30000000000000004</v>
      </c>
      <c r="AJ65" s="55"/>
      <c r="AK65" s="55"/>
      <c r="AL65" s="55"/>
      <c r="AN65" s="129"/>
      <c r="AO65" s="129">
        <f>1-AO64</f>
        <v>0.30000000000000004</v>
      </c>
      <c r="AP65" s="55"/>
      <c r="AQ65" s="55"/>
      <c r="AR65" s="55"/>
      <c r="AT65" s="129"/>
      <c r="AU65" s="129">
        <f>1-AU64</f>
        <v>0.30000000000000004</v>
      </c>
      <c r="AV65" s="55"/>
      <c r="AW65" s="55"/>
      <c r="AX65" s="55"/>
      <c r="AZ65" s="129"/>
      <c r="BA65" s="129">
        <f>1-BA64</f>
        <v>0.30000000000000004</v>
      </c>
      <c r="BB65" s="55"/>
      <c r="BC65" s="55"/>
      <c r="BD65" s="55"/>
      <c r="BF65" s="129"/>
      <c r="BG65" s="129">
        <f>1-BG64</f>
        <v>0.30000000000000004</v>
      </c>
      <c r="BH65" s="55"/>
      <c r="BI65" s="55"/>
      <c r="BJ65" s="55"/>
      <c r="BL65" s="129"/>
      <c r="BM65" s="129">
        <f>1-BM64</f>
        <v>0.30000000000000004</v>
      </c>
      <c r="BN65" s="55"/>
      <c r="BO65" s="55"/>
      <c r="BP65" s="55"/>
      <c r="BR65" s="129"/>
      <c r="BS65" s="129">
        <f>1-BS64</f>
        <v>0.30000000000000004</v>
      </c>
      <c r="BT65" s="55"/>
      <c r="BU65" s="55"/>
      <c r="BV65" s="55"/>
      <c r="BX65" s="129"/>
      <c r="BY65" s="129">
        <f>1-BY64</f>
        <v>0.30000000000000004</v>
      </c>
      <c r="BZ65" s="55"/>
      <c r="CA65" s="55"/>
      <c r="CB65" s="55"/>
      <c r="CD65" s="129"/>
      <c r="CE65" s="129">
        <f>1-CE64</f>
        <v>0.30000000000000004</v>
      </c>
      <c r="CF65" s="55"/>
      <c r="CG65" s="55"/>
      <c r="CH65" s="55"/>
      <c r="CJ65" s="129"/>
      <c r="CK65" s="129">
        <f>1-CK64</f>
        <v>0.30000000000000004</v>
      </c>
      <c r="CL65" s="55"/>
      <c r="CM65" s="55"/>
      <c r="CN65" s="55"/>
      <c r="CP65" s="129"/>
      <c r="CQ65" s="129">
        <f>1-CQ64</f>
        <v>0.30000000000000004</v>
      </c>
      <c r="CR65" s="55"/>
      <c r="CS65" s="55"/>
      <c r="CT65" s="55"/>
      <c r="CV65" s="129"/>
      <c r="CW65" s="129">
        <f>1-CW64</f>
        <v>0.30000000000000004</v>
      </c>
      <c r="CX65" s="55"/>
      <c r="CY65" s="55"/>
      <c r="CZ65" s="55"/>
      <c r="DB65" s="129"/>
      <c r="DC65" s="129">
        <f>1-DC64</f>
        <v>0.30000000000000004</v>
      </c>
      <c r="DD65" s="55"/>
      <c r="DE65" s="55"/>
      <c r="DF65" s="55"/>
      <c r="DH65" s="129"/>
      <c r="DI65" s="129">
        <f>1-DI64</f>
        <v>0.30000000000000004</v>
      </c>
      <c r="DJ65" s="55"/>
      <c r="DK65" s="55"/>
      <c r="DL65" s="55"/>
      <c r="DN65" s="129"/>
      <c r="DO65" s="129">
        <f>1-DO64</f>
        <v>0.30000000000000004</v>
      </c>
      <c r="DP65" s="55"/>
      <c r="DQ65" s="55"/>
      <c r="DR65" s="55"/>
      <c r="DT65" s="129"/>
      <c r="DU65" s="129">
        <f>1-DU64</f>
        <v>0.30000000000000004</v>
      </c>
      <c r="DV65" s="55"/>
      <c r="DW65" s="55"/>
      <c r="DX65" s="55"/>
      <c r="DZ65" s="129"/>
      <c r="EA65" s="129">
        <f>1-EA64</f>
        <v>0.30000000000000004</v>
      </c>
      <c r="EB65" s="55"/>
      <c r="EC65" s="55"/>
      <c r="ED65" s="55"/>
      <c r="EF65" s="129"/>
      <c r="EG65" s="129">
        <f>1-EG64</f>
        <v>0.30000000000000004</v>
      </c>
      <c r="EH65" s="55"/>
      <c r="EI65" s="55"/>
      <c r="EJ65" s="55"/>
      <c r="EL65" s="129"/>
      <c r="EM65" s="129">
        <f>1-EM64</f>
        <v>0.30000000000000004</v>
      </c>
      <c r="EN65" s="55"/>
      <c r="EO65" s="55"/>
      <c r="EP65" s="55"/>
      <c r="ER65" s="129"/>
      <c r="ES65" s="129">
        <f>1-ES64</f>
        <v>0.30000000000000004</v>
      </c>
      <c r="ET65" s="55"/>
      <c r="EU65" s="55"/>
      <c r="EV65" s="55"/>
    </row>
    <row r="66" spans="2:152" x14ac:dyDescent="0.25">
      <c r="B66" s="56"/>
      <c r="C66" s="55"/>
      <c r="D66" s="129"/>
      <c r="E66" s="129"/>
      <c r="F66" s="55"/>
      <c r="G66" s="55"/>
      <c r="H66" s="55"/>
      <c r="J66" s="129"/>
      <c r="K66" s="129"/>
      <c r="L66" s="55"/>
      <c r="M66" s="55"/>
      <c r="N66" s="55"/>
      <c r="P66" s="129"/>
      <c r="Q66" s="129"/>
      <c r="R66" s="55"/>
      <c r="S66" s="55"/>
      <c r="T66" s="55"/>
      <c r="V66" s="129"/>
      <c r="W66" s="129"/>
      <c r="X66" s="55"/>
      <c r="Y66" s="55"/>
      <c r="Z66" s="55"/>
      <c r="AB66" s="129"/>
      <c r="AC66" s="129"/>
      <c r="AD66" s="55"/>
      <c r="AE66" s="55"/>
      <c r="AF66" s="55"/>
      <c r="AH66" s="129"/>
      <c r="AI66" s="129"/>
      <c r="AJ66" s="55"/>
      <c r="AK66" s="55"/>
      <c r="AL66" s="55"/>
      <c r="AN66" s="129"/>
      <c r="AO66" s="129"/>
      <c r="AP66" s="55"/>
      <c r="AQ66" s="55"/>
      <c r="AR66" s="55"/>
      <c r="AT66" s="129"/>
      <c r="AU66" s="129"/>
      <c r="AV66" s="55"/>
      <c r="AW66" s="55"/>
      <c r="AX66" s="55"/>
      <c r="AZ66" s="129"/>
      <c r="BA66" s="129"/>
      <c r="BB66" s="55"/>
      <c r="BC66" s="55"/>
      <c r="BD66" s="55"/>
      <c r="BF66" s="129"/>
      <c r="BG66" s="129"/>
      <c r="BH66" s="55"/>
      <c r="BI66" s="55"/>
      <c r="BJ66" s="55"/>
      <c r="BL66" s="129"/>
      <c r="BM66" s="129"/>
      <c r="BN66" s="55"/>
      <c r="BO66" s="55"/>
      <c r="BP66" s="55"/>
      <c r="BR66" s="129"/>
      <c r="BS66" s="129"/>
      <c r="BT66" s="55"/>
      <c r="BU66" s="55"/>
      <c r="BV66" s="55"/>
      <c r="BX66" s="129"/>
      <c r="BY66" s="129"/>
      <c r="BZ66" s="55"/>
      <c r="CA66" s="55"/>
      <c r="CB66" s="55"/>
      <c r="CD66" s="129"/>
      <c r="CE66" s="129"/>
      <c r="CF66" s="55"/>
      <c r="CG66" s="55"/>
      <c r="CH66" s="55"/>
      <c r="CJ66" s="129"/>
      <c r="CK66" s="129"/>
      <c r="CL66" s="55"/>
      <c r="CM66" s="55"/>
      <c r="CN66" s="55"/>
      <c r="CP66" s="129"/>
      <c r="CQ66" s="129"/>
      <c r="CR66" s="55"/>
      <c r="CS66" s="55"/>
      <c r="CT66" s="55"/>
      <c r="CV66" s="129"/>
      <c r="CW66" s="129"/>
      <c r="CX66" s="55"/>
      <c r="CY66" s="55"/>
      <c r="CZ66" s="55"/>
      <c r="DB66" s="129"/>
      <c r="DC66" s="129"/>
      <c r="DD66" s="55"/>
      <c r="DE66" s="55"/>
      <c r="DF66" s="55"/>
      <c r="DH66" s="129"/>
      <c r="DI66" s="129"/>
      <c r="DJ66" s="55"/>
      <c r="DK66" s="55"/>
      <c r="DL66" s="55"/>
      <c r="DN66" s="129"/>
      <c r="DO66" s="129"/>
      <c r="DP66" s="55"/>
      <c r="DQ66" s="55"/>
      <c r="DR66" s="55"/>
      <c r="DT66" s="129"/>
      <c r="DU66" s="129"/>
      <c r="DV66" s="55"/>
      <c r="DW66" s="55"/>
      <c r="DX66" s="55"/>
      <c r="DZ66" s="129"/>
      <c r="EA66" s="129"/>
      <c r="EB66" s="55"/>
      <c r="EC66" s="55"/>
      <c r="ED66" s="55"/>
      <c r="EF66" s="129"/>
      <c r="EG66" s="129"/>
      <c r="EH66" s="55"/>
      <c r="EI66" s="55"/>
      <c r="EJ66" s="55"/>
      <c r="EL66" s="129"/>
      <c r="EM66" s="129"/>
      <c r="EN66" s="55"/>
      <c r="EO66" s="55"/>
      <c r="EP66" s="55"/>
      <c r="ER66" s="129"/>
      <c r="ES66" s="129"/>
      <c r="ET66" s="55"/>
      <c r="EU66" s="55"/>
      <c r="EV66" s="55"/>
    </row>
    <row r="67" spans="2:152" x14ac:dyDescent="0.25">
      <c r="B67" s="56" t="s">
        <v>356</v>
      </c>
      <c r="C67" s="55" t="s">
        <v>63</v>
      </c>
      <c r="D67" s="129"/>
      <c r="E67" s="100">
        <f>'W2'!$K$34</f>
        <v>2000</v>
      </c>
      <c r="F67" s="55"/>
      <c r="G67" s="55"/>
      <c r="H67" s="55"/>
      <c r="J67" s="129"/>
      <c r="K67" s="100">
        <f>'W2'!$K$34</f>
        <v>2000</v>
      </c>
      <c r="L67" s="55"/>
      <c r="M67" s="55"/>
      <c r="N67" s="55"/>
      <c r="P67" s="129"/>
      <c r="Q67" s="100">
        <f>'W2'!$K$34</f>
        <v>2000</v>
      </c>
      <c r="R67" s="55"/>
      <c r="S67" s="55"/>
      <c r="T67" s="55"/>
      <c r="V67" s="129"/>
      <c r="W67" s="100">
        <f>'W2'!$K$34</f>
        <v>2000</v>
      </c>
      <c r="X67" s="55"/>
      <c r="Y67" s="55"/>
      <c r="Z67" s="55"/>
      <c r="AB67" s="129"/>
      <c r="AC67" s="100">
        <f>'W2'!$K$34</f>
        <v>2000</v>
      </c>
      <c r="AD67" s="55"/>
      <c r="AE67" s="55"/>
      <c r="AF67" s="55"/>
      <c r="AH67" s="129"/>
      <c r="AI67" s="100">
        <f>'W2'!$K$34</f>
        <v>2000</v>
      </c>
      <c r="AJ67" s="55"/>
      <c r="AK67" s="55"/>
      <c r="AL67" s="55"/>
      <c r="AN67" s="129"/>
      <c r="AO67" s="100">
        <f>'W2'!$K$34</f>
        <v>2000</v>
      </c>
      <c r="AP67" s="55"/>
      <c r="AQ67" s="55"/>
      <c r="AR67" s="55"/>
      <c r="AT67" s="129"/>
      <c r="AU67" s="100">
        <f>'W2'!$K$34</f>
        <v>2000</v>
      </c>
      <c r="AV67" s="55"/>
      <c r="AW67" s="55"/>
      <c r="AX67" s="55"/>
      <c r="AZ67" s="129"/>
      <c r="BA67" s="100">
        <f>'W2'!$K$34</f>
        <v>2000</v>
      </c>
      <c r="BB67" s="55"/>
      <c r="BC67" s="55"/>
      <c r="BD67" s="55"/>
      <c r="BF67" s="129"/>
      <c r="BG67" s="100">
        <f>'W2'!$K$34</f>
        <v>2000</v>
      </c>
      <c r="BH67" s="55"/>
      <c r="BI67" s="55"/>
      <c r="BJ67" s="55"/>
      <c r="BL67" s="129"/>
      <c r="BM67" s="100">
        <f>'W2'!$K$34</f>
        <v>2000</v>
      </c>
      <c r="BN67" s="55"/>
      <c r="BO67" s="55"/>
      <c r="BP67" s="55"/>
      <c r="BR67" s="129"/>
      <c r="BS67" s="100">
        <f>'W2'!$K$34</f>
        <v>2000</v>
      </c>
      <c r="BT67" s="55"/>
      <c r="BU67" s="55"/>
      <c r="BV67" s="55"/>
      <c r="BX67" s="129"/>
      <c r="BY67" s="100">
        <f>'W2'!$K$34</f>
        <v>2000</v>
      </c>
      <c r="BZ67" s="55"/>
      <c r="CA67" s="55"/>
      <c r="CB67" s="55"/>
      <c r="CD67" s="129"/>
      <c r="CE67" s="100">
        <f>'W2'!$K$34</f>
        <v>2000</v>
      </c>
      <c r="CF67" s="55"/>
      <c r="CG67" s="55"/>
      <c r="CH67" s="55"/>
      <c r="CJ67" s="129"/>
      <c r="CK67" s="100">
        <f>'W2'!$K$34</f>
        <v>2000</v>
      </c>
      <c r="CL67" s="55"/>
      <c r="CM67" s="55"/>
      <c r="CN67" s="55"/>
      <c r="CP67" s="129"/>
      <c r="CQ67" s="100">
        <f>'W2'!$K$34</f>
        <v>2000</v>
      </c>
      <c r="CR67" s="55"/>
      <c r="CS67" s="55"/>
      <c r="CT67" s="55"/>
      <c r="CV67" s="129"/>
      <c r="CW67" s="100">
        <f>'W2'!$K$34</f>
        <v>2000</v>
      </c>
      <c r="CX67" s="55"/>
      <c r="CY67" s="55"/>
      <c r="CZ67" s="55"/>
      <c r="DB67" s="129"/>
      <c r="DC67" s="100">
        <f>'W2'!$K$34</f>
        <v>2000</v>
      </c>
      <c r="DD67" s="55"/>
      <c r="DE67" s="55"/>
      <c r="DF67" s="55"/>
      <c r="DH67" s="129"/>
      <c r="DI67" s="100">
        <f>'W2'!$K$34</f>
        <v>2000</v>
      </c>
      <c r="DJ67" s="55"/>
      <c r="DK67" s="55"/>
      <c r="DL67" s="55"/>
      <c r="DN67" s="129"/>
      <c r="DO67" s="100">
        <f>'W2'!$K$34</f>
        <v>2000</v>
      </c>
      <c r="DP67" s="55"/>
      <c r="DQ67" s="55"/>
      <c r="DR67" s="55"/>
      <c r="DT67" s="129"/>
      <c r="DU67" s="100">
        <f>'W2'!$K$34</f>
        <v>2000</v>
      </c>
      <c r="DV67" s="55"/>
      <c r="DW67" s="55"/>
      <c r="DX67" s="55"/>
      <c r="DZ67" s="129"/>
      <c r="EA67" s="100">
        <f>'W2'!$K$34</f>
        <v>2000</v>
      </c>
      <c r="EB67" s="55"/>
      <c r="EC67" s="55"/>
      <c r="ED67" s="55"/>
      <c r="EF67" s="129"/>
      <c r="EG67" s="100">
        <f>'W2'!$K$34</f>
        <v>2000</v>
      </c>
      <c r="EH67" s="55"/>
      <c r="EI67" s="55"/>
      <c r="EJ67" s="55"/>
      <c r="EL67" s="129"/>
      <c r="EM67" s="100">
        <f>'W2'!$K$34</f>
        <v>2000</v>
      </c>
      <c r="EN67" s="55"/>
      <c r="EO67" s="55"/>
      <c r="EP67" s="55"/>
      <c r="ER67" s="129"/>
      <c r="ES67" s="100">
        <f>'W2'!$K$34</f>
        <v>2000</v>
      </c>
      <c r="ET67" s="55"/>
      <c r="EU67" s="55"/>
      <c r="EV67" s="55"/>
    </row>
    <row r="68" spans="2:152" x14ac:dyDescent="0.25">
      <c r="B68" s="56" t="s">
        <v>358</v>
      </c>
      <c r="C68" s="55" t="s">
        <v>357</v>
      </c>
      <c r="D68" s="129"/>
      <c r="E68" s="100" cm="1">
        <f t="array" ref="E68">'W2'!$L$34*$E$1
*_xlfn.SWITCH($C$1,1,1,2,1+Opt2_CPSX,3,1+Opt3_CPSX,4,1+Opt4_CPSX,5,1+Opt5_CPSX,6,1+Opt6_CPSX)
*POWER(1+$C$72,G$1)</f>
        <v>105000</v>
      </c>
      <c r="F68" s="55"/>
      <c r="G68" s="55"/>
      <c r="H68" s="55"/>
      <c r="J68" s="129"/>
      <c r="K68" s="100" cm="1">
        <f t="array" ref="K68">'W2'!$L$34*$E$1
*_xlfn.SWITCH($C$1,1,1,2,1+Opt2_CPSX,3,1+Opt3_CPSX,4,1+Opt4_CPSX,5,1+Opt5_CPSX,6,1+Opt6_CPSX)
*POWER(1+$C$72,M$1)</f>
        <v>105000</v>
      </c>
      <c r="L68" s="55"/>
      <c r="M68" s="55"/>
      <c r="N68" s="55"/>
      <c r="P68" s="129"/>
      <c r="Q68" s="100" cm="1">
        <f t="array" ref="Q68">'W2'!$L$34*$E$1
*_xlfn.SWITCH($C$1,1,1,2,1+Opt2_CPSX,3,1+Opt3_CPSX,4,1+Opt4_CPSX,5,1+Opt5_CPSX,6,1+Opt6_CPSX)
*POWER(1+$C$72,S$1)</f>
        <v>110250</v>
      </c>
      <c r="R68" s="55"/>
      <c r="S68" s="55"/>
      <c r="T68" s="55"/>
      <c r="V68" s="129"/>
      <c r="W68" s="100" cm="1">
        <f t="array" ref="W68">'W2'!$L$34*$E$1
*_xlfn.SWITCH($C$1,1,1,2,1+Opt2_CPSX,3,1+Opt3_CPSX,4,1+Opt4_CPSX,5,1+Opt5_CPSX,6,1+Opt6_CPSX)
*POWER(1+$C$72,Y$1)</f>
        <v>115762.5</v>
      </c>
      <c r="X68" s="55"/>
      <c r="Y68" s="55"/>
      <c r="Z68" s="55"/>
      <c r="AB68" s="129"/>
      <c r="AC68" s="100" cm="1">
        <f t="array" ref="AC68">'W2'!$L$34*$E$1
*_xlfn.SWITCH($C$1,1,1,2,1+Opt2_CPSX,3,1+Opt3_CPSX,4,1+Opt4_CPSX,5,1+Opt5_CPSX,6,1+Opt6_CPSX)
*POWER(1+$C$72,AE$1)</f>
        <v>121550.62500000001</v>
      </c>
      <c r="AD68" s="55"/>
      <c r="AE68" s="55"/>
      <c r="AF68" s="55"/>
      <c r="AH68" s="129"/>
      <c r="AI68" s="100" cm="1">
        <f t="array" ref="AI68">'W2'!$L$34*$E$1
*_xlfn.SWITCH($C$1,1,1,2,1+Opt2_CPSX,3,1+Opt3_CPSX,4,1+Opt4_CPSX,5,1+Opt5_CPSX,6,1+Opt6_CPSX)
*POWER(1+$C$72,AK$1)</f>
        <v>127628.15625</v>
      </c>
      <c r="AJ68" s="55"/>
      <c r="AK68" s="55"/>
      <c r="AL68" s="55"/>
      <c r="AN68" s="129"/>
      <c r="AO68" s="100" cm="1">
        <f t="array" ref="AO68">'W2'!$L$34*$E$1
*_xlfn.SWITCH($C$1,1,1,2,1+Opt2_CPSX,3,1+Opt3_CPSX,4,1+Opt4_CPSX,5,1+Opt5_CPSX,6,1+Opt6_CPSX)
*POWER(1+$C$72,AQ$1)</f>
        <v>134009.56406250002</v>
      </c>
      <c r="AP68" s="55"/>
      <c r="AQ68" s="55"/>
      <c r="AR68" s="55"/>
      <c r="AT68" s="129"/>
      <c r="AU68" s="100" cm="1">
        <f t="array" ref="AU68">'W2'!$L$34*$E$1
*_xlfn.SWITCH($C$1,1,1,2,1+Opt2_CPSX,3,1+Opt3_CPSX,4,1+Opt4_CPSX,5,1+Opt5_CPSX,6,1+Opt6_CPSX)
*POWER(1+$C$72,AW$1)</f>
        <v>140710.042265625</v>
      </c>
      <c r="AV68" s="55"/>
      <c r="AW68" s="55"/>
      <c r="AX68" s="55"/>
      <c r="AZ68" s="129"/>
      <c r="BA68" s="100" cm="1">
        <f t="array" ref="BA68">'W2'!$L$34*$E$1
*_xlfn.SWITCH($C$1,1,1,2,1+Opt2_CPSX,3,1+Opt3_CPSX,4,1+Opt4_CPSX,5,1+Opt5_CPSX,6,1+Opt6_CPSX)
*POWER(1+$C$72,BC$1)</f>
        <v>147745.54437890628</v>
      </c>
      <c r="BB68" s="55"/>
      <c r="BC68" s="55"/>
      <c r="BD68" s="55"/>
      <c r="BF68" s="129"/>
      <c r="BG68" s="100" cm="1">
        <f t="array" ref="BG68">'W2'!$L$34*$E$1
*_xlfn.SWITCH($C$1,1,1,2,1+Opt2_CPSX,3,1+Opt3_CPSX,4,1+Opt4_CPSX,5,1+Opt5_CPSX,6,1+Opt6_CPSX)
*POWER(1+$C$72,BI$1)</f>
        <v>155132.82159785158</v>
      </c>
      <c r="BH68" s="55"/>
      <c r="BI68" s="55"/>
      <c r="BJ68" s="55"/>
      <c r="BL68" s="129"/>
      <c r="BM68" s="100" cm="1">
        <f t="array" ref="BM68">'W2'!$L$34*$E$1
*_xlfn.SWITCH($C$1,1,1,2,1+Opt2_CPSX,3,1+Opt3_CPSX,4,1+Opt4_CPSX,5,1+Opt5_CPSX,6,1+Opt6_CPSX)
*POWER(1+$C$72,BO$1)</f>
        <v>162889.46267774416</v>
      </c>
      <c r="BN68" s="55"/>
      <c r="BO68" s="55"/>
      <c r="BP68" s="55"/>
      <c r="BR68" s="129"/>
      <c r="BS68" s="100" cm="1">
        <f t="array" ref="BS68">'W2'!$L$34*$E$1
*_xlfn.SWITCH($C$1,1,1,2,1+Opt2_CPSX,3,1+Opt3_CPSX,4,1+Opt4_CPSX,5,1+Opt5_CPSX,6,1+Opt6_CPSX)
*POWER(1+$C$72,BU$1)</f>
        <v>171033.93581163135</v>
      </c>
      <c r="BT68" s="55"/>
      <c r="BU68" s="55"/>
      <c r="BV68" s="55"/>
      <c r="BX68" s="129"/>
      <c r="BY68" s="100" cm="1">
        <f t="array" ref="BY68">'W2'!$L$34*$E$1
*_xlfn.SWITCH($C$1,1,1,2,1+Opt2_CPSX,3,1+Opt3_CPSX,4,1+Opt4_CPSX,5,1+Opt5_CPSX,6,1+Opt6_CPSX)
*POWER(1+$C$72,CA$1)</f>
        <v>179585.63260221295</v>
      </c>
      <c r="BZ68" s="55"/>
      <c r="CA68" s="55"/>
      <c r="CB68" s="55"/>
      <c r="CD68" s="129"/>
      <c r="CE68" s="100" cm="1">
        <f t="array" ref="CE68">'W2'!$L$34*$E$1
*_xlfn.SWITCH($C$1,1,1,2,1+Opt2_CPSX,3,1+Opt3_CPSX,4,1+Opt4_CPSX,5,1+Opt5_CPSX,6,1+Opt6_CPSX)
*POWER(1+$C$72,CG$1)</f>
        <v>188564.91423232356</v>
      </c>
      <c r="CF68" s="55"/>
      <c r="CG68" s="55"/>
      <c r="CH68" s="55"/>
      <c r="CJ68" s="129"/>
      <c r="CK68" s="100" cm="1">
        <f t="array" ref="CK68">'W2'!$L$34*$E$1
*_xlfn.SWITCH($C$1,1,1,2,1+Opt2_CPSX,3,1+Opt3_CPSX,4,1+Opt4_CPSX,5,1+Opt5_CPSX,6,1+Opt6_CPSX)
*POWER(1+$C$72,CM$1)</f>
        <v>197993.15994393977</v>
      </c>
      <c r="CL68" s="55"/>
      <c r="CM68" s="55"/>
      <c r="CN68" s="55"/>
      <c r="CP68" s="129"/>
      <c r="CQ68" s="100" cm="1">
        <f t="array" ref="CQ68">'W2'!$L$34*$E$1
*_xlfn.SWITCH($C$1,1,1,2,1+Opt2_CPSX,3,1+Opt3_CPSX,4,1+Opt4_CPSX,5,1+Opt5_CPSX,6,1+Opt6_CPSX)
*POWER(1+$C$72,CS$1)</f>
        <v>207892.81794113672</v>
      </c>
      <c r="CR68" s="55"/>
      <c r="CS68" s="55"/>
      <c r="CT68" s="55"/>
      <c r="CV68" s="129"/>
      <c r="CW68" s="100" cm="1">
        <f t="array" ref="CW68">'W2'!$L$34*$E$1
*_xlfn.SWITCH($C$1,1,1,2,1+Opt2_CPSX,3,1+Opt3_CPSX,4,1+Opt4_CPSX,5,1+Opt5_CPSX,6,1+Opt6_CPSX)
*POWER(1+$C$72,CY$1)</f>
        <v>218287.45883819362</v>
      </c>
      <c r="CX68" s="55"/>
      <c r="CY68" s="55"/>
      <c r="CZ68" s="55"/>
      <c r="DB68" s="129"/>
      <c r="DC68" s="100" cm="1">
        <f t="array" ref="DC68">'W2'!$L$34*$E$1
*_xlfn.SWITCH($C$1,1,1,2,1+Opt2_CPSX,3,1+Opt3_CPSX,4,1+Opt4_CPSX,5,1+Opt5_CPSX,6,1+Opt6_CPSX)
*POWER(1+$C$72,DE$1)</f>
        <v>229201.8317801033</v>
      </c>
      <c r="DD68" s="55"/>
      <c r="DE68" s="55"/>
      <c r="DF68" s="55"/>
      <c r="DH68" s="129"/>
      <c r="DI68" s="100" cm="1">
        <f t="array" ref="DI68">'W2'!$L$34*$E$1
*_xlfn.SWITCH($C$1,1,1,2,1+Opt2_CPSX,3,1+Opt3_CPSX,4,1+Opt4_CPSX,5,1+Opt5_CPSX,6,1+Opt6_CPSX)
*POWER(1+$C$72,DK$1)</f>
        <v>240661.9233691085</v>
      </c>
      <c r="DJ68" s="55"/>
      <c r="DK68" s="55"/>
      <c r="DL68" s="55"/>
      <c r="DN68" s="129"/>
      <c r="DO68" s="100" cm="1">
        <f t="array" ref="DO68">'W2'!$L$34*$E$1
*_xlfn.SWITCH($C$1,1,1,2,1+Opt2_CPSX,3,1+Opt3_CPSX,4,1+Opt4_CPSX,5,1+Opt5_CPSX,6,1+Opt6_CPSX)
*POWER(1+$C$72,DQ$1)</f>
        <v>252695.0195375639</v>
      </c>
      <c r="DP68" s="55"/>
      <c r="DQ68" s="55"/>
      <c r="DR68" s="55"/>
      <c r="DT68" s="129"/>
      <c r="DU68" s="100" cm="1">
        <f t="array" ref="DU68">'W2'!$L$34*$E$1
*_xlfn.SWITCH($C$1,1,1,2,1+Opt2_CPSX,3,1+Opt3_CPSX,4,1+Opt4_CPSX,5,1+Opt5_CPSX,6,1+Opt6_CPSX)
*POWER(1+$C$72,DW$1)</f>
        <v>265329.77051444212</v>
      </c>
      <c r="DV68" s="55"/>
      <c r="DW68" s="55"/>
      <c r="DX68" s="55"/>
      <c r="DZ68" s="129"/>
      <c r="EA68" s="100" cm="1">
        <f t="array" ref="EA68">'W2'!$L$34*$E$1
*_xlfn.SWITCH($C$1,1,1,2,1+Opt2_CPSX,3,1+Opt3_CPSX,4,1+Opt4_CPSX,5,1+Opt5_CPSX,6,1+Opt6_CPSX)
*POWER(1+$C$72,EC$1)</f>
        <v>278596.25904016418</v>
      </c>
      <c r="EB68" s="55"/>
      <c r="EC68" s="55"/>
      <c r="ED68" s="55"/>
      <c r="EF68" s="129"/>
      <c r="EG68" s="100" cm="1">
        <f t="array" ref="EG68">'W2'!$L$34*$E$1
*_xlfn.SWITCH($C$1,1,1,2,1+Opt2_CPSX,3,1+Opt3_CPSX,4,1+Opt4_CPSX,5,1+Opt5_CPSX,6,1+Opt6_CPSX)
*POWER(1+$C$72,EI$1)</f>
        <v>292526.07199217239</v>
      </c>
      <c r="EH68" s="55"/>
      <c r="EI68" s="55"/>
      <c r="EJ68" s="55"/>
      <c r="EL68" s="129"/>
      <c r="EM68" s="100" cm="1">
        <f t="array" ref="EM68">'W2'!$L$34*$E$1
*_xlfn.SWITCH($C$1,1,1,2,1+Opt2_CPSX,3,1+Opt3_CPSX,4,1+Opt4_CPSX,5,1+Opt5_CPSX,6,1+Opt6_CPSX)
*POWER(1+$C$72,EO$1)</f>
        <v>307152.37559178099</v>
      </c>
      <c r="EN68" s="55"/>
      <c r="EO68" s="55"/>
      <c r="EP68" s="55"/>
      <c r="ER68" s="129"/>
      <c r="ES68" s="100" cm="1">
        <f t="array" ref="ES68">'W2'!$L$34*$E$1
*_xlfn.SWITCH($C$1,1,1,2,1+Opt2_CPSX,3,1+Opt3_CPSX,4,1+Opt4_CPSX,5,1+Opt5_CPSX,6,1+Opt6_CPSX)
*POWER(1+$C$72,EU$1)</f>
        <v>322509.99437137012</v>
      </c>
      <c r="ET68" s="55"/>
      <c r="EU68" s="55"/>
      <c r="EV68" s="55"/>
    </row>
    <row r="69" spans="2:152" x14ac:dyDescent="0.25">
      <c r="B69" s="56" t="s">
        <v>359</v>
      </c>
      <c r="C69" s="55" t="s">
        <v>129</v>
      </c>
      <c r="D69" s="129"/>
      <c r="E69" s="100"/>
      <c r="F69" s="100">
        <f>E67*E68</f>
        <v>210000000</v>
      </c>
      <c r="G69" s="134">
        <f>F69*12</f>
        <v>2520000000</v>
      </c>
      <c r="H69" s="55"/>
      <c r="J69" s="129"/>
      <c r="K69" s="100"/>
      <c r="L69" s="100">
        <f>K67*K68</f>
        <v>210000000</v>
      </c>
      <c r="M69" s="134">
        <f>L69*12</f>
        <v>2520000000</v>
      </c>
      <c r="N69" s="55"/>
      <c r="P69" s="129"/>
      <c r="Q69" s="100"/>
      <c r="R69" s="100">
        <f>Q67*Q68</f>
        <v>220500000</v>
      </c>
      <c r="S69" s="134">
        <f>R69*12</f>
        <v>2646000000</v>
      </c>
      <c r="T69" s="55"/>
      <c r="V69" s="129"/>
      <c r="W69" s="100"/>
      <c r="X69" s="100">
        <f>W67*W68</f>
        <v>231525000</v>
      </c>
      <c r="Y69" s="134">
        <f>X69*12</f>
        <v>2778300000</v>
      </c>
      <c r="Z69" s="55"/>
      <c r="AB69" s="129"/>
      <c r="AC69" s="100"/>
      <c r="AD69" s="100">
        <f>AC67*AC68</f>
        <v>243101250.00000003</v>
      </c>
      <c r="AE69" s="134">
        <f>AD69*12</f>
        <v>2917215000.0000005</v>
      </c>
      <c r="AF69" s="55"/>
      <c r="AH69" s="129"/>
      <c r="AI69" s="100"/>
      <c r="AJ69" s="100">
        <f>AI67*AI68</f>
        <v>255256312.5</v>
      </c>
      <c r="AK69" s="134">
        <f>AJ69*12</f>
        <v>3063075750</v>
      </c>
      <c r="AL69" s="55"/>
      <c r="AN69" s="129"/>
      <c r="AO69" s="100"/>
      <c r="AP69" s="100">
        <f>AO67*AO68</f>
        <v>268019128.12500006</v>
      </c>
      <c r="AQ69" s="134">
        <f>AP69*12</f>
        <v>3216229537.500001</v>
      </c>
      <c r="AR69" s="55"/>
      <c r="AT69" s="129"/>
      <c r="AU69" s="100"/>
      <c r="AV69" s="100">
        <f>AU67*AU68</f>
        <v>281420084.53125</v>
      </c>
      <c r="AW69" s="134">
        <f>AV69*12</f>
        <v>3377041014.375</v>
      </c>
      <c r="AX69" s="55"/>
      <c r="AZ69" s="129"/>
      <c r="BA69" s="100"/>
      <c r="BB69" s="100">
        <f>BA67*BA68</f>
        <v>295491088.75781256</v>
      </c>
      <c r="BC69" s="134">
        <f>BB69*12</f>
        <v>3545893065.093751</v>
      </c>
      <c r="BD69" s="55"/>
      <c r="BF69" s="129"/>
      <c r="BG69" s="100"/>
      <c r="BH69" s="100">
        <f>BG67*BG68</f>
        <v>310265643.19570315</v>
      </c>
      <c r="BI69" s="134">
        <f>BH69*12</f>
        <v>3723187718.3484378</v>
      </c>
      <c r="BJ69" s="55"/>
      <c r="BL69" s="129"/>
      <c r="BM69" s="100"/>
      <c r="BN69" s="100">
        <f>BM67*BM68</f>
        <v>325778925.3554883</v>
      </c>
      <c r="BO69" s="134">
        <f>BN69*12</f>
        <v>3909347104.2658596</v>
      </c>
      <c r="BP69" s="55"/>
      <c r="BR69" s="129"/>
      <c r="BS69" s="100"/>
      <c r="BT69" s="100">
        <f>BS67*BS68</f>
        <v>342067871.6232627</v>
      </c>
      <c r="BU69" s="134">
        <f>BT69*12</f>
        <v>4104814459.4791527</v>
      </c>
      <c r="BV69" s="55"/>
      <c r="BX69" s="129"/>
      <c r="BY69" s="100"/>
      <c r="BZ69" s="100">
        <f>BY67*BY68</f>
        <v>359171265.20442593</v>
      </c>
      <c r="CA69" s="134">
        <f>BZ69*12</f>
        <v>4310055182.4531116</v>
      </c>
      <c r="CB69" s="55"/>
      <c r="CD69" s="129"/>
      <c r="CE69" s="100"/>
      <c r="CF69" s="100">
        <f>CE67*CE68</f>
        <v>377129828.46464711</v>
      </c>
      <c r="CG69" s="134">
        <f>CF69*12</f>
        <v>4525557941.5757656</v>
      </c>
      <c r="CH69" s="55"/>
      <c r="CJ69" s="129"/>
      <c r="CK69" s="100"/>
      <c r="CL69" s="100">
        <f>CK67*CK68</f>
        <v>395986319.88787955</v>
      </c>
      <c r="CM69" s="134">
        <f>CL69*12</f>
        <v>4751835838.6545544</v>
      </c>
      <c r="CN69" s="55"/>
      <c r="CP69" s="129"/>
      <c r="CQ69" s="100"/>
      <c r="CR69" s="100">
        <f>CQ67*CQ68</f>
        <v>415785635.88227344</v>
      </c>
      <c r="CS69" s="134">
        <f>CR69*12</f>
        <v>4989427630.5872812</v>
      </c>
      <c r="CT69" s="55"/>
      <c r="CV69" s="129"/>
      <c r="CW69" s="100"/>
      <c r="CX69" s="100">
        <f>CW67*CW68</f>
        <v>436574917.67638725</v>
      </c>
      <c r="CY69" s="134">
        <f>CX69*12</f>
        <v>5238899012.1166468</v>
      </c>
      <c r="CZ69" s="55"/>
      <c r="DB69" s="129"/>
      <c r="DC69" s="100"/>
      <c r="DD69" s="100">
        <f>DC67*DC68</f>
        <v>458403663.56020659</v>
      </c>
      <c r="DE69" s="134">
        <f>DD69*12</f>
        <v>5500843962.7224789</v>
      </c>
      <c r="DF69" s="55"/>
      <c r="DH69" s="129"/>
      <c r="DI69" s="100"/>
      <c r="DJ69" s="100">
        <f>DI67*DI68</f>
        <v>481323846.738217</v>
      </c>
      <c r="DK69" s="134">
        <f>DJ69*12</f>
        <v>5775886160.8586044</v>
      </c>
      <c r="DL69" s="55"/>
      <c r="DN69" s="129"/>
      <c r="DO69" s="100"/>
      <c r="DP69" s="100">
        <f>DO67*DO68</f>
        <v>505390039.07512778</v>
      </c>
      <c r="DQ69" s="134">
        <f>DP69*12</f>
        <v>6064680468.9015331</v>
      </c>
      <c r="DR69" s="55"/>
      <c r="DT69" s="129"/>
      <c r="DU69" s="100"/>
      <c r="DV69" s="100">
        <f>DU67*DU68</f>
        <v>530659541.02888423</v>
      </c>
      <c r="DW69" s="134">
        <f>DV69*12</f>
        <v>6367914492.346611</v>
      </c>
      <c r="DX69" s="55"/>
      <c r="DZ69" s="129"/>
      <c r="EA69" s="100"/>
      <c r="EB69" s="100">
        <f>EA67*EA68</f>
        <v>557192518.08032835</v>
      </c>
      <c r="EC69" s="134">
        <f>EB69*12</f>
        <v>6686310216.9639397</v>
      </c>
      <c r="ED69" s="55"/>
      <c r="EF69" s="129"/>
      <c r="EG69" s="100"/>
      <c r="EH69" s="100">
        <f>EG67*EG68</f>
        <v>585052143.98434484</v>
      </c>
      <c r="EI69" s="134">
        <f>EH69*12</f>
        <v>7020625727.8121376</v>
      </c>
      <c r="EJ69" s="55"/>
      <c r="EL69" s="129"/>
      <c r="EM69" s="100"/>
      <c r="EN69" s="100">
        <f>EM67*EM68</f>
        <v>614304751.18356204</v>
      </c>
      <c r="EO69" s="134">
        <f>EN69*12</f>
        <v>7371657014.2027445</v>
      </c>
      <c r="EP69" s="55"/>
      <c r="ER69" s="129"/>
      <c r="ES69" s="100"/>
      <c r="ET69" s="100">
        <f>ES67*ES68</f>
        <v>645019988.74274027</v>
      </c>
      <c r="EU69" s="134">
        <f>ET69*12</f>
        <v>7740239864.9128838</v>
      </c>
      <c r="EV69" s="55"/>
    </row>
    <row r="71" spans="2:152" x14ac:dyDescent="0.25">
      <c r="B71" s="59" t="s">
        <v>145</v>
      </c>
    </row>
    <row r="72" spans="2:152" x14ac:dyDescent="0.25">
      <c r="B72" s="322" t="s">
        <v>524</v>
      </c>
      <c r="C72" s="323">
        <v>0.05</v>
      </c>
    </row>
    <row r="74" spans="2:152" x14ac:dyDescent="0.25">
      <c r="E74" s="64">
        <f>E41+E42+E43+E44+E45+E49</f>
        <v>464990000000</v>
      </c>
    </row>
    <row r="75" spans="2:152" x14ac:dyDescent="0.25">
      <c r="E75" s="70">
        <f>E74/1.04</f>
        <v>447105769230.76923</v>
      </c>
    </row>
  </sheetData>
  <dataValidations count="1">
    <dataValidation type="list" allowBlank="1" showInputMessage="1" showErrorMessage="1" sqref="B1" xr:uid="{B65C47B0-9676-49D9-98C5-43866C635D18}">
      <formula1>"Option 1, Option 2, Option 3, Option 4, Option 5, Option 6"</formula1>
    </dataValidation>
  </dataValidation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2C8F-F586-4FA4-8A75-E260F0AFEB6B}">
  <sheetPr>
    <tabColor rgb="FFC00000"/>
  </sheetPr>
  <dimension ref="A1:EV37"/>
  <sheetViews>
    <sheetView showGridLines="0" zoomScaleNormal="100" workbookViewId="0">
      <pane xSplit="3" ySplit="3" topLeftCell="S4" activePane="bottomRight" state="frozen"/>
      <selection activeCell="Q68" sqref="Q68"/>
      <selection pane="topRight" activeCell="Q68" sqref="Q68"/>
      <selection pane="bottomLeft" activeCell="Q68" sqref="Q68"/>
      <selection pane="bottomRight" activeCell="Q68" sqref="Q68"/>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tr">
        <f>'W6 - Operating cost'!J2</f>
        <v>Year 2 - Mass Production</v>
      </c>
      <c r="K1" s="49"/>
      <c r="L1" s="49"/>
      <c r="M1" s="49"/>
      <c r="N1" s="49"/>
      <c r="P1" s="50" t="str">
        <f>'W6 - Operating cost'!P2</f>
        <v>Year 3 - Mass Production</v>
      </c>
      <c r="Q1" s="49"/>
      <c r="R1" s="49"/>
      <c r="S1" s="49"/>
      <c r="T1" s="49"/>
      <c r="V1" s="50" t="str">
        <f>'W6 - Operating cost'!V2</f>
        <v>Year 4 - Mass Production</v>
      </c>
      <c r="W1" s="49"/>
      <c r="X1" s="49"/>
      <c r="Y1" s="49"/>
      <c r="Z1" s="49"/>
      <c r="AB1" s="50" t="str">
        <f>'W6 - Operating cost'!AB2</f>
        <v>Year 5 - Mass Production</v>
      </c>
      <c r="AC1" s="49"/>
      <c r="AD1" s="49"/>
      <c r="AE1" s="49"/>
      <c r="AF1" s="49"/>
      <c r="AH1" s="50" t="str">
        <f>'W6 - Operating cost'!AH2</f>
        <v>Year 6 - Mass Production</v>
      </c>
      <c r="AI1" s="49"/>
      <c r="AJ1" s="49"/>
      <c r="AK1" s="49"/>
      <c r="AL1" s="49"/>
      <c r="AN1" s="50" t="str">
        <f>'W6 - Operating cost'!AN2</f>
        <v>Year 7 - Mass Production</v>
      </c>
      <c r="AO1" s="49"/>
      <c r="AP1" s="49"/>
      <c r="AQ1" s="49"/>
      <c r="AR1" s="49"/>
      <c r="AT1" s="50" t="str">
        <f>'W6 - Operating cost'!AT2</f>
        <v>Year 8 - Mass Production</v>
      </c>
      <c r="AU1" s="49"/>
      <c r="AV1" s="49"/>
      <c r="AW1" s="49"/>
      <c r="AX1" s="49"/>
      <c r="AZ1" s="50" t="str">
        <f>'W6 - Operating cost'!AZ2</f>
        <v>Year 9 - Mass Production</v>
      </c>
      <c r="BA1" s="49"/>
      <c r="BB1" s="49"/>
      <c r="BC1" s="49"/>
      <c r="BD1" s="49"/>
      <c r="BF1" s="50" t="str">
        <f>'W6 - Operating cost'!BF2</f>
        <v>Year 10 - Mass Production</v>
      </c>
      <c r="BG1" s="49"/>
      <c r="BH1" s="49"/>
      <c r="BI1" s="49"/>
      <c r="BJ1" s="49"/>
      <c r="BL1" s="50" t="str">
        <f>'W6 - Operating cost'!BL2</f>
        <v>Year 11 - Mass Production</v>
      </c>
      <c r="BM1" s="49"/>
      <c r="BN1" s="49"/>
      <c r="BO1" s="49"/>
      <c r="BP1" s="49"/>
      <c r="BR1" s="50" t="str">
        <f>'W6 - Operating cost'!BR2</f>
        <v>Year 12 - Mass Production</v>
      </c>
      <c r="BS1" s="49"/>
      <c r="BT1" s="49"/>
      <c r="BU1" s="49"/>
      <c r="BV1" s="49"/>
      <c r="BX1" s="50" t="str">
        <f>'W6 - Operating cost'!BX2</f>
        <v>Year 13 - Mass Production</v>
      </c>
      <c r="BY1" s="49"/>
      <c r="BZ1" s="49"/>
      <c r="CA1" s="49"/>
      <c r="CB1" s="49"/>
      <c r="CD1" s="50" t="str">
        <f>'W6 - Operating cost'!CD2</f>
        <v>Year 14 - Mass Production</v>
      </c>
      <c r="CE1" s="49"/>
      <c r="CF1" s="49"/>
      <c r="CG1" s="49"/>
      <c r="CH1" s="49"/>
      <c r="CJ1" s="50" t="str">
        <f>'W6 - Operating cost'!CJ2</f>
        <v>Year 15 - Mass Production</v>
      </c>
      <c r="CK1" s="49"/>
      <c r="CL1" s="49"/>
      <c r="CM1" s="49"/>
      <c r="CN1" s="49"/>
      <c r="CP1" s="50" t="str">
        <f>'W6 - Operating cost'!CP2</f>
        <v>Year 16 - Mass Production</v>
      </c>
      <c r="CQ1" s="49"/>
      <c r="CR1" s="49"/>
      <c r="CS1" s="49"/>
      <c r="CT1" s="49"/>
      <c r="CV1" s="50" t="str">
        <f>'W6 - Operating cost'!CV2</f>
        <v>Year 17 - Mass Production</v>
      </c>
      <c r="CW1" s="49"/>
      <c r="CX1" s="49"/>
      <c r="CY1" s="49"/>
      <c r="CZ1" s="49"/>
      <c r="DB1" s="50" t="str">
        <f>'W6 - Operating cost'!DB2</f>
        <v>Year 18 - Mass Production</v>
      </c>
      <c r="DC1" s="49"/>
      <c r="DD1" s="49"/>
      <c r="DE1" s="49"/>
      <c r="DF1" s="49"/>
      <c r="DH1" s="50" t="str">
        <f>'W6 - Operating cost'!DH2</f>
        <v>Year 19 - Mass Production</v>
      </c>
      <c r="DI1" s="49"/>
      <c r="DJ1" s="49"/>
      <c r="DK1" s="49"/>
      <c r="DL1" s="49"/>
      <c r="DN1" s="50" t="str">
        <f>'W6 - Operating cost'!DN2</f>
        <v>Year 20 - Mass Production</v>
      </c>
      <c r="DO1" s="49"/>
      <c r="DP1" s="49"/>
      <c r="DQ1" s="49"/>
      <c r="DR1" s="49"/>
      <c r="DT1" s="50" t="str">
        <f>'W6 - Operating cost'!DT2</f>
        <v>Year 21 - Mass Production</v>
      </c>
      <c r="DU1" s="49"/>
      <c r="DV1" s="49"/>
      <c r="DW1" s="49"/>
      <c r="DX1" s="49"/>
      <c r="DZ1" s="50" t="str">
        <f>'W6 - Operating cost'!DZ2</f>
        <v>Year 22 - Mass Production</v>
      </c>
      <c r="EA1" s="49"/>
      <c r="EB1" s="49"/>
      <c r="EC1" s="49"/>
      <c r="ED1" s="49"/>
      <c r="EF1" s="50" t="str">
        <f>'W6 - Operating cost'!EF2</f>
        <v>Year 23 - Mass Production</v>
      </c>
      <c r="EG1" s="49"/>
      <c r="EH1" s="49"/>
      <c r="EI1" s="49"/>
      <c r="EJ1" s="49"/>
      <c r="EL1" s="50" t="str">
        <f>'W6 - Operating cost'!EL2</f>
        <v>Year 24 - Mass Production</v>
      </c>
      <c r="EM1" s="49"/>
      <c r="EN1" s="49"/>
      <c r="EO1" s="49"/>
      <c r="EP1" s="49"/>
      <c r="ER1" s="50" t="str">
        <f>'W6 - Operating cost'!ER2</f>
        <v>Year 25 - Mass Production</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f>SUMIFS('W6 - Operating cost'!G$5:G$69,'W6 - Operating cost'!$A$5:$A$69,'W6 - Preform cost'!$B4)/D$29</f>
        <v>127.13153939808882</v>
      </c>
      <c r="F4" s="55"/>
      <c r="G4" s="55"/>
      <c r="H4" s="55"/>
      <c r="J4" s="55"/>
      <c r="K4" s="329">
        <f>SUMIFS('W6 - Operating cost'!M$5:M$69,'W6 - Operating cost'!$A$5:$A$69,'W6 - Preform cost'!$B4)/J$29</f>
        <v>90.808242427206309</v>
      </c>
      <c r="L4" s="55"/>
      <c r="M4" s="55"/>
      <c r="N4" s="55"/>
      <c r="P4" s="55"/>
      <c r="Q4" s="329">
        <f>SUMIFS('W6 - Operating cost'!S$5:S$69,'W6 - Operating cost'!$A$5:$A$69,'W6 - Preform cost'!$B4)/P$29</f>
        <v>63.565769699044409</v>
      </c>
      <c r="R4" s="55"/>
      <c r="S4" s="55"/>
      <c r="T4" s="55"/>
      <c r="V4" s="55"/>
      <c r="W4" s="329">
        <f>SUMIFS('W6 - Operating cost'!Y$5:Y$69,'W6 - Operating cost'!$A$5:$A$69,'W6 - Preform cost'!$B4)/V$29</f>
        <v>63.565769699044409</v>
      </c>
      <c r="X4" s="55"/>
      <c r="Y4" s="55"/>
      <c r="Z4" s="55"/>
      <c r="AB4" s="55"/>
      <c r="AC4" s="329">
        <f>SUMIFS('W6 - Operating cost'!AE$5:AE$69,'W6 - Operating cost'!$A$5:$A$69,'W6 - Preform cost'!$B4)/AB$29</f>
        <v>63.565769699044409</v>
      </c>
      <c r="AD4" s="55"/>
      <c r="AE4" s="55"/>
      <c r="AF4" s="55"/>
      <c r="AH4" s="55"/>
      <c r="AI4" s="329">
        <f>SUMIFS('W6 - Operating cost'!AK$5:AK$69,'W6 - Operating cost'!$A$5:$A$69,'W6 - Preform cost'!$B4)/AH$29</f>
        <v>63.565769699044409</v>
      </c>
      <c r="AJ4" s="55"/>
      <c r="AK4" s="55"/>
      <c r="AL4" s="55"/>
      <c r="AN4" s="55"/>
      <c r="AO4" s="329">
        <f>SUMIFS('W6 - Operating cost'!AQ$5:AQ$69,'W6 - Operating cost'!$A$5:$A$69,'W6 - Preform cost'!$B4)/AN$29</f>
        <v>63.565769699044409</v>
      </c>
      <c r="AP4" s="55"/>
      <c r="AQ4" s="55"/>
      <c r="AR4" s="55"/>
      <c r="AT4" s="55"/>
      <c r="AU4" s="329">
        <f>SUMIFS('W6 - Operating cost'!AW$5:AW$69,'W6 - Operating cost'!$A$5:$A$69,'W6 - Preform cost'!$B4)/AT$29</f>
        <v>63.565769699044409</v>
      </c>
      <c r="AV4" s="55"/>
      <c r="AW4" s="55"/>
      <c r="AX4" s="55"/>
      <c r="AZ4" s="55"/>
      <c r="BA4" s="329">
        <f>SUMIFS('W6 - Operating cost'!BC$5:BC$69,'W6 - Operating cost'!$A$5:$A$69,'W6 - Preform cost'!$B4)/AZ$29</f>
        <v>63.565769699044409</v>
      </c>
      <c r="BB4" s="55"/>
      <c r="BC4" s="55"/>
      <c r="BD4" s="55"/>
      <c r="BF4" s="55"/>
      <c r="BG4" s="329">
        <f>SUMIFS('W6 - Operating cost'!BI$5:BI$69,'W6 - Operating cost'!$A$5:$A$69,'W6 - Preform cost'!$B4)/BF$29</f>
        <v>63.565769699044409</v>
      </c>
      <c r="BH4" s="55"/>
      <c r="BI4" s="55"/>
      <c r="BJ4" s="55"/>
      <c r="BL4" s="55"/>
      <c r="BM4" s="329">
        <f>SUMIFS('W6 - Operating cost'!BO$5:BO$69,'W6 - Operating cost'!$A$5:$A$69,'W6 - Preform cost'!$B4)/BL$29</f>
        <v>63.565769699044409</v>
      </c>
      <c r="BN4" s="55"/>
      <c r="BO4" s="55"/>
      <c r="BP4" s="55"/>
      <c r="BR4" s="55"/>
      <c r="BS4" s="329">
        <f>SUMIFS('W6 - Operating cost'!BU$5:BU$69,'W6 - Operating cost'!$A$5:$A$69,'W6 - Preform cost'!$B4)/BR$29</f>
        <v>63.565769699044409</v>
      </c>
      <c r="BT4" s="55"/>
      <c r="BU4" s="55"/>
      <c r="BV4" s="55"/>
      <c r="BX4" s="55"/>
      <c r="BY4" s="329">
        <f>SUMIFS('W6 - Operating cost'!CA$5:CA$69,'W6 - Operating cost'!$A$5:$A$69,'W6 - Preform cost'!$B4)/BX$29</f>
        <v>0</v>
      </c>
      <c r="BZ4" s="55"/>
      <c r="CA4" s="55"/>
      <c r="CB4" s="55"/>
      <c r="CD4" s="55"/>
      <c r="CE4" s="329">
        <f>SUMIFS('W6 - Operating cost'!CG$5:CG$69,'W6 - Operating cost'!$A$5:$A$69,'W6 - Preform cost'!$B4)/CD$29</f>
        <v>0</v>
      </c>
      <c r="CF4" s="55"/>
      <c r="CG4" s="55"/>
      <c r="CH4" s="55"/>
      <c r="CJ4" s="55"/>
      <c r="CK4" s="329">
        <f>SUMIFS('W6 - Operating cost'!CM$5:CM$69,'W6 - Operating cost'!$A$5:$A$69,'W6 - Preform cost'!$B4)/CJ$29</f>
        <v>0</v>
      </c>
      <c r="CL4" s="55"/>
      <c r="CM4" s="55"/>
      <c r="CN4" s="55"/>
      <c r="CP4" s="55"/>
      <c r="CQ4" s="329">
        <f>SUMIFS('W6 - Operating cost'!CS$5:CS$69,'W6 - Operating cost'!$A$5:$A$69,'W6 - Preform cost'!$B4)/CP$29</f>
        <v>0</v>
      </c>
      <c r="CR4" s="55"/>
      <c r="CS4" s="55"/>
      <c r="CT4" s="55"/>
      <c r="CV4" s="55"/>
      <c r="CW4" s="329">
        <f>SUMIFS('W6 - Operating cost'!CY$5:CY$69,'W6 - Operating cost'!$A$5:$A$69,'W6 - Preform cost'!$B4)/CV$29</f>
        <v>0</v>
      </c>
      <c r="CX4" s="55"/>
      <c r="CY4" s="55"/>
      <c r="CZ4" s="55"/>
      <c r="DB4" s="55"/>
      <c r="DC4" s="329">
        <f>SUMIFS('W6 - Operating cost'!DE$5:DE$69,'W6 - Operating cost'!$A$5:$A$69,'W6 - Preform cost'!$B4)/DB$29</f>
        <v>0</v>
      </c>
      <c r="DD4" s="55"/>
      <c r="DE4" s="55"/>
      <c r="DF4" s="55"/>
      <c r="DH4" s="55"/>
      <c r="DI4" s="329">
        <f>SUMIFS('W6 - Operating cost'!DK$5:DK$69,'W6 - Operating cost'!$A$5:$A$69,'W6 - Preform cost'!$B4)/DH$29</f>
        <v>0</v>
      </c>
      <c r="DJ4" s="55"/>
      <c r="DK4" s="55"/>
      <c r="DL4" s="55"/>
      <c r="DN4" s="55"/>
      <c r="DO4" s="329">
        <f>SUMIFS('W6 - Operating cost'!DQ$5:DQ$69,'W6 - Operating cost'!$A$5:$A$69,'W6 - Preform cost'!$B4)/DN$29</f>
        <v>0</v>
      </c>
      <c r="DP4" s="55"/>
      <c r="DQ4" s="55"/>
      <c r="DR4" s="55"/>
      <c r="DT4" s="55"/>
      <c r="DU4" s="329">
        <f>SUMIFS('W6 - Operating cost'!DW$5:DW$69,'W6 - Operating cost'!$A$5:$A$69,'W6 - Preform cost'!$B4)/DT$29</f>
        <v>0</v>
      </c>
      <c r="DV4" s="55"/>
      <c r="DW4" s="55"/>
      <c r="DX4" s="55"/>
      <c r="DZ4" s="55"/>
      <c r="EA4" s="329">
        <f>SUMIFS('W6 - Operating cost'!EC$5:EC$69,'W6 - Operating cost'!$A$5:$A$69,'W6 - Preform cost'!$B4)/DZ$29</f>
        <v>0</v>
      </c>
      <c r="EB4" s="55"/>
      <c r="EC4" s="55"/>
      <c r="ED4" s="55"/>
      <c r="EF4" s="55"/>
      <c r="EG4" s="329">
        <f>SUMIFS('W6 - Operating cost'!EI$5:EI$69,'W6 - Operating cost'!$A$5:$A$69,'W6 - Preform cost'!$B4)/EF$29</f>
        <v>0</v>
      </c>
      <c r="EH4" s="55"/>
      <c r="EI4" s="55"/>
      <c r="EJ4" s="55"/>
      <c r="EL4" s="55"/>
      <c r="EM4" s="329">
        <f>SUMIFS('W6 - Operating cost'!EO$5:EO$69,'W6 - Operating cost'!$A$5:$A$69,'W6 - Preform cost'!$B4)/EL$29</f>
        <v>0</v>
      </c>
      <c r="EN4" s="55"/>
      <c r="EO4" s="55"/>
      <c r="EP4" s="55"/>
      <c r="ER4" s="55"/>
      <c r="ES4" s="329">
        <f>SUMIFS('W6 - Operating cost'!EU$5:EU$69,'W6 - Operating cost'!$A$5:$A$69,'W6 - Preform cost'!$B4)/ER$29</f>
        <v>0</v>
      </c>
      <c r="ET4" s="55"/>
      <c r="EU4" s="55"/>
      <c r="EV4" s="55"/>
    </row>
    <row r="5" spans="1:152" x14ac:dyDescent="0.25">
      <c r="A5" t="s">
        <v>623</v>
      </c>
      <c r="B5" s="55" t="s">
        <v>149</v>
      </c>
      <c r="C5" s="55" t="s">
        <v>148</v>
      </c>
      <c r="D5" s="55"/>
      <c r="E5" s="329">
        <f>SUMIFS('W6 - Operating cost'!G$5:G$69,'W6 - Operating cost'!$A$5:$A$69,'W6 - Preform cost'!$B5)/D$29</f>
        <v>53.395246547197317</v>
      </c>
      <c r="F5" s="55"/>
      <c r="G5" s="55"/>
      <c r="H5" s="55"/>
      <c r="J5" s="55"/>
      <c r="K5" s="329">
        <f>SUMIFS('W6 - Operating cost'!M$5:M$69,'W6 - Operating cost'!$A$5:$A$69,'W6 - Preform cost'!$B5)/J$29</f>
        <v>38.139461819426657</v>
      </c>
      <c r="L5" s="55"/>
      <c r="M5" s="55"/>
      <c r="N5" s="55"/>
      <c r="P5" s="55"/>
      <c r="Q5" s="329">
        <f>SUMIFS('W6 - Operating cost'!S$5:S$69,'W6 - Operating cost'!$A$5:$A$69,'W6 - Preform cost'!$B5)/P$29</f>
        <v>28.032504437278597</v>
      </c>
      <c r="R5" s="55"/>
      <c r="S5" s="55"/>
      <c r="T5" s="55"/>
      <c r="V5" s="55"/>
      <c r="W5" s="329">
        <f>SUMIFS('W6 - Operating cost'!Y$5:Y$69,'W6 - Operating cost'!$A$5:$A$69,'W6 - Preform cost'!$B5)/V$29</f>
        <v>29.434129659142524</v>
      </c>
      <c r="X5" s="55"/>
      <c r="Y5" s="55"/>
      <c r="Z5" s="55"/>
      <c r="AB5" s="55"/>
      <c r="AC5" s="329">
        <f>SUMIFS('W6 - Operating cost'!AE$5:AE$69,'W6 - Operating cost'!$A$5:$A$69,'W6 - Preform cost'!$B5)/AB$29</f>
        <v>30.905836142099652</v>
      </c>
      <c r="AD5" s="55"/>
      <c r="AE5" s="55"/>
      <c r="AF5" s="55"/>
      <c r="AH5" s="55"/>
      <c r="AI5" s="329">
        <f>SUMIFS('W6 - Operating cost'!AK$5:AK$69,'W6 - Operating cost'!$A$5:$A$69,'W6 - Preform cost'!$B5)/AH$29</f>
        <v>32.451127949204633</v>
      </c>
      <c r="AJ5" s="55"/>
      <c r="AK5" s="55"/>
      <c r="AL5" s="55"/>
      <c r="AN5" s="55"/>
      <c r="AO5" s="329">
        <f>SUMIFS('W6 - Operating cost'!AQ$5:AQ$69,'W6 - Operating cost'!$A$5:$A$69,'W6 - Preform cost'!$B5)/AN$29</f>
        <v>34.073684346664862</v>
      </c>
      <c r="AP5" s="55"/>
      <c r="AQ5" s="55"/>
      <c r="AR5" s="55"/>
      <c r="AT5" s="55"/>
      <c r="AU5" s="329">
        <f>SUMIFS('W6 - Operating cost'!AW$5:AW$69,'W6 - Operating cost'!$A$5:$A$69,'W6 - Preform cost'!$B5)/AT$29</f>
        <v>35.777368563998103</v>
      </c>
      <c r="AV5" s="55"/>
      <c r="AW5" s="55"/>
      <c r="AX5" s="55"/>
      <c r="AZ5" s="55"/>
      <c r="BA5" s="329">
        <f>SUMIFS('W6 - Operating cost'!BC$5:BC$69,'W6 - Operating cost'!$A$5:$A$69,'W6 - Preform cost'!$B5)/AZ$29</f>
        <v>37.566236992198014</v>
      </c>
      <c r="BB5" s="55"/>
      <c r="BC5" s="55"/>
      <c r="BD5" s="55"/>
      <c r="BF5" s="55"/>
      <c r="BG5" s="329">
        <f>SUMIFS('W6 - Operating cost'!BI$5:BI$69,'W6 - Operating cost'!$A$5:$A$69,'W6 - Preform cost'!$B5)/BF$29</f>
        <v>39.444548841807908</v>
      </c>
      <c r="BH5" s="55"/>
      <c r="BI5" s="55"/>
      <c r="BJ5" s="55"/>
      <c r="BL5" s="55"/>
      <c r="BM5" s="329">
        <f>SUMIFS('W6 - Operating cost'!BO$5:BO$69,'W6 - Operating cost'!$A$5:$A$69,'W6 - Preform cost'!$B5)/BL$29</f>
        <v>41.416776283898308</v>
      </c>
      <c r="BN5" s="55"/>
      <c r="BO5" s="55"/>
      <c r="BP5" s="55"/>
      <c r="BR5" s="55"/>
      <c r="BS5" s="329">
        <f>SUMIFS('W6 - Operating cost'!BU$5:BU$69,'W6 - Operating cost'!$A$5:$A$69,'W6 - Preform cost'!$B5)/BR$29</f>
        <v>43.487615098093229</v>
      </c>
      <c r="BT5" s="55"/>
      <c r="BU5" s="55"/>
      <c r="BV5" s="55"/>
      <c r="BX5" s="55"/>
      <c r="BY5" s="329">
        <f>SUMIFS('W6 - Operating cost'!CA$5:CA$69,'W6 - Operating cost'!$A$5:$A$69,'W6 - Preform cost'!$B5)/BX$29</f>
        <v>45.661995852997897</v>
      </c>
      <c r="BZ5" s="55"/>
      <c r="CA5" s="55"/>
      <c r="CB5" s="55"/>
      <c r="CD5" s="55"/>
      <c r="CE5" s="329">
        <f>SUMIFS('W6 - Operating cost'!CG$5:CG$69,'W6 - Operating cost'!$A$5:$A$69,'W6 - Preform cost'!$B5)/CD$29</f>
        <v>47.945095645647775</v>
      </c>
      <c r="CF5" s="55"/>
      <c r="CG5" s="55"/>
      <c r="CH5" s="55"/>
      <c r="CJ5" s="55"/>
      <c r="CK5" s="329">
        <f>SUMIFS('W6 - Operating cost'!CM$5:CM$69,'W6 - Operating cost'!$A$5:$A$69,'W6 - Preform cost'!$B5)/CJ$29</f>
        <v>50.342350427930178</v>
      </c>
      <c r="CL5" s="55"/>
      <c r="CM5" s="55"/>
      <c r="CN5" s="55"/>
      <c r="CP5" s="55"/>
      <c r="CQ5" s="329">
        <f>SUMIFS('W6 - Operating cost'!CS$5:CS$69,'W6 - Operating cost'!$A$5:$A$69,'W6 - Preform cost'!$B5)/CP$29</f>
        <v>52.859467949326671</v>
      </c>
      <c r="CR5" s="55"/>
      <c r="CS5" s="55"/>
      <c r="CT5" s="55"/>
      <c r="CV5" s="55"/>
      <c r="CW5" s="329">
        <f>SUMIFS('W6 - Operating cost'!CY$5:CY$69,'W6 - Operating cost'!$A$5:$A$69,'W6 - Preform cost'!$B5)/CV$29</f>
        <v>55.502441346793027</v>
      </c>
      <c r="CX5" s="55"/>
      <c r="CY5" s="55"/>
      <c r="CZ5" s="55"/>
      <c r="DB5" s="55"/>
      <c r="DC5" s="329">
        <f>SUMIFS('W6 - Operating cost'!DE$5:DE$69,'W6 - Operating cost'!$A$5:$A$69,'W6 - Preform cost'!$B5)/DB$29</f>
        <v>58.277563414132672</v>
      </c>
      <c r="DD5" s="55"/>
      <c r="DE5" s="55"/>
      <c r="DF5" s="55"/>
      <c r="DH5" s="55"/>
      <c r="DI5" s="329">
        <f>SUMIFS('W6 - Operating cost'!DK$5:DK$69,'W6 - Operating cost'!$A$5:$A$69,'W6 - Preform cost'!$B5)/DH$29</f>
        <v>61.191441584839303</v>
      </c>
      <c r="DJ5" s="55"/>
      <c r="DK5" s="55"/>
      <c r="DL5" s="55"/>
      <c r="DN5" s="55"/>
      <c r="DO5" s="329">
        <f>SUMIFS('W6 - Operating cost'!DQ$5:DQ$69,'W6 - Operating cost'!$A$5:$A$69,'W6 - Preform cost'!$B5)/DN$29</f>
        <v>64.251013664081256</v>
      </c>
      <c r="DP5" s="55"/>
      <c r="DQ5" s="55"/>
      <c r="DR5" s="55"/>
      <c r="DT5" s="55"/>
      <c r="DU5" s="329">
        <f>SUMIFS('W6 - Operating cost'!DW$5:DW$69,'W6 - Operating cost'!$A$5:$A$69,'W6 - Preform cost'!$B5)/DT$29</f>
        <v>67.463564347285342</v>
      </c>
      <c r="DV5" s="55"/>
      <c r="DW5" s="55"/>
      <c r="DX5" s="55"/>
      <c r="DZ5" s="55"/>
      <c r="EA5" s="329">
        <f>SUMIFS('W6 - Operating cost'!EC$5:EC$69,'W6 - Operating cost'!$A$5:$A$69,'W6 - Preform cost'!$B5)/DZ$29</f>
        <v>70.836742564649612</v>
      </c>
      <c r="EB5" s="55"/>
      <c r="EC5" s="55"/>
      <c r="ED5" s="55"/>
      <c r="EF5" s="55"/>
      <c r="EG5" s="329">
        <f>SUMIFS('W6 - Operating cost'!EI$5:EI$69,'W6 - Operating cost'!$A$5:$A$69,'W6 - Preform cost'!$B5)/EF$29</f>
        <v>74.37857969288207</v>
      </c>
      <c r="EH5" s="55"/>
      <c r="EI5" s="55"/>
      <c r="EJ5" s="55"/>
      <c r="EL5" s="55"/>
      <c r="EM5" s="329">
        <f>SUMIFS('W6 - Operating cost'!EO$5:EO$69,'W6 - Operating cost'!$A$5:$A$69,'W6 - Preform cost'!$B5)/EL$29</f>
        <v>78.097508677526193</v>
      </c>
      <c r="EN5" s="55"/>
      <c r="EO5" s="55"/>
      <c r="EP5" s="55"/>
      <c r="ER5" s="55"/>
      <c r="ES5" s="329">
        <f>SUMIFS('W6 - Operating cost'!EU$5:EU$69,'W6 - Operating cost'!$A$5:$A$69,'W6 - Preform cost'!$B5)/ER$29</f>
        <v>82.002384111402506</v>
      </c>
      <c r="ET5" s="55"/>
      <c r="EU5" s="55"/>
      <c r="EV5" s="55"/>
    </row>
    <row r="6" spans="1:152" x14ac:dyDescent="0.25">
      <c r="A6" t="s">
        <v>624</v>
      </c>
      <c r="B6" s="55" t="s">
        <v>150</v>
      </c>
      <c r="C6" s="55" t="s">
        <v>148</v>
      </c>
      <c r="D6" s="55"/>
      <c r="E6" s="329">
        <f>'W6 - Operating cost'!D37*'W6 - Operating cost'!D38/'W6 - Operating cost'!D29</f>
        <v>27.876344086021504</v>
      </c>
      <c r="F6" s="55"/>
      <c r="G6" s="55"/>
      <c r="H6" s="55"/>
      <c r="J6" s="55"/>
      <c r="K6" s="329">
        <f>'W6 - Operating cost'!J37*'W6 - Operating cost'!J38/'W6 - Operating cost'!J29</f>
        <v>27.876344086021504</v>
      </c>
      <c r="L6" s="55"/>
      <c r="M6" s="55"/>
      <c r="N6" s="55"/>
      <c r="P6" s="55"/>
      <c r="Q6" s="329">
        <f>'W6 - Operating cost'!P37*'W6 - Operating cost'!P38/'W6 - Operating cost'!P29</f>
        <v>29.27016129032258</v>
      </c>
      <c r="R6" s="55"/>
      <c r="S6" s="55"/>
      <c r="T6" s="55"/>
      <c r="V6" s="55"/>
      <c r="W6" s="329">
        <f>'W6 - Operating cost'!V37*'W6 - Operating cost'!V38/'W6 - Operating cost'!V29</f>
        <v>30.73366935483871</v>
      </c>
      <c r="X6" s="55"/>
      <c r="Y6" s="55"/>
      <c r="Z6" s="55"/>
      <c r="AB6" s="55"/>
      <c r="AC6" s="329">
        <f>'W6 - Operating cost'!AB37*'W6 - Operating cost'!AB38/'W6 - Operating cost'!AB29</f>
        <v>32.270352822580648</v>
      </c>
      <c r="AD6" s="55"/>
      <c r="AE6" s="55"/>
      <c r="AF6" s="55"/>
      <c r="AH6" s="55"/>
      <c r="AI6" s="329">
        <f>'W6 - Operating cost'!AH37*'W6 - Operating cost'!AH38/'W6 - Operating cost'!AH29</f>
        <v>33.883870463709677</v>
      </c>
      <c r="AJ6" s="55"/>
      <c r="AK6" s="55"/>
      <c r="AL6" s="55"/>
      <c r="AN6" s="55"/>
      <c r="AO6" s="329">
        <f>'W6 - Operating cost'!AN37*'W6 - Operating cost'!AN38/'W6 - Operating cost'!AN29</f>
        <v>35.578063986895167</v>
      </c>
      <c r="AP6" s="55"/>
      <c r="AQ6" s="55"/>
      <c r="AR6" s="55"/>
      <c r="AT6" s="55"/>
      <c r="AU6" s="329">
        <f>'W6 - Operating cost'!AT37*'W6 - Operating cost'!AT38/'W6 - Operating cost'!AT29</f>
        <v>37.35696718623992</v>
      </c>
      <c r="AV6" s="55"/>
      <c r="AW6" s="55"/>
      <c r="AX6" s="55"/>
      <c r="AZ6" s="55"/>
      <c r="BA6" s="329">
        <f>'W6 - Operating cost'!AZ37*'W6 - Operating cost'!AZ38/'W6 - Operating cost'!AZ29</f>
        <v>39.22481554555192</v>
      </c>
      <c r="BB6" s="55"/>
      <c r="BC6" s="55"/>
      <c r="BD6" s="55"/>
      <c r="BF6" s="55"/>
      <c r="BG6" s="329">
        <f>'W6 - Operating cost'!BF37*'W6 - Operating cost'!BF38/'W6 - Operating cost'!BF29</f>
        <v>41.186056322829508</v>
      </c>
      <c r="BH6" s="55"/>
      <c r="BI6" s="55"/>
      <c r="BJ6" s="55"/>
      <c r="BL6" s="55"/>
      <c r="BM6" s="329">
        <f>'W6 - Operating cost'!BL37*'W6 - Operating cost'!BL38/'W6 - Operating cost'!BL29</f>
        <v>43.24535913897099</v>
      </c>
      <c r="BN6" s="55"/>
      <c r="BO6" s="55"/>
      <c r="BP6" s="55"/>
      <c r="BR6" s="55"/>
      <c r="BS6" s="329">
        <f>'W6 - Operating cost'!BR37*'W6 - Operating cost'!BR38/'W6 - Operating cost'!BR29</f>
        <v>45.407627095919537</v>
      </c>
      <c r="BT6" s="55"/>
      <c r="BU6" s="55"/>
      <c r="BV6" s="55"/>
      <c r="BX6" s="55"/>
      <c r="BY6" s="329">
        <f>'W6 - Operating cost'!BX37*'W6 - Operating cost'!BX38/'W6 - Operating cost'!BX29</f>
        <v>47.678008450715517</v>
      </c>
      <c r="BZ6" s="55"/>
      <c r="CA6" s="55"/>
      <c r="CB6" s="55"/>
      <c r="CD6" s="55"/>
      <c r="CE6" s="329">
        <f>'W6 - Operating cost'!CD37*'W6 - Operating cost'!CD38/'W6 - Operating cost'!CD29</f>
        <v>50.061908873251291</v>
      </c>
      <c r="CF6" s="55"/>
      <c r="CG6" s="55"/>
      <c r="CH6" s="55"/>
      <c r="CJ6" s="55"/>
      <c r="CK6" s="329">
        <f>'W6 - Operating cost'!CJ37*'W6 - Operating cost'!CJ38/'W6 - Operating cost'!CJ29</f>
        <v>52.565004316913864</v>
      </c>
      <c r="CL6" s="55"/>
      <c r="CM6" s="55"/>
      <c r="CN6" s="55"/>
      <c r="CP6" s="55"/>
      <c r="CQ6" s="329">
        <f>'W6 - Operating cost'!CP37*'W6 - Operating cost'!CP38/'W6 - Operating cost'!CP29</f>
        <v>55.193254532759546</v>
      </c>
      <c r="CR6" s="55"/>
      <c r="CS6" s="55"/>
      <c r="CT6" s="55"/>
      <c r="CV6" s="55"/>
      <c r="CW6" s="329">
        <f>'W6 - Operating cost'!CV37*'W6 - Operating cost'!CV38/'W6 - Operating cost'!CV29</f>
        <v>57.952917259397537</v>
      </c>
      <c r="CX6" s="55"/>
      <c r="CY6" s="55"/>
      <c r="CZ6" s="55"/>
      <c r="DB6" s="55"/>
      <c r="DC6" s="329">
        <f>'W6 - Operating cost'!DB37*'W6 - Operating cost'!DB38/'W6 - Operating cost'!DB29</f>
        <v>60.850563122367411</v>
      </c>
      <c r="DD6" s="55"/>
      <c r="DE6" s="55"/>
      <c r="DF6" s="55"/>
      <c r="DH6" s="55"/>
      <c r="DI6" s="329">
        <f>'W6 - Operating cost'!DH37*'W6 - Operating cost'!DH38/'W6 - Operating cost'!DH29</f>
        <v>63.893091278485791</v>
      </c>
      <c r="DJ6" s="55"/>
      <c r="DK6" s="55"/>
      <c r="DL6" s="55"/>
      <c r="DN6" s="55"/>
      <c r="DO6" s="329">
        <f>'W6 - Operating cost'!DN37*'W6 - Operating cost'!DN38/'W6 - Operating cost'!DN29</f>
        <v>67.087745842410072</v>
      </c>
      <c r="DP6" s="55"/>
      <c r="DQ6" s="55"/>
      <c r="DR6" s="55"/>
      <c r="DT6" s="55"/>
      <c r="DU6" s="329">
        <f>'W6 - Operating cost'!DT37*'W6 - Operating cost'!DT38/'W6 - Operating cost'!DT29</f>
        <v>70.442133134530579</v>
      </c>
      <c r="DV6" s="55"/>
      <c r="DW6" s="55"/>
      <c r="DX6" s="55"/>
      <c r="DZ6" s="55"/>
      <c r="EA6" s="329">
        <f>'W6 - Operating cost'!DZ37*'W6 - Operating cost'!DZ38/'W6 - Operating cost'!DZ29</f>
        <v>73.964239791257114</v>
      </c>
      <c r="EB6" s="55"/>
      <c r="EC6" s="55"/>
      <c r="ED6" s="55"/>
      <c r="EF6" s="55"/>
      <c r="EG6" s="329">
        <f>'W6 - Operating cost'!EF37*'W6 - Operating cost'!EF38/'W6 - Operating cost'!EF29</f>
        <v>77.662451780819964</v>
      </c>
      <c r="EH6" s="55"/>
      <c r="EI6" s="55"/>
      <c r="EJ6" s="55"/>
      <c r="EL6" s="55"/>
      <c r="EM6" s="329">
        <f>'W6 - Operating cost'!EL37*'W6 - Operating cost'!EL38/'W6 - Operating cost'!EL29</f>
        <v>81.545574369860944</v>
      </c>
      <c r="EN6" s="55"/>
      <c r="EO6" s="55"/>
      <c r="EP6" s="55"/>
      <c r="ER6" s="55"/>
      <c r="ES6" s="329">
        <f>'W6 - Operating cost'!ER37*'W6 - Operating cost'!ER38/'W6 - Operating cost'!ER29</f>
        <v>85.62285308835402</v>
      </c>
      <c r="ET6" s="55"/>
      <c r="EU6" s="55"/>
      <c r="EV6" s="55"/>
    </row>
    <row r="7" spans="1:152" x14ac:dyDescent="0.25">
      <c r="A7" t="s">
        <v>623</v>
      </c>
      <c r="B7" s="55" t="s">
        <v>151</v>
      </c>
      <c r="C7" s="55" t="s">
        <v>148</v>
      </c>
      <c r="D7" s="55"/>
      <c r="E7" s="329">
        <f>'W6 - Operating cost'!F5/'W6 - Operating cost'!D30</f>
        <v>4.9979537420158273</v>
      </c>
      <c r="F7" s="55"/>
      <c r="G7" s="55"/>
      <c r="H7" s="55"/>
      <c r="J7" s="55"/>
      <c r="K7" s="329">
        <f>'W6 - Operating cost'!L5/'W6 - Operating cost'!J30</f>
        <v>3.5699669585827336</v>
      </c>
      <c r="L7" s="55"/>
      <c r="M7" s="55"/>
      <c r="N7" s="55"/>
      <c r="P7" s="55"/>
      <c r="Q7" s="329">
        <f>'W6 - Operating cost'!R5/'W6 - Operating cost'!P30</f>
        <v>2.6239257145583093</v>
      </c>
      <c r="R7" s="55"/>
      <c r="S7" s="55"/>
      <c r="T7" s="55"/>
      <c r="V7" s="55"/>
      <c r="W7" s="329">
        <f>'W6 - Operating cost'!X5/'W6 - Operating cost'!V30</f>
        <v>2.7551220002862249</v>
      </c>
      <c r="X7" s="55"/>
      <c r="Y7" s="55"/>
      <c r="Z7" s="55"/>
      <c r="AB7" s="55"/>
      <c r="AC7" s="329">
        <f>'W6 - Operating cost'!AD5/'W6 - Operating cost'!AB30</f>
        <v>2.8928781003005364</v>
      </c>
      <c r="AD7" s="55"/>
      <c r="AE7" s="55"/>
      <c r="AF7" s="55"/>
      <c r="AH7" s="55"/>
      <c r="AI7" s="329">
        <f>'W6 - Operating cost'!AJ5/'W6 - Operating cost'!AH30</f>
        <v>3.0375220053155627</v>
      </c>
      <c r="AJ7" s="55"/>
      <c r="AK7" s="55"/>
      <c r="AL7" s="55"/>
      <c r="AN7" s="55"/>
      <c r="AO7" s="329">
        <f>'W6 - Operating cost'!AP5/'W6 - Operating cost'!AN30</f>
        <v>3.1893981055813412</v>
      </c>
      <c r="AP7" s="55"/>
      <c r="AQ7" s="55"/>
      <c r="AR7" s="55"/>
      <c r="AT7" s="55"/>
      <c r="AU7" s="329">
        <f>'W6 - Operating cost'!AV5/'W6 - Operating cost'!AT30</f>
        <v>3.3488680108604081</v>
      </c>
      <c r="AV7" s="55"/>
      <c r="AW7" s="55"/>
      <c r="AX7" s="55"/>
      <c r="AZ7" s="55"/>
      <c r="BA7" s="329">
        <f>'W6 - Operating cost'!BB5/'W6 - Operating cost'!AZ30</f>
        <v>3.5163114114034291</v>
      </c>
      <c r="BB7" s="55"/>
      <c r="BC7" s="55"/>
      <c r="BD7" s="55"/>
      <c r="BF7" s="55"/>
      <c r="BG7" s="329">
        <f>'W6 - Operating cost'!BH5/'W6 - Operating cost'!BF30</f>
        <v>3.6921269819735998</v>
      </c>
      <c r="BH7" s="55"/>
      <c r="BI7" s="55"/>
      <c r="BJ7" s="55"/>
      <c r="BL7" s="55"/>
      <c r="BM7" s="329">
        <f>'W6 - Operating cost'!BN5/'W6 - Operating cost'!BL30</f>
        <v>3.8767333310722796</v>
      </c>
      <c r="BN7" s="55"/>
      <c r="BO7" s="55"/>
      <c r="BP7" s="55"/>
      <c r="BR7" s="55"/>
      <c r="BS7" s="329">
        <f>'W6 - Operating cost'!BT5/'W6 - Operating cost'!BR30</f>
        <v>4.0705699976258938</v>
      </c>
      <c r="BT7" s="55"/>
      <c r="BU7" s="55"/>
      <c r="BV7" s="55"/>
      <c r="BX7" s="55"/>
      <c r="BY7" s="329">
        <f>'W6 - Operating cost'!BZ5/'W6 - Operating cost'!BX30</f>
        <v>4.2740984975071896</v>
      </c>
      <c r="BZ7" s="55"/>
      <c r="CA7" s="55"/>
      <c r="CB7" s="55"/>
      <c r="CD7" s="55"/>
      <c r="CE7" s="329">
        <f>'W6 - Operating cost'!CF5/'W6 - Operating cost'!CD30</f>
        <v>4.487803422382548</v>
      </c>
      <c r="CF7" s="55"/>
      <c r="CG7" s="55"/>
      <c r="CH7" s="55"/>
      <c r="CJ7" s="55"/>
      <c r="CK7" s="329">
        <f>'W6 - Operating cost'!CL5/'W6 - Operating cost'!CJ30</f>
        <v>4.7121935935016763</v>
      </c>
      <c r="CL7" s="55"/>
      <c r="CM7" s="55"/>
      <c r="CN7" s="55"/>
      <c r="CP7" s="55"/>
      <c r="CQ7" s="329">
        <f>'W6 - Operating cost'!CR5/'W6 - Operating cost'!CP30</f>
        <v>4.9478032731767589</v>
      </c>
      <c r="CR7" s="55"/>
      <c r="CS7" s="55"/>
      <c r="CT7" s="55"/>
      <c r="CV7" s="55"/>
      <c r="CW7" s="329">
        <f>'W6 - Operating cost'!CX5/'W6 - Operating cost'!CV30</f>
        <v>5.1951934368355985</v>
      </c>
      <c r="CX7" s="55"/>
      <c r="CY7" s="55"/>
      <c r="CZ7" s="55"/>
      <c r="DB7" s="55"/>
      <c r="DC7" s="329">
        <f>'W6 - Operating cost'!DD5/'W6 - Operating cost'!DB30</f>
        <v>5.4549531086773779</v>
      </c>
      <c r="DD7" s="55"/>
      <c r="DE7" s="55"/>
      <c r="DF7" s="55"/>
      <c r="DH7" s="55"/>
      <c r="DI7" s="329">
        <f>'W6 - Operating cost'!DJ5/'W6 - Operating cost'!DH30</f>
        <v>5.7277007641112476</v>
      </c>
      <c r="DJ7" s="55"/>
      <c r="DK7" s="55"/>
      <c r="DL7" s="55"/>
      <c r="DN7" s="55"/>
      <c r="DO7" s="329">
        <f>'W6 - Operating cost'!DP5/'W6 - Operating cost'!DN30</f>
        <v>6.0140858023168091</v>
      </c>
      <c r="DP7" s="55"/>
      <c r="DQ7" s="55"/>
      <c r="DR7" s="55"/>
      <c r="DT7" s="55"/>
      <c r="DU7" s="329">
        <f>'W6 - Operating cost'!DV5/'W6 - Operating cost'!DT30</f>
        <v>6.3147900924326503</v>
      </c>
      <c r="DV7" s="55"/>
      <c r="DW7" s="55"/>
      <c r="DX7" s="55"/>
      <c r="DZ7" s="55"/>
      <c r="EA7" s="329">
        <f>'W6 - Operating cost'!EB5/'W6 - Operating cost'!DZ30</f>
        <v>6.6305295970542835</v>
      </c>
      <c r="EB7" s="55"/>
      <c r="EC7" s="55"/>
      <c r="ED7" s="55"/>
      <c r="EF7" s="55"/>
      <c r="EG7" s="329">
        <f>'W6 - Operating cost'!EH5/'W6 - Operating cost'!EF30</f>
        <v>6.9620560769069959</v>
      </c>
      <c r="EH7" s="55"/>
      <c r="EI7" s="55"/>
      <c r="EJ7" s="55"/>
      <c r="EL7" s="55"/>
      <c r="EM7" s="329">
        <f>'W6 - Operating cost'!EN5/'W6 - Operating cost'!EL30</f>
        <v>7.3101588807523461</v>
      </c>
      <c r="EN7" s="55"/>
      <c r="EO7" s="55"/>
      <c r="EP7" s="55"/>
      <c r="ER7" s="55"/>
      <c r="ES7" s="329">
        <f>'W6 - Operating cost'!ET5/'W6 - Operating cost'!ER30</f>
        <v>7.6756668247899658</v>
      </c>
      <c r="ET7" s="55"/>
      <c r="EU7" s="55"/>
      <c r="EV7" s="55"/>
    </row>
    <row r="8" spans="1:152" x14ac:dyDescent="0.25">
      <c r="A8" t="s">
        <v>623</v>
      </c>
      <c r="B8" s="55" t="s">
        <v>152</v>
      </c>
      <c r="C8" s="55" t="s">
        <v>148</v>
      </c>
      <c r="D8" s="55"/>
      <c r="E8" s="329">
        <f>('W6 - Operating cost'!F7+'W6 - Operating cost'!F8+'W6 - Operating cost'!F11+'W6 - Operating cost'!F12+'W6 - Operating cost'!F14)/'W6 - Operating cost'!D30</f>
        <v>25.572863313314315</v>
      </c>
      <c r="F8" s="55"/>
      <c r="G8" s="55"/>
      <c r="H8" s="55"/>
      <c r="J8" s="55"/>
      <c r="K8" s="329">
        <f>('W6 - Operating cost'!L7+'W6 - Operating cost'!L8+'W6 - Operating cost'!L11+'W6 - Operating cost'!L12+'W6 - Operating cost'!L14)/'W6 - Operating cost'!J30</f>
        <v>18.266330938081655</v>
      </c>
      <c r="L8" s="55"/>
      <c r="M8" s="55"/>
      <c r="N8" s="55"/>
      <c r="P8" s="55"/>
      <c r="Q8" s="329">
        <f>('W6 - Operating cost'!R7+'W6 - Operating cost'!R8+'W6 - Operating cost'!R11+'W6 - Operating cost'!R12+'W6 - Operating cost'!R14)/'W6 - Operating cost'!P30</f>
        <v>13.425753239490016</v>
      </c>
      <c r="R8" s="55"/>
      <c r="S8" s="55"/>
      <c r="T8" s="55"/>
      <c r="V8" s="55"/>
      <c r="W8" s="329">
        <f>('W6 - Operating cost'!X7+'W6 - Operating cost'!X8+'W6 - Operating cost'!X11+'W6 - Operating cost'!X12+'W6 - Operating cost'!X14)/'W6 - Operating cost'!V30</f>
        <v>14.097040901464517</v>
      </c>
      <c r="X8" s="55"/>
      <c r="Y8" s="55"/>
      <c r="Z8" s="55"/>
      <c r="AB8" s="55"/>
      <c r="AC8" s="329">
        <f>('W6 - Operating cost'!AD7+'W6 - Operating cost'!AD8+'W6 - Operating cost'!AD11+'W6 - Operating cost'!AD12+'W6 - Operating cost'!AD14)/'W6 - Operating cost'!AB30</f>
        <v>14.801892946537745</v>
      </c>
      <c r="AD8" s="55"/>
      <c r="AE8" s="55"/>
      <c r="AF8" s="55"/>
      <c r="AH8" s="55"/>
      <c r="AI8" s="329">
        <f>('W6 - Operating cost'!AJ7+'W6 - Operating cost'!AJ8+'W6 - Operating cost'!AJ11+'W6 - Operating cost'!AJ12+'W6 - Operating cost'!AJ14)/'W6 - Operating cost'!AH30</f>
        <v>15.541987593864629</v>
      </c>
      <c r="AJ8" s="55"/>
      <c r="AK8" s="55"/>
      <c r="AL8" s="55"/>
      <c r="AN8" s="55"/>
      <c r="AO8" s="329">
        <f>('W6 - Operating cost'!AP7+'W6 - Operating cost'!AP8+'W6 - Operating cost'!AP11+'W6 - Operating cost'!AP12+'W6 - Operating cost'!AP14)/'W6 - Operating cost'!AN30</f>
        <v>16.319086973557866</v>
      </c>
      <c r="AP8" s="55"/>
      <c r="AQ8" s="55"/>
      <c r="AR8" s="55"/>
      <c r="AT8" s="55"/>
      <c r="AU8" s="329">
        <f>('W6 - Operating cost'!AV7+'W6 - Operating cost'!AV8+'W6 - Operating cost'!AV11+'W6 - Operating cost'!AV12+'W6 - Operating cost'!AV14)/'W6 - Operating cost'!AT30</f>
        <v>17.135041322235757</v>
      </c>
      <c r="AV8" s="55"/>
      <c r="AW8" s="55"/>
      <c r="AX8" s="55"/>
      <c r="AZ8" s="55"/>
      <c r="BA8" s="329">
        <f>('W6 - Operating cost'!BB7+'W6 - Operating cost'!BB8+'W6 - Operating cost'!BB11+'W6 - Operating cost'!BB12+'W6 - Operating cost'!BB14)/'W6 - Operating cost'!AZ30</f>
        <v>17.991793388347542</v>
      </c>
      <c r="BB8" s="55"/>
      <c r="BC8" s="55"/>
      <c r="BD8" s="55"/>
      <c r="BF8" s="55"/>
      <c r="BG8" s="329">
        <f>('W6 - Operating cost'!BH7+'W6 - Operating cost'!BH8+'W6 - Operating cost'!BH11+'W6 - Operating cost'!BH12+'W6 - Operating cost'!BH14)/'W6 - Operating cost'!BF30</f>
        <v>18.891383057764919</v>
      </c>
      <c r="BH8" s="55"/>
      <c r="BI8" s="55"/>
      <c r="BJ8" s="55"/>
      <c r="BL8" s="55"/>
      <c r="BM8" s="329">
        <f>('W6 - Operating cost'!BN7+'W6 - Operating cost'!BN8+'W6 - Operating cost'!BN11+'W6 - Operating cost'!BN12+'W6 - Operating cost'!BN14)/'W6 - Operating cost'!BL30</f>
        <v>19.835952210653165</v>
      </c>
      <c r="BN8" s="55"/>
      <c r="BO8" s="55"/>
      <c r="BP8" s="55"/>
      <c r="BR8" s="55"/>
      <c r="BS8" s="329">
        <f>('W6 - Operating cost'!BT7+'W6 - Operating cost'!BT8+'W6 - Operating cost'!BT11+'W6 - Operating cost'!BT12+'W6 - Operating cost'!BT14)/'W6 - Operating cost'!BR30</f>
        <v>20.827749821185826</v>
      </c>
      <c r="BT8" s="55"/>
      <c r="BU8" s="55"/>
      <c r="BV8" s="55"/>
      <c r="BX8" s="55"/>
      <c r="BY8" s="329">
        <f>('W6 - Operating cost'!BZ7+'W6 - Operating cost'!BZ8+'W6 - Operating cost'!BZ11+'W6 - Operating cost'!BZ12+'W6 - Operating cost'!BZ14)/'W6 - Operating cost'!BX30</f>
        <v>21.869137312245119</v>
      </c>
      <c r="BZ8" s="55"/>
      <c r="CA8" s="55"/>
      <c r="CB8" s="55"/>
      <c r="CD8" s="55"/>
      <c r="CE8" s="329">
        <f>('W6 - Operating cost'!CF7+'W6 - Operating cost'!CF8+'W6 - Operating cost'!CF11+'W6 - Operating cost'!CF12+'W6 - Operating cost'!CF14)/'W6 - Operating cost'!CD30</f>
        <v>22.962594177857373</v>
      </c>
      <c r="CF8" s="55"/>
      <c r="CG8" s="55"/>
      <c r="CH8" s="55"/>
      <c r="CJ8" s="55"/>
      <c r="CK8" s="329">
        <f>('W6 - Operating cost'!CL7+'W6 - Operating cost'!CL8+'W6 - Operating cost'!CL11+'W6 - Operating cost'!CL12+'W6 - Operating cost'!CL14)/'W6 - Operating cost'!CJ30</f>
        <v>24.110723886750247</v>
      </c>
      <c r="CL8" s="55"/>
      <c r="CM8" s="55"/>
      <c r="CN8" s="55"/>
      <c r="CP8" s="55"/>
      <c r="CQ8" s="329">
        <f>('W6 - Operating cost'!CR7+'W6 - Operating cost'!CR8+'W6 - Operating cost'!CR11+'W6 - Operating cost'!CR12+'W6 - Operating cost'!CR14)/'W6 - Operating cost'!CP30</f>
        <v>25.316260081087755</v>
      </c>
      <c r="CR8" s="55"/>
      <c r="CS8" s="55"/>
      <c r="CT8" s="55"/>
      <c r="CV8" s="55"/>
      <c r="CW8" s="329">
        <f>('W6 - Operating cost'!CX7+'W6 - Operating cost'!CX8+'W6 - Operating cost'!CX11+'W6 - Operating cost'!CX12+'W6 - Operating cost'!CX14)/'W6 - Operating cost'!CV30</f>
        <v>26.582073085142145</v>
      </c>
      <c r="CX8" s="55"/>
      <c r="CY8" s="55"/>
      <c r="CZ8" s="55"/>
      <c r="DB8" s="55"/>
      <c r="DC8" s="329">
        <f>('W6 - Operating cost'!DD7+'W6 - Operating cost'!DD8+'W6 - Operating cost'!DD11+'W6 - Operating cost'!DD12+'W6 - Operating cost'!DD14)/'W6 - Operating cost'!DB30</f>
        <v>27.911176739399252</v>
      </c>
      <c r="DD8" s="55"/>
      <c r="DE8" s="55"/>
      <c r="DF8" s="55"/>
      <c r="DH8" s="55"/>
      <c r="DI8" s="329">
        <f>('W6 - Operating cost'!DJ7+'W6 - Operating cost'!DJ8+'W6 - Operating cost'!DJ11+'W6 - Operating cost'!DJ12+'W6 - Operating cost'!DJ14)/'W6 - Operating cost'!DH30</f>
        <v>29.306735576369217</v>
      </c>
      <c r="DJ8" s="55"/>
      <c r="DK8" s="55"/>
      <c r="DL8" s="55"/>
      <c r="DN8" s="55"/>
      <c r="DO8" s="329">
        <f>('W6 - Operating cost'!DP7+'W6 - Operating cost'!DP8+'W6 - Operating cost'!DP11+'W6 - Operating cost'!DP12+'W6 - Operating cost'!DP14)/'W6 - Operating cost'!DN30</f>
        <v>30.772072355187682</v>
      </c>
      <c r="DP8" s="55"/>
      <c r="DQ8" s="55"/>
      <c r="DR8" s="55"/>
      <c r="DT8" s="55"/>
      <c r="DU8" s="329">
        <f>('W6 - Operating cost'!DV7+'W6 - Operating cost'!DV8+'W6 - Operating cost'!DV11+'W6 - Operating cost'!DV12+'W6 - Operating cost'!DV14)/'W6 - Operating cost'!DT30</f>
        <v>32.310675972947067</v>
      </c>
      <c r="DV8" s="55"/>
      <c r="DW8" s="55"/>
      <c r="DX8" s="55"/>
      <c r="DZ8" s="55"/>
      <c r="EA8" s="329">
        <f>('W6 - Operating cost'!EB7+'W6 - Operating cost'!EB8+'W6 - Operating cost'!EB11+'W6 - Operating cost'!EB12+'W6 - Operating cost'!EB14)/'W6 - Operating cost'!DZ30</f>
        <v>33.926209771594422</v>
      </c>
      <c r="EB8" s="55"/>
      <c r="EC8" s="55"/>
      <c r="ED8" s="55"/>
      <c r="EF8" s="55"/>
      <c r="EG8" s="329">
        <f>('W6 - Operating cost'!EH7+'W6 - Operating cost'!EH8+'W6 - Operating cost'!EH11+'W6 - Operating cost'!EH12+'W6 - Operating cost'!EH14)/'W6 - Operating cost'!EF30</f>
        <v>35.622520260174142</v>
      </c>
      <c r="EH8" s="55"/>
      <c r="EI8" s="55"/>
      <c r="EJ8" s="55"/>
      <c r="EL8" s="55"/>
      <c r="EM8" s="329">
        <f>('W6 - Operating cost'!EN7+'W6 - Operating cost'!EN8+'W6 - Operating cost'!EN11+'W6 - Operating cost'!EN12+'W6 - Operating cost'!EN14)/'W6 - Operating cost'!EL30</f>
        <v>37.403646273182844</v>
      </c>
      <c r="EN8" s="55"/>
      <c r="EO8" s="55"/>
      <c r="EP8" s="55"/>
      <c r="ER8" s="55"/>
      <c r="ES8" s="329">
        <f>('W6 - Operating cost'!ET7+'W6 - Operating cost'!ET8+'W6 - Operating cost'!ET11+'W6 - Operating cost'!ET12+'W6 - Operating cost'!ET14)/'W6 - Operating cost'!ER30</f>
        <v>39.273828586841994</v>
      </c>
      <c r="ET8" s="55"/>
      <c r="EU8" s="55"/>
      <c r="EV8" s="55"/>
    </row>
    <row r="9" spans="1:152" x14ac:dyDescent="0.25">
      <c r="A9" t="s">
        <v>624</v>
      </c>
      <c r="B9" s="55" t="s">
        <v>153</v>
      </c>
      <c r="C9" s="55" t="s">
        <v>148</v>
      </c>
      <c r="D9" s="55"/>
      <c r="E9" s="329">
        <f>('W6 - Operating cost'!E55/('W2'!$K$54*'W2'!$K$53)+'W6 - Operating cost'!E57)/'W6 - Operating cost'!E56</f>
        <v>4.958333333333333</v>
      </c>
      <c r="F9" s="55"/>
      <c r="G9" s="55"/>
      <c r="H9" s="55"/>
      <c r="J9" s="55"/>
      <c r="K9" s="329">
        <f>('W6 - Operating cost'!K55/('W2'!$K$54*'W2'!$K$53)+'W6 - Operating cost'!K57)/'W6 - Operating cost'!K56</f>
        <v>4.958333333333333</v>
      </c>
      <c r="L9" s="55"/>
      <c r="M9" s="55"/>
      <c r="N9" s="55"/>
      <c r="P9" s="55"/>
      <c r="Q9" s="329">
        <f>('W6 - Operating cost'!Q55/('W2'!$K$54*'W2'!$K$53)+'W6 - Operating cost'!Q57)/'W6 - Operating cost'!Q56</f>
        <v>5.2062499999999998</v>
      </c>
      <c r="R9" s="55"/>
      <c r="S9" s="55"/>
      <c r="T9" s="55"/>
      <c r="V9" s="55"/>
      <c r="W9" s="329">
        <f>('W6 - Operating cost'!W55/('W2'!$K$54*'W2'!$K$53)+'W6 - Operating cost'!W57)/'W6 - Operating cost'!W56</f>
        <v>5.4665625000000002</v>
      </c>
      <c r="X9" s="55"/>
      <c r="Y9" s="55"/>
      <c r="Z9" s="55"/>
      <c r="AB9" s="55"/>
      <c r="AC9" s="329">
        <f>('W6 - Operating cost'!AC55/('W2'!$K$54*'W2'!$K$53)+'W6 - Operating cost'!AC57)/'W6 - Operating cost'!AC56</f>
        <v>5.739890625000001</v>
      </c>
      <c r="AD9" s="55"/>
      <c r="AE9" s="55"/>
      <c r="AF9" s="55"/>
      <c r="AH9" s="55"/>
      <c r="AI9" s="329">
        <f>('W6 - Operating cost'!AI55/('W2'!$K$54*'W2'!$K$53)+'W6 - Operating cost'!AI57)/'W6 - Operating cost'!AI56</f>
        <v>6.0268851562499997</v>
      </c>
      <c r="AJ9" s="55"/>
      <c r="AK9" s="55"/>
      <c r="AL9" s="55"/>
      <c r="AN9" s="55"/>
      <c r="AO9" s="329">
        <f>('W6 - Operating cost'!AO55/('W2'!$K$54*'W2'!$K$53)+'W6 - Operating cost'!AO57)/'W6 - Operating cost'!AO56</f>
        <v>6.3282294140625011</v>
      </c>
      <c r="AP9" s="55"/>
      <c r="AQ9" s="55"/>
      <c r="AR9" s="55"/>
      <c r="AT9" s="55"/>
      <c r="AU9" s="329">
        <f>('W6 - Operating cost'!AU55/('W2'!$K$54*'W2'!$K$53)+'W6 - Operating cost'!AU57)/'W6 - Operating cost'!AU56</f>
        <v>6.6446408847656251</v>
      </c>
      <c r="AV9" s="55"/>
      <c r="AW9" s="55"/>
      <c r="AX9" s="55"/>
      <c r="AZ9" s="55"/>
      <c r="BA9" s="329">
        <f>('W6 - Operating cost'!BA55/('W2'!$K$54*'W2'!$K$53)+'W6 - Operating cost'!BA57)/'W6 - Operating cost'!BA56</f>
        <v>6.9768729290039078</v>
      </c>
      <c r="BB9" s="55"/>
      <c r="BC9" s="55"/>
      <c r="BD9" s="55"/>
      <c r="BF9" s="55"/>
      <c r="BG9" s="329">
        <f>('W6 - Operating cost'!BG55/('W2'!$K$54*'W2'!$K$53)+'W6 - Operating cost'!BG57)/'W6 - Operating cost'!BG56</f>
        <v>7.325716575454102</v>
      </c>
      <c r="BH9" s="55"/>
      <c r="BI9" s="55"/>
      <c r="BJ9" s="55"/>
      <c r="BL9" s="55"/>
      <c r="BM9" s="329">
        <f>('W6 - Operating cost'!BM55/('W2'!$K$54*'W2'!$K$53)+'W6 - Operating cost'!BM57)/'W6 - Operating cost'!BM56</f>
        <v>7.6920024042268071</v>
      </c>
      <c r="BN9" s="55"/>
      <c r="BO9" s="55"/>
      <c r="BP9" s="55"/>
      <c r="BR9" s="55"/>
      <c r="BS9" s="329">
        <f>('W6 - Operating cost'!BS55/('W2'!$K$54*'W2'!$K$53)+'W6 - Operating cost'!BS57)/'W6 - Operating cost'!BS56</f>
        <v>8.0766025244381474</v>
      </c>
      <c r="BT9" s="55"/>
      <c r="BU9" s="55"/>
      <c r="BV9" s="55"/>
      <c r="BX9" s="55"/>
      <c r="BY9" s="329">
        <f>('W6 - Operating cost'!BY55/('W2'!$K$54*'W2'!$K$53)+'W6 - Operating cost'!BY57)/'W6 - Operating cost'!BY56</f>
        <v>8.480432650660056</v>
      </c>
      <c r="BZ9" s="55"/>
      <c r="CA9" s="55"/>
      <c r="CB9" s="55"/>
      <c r="CD9" s="55"/>
      <c r="CE9" s="329">
        <f>('W6 - Operating cost'!CE55/('W2'!$K$54*'W2'!$K$53)+'W6 - Operating cost'!CE57)/'W6 - Operating cost'!CE56</f>
        <v>8.904454283193056</v>
      </c>
      <c r="CF9" s="55"/>
      <c r="CG9" s="55"/>
      <c r="CH9" s="55"/>
      <c r="CJ9" s="55"/>
      <c r="CK9" s="329">
        <f>('W6 - Operating cost'!CK55/('W2'!$K$54*'W2'!$K$53)+'W6 - Operating cost'!CK57)/'W6 - Operating cost'!CK56</f>
        <v>9.3496769973527112</v>
      </c>
      <c r="CL9" s="55"/>
      <c r="CM9" s="55"/>
      <c r="CN9" s="55"/>
      <c r="CP9" s="55"/>
      <c r="CQ9" s="329">
        <f>('W6 - Operating cost'!CQ55/('W2'!$K$54*'W2'!$K$53)+'W6 - Operating cost'!CQ57)/'W6 - Operating cost'!CQ56</f>
        <v>9.8171608472203449</v>
      </c>
      <c r="CR9" s="55"/>
      <c r="CS9" s="55"/>
      <c r="CT9" s="55"/>
      <c r="CV9" s="55"/>
      <c r="CW9" s="329">
        <f>('W6 - Operating cost'!CW55/('W2'!$K$54*'W2'!$K$53)+'W6 - Operating cost'!CW57)/'W6 - Operating cost'!CW56</f>
        <v>10.308018889581366</v>
      </c>
      <c r="CX9" s="55"/>
      <c r="CY9" s="55"/>
      <c r="CZ9" s="55"/>
      <c r="DB9" s="55"/>
      <c r="DC9" s="329">
        <f>('W6 - Operating cost'!DC55/('W2'!$K$54*'W2'!$K$53)+'W6 - Operating cost'!DC57)/'W6 - Operating cost'!DC56</f>
        <v>10.823419834060433</v>
      </c>
      <c r="DD9" s="55"/>
      <c r="DE9" s="55"/>
      <c r="DF9" s="55"/>
      <c r="DH9" s="55"/>
      <c r="DI9" s="329">
        <f>('W6 - Operating cost'!DI55/('W2'!$K$54*'W2'!$K$53)+'W6 - Operating cost'!DI57)/'W6 - Operating cost'!DI56</f>
        <v>11.364590825763457</v>
      </c>
      <c r="DJ9" s="55"/>
      <c r="DK9" s="55"/>
      <c r="DL9" s="55"/>
      <c r="DN9" s="55"/>
      <c r="DO9" s="329">
        <f>('W6 - Operating cost'!DO55/('W2'!$K$54*'W2'!$K$53)+'W6 - Operating cost'!DO57)/'W6 - Operating cost'!DO56</f>
        <v>11.932820367051628</v>
      </c>
      <c r="DP9" s="55"/>
      <c r="DQ9" s="55"/>
      <c r="DR9" s="55"/>
      <c r="DT9" s="55"/>
      <c r="DU9" s="329">
        <f>('W6 - Operating cost'!DU55/('W2'!$K$54*'W2'!$K$53)+'W6 - Operating cost'!DU57)/'W6 - Operating cost'!DU56</f>
        <v>12.529461385404209</v>
      </c>
      <c r="DV9" s="55"/>
      <c r="DW9" s="55"/>
      <c r="DX9" s="55"/>
      <c r="DZ9" s="55"/>
      <c r="EA9" s="329">
        <f>('W6 - Operating cost'!EA55/('W2'!$K$54*'W2'!$K$53)+'W6 - Operating cost'!EA57)/'W6 - Operating cost'!EA56</f>
        <v>13.155934454674419</v>
      </c>
      <c r="EB9" s="55"/>
      <c r="EC9" s="55"/>
      <c r="ED9" s="55"/>
      <c r="EF9" s="55"/>
      <c r="EG9" s="329">
        <f>('W6 - Operating cost'!EG55/('W2'!$K$54*'W2'!$K$53)+'W6 - Operating cost'!EG57)/'W6 - Operating cost'!EG56</f>
        <v>13.813731177408142</v>
      </c>
      <c r="EH9" s="55"/>
      <c r="EI9" s="55"/>
      <c r="EJ9" s="55"/>
      <c r="EL9" s="55"/>
      <c r="EM9" s="329">
        <f>('W6 - Operating cost'!EM55/('W2'!$K$54*'W2'!$K$53)+'W6 - Operating cost'!EM57)/'W6 - Operating cost'!EM56</f>
        <v>14.504417736278546</v>
      </c>
      <c r="EN9" s="55"/>
      <c r="EO9" s="55"/>
      <c r="EP9" s="55"/>
      <c r="ER9" s="55"/>
      <c r="ES9" s="329">
        <f>('W6 - Operating cost'!ES55/('W2'!$K$54*'W2'!$K$53)+'W6 - Operating cost'!ES57)/'W6 - Operating cost'!ES56</f>
        <v>15.229638623092479</v>
      </c>
      <c r="ET9" s="55"/>
      <c r="EU9" s="55"/>
      <c r="EV9" s="55"/>
    </row>
    <row r="10" spans="1:152" x14ac:dyDescent="0.25">
      <c r="A10" t="s">
        <v>624</v>
      </c>
      <c r="B10" s="55" t="s">
        <v>154</v>
      </c>
      <c r="C10" s="55" t="s">
        <v>148</v>
      </c>
      <c r="D10" s="55"/>
      <c r="E10" s="329">
        <f>'W6 - Operating cost'!E54/'W6 - Operating cost'!E56</f>
        <v>14</v>
      </c>
      <c r="F10" s="55"/>
      <c r="G10" s="55"/>
      <c r="H10" s="55"/>
      <c r="J10" s="55"/>
      <c r="K10" s="329">
        <f>'W6 - Operating cost'!K54/15000</f>
        <v>14</v>
      </c>
      <c r="L10" s="55"/>
      <c r="M10" s="55"/>
      <c r="N10" s="55"/>
      <c r="P10" s="55"/>
      <c r="Q10" s="329">
        <f>'W6 - Operating cost'!Q54/15000</f>
        <v>14.7</v>
      </c>
      <c r="R10" s="55"/>
      <c r="S10" s="55"/>
      <c r="T10" s="55"/>
      <c r="V10" s="55"/>
      <c r="W10" s="329">
        <f>'W6 - Operating cost'!W54/15000</f>
        <v>15.435</v>
      </c>
      <c r="X10" s="55"/>
      <c r="Y10" s="55"/>
      <c r="Z10" s="55"/>
      <c r="AB10" s="55"/>
      <c r="AC10" s="329">
        <f>'W6 - Operating cost'!AC54/15000</f>
        <v>16.206750000000003</v>
      </c>
      <c r="AD10" s="55"/>
      <c r="AE10" s="55"/>
      <c r="AF10" s="55"/>
      <c r="AH10" s="55"/>
      <c r="AI10" s="329">
        <f>'W6 - Operating cost'!AI54/15000</f>
        <v>17.017087499999999</v>
      </c>
      <c r="AJ10" s="55"/>
      <c r="AK10" s="55"/>
      <c r="AL10" s="55"/>
      <c r="AN10" s="55"/>
      <c r="AO10" s="329">
        <f>'W6 - Operating cost'!AO54/15000</f>
        <v>17.867941875000003</v>
      </c>
      <c r="AP10" s="55"/>
      <c r="AQ10" s="55"/>
      <c r="AR10" s="55"/>
      <c r="AT10" s="55"/>
      <c r="AU10" s="329">
        <f>'W6 - Operating cost'!AU54/15000</f>
        <v>18.76133896875</v>
      </c>
      <c r="AV10" s="55"/>
      <c r="AW10" s="55"/>
      <c r="AX10" s="55"/>
      <c r="AZ10" s="55"/>
      <c r="BA10" s="329">
        <f>'W6 - Operating cost'!BA54/15000</f>
        <v>19.699405917187505</v>
      </c>
      <c r="BB10" s="55"/>
      <c r="BC10" s="55"/>
      <c r="BD10" s="55"/>
      <c r="BF10" s="55"/>
      <c r="BG10" s="329">
        <f>'W6 - Operating cost'!BG54/15000</f>
        <v>20.684376213046878</v>
      </c>
      <c r="BH10" s="55"/>
      <c r="BI10" s="55"/>
      <c r="BJ10" s="55"/>
      <c r="BL10" s="55"/>
      <c r="BM10" s="329">
        <f>'W6 - Operating cost'!BM54/15000</f>
        <v>21.718595023699223</v>
      </c>
      <c r="BN10" s="55"/>
      <c r="BO10" s="55"/>
      <c r="BP10" s="55"/>
      <c r="BR10" s="55"/>
      <c r="BS10" s="329">
        <f>'W6 - Operating cost'!BS54/15000</f>
        <v>22.804524774884179</v>
      </c>
      <c r="BT10" s="55"/>
      <c r="BU10" s="55"/>
      <c r="BV10" s="55"/>
      <c r="BX10" s="55"/>
      <c r="BY10" s="329">
        <f>'W6 - Operating cost'!BY54/15000</f>
        <v>23.944751013628395</v>
      </c>
      <c r="BZ10" s="55"/>
      <c r="CA10" s="55"/>
      <c r="CB10" s="55"/>
      <c r="CD10" s="55"/>
      <c r="CE10" s="329">
        <f>'W6 - Operating cost'!CE54/15000</f>
        <v>25.141988564309809</v>
      </c>
      <c r="CF10" s="55"/>
      <c r="CG10" s="55"/>
      <c r="CH10" s="55"/>
      <c r="CJ10" s="55"/>
      <c r="CK10" s="329">
        <f>'W6 - Operating cost'!CK54/15000</f>
        <v>26.399087992525303</v>
      </c>
      <c r="CL10" s="55"/>
      <c r="CM10" s="55"/>
      <c r="CN10" s="55"/>
      <c r="CP10" s="55"/>
      <c r="CQ10" s="329">
        <f>'W6 - Operating cost'!CQ54/15000</f>
        <v>27.719042392151561</v>
      </c>
      <c r="CR10" s="55"/>
      <c r="CS10" s="55"/>
      <c r="CT10" s="55"/>
      <c r="CV10" s="55"/>
      <c r="CW10" s="329">
        <f>'W6 - Operating cost'!CW54/15000</f>
        <v>29.104994511759148</v>
      </c>
      <c r="CX10" s="55"/>
      <c r="CY10" s="55"/>
      <c r="CZ10" s="55"/>
      <c r="DB10" s="55"/>
      <c r="DC10" s="329">
        <f>'W6 - Operating cost'!DC54/15000</f>
        <v>30.560244237347106</v>
      </c>
      <c r="DD10" s="55"/>
      <c r="DE10" s="55"/>
      <c r="DF10" s="55"/>
      <c r="DH10" s="55"/>
      <c r="DI10" s="329">
        <f>'W6 - Operating cost'!DI54/15000</f>
        <v>32.08825644921447</v>
      </c>
      <c r="DJ10" s="55"/>
      <c r="DK10" s="55"/>
      <c r="DL10" s="55"/>
      <c r="DN10" s="55"/>
      <c r="DO10" s="329">
        <f>'W6 - Operating cost'!DO54/15000</f>
        <v>33.692669271675186</v>
      </c>
      <c r="DP10" s="55"/>
      <c r="DQ10" s="55"/>
      <c r="DR10" s="55"/>
      <c r="DT10" s="55"/>
      <c r="DU10" s="329">
        <f>'W6 - Operating cost'!DU54/15000</f>
        <v>35.377302735258951</v>
      </c>
      <c r="DV10" s="55"/>
      <c r="DW10" s="55"/>
      <c r="DX10" s="55"/>
      <c r="DZ10" s="55"/>
      <c r="EA10" s="329">
        <f>'W6 - Operating cost'!EA54/15000</f>
        <v>37.146167872021891</v>
      </c>
      <c r="EB10" s="55"/>
      <c r="EC10" s="55"/>
      <c r="ED10" s="55"/>
      <c r="EF10" s="55"/>
      <c r="EG10" s="329">
        <f>'W6 - Operating cost'!EG54/15000</f>
        <v>39.003476265622986</v>
      </c>
      <c r="EH10" s="55"/>
      <c r="EI10" s="55"/>
      <c r="EJ10" s="55"/>
      <c r="EL10" s="55"/>
      <c r="EM10" s="329">
        <f>'W6 - Operating cost'!EM54/15000</f>
        <v>40.953650078904133</v>
      </c>
      <c r="EN10" s="55"/>
      <c r="EO10" s="55"/>
      <c r="EP10" s="55"/>
      <c r="ER10" s="55"/>
      <c r="ES10" s="329">
        <f>'W6 - Operating cost'!ES54/15000</f>
        <v>43.001332582849351</v>
      </c>
      <c r="ET10" s="55"/>
      <c r="EU10" s="55"/>
      <c r="EV10" s="55"/>
    </row>
    <row r="11" spans="1:152" x14ac:dyDescent="0.25">
      <c r="A11" t="s">
        <v>623</v>
      </c>
      <c r="B11" s="55" t="s">
        <v>155</v>
      </c>
      <c r="C11" s="55" t="s">
        <v>148</v>
      </c>
      <c r="D11" s="55"/>
      <c r="E11" s="329">
        <f>SUMIFS('W6 - Operating cost'!G$5:G$69,'W6 - Operating cost'!$A$5:$A$69,'W6 - Preform cost'!$B11)/D$29</f>
        <v>29.059560102423557</v>
      </c>
      <c r="F11" s="55"/>
      <c r="G11" s="55"/>
      <c r="H11" s="55"/>
      <c r="J11" s="55"/>
      <c r="K11" s="329">
        <f>SUMIFS('W6 - Operating cost'!M$5:M$69,'W6 - Operating cost'!$A$5:$A$69,'W6 - Preform cost'!$B11)/J$29</f>
        <v>20.756828644588257</v>
      </c>
      <c r="L11" s="55"/>
      <c r="M11" s="55"/>
      <c r="N11" s="55"/>
      <c r="P11" s="55"/>
      <c r="Q11" s="329">
        <f>SUMIFS('W6 - Operating cost'!S$5:S$69,'W6 - Operating cost'!$A$5:$A$69,'W6 - Preform cost'!$B11)/P$29</f>
        <v>14.529780051211779</v>
      </c>
      <c r="R11" s="55"/>
      <c r="S11" s="55"/>
      <c r="T11" s="55"/>
      <c r="V11" s="55"/>
      <c r="W11" s="329">
        <f>SUMIFS('W6 - Operating cost'!Y$5:Y$69,'W6 - Operating cost'!$A$5:$A$69,'W6 - Preform cost'!$B11)/V$29</f>
        <v>14.529780051211779</v>
      </c>
      <c r="X11" s="55"/>
      <c r="Y11" s="55"/>
      <c r="Z11" s="55"/>
      <c r="AB11" s="55"/>
      <c r="AC11" s="329">
        <f>SUMIFS('W6 - Operating cost'!AE$5:AE$69,'W6 - Operating cost'!$A$5:$A$69,'W6 - Preform cost'!$B11)/AB$29</f>
        <v>14.529780051211779</v>
      </c>
      <c r="AD11" s="55"/>
      <c r="AE11" s="55"/>
      <c r="AF11" s="55"/>
      <c r="AH11" s="55"/>
      <c r="AI11" s="329">
        <f>SUMIFS('W6 - Operating cost'!AK$5:AK$69,'W6 - Operating cost'!$A$5:$A$69,'W6 - Preform cost'!$B11)/AH$29</f>
        <v>14.529780051211779</v>
      </c>
      <c r="AJ11" s="55"/>
      <c r="AK11" s="55"/>
      <c r="AL11" s="55"/>
      <c r="AN11" s="55"/>
      <c r="AO11" s="329">
        <f>SUMIFS('W6 - Operating cost'!AQ$5:AQ$69,'W6 - Operating cost'!$A$5:$A$69,'W6 - Preform cost'!$B11)/AN$29</f>
        <v>14.529780051211779</v>
      </c>
      <c r="AP11" s="55"/>
      <c r="AQ11" s="55"/>
      <c r="AR11" s="55"/>
      <c r="AT11" s="55"/>
      <c r="AU11" s="329">
        <f>SUMIFS('W6 - Operating cost'!AW$5:AW$69,'W6 - Operating cost'!$A$5:$A$69,'W6 - Preform cost'!$B11)/AT$29</f>
        <v>14.529780051211779</v>
      </c>
      <c r="AV11" s="55"/>
      <c r="AW11" s="55"/>
      <c r="AX11" s="55"/>
      <c r="AZ11" s="55"/>
      <c r="BA11" s="329">
        <f>SUMIFS('W6 - Operating cost'!BC$5:BC$69,'W6 - Operating cost'!$A$5:$A$69,'W6 - Preform cost'!$B11)/AZ$29</f>
        <v>14.529780051211779</v>
      </c>
      <c r="BB11" s="55"/>
      <c r="BC11" s="55"/>
      <c r="BD11" s="55"/>
      <c r="BF11" s="55"/>
      <c r="BG11" s="329">
        <f>SUMIFS('W6 - Operating cost'!BI$5:BI$69,'W6 - Operating cost'!$A$5:$A$69,'W6 - Preform cost'!$B11)/BF$29</f>
        <v>14.529780051211779</v>
      </c>
      <c r="BH11" s="55"/>
      <c r="BI11" s="55"/>
      <c r="BJ11" s="55"/>
      <c r="BL11" s="55"/>
      <c r="BM11" s="329">
        <f>SUMIFS('W6 - Operating cost'!BO$5:BO$69,'W6 - Operating cost'!$A$5:$A$69,'W6 - Preform cost'!$B11)/BL$29</f>
        <v>14.529780051211779</v>
      </c>
      <c r="BN11" s="55"/>
      <c r="BO11" s="55"/>
      <c r="BP11" s="55"/>
      <c r="BR11" s="55"/>
      <c r="BS11" s="329">
        <f>SUMIFS('W6 - Operating cost'!BU$5:BU$69,'W6 - Operating cost'!$A$5:$A$69,'W6 - Preform cost'!$B11)/BR$29</f>
        <v>14.529780051211779</v>
      </c>
      <c r="BT11" s="55"/>
      <c r="BU11" s="55"/>
      <c r="BV11" s="55"/>
      <c r="BX11" s="55"/>
      <c r="BY11" s="329">
        <f>SUMIFS('W6 - Operating cost'!CA$5:CA$69,'W6 - Operating cost'!$A$5:$A$69,'W6 - Preform cost'!$B11)/BX$29</f>
        <v>14.529780051211779</v>
      </c>
      <c r="BZ11" s="55"/>
      <c r="CA11" s="55"/>
      <c r="CB11" s="55"/>
      <c r="CD11" s="55"/>
      <c r="CE11" s="329">
        <f>SUMIFS('W6 - Operating cost'!CG$5:CG$69,'W6 - Operating cost'!$A$5:$A$69,'W6 - Preform cost'!$B11)/CD$29</f>
        <v>14.529780051211779</v>
      </c>
      <c r="CF11" s="55"/>
      <c r="CG11" s="55"/>
      <c r="CH11" s="55"/>
      <c r="CJ11" s="55"/>
      <c r="CK11" s="329">
        <f>SUMIFS('W6 - Operating cost'!CM$5:CM$69,'W6 - Operating cost'!$A$5:$A$69,'W6 - Preform cost'!$B11)/CJ$29</f>
        <v>14.529780051211779</v>
      </c>
      <c r="CL11" s="55"/>
      <c r="CM11" s="55"/>
      <c r="CN11" s="55"/>
      <c r="CP11" s="55"/>
      <c r="CQ11" s="329">
        <f>SUMIFS('W6 - Operating cost'!CS$5:CS$69,'W6 - Operating cost'!$A$5:$A$69,'W6 - Preform cost'!$B11)/CP$29</f>
        <v>14.529780051211779</v>
      </c>
      <c r="CR11" s="55"/>
      <c r="CS11" s="55"/>
      <c r="CT11" s="55"/>
      <c r="CV11" s="55"/>
      <c r="CW11" s="329">
        <f>SUMIFS('W6 - Operating cost'!CY$5:CY$69,'W6 - Operating cost'!$A$5:$A$69,'W6 - Preform cost'!$B11)/CV$29</f>
        <v>14.529780051211779</v>
      </c>
      <c r="CX11" s="55"/>
      <c r="CY11" s="55"/>
      <c r="CZ11" s="55"/>
      <c r="DB11" s="55"/>
      <c r="DC11" s="329">
        <f>SUMIFS('W6 - Operating cost'!DE$5:DE$69,'W6 - Operating cost'!$A$5:$A$69,'W6 - Preform cost'!$B11)/DB$29</f>
        <v>14.529780051211779</v>
      </c>
      <c r="DD11" s="55"/>
      <c r="DE11" s="55"/>
      <c r="DF11" s="55"/>
      <c r="DH11" s="55"/>
      <c r="DI11" s="329">
        <f>SUMIFS('W6 - Operating cost'!DK$5:DK$69,'W6 - Operating cost'!$A$5:$A$69,'W6 - Preform cost'!$B11)/DH$29</f>
        <v>14.529780051211779</v>
      </c>
      <c r="DJ11" s="55"/>
      <c r="DK11" s="55"/>
      <c r="DL11" s="55"/>
      <c r="DN11" s="55"/>
      <c r="DO11" s="329">
        <f>SUMIFS('W6 - Operating cost'!DQ$5:DQ$69,'W6 - Operating cost'!$A$5:$A$69,'W6 - Preform cost'!$B11)/DN$29</f>
        <v>14.529780051211779</v>
      </c>
      <c r="DP11" s="55"/>
      <c r="DQ11" s="55"/>
      <c r="DR11" s="55"/>
      <c r="DT11" s="55"/>
      <c r="DU11" s="329">
        <f>SUMIFS('W6 - Operating cost'!DW$5:DW$69,'W6 - Operating cost'!$A$5:$A$69,'W6 - Preform cost'!$B11)/DT$29</f>
        <v>14.529780051211779</v>
      </c>
      <c r="DV11" s="55"/>
      <c r="DW11" s="55"/>
      <c r="DX11" s="55"/>
      <c r="DZ11" s="55"/>
      <c r="EA11" s="329">
        <f>SUMIFS('W6 - Operating cost'!EC$5:EC$69,'W6 - Operating cost'!$A$5:$A$69,'W6 - Preform cost'!$B11)/DZ$29</f>
        <v>14.529780051211779</v>
      </c>
      <c r="EB11" s="55"/>
      <c r="EC11" s="55"/>
      <c r="ED11" s="55"/>
      <c r="EF11" s="55"/>
      <c r="EG11" s="329">
        <f>SUMIFS('W6 - Operating cost'!EI$5:EI$69,'W6 - Operating cost'!$A$5:$A$69,'W6 - Preform cost'!$B11)/EF$29</f>
        <v>14.529780051211779</v>
      </c>
      <c r="EH11" s="55"/>
      <c r="EI11" s="55"/>
      <c r="EJ11" s="55"/>
      <c r="EL11" s="55"/>
      <c r="EM11" s="329">
        <f>SUMIFS('W6 - Operating cost'!EO$5:EO$69,'W6 - Operating cost'!$A$5:$A$69,'W6 - Preform cost'!$B11)/EL$29</f>
        <v>14.529780051211779</v>
      </c>
      <c r="EN11" s="55"/>
      <c r="EO11" s="55"/>
      <c r="EP11" s="55"/>
      <c r="ER11" s="55"/>
      <c r="ES11" s="329">
        <f>SUMIFS('W6 - Operating cost'!EU$5:EU$69,'W6 - Operating cost'!$A$5:$A$69,'W6 - Preform cost'!$B11)/ER$29</f>
        <v>14.529780051211779</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f>'W6 - Operating cost'!G69/'W6 - Operating cost'!D31</f>
        <v>12.205015243017893</v>
      </c>
      <c r="F13" s="55"/>
      <c r="G13" s="55"/>
      <c r="H13" s="55"/>
      <c r="J13" s="55"/>
      <c r="K13" s="329">
        <f>'W6 - Operating cost'!M69/'W6 - Operating cost'!J31</f>
        <v>8.7178680307270682</v>
      </c>
      <c r="L13" s="55"/>
      <c r="M13" s="55"/>
      <c r="N13" s="55"/>
      <c r="P13" s="55"/>
      <c r="Q13" s="329">
        <f>'W6 - Operating cost'!S69/'W6 - Operating cost'!P31</f>
        <v>6.4076330025843937</v>
      </c>
      <c r="R13" s="55"/>
      <c r="S13" s="55"/>
      <c r="T13" s="55"/>
      <c r="V13" s="55"/>
      <c r="W13" s="329">
        <f>'W6 - Operating cost'!Y69/'W6 - Operating cost'!V31</f>
        <v>6.7280146527136138</v>
      </c>
      <c r="X13" s="55"/>
      <c r="Y13" s="55"/>
      <c r="Z13" s="55"/>
      <c r="AB13" s="55"/>
      <c r="AC13" s="329">
        <f>'W6 - Operating cost'!AE69/'W6 - Operating cost'!AB31</f>
        <v>7.0644153853492959</v>
      </c>
      <c r="AD13" s="55"/>
      <c r="AE13" s="55"/>
      <c r="AF13" s="55"/>
      <c r="AH13" s="55"/>
      <c r="AI13" s="329">
        <f>'W6 - Operating cost'!AK69/'W6 - Operating cost'!AH31</f>
        <v>7.4176361546167593</v>
      </c>
      <c r="AJ13" s="55"/>
      <c r="AK13" s="55"/>
      <c r="AL13" s="55"/>
      <c r="AN13" s="55"/>
      <c r="AO13" s="329">
        <f>'W6 - Operating cost'!AQ69/'W6 - Operating cost'!AN31</f>
        <v>7.7885179623475995</v>
      </c>
      <c r="AP13" s="55"/>
      <c r="AQ13" s="55"/>
      <c r="AR13" s="55"/>
      <c r="AT13" s="55"/>
      <c r="AU13" s="329">
        <f>'W6 - Operating cost'!AW69/'W6 - Operating cost'!AT31</f>
        <v>8.1779438604649766</v>
      </c>
      <c r="AV13" s="55"/>
      <c r="AW13" s="55"/>
      <c r="AX13" s="55"/>
      <c r="AZ13" s="55"/>
      <c r="BA13" s="329">
        <f>'W6 - Operating cost'!BC69/'W6 - Operating cost'!AZ31</f>
        <v>8.5868410534882287</v>
      </c>
      <c r="BB13" s="55"/>
      <c r="BC13" s="55"/>
      <c r="BD13" s="55"/>
      <c r="BF13" s="55"/>
      <c r="BG13" s="329">
        <f>'W6 - Operating cost'!BI69/'W6 - Operating cost'!BF31</f>
        <v>9.0161831061626376</v>
      </c>
      <c r="BH13" s="55"/>
      <c r="BI13" s="55"/>
      <c r="BJ13" s="55"/>
      <c r="BL13" s="55"/>
      <c r="BM13" s="329">
        <f>'W6 - Operating cost'!BO69/'W6 - Operating cost'!BL31</f>
        <v>9.4669922614707698</v>
      </c>
      <c r="BN13" s="55"/>
      <c r="BO13" s="55"/>
      <c r="BP13" s="55"/>
      <c r="BR13" s="55"/>
      <c r="BS13" s="329">
        <f>'W6 - Operating cost'!BU69/'W6 - Operating cost'!BR31</f>
        <v>9.9403418745443073</v>
      </c>
      <c r="BT13" s="55"/>
      <c r="BU13" s="55"/>
      <c r="BV13" s="55"/>
      <c r="BX13" s="55"/>
      <c r="BY13" s="329">
        <f>'W6 - Operating cost'!CA69/'W6 - Operating cost'!BX31</f>
        <v>10.437358968271527</v>
      </c>
      <c r="BZ13" s="55"/>
      <c r="CA13" s="55"/>
      <c r="CB13" s="55"/>
      <c r="CD13" s="55"/>
      <c r="CE13" s="329">
        <f>'W6 - Operating cost'!CG69/'W6 - Operating cost'!CD31</f>
        <v>10.959226916685099</v>
      </c>
      <c r="CF13" s="55"/>
      <c r="CG13" s="55"/>
      <c r="CH13" s="55"/>
      <c r="CJ13" s="55"/>
      <c r="CK13" s="329">
        <f>'W6 - Operating cost'!CM69/'W6 - Operating cost'!CJ31</f>
        <v>11.507188262519355</v>
      </c>
      <c r="CL13" s="55"/>
      <c r="CM13" s="55"/>
      <c r="CN13" s="55"/>
      <c r="CP13" s="55"/>
      <c r="CQ13" s="329">
        <f>'W6 - Operating cost'!CS69/'W6 - Operating cost'!CP31</f>
        <v>12.082547675645321</v>
      </c>
      <c r="CR13" s="55"/>
      <c r="CS13" s="55"/>
      <c r="CT13" s="55"/>
      <c r="CV13" s="55"/>
      <c r="CW13" s="329">
        <f>'W6 - Operating cost'!CY69/'W6 - Operating cost'!CV31</f>
        <v>12.686675059427591</v>
      </c>
      <c r="CX13" s="55"/>
      <c r="CY13" s="55"/>
      <c r="CZ13" s="55"/>
      <c r="DB13" s="55"/>
      <c r="DC13" s="329">
        <f>'W6 - Operating cost'!DE69/'W6 - Operating cost'!DB31</f>
        <v>13.32100881239897</v>
      </c>
      <c r="DD13" s="55"/>
      <c r="DE13" s="55"/>
      <c r="DF13" s="55"/>
      <c r="DH13" s="55"/>
      <c r="DI13" s="329">
        <f>'W6 - Operating cost'!DK69/'W6 - Operating cost'!DH31</f>
        <v>13.987059253018922</v>
      </c>
      <c r="DJ13" s="55"/>
      <c r="DK13" s="55"/>
      <c r="DL13" s="55"/>
      <c r="DN13" s="55"/>
      <c r="DO13" s="329">
        <f>'W6 - Operating cost'!DQ69/'W6 - Operating cost'!DN31</f>
        <v>14.686412215669865</v>
      </c>
      <c r="DP13" s="55"/>
      <c r="DQ13" s="55"/>
      <c r="DR13" s="55"/>
      <c r="DT13" s="55"/>
      <c r="DU13" s="329">
        <f>'W6 - Operating cost'!DW69/'W6 - Operating cost'!DT31</f>
        <v>15.42073282645336</v>
      </c>
      <c r="DV13" s="55"/>
      <c r="DW13" s="55"/>
      <c r="DX13" s="55"/>
      <c r="DZ13" s="55"/>
      <c r="EA13" s="329">
        <f>'W6 - Operating cost'!EC69/'W6 - Operating cost'!DZ31</f>
        <v>16.191769467776023</v>
      </c>
      <c r="EB13" s="55"/>
      <c r="EC13" s="55"/>
      <c r="ED13" s="55"/>
      <c r="EF13" s="55"/>
      <c r="EG13" s="329">
        <f>'W6 - Operating cost'!EI69/'W6 - Operating cost'!EF31</f>
        <v>17.001357941164827</v>
      </c>
      <c r="EH13" s="55"/>
      <c r="EI13" s="55"/>
      <c r="EJ13" s="55"/>
      <c r="EL13" s="55"/>
      <c r="EM13" s="329">
        <f>'W6 - Operating cost'!EO69/'W6 - Operating cost'!EL31</f>
        <v>17.851425838223069</v>
      </c>
      <c r="EN13" s="55"/>
      <c r="EO13" s="55"/>
      <c r="EP13" s="55"/>
      <c r="ER13" s="55"/>
      <c r="ES13" s="329">
        <f>'W6 - Operating cost'!EU69/'W6 - Operating cost'!ER31</f>
        <v>18.743997130134229</v>
      </c>
      <c r="ET13" s="55"/>
      <c r="EU13" s="55"/>
      <c r="EV13" s="55"/>
    </row>
    <row r="14" spans="1:152" x14ac:dyDescent="0.25">
      <c r="A14" t="s">
        <v>623</v>
      </c>
      <c r="B14" s="55" t="s">
        <v>533</v>
      </c>
      <c r="C14" s="55" t="s">
        <v>148</v>
      </c>
      <c r="D14" s="55"/>
      <c r="E14" s="329">
        <f>'W6 - Operating cost'!G34/'W6 - Preform cost'!D29</f>
        <v>2.8071535058941155</v>
      </c>
      <c r="F14" s="55"/>
      <c r="G14" s="55"/>
      <c r="H14" s="55"/>
      <c r="J14" s="55"/>
      <c r="K14" s="329">
        <f>'W6 - Operating cost'!M34/'W6 - Preform cost'!J29</f>
        <v>2.0051096470672256</v>
      </c>
      <c r="L14" s="55"/>
      <c r="M14" s="55"/>
      <c r="N14" s="55"/>
      <c r="P14" s="55"/>
      <c r="Q14" s="329">
        <f>'W6 - Operating cost'!S34/'W6 - Preform cost'!P29</f>
        <v>1.4737555905944106</v>
      </c>
      <c r="R14" s="55"/>
      <c r="S14" s="55"/>
      <c r="T14" s="55"/>
      <c r="V14" s="55"/>
      <c r="W14" s="329">
        <f>'W6 - Operating cost'!Y34/'W6 - Preform cost'!V29</f>
        <v>1.5474433701241312</v>
      </c>
      <c r="X14" s="55"/>
      <c r="Y14" s="55"/>
      <c r="Z14" s="55"/>
      <c r="AB14" s="55"/>
      <c r="AC14" s="329">
        <f>'W6 - Operating cost'!AE34/'W6 - Preform cost'!AB29</f>
        <v>1.624815538630338</v>
      </c>
      <c r="AD14" s="55"/>
      <c r="AE14" s="55"/>
      <c r="AF14" s="55"/>
      <c r="AH14" s="55"/>
      <c r="AI14" s="329">
        <f>'W6 - Operating cost'!AK34/'W6 - Preform cost'!AH29</f>
        <v>1.7060563155618547</v>
      </c>
      <c r="AJ14" s="55"/>
      <c r="AK14" s="55"/>
      <c r="AL14" s="55"/>
      <c r="AN14" s="55"/>
      <c r="AO14" s="329">
        <f>'W6 - Operating cost'!AQ34/'W6 - Preform cost'!AN29</f>
        <v>1.7913591313399475</v>
      </c>
      <c r="AP14" s="55"/>
      <c r="AQ14" s="55"/>
      <c r="AR14" s="55"/>
      <c r="AT14" s="55"/>
      <c r="AU14" s="329">
        <f>'W6 - Operating cost'!AW34/'W6 - Preform cost'!AT29</f>
        <v>1.8809270879069449</v>
      </c>
      <c r="AV14" s="55"/>
      <c r="AW14" s="55"/>
      <c r="AX14" s="55"/>
      <c r="AZ14" s="55"/>
      <c r="BA14" s="329">
        <f>'W6 - Operating cost'!BC34/'W6 - Preform cost'!AZ29</f>
        <v>1.9749734423022924</v>
      </c>
      <c r="BB14" s="55"/>
      <c r="BC14" s="55"/>
      <c r="BD14" s="55"/>
      <c r="BF14" s="55"/>
      <c r="BG14" s="329">
        <f>'W6 - Operating cost'!BI34/'W6 - Preform cost'!BF29</f>
        <v>2.0737221144174063</v>
      </c>
      <c r="BH14" s="55"/>
      <c r="BI14" s="55"/>
      <c r="BJ14" s="55"/>
      <c r="BL14" s="55"/>
      <c r="BM14" s="329">
        <f>'W6 - Operating cost'!BO34/'W6 - Preform cost'!BL29</f>
        <v>2.1774082201382772</v>
      </c>
      <c r="BN14" s="55"/>
      <c r="BO14" s="55"/>
      <c r="BP14" s="55"/>
      <c r="BR14" s="55"/>
      <c r="BS14" s="329">
        <f>'W6 - Operating cost'!BU34/'W6 - Preform cost'!BR29</f>
        <v>2.286278631145191</v>
      </c>
      <c r="BT14" s="55"/>
      <c r="BU14" s="55"/>
      <c r="BV14" s="55"/>
      <c r="BX14" s="55"/>
      <c r="BY14" s="329">
        <f>'W6 - Operating cost'!CA34/'W6 - Preform cost'!BX29</f>
        <v>2.4005925627024505</v>
      </c>
      <c r="BZ14" s="55"/>
      <c r="CA14" s="55"/>
      <c r="CB14" s="55"/>
      <c r="CD14" s="55"/>
      <c r="CE14" s="329">
        <f>'W6 - Operating cost'!CG34/'W6 - Preform cost'!CD29</f>
        <v>2.5206221908375728</v>
      </c>
      <c r="CF14" s="55"/>
      <c r="CG14" s="55"/>
      <c r="CH14" s="55"/>
      <c r="CJ14" s="55"/>
      <c r="CK14" s="329">
        <f>'W6 - Operating cost'!CM34/'W6 - Preform cost'!CJ29</f>
        <v>2.6466533003794517</v>
      </c>
      <c r="CL14" s="55"/>
      <c r="CM14" s="55"/>
      <c r="CN14" s="55"/>
      <c r="CP14" s="55"/>
      <c r="CQ14" s="329">
        <f>'W6 - Operating cost'!CS34/'W6 - Preform cost'!CP29</f>
        <v>2.7789859653984239</v>
      </c>
      <c r="CR14" s="55"/>
      <c r="CS14" s="55"/>
      <c r="CT14" s="55"/>
      <c r="CV14" s="55"/>
      <c r="CW14" s="329">
        <f>'W6 - Operating cost'!CY34/'W6 - Preform cost'!CV29</f>
        <v>2.9179352636683462</v>
      </c>
      <c r="CX14" s="55"/>
      <c r="CY14" s="55"/>
      <c r="CZ14" s="55"/>
      <c r="DB14" s="55"/>
      <c r="DC14" s="329">
        <f>'W6 - Operating cost'!DE34/'W6 - Preform cost'!DB29</f>
        <v>3.0638320268517636</v>
      </c>
      <c r="DD14" s="55"/>
      <c r="DE14" s="55"/>
      <c r="DF14" s="55"/>
      <c r="DH14" s="55"/>
      <c r="DI14" s="329">
        <f>'W6 - Operating cost'!DK34/'W6 - Preform cost'!DH29</f>
        <v>3.2170236281943514</v>
      </c>
      <c r="DJ14" s="55"/>
      <c r="DK14" s="55"/>
      <c r="DL14" s="55"/>
      <c r="DN14" s="55"/>
      <c r="DO14" s="329">
        <f>'W6 - Operating cost'!DQ34/'W6 - Preform cost'!DN29</f>
        <v>3.3778748096040685</v>
      </c>
      <c r="DP14" s="55"/>
      <c r="DQ14" s="55"/>
      <c r="DR14" s="55"/>
      <c r="DT14" s="55"/>
      <c r="DU14" s="329">
        <f>'W6 - Operating cost'!DW34/'W6 - Preform cost'!DT29</f>
        <v>3.5467685500842725</v>
      </c>
      <c r="DV14" s="55"/>
      <c r="DW14" s="55"/>
      <c r="DX14" s="55"/>
      <c r="DZ14" s="55"/>
      <c r="EA14" s="329">
        <f>'W6 - Operating cost'!EC34/'W6 - Preform cost'!DZ29</f>
        <v>3.7241069775884865</v>
      </c>
      <c r="EB14" s="55"/>
      <c r="EC14" s="55"/>
      <c r="ED14" s="55"/>
      <c r="EF14" s="55"/>
      <c r="EG14" s="329">
        <f>'W6 - Operating cost'!EI34/'W6 - Preform cost'!EF29</f>
        <v>3.9103123264679112</v>
      </c>
      <c r="EH14" s="55"/>
      <c r="EI14" s="55"/>
      <c r="EJ14" s="55"/>
      <c r="EL14" s="55"/>
      <c r="EM14" s="329">
        <f>'W6 - Operating cost'!EO34/'W6 - Preform cost'!EL29</f>
        <v>4.1058279427913051</v>
      </c>
      <c r="EN14" s="55"/>
      <c r="EO14" s="55"/>
      <c r="EP14" s="55"/>
      <c r="ER14" s="55"/>
      <c r="ES14" s="329">
        <f>'W6 - Operating cost'!EU34/'W6 - Preform cost'!ER29</f>
        <v>4.3111193399308716</v>
      </c>
      <c r="ET14" s="55"/>
      <c r="EU14" s="55"/>
      <c r="EV14" s="55"/>
    </row>
    <row r="15" spans="1:152" x14ac:dyDescent="0.25">
      <c r="A15" t="s">
        <v>623</v>
      </c>
      <c r="B15" s="55" t="s">
        <v>523</v>
      </c>
      <c r="C15" s="55" t="s">
        <v>148</v>
      </c>
      <c r="D15" s="55"/>
      <c r="E15" s="329">
        <f>SUMIFS('W6 - Operating cost'!G$5:G$69,'W6 - Operating cost'!$A$5:$A$69,'W6 - Preform cost'!$B15)/D$29</f>
        <v>4.5041349506753097</v>
      </c>
      <c r="F15" s="55"/>
      <c r="G15" s="55"/>
      <c r="H15" s="55"/>
      <c r="J15" s="55"/>
      <c r="K15" s="329">
        <f>SUMIFS('W6 - Operating cost'!M$5:M$69,'W6 - Operating cost'!$A$5:$A$69,'W6 - Preform cost'!$B15)/J$29</f>
        <v>3.2172392504823644</v>
      </c>
      <c r="L15" s="55"/>
      <c r="M15" s="55"/>
      <c r="N15" s="55"/>
      <c r="P15" s="55"/>
      <c r="Q15" s="329">
        <f>SUMIFS('W6 - Operating cost'!S$5:S$69,'W6 - Operating cost'!$A$5:$A$69,'W6 - Preform cost'!$B15)/P$29</f>
        <v>2.2520674753376548</v>
      </c>
      <c r="R15" s="55"/>
      <c r="S15" s="55"/>
      <c r="T15" s="55"/>
      <c r="V15" s="55"/>
      <c r="W15" s="329">
        <f>SUMIFS('W6 - Operating cost'!Y$5:Y$69,'W6 - Operating cost'!$A$5:$A$69,'W6 - Preform cost'!$B15)/V$29</f>
        <v>2.2520674753376548</v>
      </c>
      <c r="X15" s="55"/>
      <c r="Y15" s="55"/>
      <c r="Z15" s="55"/>
      <c r="AB15" s="55"/>
      <c r="AC15" s="329">
        <f>SUMIFS('W6 - Operating cost'!AE$5:AE$69,'W6 - Operating cost'!$A$5:$A$69,'W6 - Preform cost'!$B15)/AB$29</f>
        <v>2.2520674753376548</v>
      </c>
      <c r="AD15" s="55"/>
      <c r="AE15" s="55"/>
      <c r="AF15" s="55"/>
      <c r="AH15" s="55"/>
      <c r="AI15" s="329">
        <f>SUMIFS('W6 - Operating cost'!AK$5:AK$69,'W6 - Operating cost'!$A$5:$A$69,'W6 - Preform cost'!$B15)/AH$29</f>
        <v>2.2520674753376548</v>
      </c>
      <c r="AJ15" s="55"/>
      <c r="AK15" s="55"/>
      <c r="AL15" s="55"/>
      <c r="AN15" s="55"/>
      <c r="AO15" s="329">
        <f>SUMIFS('W6 - Operating cost'!AQ$5:AQ$69,'W6 - Operating cost'!$A$5:$A$69,'W6 - Preform cost'!$B15)/AN$29</f>
        <v>2.2520674753376548</v>
      </c>
      <c r="AP15" s="55"/>
      <c r="AQ15" s="55"/>
      <c r="AR15" s="55"/>
      <c r="AT15" s="55"/>
      <c r="AU15" s="329">
        <f>SUMIFS('W6 - Operating cost'!AW$5:AW$69,'W6 - Operating cost'!$A$5:$A$69,'W6 - Preform cost'!$B15)/AT$29</f>
        <v>2.2520674753376548</v>
      </c>
      <c r="AV15" s="55"/>
      <c r="AW15" s="55"/>
      <c r="AX15" s="55"/>
      <c r="AZ15" s="55"/>
      <c r="BA15" s="329">
        <f>SUMIFS('W6 - Operating cost'!BC$5:BC$69,'W6 - Operating cost'!$A$5:$A$69,'W6 - Preform cost'!$B15)/AZ$29</f>
        <v>2.2520674753376548</v>
      </c>
      <c r="BB15" s="55"/>
      <c r="BC15" s="55"/>
      <c r="BD15" s="55"/>
      <c r="BF15" s="55"/>
      <c r="BG15" s="329">
        <f>SUMIFS('W6 - Operating cost'!BI$5:BI$69,'W6 - Operating cost'!$A$5:$A$69,'W6 - Preform cost'!$B15)/BF$29</f>
        <v>2.2520674753376548</v>
      </c>
      <c r="BH15" s="55"/>
      <c r="BI15" s="55"/>
      <c r="BJ15" s="55"/>
      <c r="BL15" s="55"/>
      <c r="BM15" s="329">
        <f>SUMIFS('W6 - Operating cost'!BO$5:BO$69,'W6 - Operating cost'!$A$5:$A$69,'W6 - Preform cost'!$B15)/BL$29</f>
        <v>2.2520674753376548</v>
      </c>
      <c r="BN15" s="55"/>
      <c r="BO15" s="55"/>
      <c r="BP15" s="55"/>
      <c r="BR15" s="55"/>
      <c r="BS15" s="329">
        <f>SUMIFS('W6 - Operating cost'!BU$5:BU$69,'W6 - Operating cost'!$A$5:$A$69,'W6 - Preform cost'!$B15)/BR$29</f>
        <v>2.2520674753376548</v>
      </c>
      <c r="BT15" s="55"/>
      <c r="BU15" s="55"/>
      <c r="BV15" s="55"/>
      <c r="BX15" s="55"/>
      <c r="BY15" s="329">
        <f>SUMIFS('W6 - Operating cost'!CA$5:CA$69,'W6 - Operating cost'!$A$5:$A$69,'W6 - Preform cost'!$B15)/BX$29</f>
        <v>2.2520674753376548</v>
      </c>
      <c r="BZ15" s="55"/>
      <c r="CA15" s="55"/>
      <c r="CB15" s="55"/>
      <c r="CD15" s="55"/>
      <c r="CE15" s="329">
        <f>SUMIFS('W6 - Operating cost'!CG$5:CG$69,'W6 - Operating cost'!$A$5:$A$69,'W6 - Preform cost'!$B15)/CD$29</f>
        <v>2.2520674753376548</v>
      </c>
      <c r="CF15" s="55"/>
      <c r="CG15" s="55"/>
      <c r="CH15" s="55"/>
      <c r="CJ15" s="55"/>
      <c r="CK15" s="329">
        <f>SUMIFS('W6 - Operating cost'!CM$5:CM$69,'W6 - Operating cost'!$A$5:$A$69,'W6 - Preform cost'!$B15)/CJ$29</f>
        <v>2.2520674753376548</v>
      </c>
      <c r="CL15" s="55"/>
      <c r="CM15" s="55"/>
      <c r="CN15" s="55"/>
      <c r="CP15" s="55"/>
      <c r="CQ15" s="329">
        <f>SUMIFS('W6 - Operating cost'!CS$5:CS$69,'W6 - Operating cost'!$A$5:$A$69,'W6 - Preform cost'!$B15)/CP$29</f>
        <v>2.2520674753376548</v>
      </c>
      <c r="CR15" s="55"/>
      <c r="CS15" s="55"/>
      <c r="CT15" s="55"/>
      <c r="CV15" s="55"/>
      <c r="CW15" s="329">
        <f>SUMIFS('W6 - Operating cost'!CY$5:CY$69,'W6 - Operating cost'!$A$5:$A$69,'W6 - Preform cost'!$B15)/CV$29</f>
        <v>2.2520674753376548</v>
      </c>
      <c r="CX15" s="55"/>
      <c r="CY15" s="55"/>
      <c r="CZ15" s="55"/>
      <c r="DB15" s="55"/>
      <c r="DC15" s="329">
        <f>SUMIFS('W6 - Operating cost'!DE$5:DE$69,'W6 - Operating cost'!$A$5:$A$69,'W6 - Preform cost'!$B15)/DB$29</f>
        <v>2.2520674753376548</v>
      </c>
      <c r="DD15" s="55"/>
      <c r="DE15" s="55"/>
      <c r="DF15" s="55"/>
      <c r="DH15" s="55"/>
      <c r="DI15" s="329">
        <f>SUMIFS('W6 - Operating cost'!DK$5:DK$69,'W6 - Operating cost'!$A$5:$A$69,'W6 - Preform cost'!$B15)/DH$29</f>
        <v>2.2520674753376548</v>
      </c>
      <c r="DJ15" s="55"/>
      <c r="DK15" s="55"/>
      <c r="DL15" s="55"/>
      <c r="DN15" s="55"/>
      <c r="DO15" s="329">
        <f>SUMIFS('W6 - Operating cost'!DQ$5:DQ$69,'W6 - Operating cost'!$A$5:$A$69,'W6 - Preform cost'!$B15)/DN$29</f>
        <v>2.2520674753376548</v>
      </c>
      <c r="DP15" s="55"/>
      <c r="DQ15" s="55"/>
      <c r="DR15" s="55"/>
      <c r="DT15" s="55"/>
      <c r="DU15" s="329">
        <f>SUMIFS('W6 - Operating cost'!DW$5:DW$69,'W6 - Operating cost'!$A$5:$A$69,'W6 - Preform cost'!$B15)/DT$29</f>
        <v>2.2520674753376548</v>
      </c>
      <c r="DV15" s="55"/>
      <c r="DW15" s="55"/>
      <c r="DX15" s="55"/>
      <c r="DZ15" s="55"/>
      <c r="EA15" s="329">
        <f>SUMIFS('W6 - Operating cost'!EC$5:EC$69,'W6 - Operating cost'!$A$5:$A$69,'W6 - Preform cost'!$B15)/DZ$29</f>
        <v>2.2520674753376548</v>
      </c>
      <c r="EB15" s="55"/>
      <c r="EC15" s="55"/>
      <c r="ED15" s="55"/>
      <c r="EF15" s="55"/>
      <c r="EG15" s="329">
        <f>SUMIFS('W6 - Operating cost'!EI$5:EI$69,'W6 - Operating cost'!$A$5:$A$69,'W6 - Preform cost'!$B15)/EF$29</f>
        <v>2.2520674753376548</v>
      </c>
      <c r="EH15" s="55"/>
      <c r="EI15" s="55"/>
      <c r="EJ15" s="55"/>
      <c r="EL15" s="55"/>
      <c r="EM15" s="329">
        <f>SUMIFS('W6 - Operating cost'!EO$5:EO$69,'W6 - Operating cost'!$A$5:$A$69,'W6 - Preform cost'!$B15)/EL$29</f>
        <v>2.2520674753376548</v>
      </c>
      <c r="EN15" s="55"/>
      <c r="EO15" s="55"/>
      <c r="EP15" s="55"/>
      <c r="ER15" s="55"/>
      <c r="ES15" s="329">
        <f>SUMIFS('W6 - Operating cost'!EU$5:EU$69,'W6 - Operating cost'!$A$5:$A$69,'W6 - Preform cost'!$B15)/ER$29</f>
        <v>2.2520674753376548</v>
      </c>
      <c r="ET15" s="55"/>
      <c r="EU15" s="55"/>
      <c r="EV15" s="55"/>
    </row>
    <row r="16" spans="1:152" x14ac:dyDescent="0.25">
      <c r="A16" t="s">
        <v>624</v>
      </c>
      <c r="B16" s="55" t="s">
        <v>534</v>
      </c>
      <c r="C16" s="55" t="s">
        <v>148</v>
      </c>
      <c r="D16" s="55"/>
      <c r="E16" s="329" cm="1">
        <f t="array" ref="E16">SUMPRODUCT('W2'!$M$12:$R$112*('W2'!$B$12:$B$112='W6 - Preform cost'!$B16)*('W2'!$M$7:$R$7='W6 - Operating cost'!$B$1))*SUM(E4:E9,E11:E15)</f>
        <v>11.700325768879281</v>
      </c>
      <c r="F16" s="55"/>
      <c r="G16" s="55"/>
      <c r="H16" s="55"/>
      <c r="J16" s="55"/>
      <c r="K16" s="329" cm="1">
        <f t="array" ref="K16">SUMPRODUCT('W2'!$M$12:$R$112*('W2'!$B$12:$B$112='W6 - Preform cost'!$B16)*('W2'!$M$7:$R$7='W6 - Operating cost'!$B$1))*SUM(K4:K9,K11:K15)</f>
        <v>8.7326290054206854</v>
      </c>
      <c r="L16" s="55"/>
      <c r="M16" s="55"/>
      <c r="N16" s="55"/>
      <c r="P16" s="55"/>
      <c r="Q16" s="329" cm="1">
        <f t="array" ref="Q16">SUMPRODUCT('W2'!$M$12:$R$112*('W2'!$B$12:$B$112='W6 - Preform cost'!$B16)*('W2'!$M$7:$R$7='W6 - Operating cost'!$B$1))*SUM(Q4:Q9,Q11:Q15)</f>
        <v>6.6715040200168874</v>
      </c>
      <c r="R16" s="55"/>
      <c r="S16" s="55"/>
      <c r="T16" s="55"/>
      <c r="V16" s="55"/>
      <c r="W16" s="329" cm="1">
        <f t="array" ref="W16">SUMPRODUCT('W2'!$M$12:$R$112*('W2'!$B$12:$B$112='W6 - Preform cost'!$B16)*('W2'!$M$7:$R$7='W6 - Operating cost'!$B$1))*SUM(W4:W9,W11:W15)</f>
        <v>6.8443839865665455</v>
      </c>
      <c r="X16" s="55"/>
      <c r="Y16" s="55"/>
      <c r="Z16" s="55"/>
      <c r="AB16" s="55"/>
      <c r="AC16" s="329" cm="1">
        <f t="array" ref="AC16">SUMPRODUCT('W2'!$M$12:$R$112*('W2'!$B$12:$B$112='W6 - Preform cost'!$B16)*('W2'!$M$7:$R$7='W6 - Operating cost'!$B$1))*SUM(AC4:AC9,AC11:AC15)</f>
        <v>7.0259079514436831</v>
      </c>
      <c r="AD16" s="55"/>
      <c r="AE16" s="55"/>
      <c r="AF16" s="55"/>
      <c r="AH16" s="55"/>
      <c r="AI16" s="329" cm="1">
        <f t="array" ref="AI16">SUMPRODUCT('W2'!$M$12:$R$112*('W2'!$B$12:$B$112='W6 - Preform cost'!$B16)*('W2'!$M$7:$R$7='W6 - Operating cost'!$B$1))*SUM(AI4:AI9,AI11:AI15)</f>
        <v>7.2165081145646788</v>
      </c>
      <c r="AJ16" s="55"/>
      <c r="AK16" s="55"/>
      <c r="AL16" s="55"/>
      <c r="AN16" s="55"/>
      <c r="AO16" s="329" cm="1">
        <f t="array" ref="AO16">SUMPRODUCT('W2'!$M$12:$R$112*('W2'!$B$12:$B$112='W6 - Preform cost'!$B16)*('W2'!$M$7:$R$7='W6 - Operating cost'!$B$1))*SUM(AO4:AO9,AO11:AO15)</f>
        <v>7.4166382858417261</v>
      </c>
      <c r="AP16" s="55"/>
      <c r="AQ16" s="55"/>
      <c r="AR16" s="55"/>
      <c r="AT16" s="55"/>
      <c r="AU16" s="329" cm="1">
        <f t="array" ref="AU16">SUMPRODUCT('W2'!$M$12:$R$112*('W2'!$B$12:$B$112='W6 - Preform cost'!$B16)*('W2'!$M$7:$R$7='W6 - Operating cost'!$B$1))*SUM(AU4:AU9,AU11:AU15)</f>
        <v>7.6267749656826247</v>
      </c>
      <c r="AV16" s="55"/>
      <c r="AW16" s="55"/>
      <c r="AX16" s="55"/>
      <c r="AZ16" s="55"/>
      <c r="BA16" s="329" cm="1">
        <f t="array" ref="BA16">SUMPRODUCT('W2'!$M$12:$R$112*('W2'!$B$12:$B$112='W6 - Preform cost'!$B16)*('W2'!$M$7:$R$7='W6 - Operating cost'!$B$1))*SUM(BA4:BA9,BA11:BA15)</f>
        <v>7.8474184795155679</v>
      </c>
      <c r="BB16" s="55"/>
      <c r="BC16" s="55"/>
      <c r="BD16" s="55"/>
      <c r="BF16" s="55"/>
      <c r="BG16" s="329" cm="1">
        <f t="array" ref="BG16">SUMPRODUCT('W2'!$M$12:$R$112*('W2'!$B$12:$B$112='W6 - Preform cost'!$B16)*('W2'!$M$7:$R$7='W6 - Operating cost'!$B$1))*SUM(BG4:BG9,BG11:BG15)</f>
        <v>8.0790941690401574</v>
      </c>
      <c r="BH16" s="55"/>
      <c r="BI16" s="55"/>
      <c r="BJ16" s="55"/>
      <c r="BL16" s="55"/>
      <c r="BM16" s="329" cm="1">
        <f t="array" ref="BM16">SUMPRODUCT('W2'!$M$12:$R$112*('W2'!$B$12:$B$112='W6 - Preform cost'!$B16)*('W2'!$M$7:$R$7='W6 - Operating cost'!$B$1))*SUM(BM4:BM9,BM11:BM15)</f>
        <v>8.3223536430409801</v>
      </c>
      <c r="BN16" s="55"/>
      <c r="BO16" s="55"/>
      <c r="BP16" s="55"/>
      <c r="BR16" s="55"/>
      <c r="BS16" s="329" cm="1">
        <f t="array" ref="BS16">SUMPRODUCT('W2'!$M$12:$R$112*('W2'!$B$12:$B$112='W6 - Preform cost'!$B16)*('W2'!$M$7:$R$7='W6 - Operating cost'!$B$1))*SUM(BS4:BS9,BS11:BS15)</f>
        <v>8.577776090741839</v>
      </c>
      <c r="BT16" s="55"/>
      <c r="BU16" s="55"/>
      <c r="BV16" s="55"/>
      <c r="BX16" s="55"/>
      <c r="BY16" s="329" cm="1">
        <f t="array" ref="BY16">SUMPRODUCT('W2'!$M$12:$R$112*('W2'!$B$12:$B$112='W6 - Preform cost'!$B16)*('W2'!$M$7:$R$7='W6 - Operating cost'!$B$1))*SUM(BY4:BY9,BY11:BY15)</f>
        <v>6.3033388728659689</v>
      </c>
      <c r="BZ16" s="55"/>
      <c r="CA16" s="55"/>
      <c r="CB16" s="55"/>
      <c r="CD16" s="55"/>
      <c r="CE16" s="329" cm="1">
        <f t="array" ref="CE16">SUMPRODUCT('W2'!$M$12:$R$112*('W2'!$B$12:$B$112='W6 - Preform cost'!$B16)*('W2'!$M$7:$R$7='W6 - Operating cost'!$B$1))*SUM(CE4:CE9,CE11:CE15)</f>
        <v>6.5849421214561668</v>
      </c>
      <c r="CF16" s="55"/>
      <c r="CG16" s="55"/>
      <c r="CH16" s="55"/>
      <c r="CJ16" s="55"/>
      <c r="CK16" s="329" cm="1">
        <f t="array" ref="CK16">SUMPRODUCT('W2'!$M$12:$R$112*('W2'!$B$12:$B$112='W6 - Preform cost'!$B16)*('W2'!$M$7:$R$7='W6 - Operating cost'!$B$1))*SUM(CK4:CK9,CK11:CK15)</f>
        <v>6.8806255324758778</v>
      </c>
      <c r="CL16" s="55"/>
      <c r="CM16" s="55"/>
      <c r="CN16" s="55"/>
      <c r="CP16" s="55"/>
      <c r="CQ16" s="329" cm="1">
        <f t="array" ref="CQ16">SUMPRODUCT('W2'!$M$12:$R$112*('W2'!$B$12:$B$112='W6 - Preform cost'!$B16)*('W2'!$M$7:$R$7='W6 - Operating cost'!$B$1))*SUM(CQ4:CQ9,CQ11:CQ15)</f>
        <v>7.1910931140465708</v>
      </c>
      <c r="CR16" s="55"/>
      <c r="CS16" s="55"/>
      <c r="CT16" s="55"/>
      <c r="CV16" s="55"/>
      <c r="CW16" s="329" cm="1">
        <f t="array" ref="CW16">SUMPRODUCT('W2'!$M$12:$R$112*('W2'!$B$12:$B$112='W6 - Preform cost'!$B16)*('W2'!$M$7:$R$7='W6 - Operating cost'!$B$1))*SUM(CW4:CW9,CW11:CW15)</f>
        <v>7.517084074695803</v>
      </c>
      <c r="CX16" s="55"/>
      <c r="CY16" s="55"/>
      <c r="CZ16" s="55"/>
      <c r="DB16" s="55"/>
      <c r="DC16" s="329" cm="1">
        <f t="array" ref="DC16">SUMPRODUCT('W2'!$M$12:$R$112*('W2'!$B$12:$B$112='W6 - Preform cost'!$B16)*('W2'!$M$7:$R$7='W6 - Operating cost'!$B$1))*SUM(DC4:DC9,DC11:DC15)</f>
        <v>7.8593745833774937</v>
      </c>
      <c r="DD16" s="55"/>
      <c r="DE16" s="55"/>
      <c r="DF16" s="55"/>
      <c r="DH16" s="55"/>
      <c r="DI16" s="329" cm="1">
        <f t="array" ref="DI16">SUMPRODUCT('W2'!$M$12:$R$112*('W2'!$B$12:$B$112='W6 - Preform cost'!$B16)*('W2'!$M$7:$R$7='W6 - Operating cost'!$B$1))*SUM(DI4:DI9,DI11:DI15)</f>
        <v>8.2187796174932686</v>
      </c>
      <c r="DJ16" s="55"/>
      <c r="DK16" s="55"/>
      <c r="DL16" s="55"/>
      <c r="DN16" s="55"/>
      <c r="DO16" s="329" cm="1">
        <f t="array" ref="DO16">SUMPRODUCT('W2'!$M$12:$R$112*('W2'!$B$12:$B$112='W6 - Preform cost'!$B16)*('W2'!$M$7:$R$7='W6 - Operating cost'!$B$1))*SUM(DO4:DO9,DO11:DO15)</f>
        <v>8.596154903314833</v>
      </c>
      <c r="DP16" s="55"/>
      <c r="DQ16" s="55"/>
      <c r="DR16" s="55"/>
      <c r="DT16" s="55"/>
      <c r="DU16" s="329" cm="1">
        <f t="array" ref="DU16">SUMPRODUCT('W2'!$M$12:$R$112*('W2'!$B$12:$B$112='W6 - Preform cost'!$B16)*('W2'!$M$7:$R$7='W6 - Operating cost'!$B$1))*SUM(DU4:DU9,DU11:DU15)</f>
        <v>8.9923989534274789</v>
      </c>
      <c r="DV16" s="55"/>
      <c r="DW16" s="55"/>
      <c r="DX16" s="55"/>
      <c r="DZ16" s="55"/>
      <c r="EA16" s="329" cm="1">
        <f t="array" ref="EA16">SUMPRODUCT('W2'!$M$12:$R$112*('W2'!$B$12:$B$112='W6 - Preform cost'!$B16)*('W2'!$M$7:$R$7='W6 - Operating cost'!$B$1))*SUM(EA4:EA9,EA11:EA15)</f>
        <v>9.4084552060457529</v>
      </c>
      <c r="EB16" s="55"/>
      <c r="EC16" s="55"/>
      <c r="ED16" s="55"/>
      <c r="EF16" s="55"/>
      <c r="EG16" s="329" cm="1">
        <f t="array" ref="EG16">SUMPRODUCT('W2'!$M$12:$R$112*('W2'!$B$12:$B$112='W6 - Preform cost'!$B16)*('W2'!$M$7:$R$7='W6 - Operating cost'!$B$1))*SUM(EG4:EG9,EG11:EG15)</f>
        <v>9.8453142712949404</v>
      </c>
      <c r="EH16" s="55"/>
      <c r="EI16" s="55"/>
      <c r="EJ16" s="55"/>
      <c r="EL16" s="55"/>
      <c r="EM16" s="329" cm="1">
        <f t="array" ref="EM16">SUMPRODUCT('W2'!$M$12:$R$112*('W2'!$B$12:$B$112='W6 - Preform cost'!$B16)*('W2'!$M$7:$R$7='W6 - Operating cost'!$B$1))*SUM(EM4:EM9,EM11:EM15)</f>
        <v>10.304016289806587</v>
      </c>
      <c r="EN16" s="55"/>
      <c r="EO16" s="55"/>
      <c r="EP16" s="55"/>
      <c r="ER16" s="55"/>
      <c r="ES16" s="329" cm="1">
        <f t="array" ref="ES16">SUMPRODUCT('W2'!$M$12:$R$112*('W2'!$B$12:$B$112='W6 - Preform cost'!$B16)*('W2'!$M$7:$R$7='W6 - Operating cost'!$B$1))*SUM(ES4:ES9,ES11:ES15)</f>
        <v>10.785653409243821</v>
      </c>
      <c r="ET16" s="55"/>
      <c r="EU16" s="55"/>
      <c r="EV16" s="55"/>
    </row>
    <row r="17" spans="1:152" x14ac:dyDescent="0.25">
      <c r="A17" t="s">
        <v>625</v>
      </c>
      <c r="B17" s="55" t="s">
        <v>144</v>
      </c>
      <c r="C17" s="55" t="s">
        <v>148</v>
      </c>
      <c r="D17" s="55"/>
      <c r="E17" s="329" cm="1">
        <f t="array" ref="E17">SUMPRODUCT('Lãi vay'!$E$5:$AI$34*('Lãi vay'!$A$5:$A$34='W6 - Operating cost'!$B$1)*('Lãi vay'!$B$5:$B$34="lãi vay")*('Lãi vay'!$E$3:$AI$3='W6 - Operating cost'!H$2))/D29*'W6 - Operating cost'!$E$1</f>
        <v>126.11577861890868</v>
      </c>
      <c r="F17" s="55"/>
      <c r="G17" s="55"/>
      <c r="H17" s="55"/>
      <c r="J17" s="55"/>
      <c r="K17" s="329" cm="1">
        <f t="array" ref="K17">SUMPRODUCT('Lãi vay'!$E$5:$AI$34*('Lãi vay'!$A$5:$A$34='W6 - Operating cost'!$B$1)*('Lãi vay'!$B$5:$B$34="lãi vay")*('Lãi vay'!$E$3:$AI$3='W6 - Operating cost'!N$2))/J29*'W6 - Operating cost'!$E$1</f>
        <v>89.287499988618777</v>
      </c>
      <c r="L17" s="55"/>
      <c r="M17" s="55"/>
      <c r="N17" s="55"/>
      <c r="P17" s="55"/>
      <c r="Q17" s="329" cm="1">
        <f t="array" ref="Q17">SUMPRODUCT('Lãi vay'!$E$5:$AI$34*('Lãi vay'!$A$5:$A$34='W6 - Operating cost'!$B$1)*('Lãi vay'!$B$5:$B$34="lãi vay")*('Lãi vay'!$E$3:$AI$3='W6 - Operating cost'!T$2))/P29*'W6 - Operating cost'!$E$1</f>
        <v>61.900079529218239</v>
      </c>
      <c r="R17" s="55"/>
      <c r="S17" s="55"/>
      <c r="T17" s="55"/>
      <c r="V17" s="55"/>
      <c r="W17" s="329" cm="1">
        <f t="array" ref="W17">SUMPRODUCT('Lãi vay'!$E$5:$AI$34*('Lãi vay'!$A$5:$A$34='W6 - Operating cost'!$B$1)*('Lãi vay'!$B$5:$B$34="lãi vay")*('Lãi vay'!$E$3:$AI$3='W6 - Operating cost'!Z$2))/V29*'W6 - Operating cost'!$E$1</f>
        <v>61.25081542937815</v>
      </c>
      <c r="X17" s="55"/>
      <c r="Y17" s="55"/>
      <c r="Z17" s="55"/>
      <c r="AB17" s="55"/>
      <c r="AC17" s="329" cm="1">
        <f t="array" ref="AC17">SUMPRODUCT('Lãi vay'!$E$5:$AI$34*('Lãi vay'!$A$5:$A$34='W6 - Operating cost'!$B$1)*('Lãi vay'!$B$5:$B$34="lãi vay")*('Lãi vay'!$E$3:$AI$3='W6 - Operating cost'!AF$2))/AB29*'W6 - Operating cost'!$E$1</f>
        <v>60.549610201550855</v>
      </c>
      <c r="AD17" s="55"/>
      <c r="AE17" s="55"/>
      <c r="AF17" s="55"/>
      <c r="AH17" s="55"/>
      <c r="AI17" s="329" cm="1">
        <f t="array" ref="AI17">SUMPRODUCT('Lãi vay'!$E$5:$AI$34*('Lãi vay'!$A$5:$A$34='W6 - Operating cost'!$B$1)*('Lãi vay'!$B$5:$B$34="lãi vay")*('Lãi vay'!$E$3:$AI$3='W6 - Operating cost'!AL$2))/AH29*'W6 - Operating cost'!$E$1</f>
        <v>59.792308555497378</v>
      </c>
      <c r="AJ17" s="55"/>
      <c r="AK17" s="55"/>
      <c r="AL17" s="55"/>
      <c r="AN17" s="55"/>
      <c r="AO17" s="329" cm="1">
        <f t="array" ref="AO17">SUMPRODUCT('Lãi vay'!$E$5:$AI$34*('Lãi vay'!$A$5:$A$34='W6 - Operating cost'!$B$1)*('Lãi vay'!$B$5:$B$34="lãi vay")*('Lãi vay'!$E$3:$AI$3='W6 - Operating cost'!AR$2))/AN29*'W6 - Operating cost'!$E$1</f>
        <v>58.974422777759621</v>
      </c>
      <c r="AP17" s="55"/>
      <c r="AQ17" s="55"/>
      <c r="AR17" s="55"/>
      <c r="AT17" s="55"/>
      <c r="AU17" s="329" cm="1">
        <f t="array" ref="AU17">SUMPRODUCT('Lãi vay'!$E$5:$AI$34*('Lãi vay'!$A$5:$A$34='W6 - Operating cost'!$B$1)*('Lãi vay'!$B$5:$B$34="lãi vay")*('Lãi vay'!$E$3:$AI$3='W6 - Operating cost'!AX$2))/AT29*'W6 - Operating cost'!$E$1</f>
        <v>58.091106137802832</v>
      </c>
      <c r="AV17" s="55"/>
      <c r="AW17" s="55"/>
      <c r="AX17" s="55"/>
      <c r="AZ17" s="55"/>
      <c r="BA17" s="329" cm="1">
        <f t="array" ref="BA17">SUMPRODUCT('Lãi vay'!$E$5:$AI$34*('Lãi vay'!$A$5:$A$34='W6 - Operating cost'!$B$1)*('Lãi vay'!$B$5:$B$34="lãi vay")*('Lãi vay'!$E$3:$AI$3='W6 - Operating cost'!BD$2))/AZ29*'W6 - Operating cost'!$E$1</f>
        <v>57.137124166649514</v>
      </c>
      <c r="BB17" s="55"/>
      <c r="BC17" s="55"/>
      <c r="BD17" s="55"/>
      <c r="BF17" s="55"/>
      <c r="BG17" s="329" cm="1">
        <f t="array" ref="BG17">SUMPRODUCT('Lãi vay'!$E$5:$AI$34*('Lãi vay'!$A$5:$A$34='W6 - Operating cost'!$B$1)*('Lãi vay'!$B$5:$B$34="lãi vay")*('Lãi vay'!$E$3:$AI$3='W6 - Operating cost'!BJ$2))/BF29*'W6 - Operating cost'!$E$1</f>
        <v>56.106823637803927</v>
      </c>
      <c r="BH17" s="55"/>
      <c r="BI17" s="55"/>
      <c r="BJ17" s="55"/>
      <c r="BL17" s="55"/>
      <c r="BM17" s="329" cm="1">
        <f t="array" ref="BM17">SUMPRODUCT('Lãi vay'!$E$5:$AI$34*('Lãi vay'!$A$5:$A$34='W6 - Operating cost'!$B$1)*('Lãi vay'!$B$5:$B$34="lãi vay")*('Lãi vay'!$E$3:$AI$3='W6 - Operating cost'!BP$2))/BL29*'W6 - Operating cost'!$E$1</f>
        <v>54.994099066650698</v>
      </c>
      <c r="BN17" s="55"/>
      <c r="BO17" s="55"/>
      <c r="BP17" s="55"/>
      <c r="BR17" s="55"/>
      <c r="BS17" s="329" cm="1">
        <f t="array" ref="BS17">SUMPRODUCT('Lãi vay'!$E$5:$AI$34*('Lãi vay'!$A$5:$A$34='W6 - Operating cost'!$B$1)*('Lãi vay'!$B$5:$B$34="lãi vay")*('Lãi vay'!$E$3:$AI$3='W6 - Operating cost'!BV$2))/BR29*'W6 - Operating cost'!$E$1</f>
        <v>53.792356529805204</v>
      </c>
      <c r="BT17" s="55"/>
      <c r="BU17" s="55"/>
      <c r="BV17" s="55"/>
      <c r="BX17" s="55"/>
      <c r="BY17" s="329" cm="1">
        <f t="array" ref="BY17">SUMPRODUCT('Lãi vay'!$E$5:$AI$34*('Lãi vay'!$A$5:$A$34='W6 - Operating cost'!$B$1)*('Lãi vay'!$B$5:$B$34="lãi vay")*('Lãi vay'!$E$3:$AI$3='W6 - Operating cost'!CB$2))/BX29*'W6 - Operating cost'!$E$1</f>
        <v>52.494474590012075</v>
      </c>
      <c r="BZ17" s="55"/>
      <c r="CA17" s="55"/>
      <c r="CB17" s="55"/>
      <c r="CD17" s="55"/>
      <c r="CE17" s="329" cm="1">
        <f t="array" ref="CE17">SUMPRODUCT('Lãi vay'!$E$5:$AI$34*('Lãi vay'!$A$5:$A$34='W6 - Operating cost'!$B$1)*('Lãi vay'!$B$5:$B$34="lãi vay")*('Lãi vay'!$E$3:$AI$3='W6 - Operating cost'!CH$2))/CD29*'W6 - Operating cost'!$E$1</f>
        <v>51.092762095035503</v>
      </c>
      <c r="CF17" s="55"/>
      <c r="CG17" s="55"/>
      <c r="CH17" s="55"/>
      <c r="CJ17" s="55"/>
      <c r="CK17" s="329" cm="1">
        <f t="array" ref="CK17">SUMPRODUCT('Lãi vay'!$E$5:$AI$34*('Lãi vay'!$A$5:$A$34='W6 - Operating cost'!$B$1)*('Lãi vay'!$B$5:$B$34="lãi vay")*('Lãi vay'!$E$3:$AI$3='W6 - Operating cost'!CN$2))/CJ29*'W6 - Operating cost'!$E$1</f>
        <v>49.578912600460804</v>
      </c>
      <c r="CL17" s="55"/>
      <c r="CM17" s="55"/>
      <c r="CN17" s="55"/>
      <c r="CP17" s="55"/>
      <c r="CQ17" s="329" cm="1">
        <f t="array" ref="CQ17">SUMPRODUCT('Lãi vay'!$E$5:$AI$34*('Lãi vay'!$A$5:$A$34='W6 - Operating cost'!$B$1)*('Lãi vay'!$B$5:$B$34="lãi vay")*('Lãi vay'!$E$3:$AI$3='W6 - Operating cost'!CT$2))/CP29*'W6 - Operating cost'!$E$1</f>
        <v>47.943955146320128</v>
      </c>
      <c r="CR17" s="55"/>
      <c r="CS17" s="55"/>
      <c r="CT17" s="55"/>
      <c r="CV17" s="55"/>
      <c r="CW17" s="329" cm="1">
        <f t="array" ref="CW17">SUMPRODUCT('Lãi vay'!$E$5:$AI$34*('Lãi vay'!$A$5:$A$34='W6 - Operating cost'!$B$1)*('Lãi vay'!$B$5:$B$34="lãi vay")*('Lãi vay'!$E$3:$AI$3='W6 - Operating cost'!CZ$2))/CV29*'W6 - Operating cost'!$E$1</f>
        <v>46.178201095848195</v>
      </c>
      <c r="CX17" s="55"/>
      <c r="CY17" s="55"/>
      <c r="CZ17" s="55"/>
      <c r="DB17" s="55"/>
      <c r="DC17" s="329" cm="1">
        <f t="array" ref="DC17">SUMPRODUCT('Lãi vay'!$E$5:$AI$34*('Lãi vay'!$A$5:$A$34='W6 - Operating cost'!$B$1)*('Lãi vay'!$B$5:$B$34="lãi vay")*('Lãi vay'!$E$3:$AI$3='W6 - Operating cost'!DF$2))/DB29*'W6 - Operating cost'!$E$1</f>
        <v>44.271186721338509</v>
      </c>
      <c r="DD17" s="55"/>
      <c r="DE17" s="55"/>
      <c r="DF17" s="55"/>
      <c r="DH17" s="55"/>
      <c r="DI17" s="329" cm="1">
        <f t="array" ref="DI17">SUMPRODUCT('Lãi vay'!$E$5:$AI$34*('Lãi vay'!$A$5:$A$34='W6 - Operating cost'!$B$1)*('Lãi vay'!$B$5:$B$34="lãi vay")*('Lãi vay'!$E$3:$AI$3='W6 - Operating cost'!DL$2))/DH29*'W6 - Operating cost'!$E$1</f>
        <v>42.211611196868049</v>
      </c>
      <c r="DJ17" s="55"/>
      <c r="DK17" s="55"/>
      <c r="DL17" s="55"/>
      <c r="DN17" s="55"/>
      <c r="DO17" s="329" cm="1">
        <f t="array" ref="DO17">SUMPRODUCT('Lãi vay'!$E$5:$AI$34*('Lãi vay'!$A$5:$A$34='W6 - Operating cost'!$B$1)*('Lãi vay'!$B$5:$B$34="lãi vay")*('Lãi vay'!$E$3:$AI$3='W6 - Operating cost'!DR$2))/DN29*'W6 - Operating cost'!$E$1</f>
        <v>39.987269630439947</v>
      </c>
      <c r="DP17" s="55"/>
      <c r="DQ17" s="55"/>
      <c r="DR17" s="55"/>
      <c r="DT17" s="55"/>
      <c r="DU17" s="329" cm="1">
        <f t="array" ref="DU17">SUMPRODUCT('Lãi vay'!$E$5:$AI$34*('Lãi vay'!$A$5:$A$34='W6 - Operating cost'!$B$1)*('Lãi vay'!$B$5:$B$34="lãi vay")*('Lãi vay'!$E$3:$AI$3='W6 - Operating cost'!DX$2))/DT29*'W6 - Operating cost'!$E$1</f>
        <v>37.58498073869761</v>
      </c>
      <c r="DV17" s="55"/>
      <c r="DW17" s="55"/>
      <c r="DX17" s="55"/>
      <c r="DZ17" s="55"/>
      <c r="EA17" s="329" cm="1">
        <f t="array" ref="EA17">SUMPRODUCT('Lãi vay'!$E$5:$AI$34*('Lãi vay'!$A$5:$A$34='W6 - Operating cost'!$B$1)*('Lãi vay'!$B$5:$B$34="lãi vay")*('Lãi vay'!$E$3:$AI$3='W6 - Operating cost'!ED$2))/DZ29*'W6 - Operating cost'!$E$1</f>
        <v>34.990508735615876</v>
      </c>
      <c r="EB17" s="55"/>
      <c r="EC17" s="55"/>
      <c r="ED17" s="55"/>
      <c r="EF17" s="55"/>
      <c r="EG17" s="329" cm="1">
        <f t="array" ref="EG17">SUMPRODUCT('Lãi vay'!$E$5:$AI$34*('Lãi vay'!$A$5:$A$34='W6 - Operating cost'!$B$1)*('Lãi vay'!$B$5:$B$34="lãi vay")*('Lãi vay'!$E$3:$AI$3='W6 - Operating cost'!EJ$2))/EF29*'W6 - Operating cost'!$E$1</f>
        <v>32.188478972287605</v>
      </c>
      <c r="EH17" s="55"/>
      <c r="EI17" s="55"/>
      <c r="EJ17" s="55"/>
      <c r="EL17" s="55"/>
      <c r="EM17" s="329" cm="1">
        <f t="array" ref="EM17">SUMPRODUCT('Lãi vay'!$E$5:$AI$34*('Lãi vay'!$A$5:$A$34='W6 - Operating cost'!$B$1)*('Lãi vay'!$B$5:$B$34="lãi vay")*('Lãi vay'!$E$3:$AI$3='W6 - Operating cost'!EP$2))/EL29*'W6 - Operating cost'!$E$1</f>
        <v>29.16228682789307</v>
      </c>
      <c r="EN17" s="55"/>
      <c r="EO17" s="55"/>
      <c r="EP17" s="55"/>
      <c r="ER17" s="55"/>
      <c r="ES17" s="329" cm="1">
        <f t="array" ref="ES17">SUMPRODUCT('Lãi vay'!$E$5:$AI$34*('Lãi vay'!$A$5:$A$34='W6 - Operating cost'!$B$1)*('Lãi vay'!$B$5:$B$34="lãi vay")*('Lãi vay'!$E$3:$AI$3='W6 - Operating cost'!EV$2))/ER29*'W6 - Operating cost'!$E$1</f>
        <v>25.89399931194697</v>
      </c>
      <c r="ET17" s="55"/>
      <c r="EU17" s="55"/>
      <c r="EV17" s="55"/>
    </row>
    <row r="18" spans="1:152" x14ac:dyDescent="0.25">
      <c r="A18" t="s">
        <v>624</v>
      </c>
      <c r="B18" s="55" t="s">
        <v>156</v>
      </c>
      <c r="C18" s="55" t="s">
        <v>148</v>
      </c>
      <c r="D18" s="55"/>
      <c r="E18" s="329" cm="1">
        <f t="array" ref="E18">SUMPRODUCT('W2'!$M$12:$R$112*('W2'!$B$12:$B$112='W6 - Preform cost'!$B18)*('W2'!$M$7:$R$7='W6 - Operating cost'!$B$1))*POWER(1+'W6 - Operating cost'!$C$72,'W6 - Operating cost'!G1)*'W6 - Operating cost'!$E$1/PHOI_KG</f>
        <v>7.426393071716209</v>
      </c>
      <c r="F18" s="55"/>
      <c r="G18" s="55"/>
      <c r="H18" s="55"/>
      <c r="J18" s="55"/>
      <c r="K18" s="329" cm="1">
        <f t="array" ref="K18">SUMPRODUCT('W2'!$M$12:$R$112*('W2'!$B$12:$B$112='W6 - Preform cost'!$B18)*('W2'!$M$7:$R$7='W6 - Operating cost'!$B$1))*POWER(1+'W6 - Operating cost'!$C$72,'W6 - Operating cost'!M1)*'W6 - Operating cost'!$E$1/PHOI_KG</f>
        <v>7.426393071716209</v>
      </c>
      <c r="L18" s="55"/>
      <c r="M18" s="55"/>
      <c r="N18" s="55"/>
      <c r="P18" s="55"/>
      <c r="Q18" s="329" cm="1">
        <f t="array" ref="Q18">SUMPRODUCT('W2'!$M$12:$R$112*('W2'!$B$12:$B$112='W6 - Preform cost'!$B18)*('W2'!$M$7:$R$7='W6 - Operating cost'!$B$1))*POWER(1+'W6 - Operating cost'!$C$72,'W6 - Operating cost'!S1)*'W6 - Operating cost'!$E$1/PHOI_KG</f>
        <v>7.7977127253020191</v>
      </c>
      <c r="R18" s="55"/>
      <c r="S18" s="55"/>
      <c r="T18" s="55"/>
      <c r="V18" s="55"/>
      <c r="W18" s="329" cm="1">
        <f t="array" ref="W18">SUMPRODUCT('W2'!$M$12:$R$112*('W2'!$B$12:$B$112='W6 - Preform cost'!$B18)*('W2'!$M$7:$R$7='W6 - Operating cost'!$B$1))*POWER(1+'W6 - Operating cost'!$C$72,'W6 - Operating cost'!Y1)*'W6 - Operating cost'!$E$1/PHOI_KG</f>
        <v>8.1875983615671206</v>
      </c>
      <c r="X18" s="55"/>
      <c r="Y18" s="55"/>
      <c r="Z18" s="55"/>
      <c r="AB18" s="55"/>
      <c r="AC18" s="329" cm="1">
        <f t="array" ref="AC18">SUMPRODUCT('W2'!$M$12:$R$112*('W2'!$B$12:$B$112='W6 - Preform cost'!$B18)*('W2'!$M$7:$R$7='W6 - Operating cost'!$B$1))*POWER(1+'W6 - Operating cost'!$C$72,'W6 - Operating cost'!AE1)*'W6 - Operating cost'!$E$1/PHOI_KG</f>
        <v>8.5969782796454766</v>
      </c>
      <c r="AD18" s="55"/>
      <c r="AE18" s="55"/>
      <c r="AF18" s="55"/>
      <c r="AH18" s="55"/>
      <c r="AI18" s="329" cm="1">
        <f t="array" ref="AI18">SUMPRODUCT('W2'!$M$12:$R$112*('W2'!$B$12:$B$112='W6 - Preform cost'!$B18)*('W2'!$M$7:$R$7='W6 - Operating cost'!$B$1))*POWER(1+'W6 - Operating cost'!$C$72,'W6 - Operating cost'!AK1)*'W6 - Operating cost'!$E$1/PHOI_KG</f>
        <v>9.0268271936277493</v>
      </c>
      <c r="AJ18" s="55"/>
      <c r="AK18" s="55"/>
      <c r="AL18" s="55"/>
      <c r="AN18" s="55"/>
      <c r="AO18" s="329" cm="1">
        <f t="array" ref="AO18">SUMPRODUCT('W2'!$M$12:$R$112*('W2'!$B$12:$B$112='W6 - Preform cost'!$B18)*('W2'!$M$7:$R$7='W6 - Operating cost'!$B$1))*POWER(1+'W6 - Operating cost'!$C$72,'W6 - Operating cost'!AQ1)*'W6 - Operating cost'!$E$1/PHOI_KG</f>
        <v>9.4781685533091373</v>
      </c>
      <c r="AP18" s="55"/>
      <c r="AQ18" s="55"/>
      <c r="AR18" s="55"/>
      <c r="AT18" s="55"/>
      <c r="AU18" s="329" cm="1">
        <f t="array" ref="AU18">SUMPRODUCT('W2'!$M$12:$R$112*('W2'!$B$12:$B$112='W6 - Preform cost'!$B18)*('W2'!$M$7:$R$7='W6 - Operating cost'!$B$1))*POWER(1+'W6 - Operating cost'!$C$72,'W6 - Operating cost'!AW1)*'W6 - Operating cost'!$E$1/PHOI_KG</f>
        <v>9.9520769809745939</v>
      </c>
      <c r="AV18" s="55"/>
      <c r="AW18" s="55"/>
      <c r="AX18" s="55"/>
      <c r="AZ18" s="55"/>
      <c r="BA18" s="329" cm="1">
        <f t="array" ref="BA18">SUMPRODUCT('W2'!$M$12:$R$112*('W2'!$B$12:$B$112='W6 - Preform cost'!$B18)*('W2'!$M$7:$R$7='W6 - Operating cost'!$B$1))*POWER(1+'W6 - Operating cost'!$C$72,'W6 - Operating cost'!BC1)*'W6 - Operating cost'!$E$1/PHOI_KG</f>
        <v>10.449680830023327</v>
      </c>
      <c r="BB18" s="55"/>
      <c r="BC18" s="55"/>
      <c r="BD18" s="55"/>
      <c r="BF18" s="55"/>
      <c r="BG18" s="329" cm="1">
        <f t="array" ref="BG18">SUMPRODUCT('W2'!$M$12:$R$112*('W2'!$B$12:$B$112='W6 - Preform cost'!$B18)*('W2'!$M$7:$R$7='W6 - Operating cost'!$B$1))*POWER(1+'W6 - Operating cost'!$C$72,'W6 - Operating cost'!BI1)*'W6 - Operating cost'!$E$1/PHOI_KG</f>
        <v>10.972164871524493</v>
      </c>
      <c r="BH18" s="55"/>
      <c r="BI18" s="55"/>
      <c r="BJ18" s="55"/>
      <c r="BL18" s="55"/>
      <c r="BM18" s="329" cm="1">
        <f t="array" ref="BM18">SUMPRODUCT('W2'!$M$12:$R$112*('W2'!$B$12:$B$112='W6 - Preform cost'!$B18)*('W2'!$M$7:$R$7='W6 - Operating cost'!$B$1))*POWER(1+'W6 - Operating cost'!$C$72,'W6 - Operating cost'!BO1)*'W6 - Operating cost'!$E$1/PHOI_KG</f>
        <v>11.520773115100717</v>
      </c>
      <c r="BN18" s="55"/>
      <c r="BO18" s="55"/>
      <c r="BP18" s="55"/>
      <c r="BR18" s="55"/>
      <c r="BS18" s="329" cm="1">
        <f t="array" ref="BS18">SUMPRODUCT('W2'!$M$12:$R$112*('W2'!$B$12:$B$112='W6 - Preform cost'!$B18)*('W2'!$M$7:$R$7='W6 - Operating cost'!$B$1))*POWER(1+'W6 - Operating cost'!$C$72,'W6 - Operating cost'!BU1)*'W6 - Operating cost'!$E$1/PHOI_KG</f>
        <v>12.096811770855751</v>
      </c>
      <c r="BT18" s="55"/>
      <c r="BU18" s="55"/>
      <c r="BV18" s="55"/>
      <c r="BX18" s="55"/>
      <c r="BY18" s="329" cm="1">
        <f t="array" ref="BY18">SUMPRODUCT('W2'!$M$12:$R$112*('W2'!$B$12:$B$112='W6 - Preform cost'!$B18)*('W2'!$M$7:$R$7='W6 - Operating cost'!$B$1))*POWER(1+'W6 - Operating cost'!$C$72,'W6 - Operating cost'!CA1)*'W6 - Operating cost'!$E$1/PHOI_KG</f>
        <v>12.70165235939854</v>
      </c>
      <c r="BZ18" s="55"/>
      <c r="CA18" s="55"/>
      <c r="CB18" s="55"/>
      <c r="CD18" s="55"/>
      <c r="CE18" s="329" cm="1">
        <f t="array" ref="CE18">SUMPRODUCT('W2'!$M$12:$R$112*('W2'!$B$12:$B$112='W6 - Preform cost'!$B18)*('W2'!$M$7:$R$7='W6 - Operating cost'!$B$1))*POWER(1+'W6 - Operating cost'!$C$72,'W6 - Operating cost'!CG1)*'W6 - Operating cost'!$E$1/PHOI_KG</f>
        <v>13.336734977368465</v>
      </c>
      <c r="CF18" s="55"/>
      <c r="CG18" s="55"/>
      <c r="CH18" s="55"/>
      <c r="CJ18" s="55"/>
      <c r="CK18" s="329" cm="1">
        <f t="array" ref="CK18">SUMPRODUCT('W2'!$M$12:$R$112*('W2'!$B$12:$B$112='W6 - Preform cost'!$B18)*('W2'!$M$7:$R$7='W6 - Operating cost'!$B$1))*POWER(1+'W6 - Operating cost'!$C$72,'W6 - Operating cost'!CM1)*'W6 - Operating cost'!$E$1/PHOI_KG</f>
        <v>14.003571726236892</v>
      </c>
      <c r="CL18" s="55"/>
      <c r="CM18" s="55"/>
      <c r="CN18" s="55"/>
      <c r="CP18" s="55"/>
      <c r="CQ18" s="329" cm="1">
        <f t="array" ref="CQ18">SUMPRODUCT('W2'!$M$12:$R$112*('W2'!$B$12:$B$112='W6 - Preform cost'!$B18)*('W2'!$M$7:$R$7='W6 - Operating cost'!$B$1))*POWER(1+'W6 - Operating cost'!$C$72,'W6 - Operating cost'!CS1)*'W6 - Operating cost'!$E$1/PHOI_KG</f>
        <v>14.703750312548733</v>
      </c>
      <c r="CR18" s="55"/>
      <c r="CS18" s="55"/>
      <c r="CT18" s="55"/>
      <c r="CV18" s="55"/>
      <c r="CW18" s="329" cm="1">
        <f t="array" ref="CW18">SUMPRODUCT('W2'!$M$12:$R$112*('W2'!$B$12:$B$112='W6 - Preform cost'!$B18)*('W2'!$M$7:$R$7='W6 - Operating cost'!$B$1))*POWER(1+'W6 - Operating cost'!$C$72,'W6 - Operating cost'!CY1)*'W6 - Operating cost'!$E$1/PHOI_KG</f>
        <v>15.438937828176174</v>
      </c>
      <c r="CX18" s="55"/>
      <c r="CY18" s="55"/>
      <c r="CZ18" s="55"/>
      <c r="DB18" s="55"/>
      <c r="DC18" s="329" cm="1">
        <f t="array" ref="DC18">SUMPRODUCT('W2'!$M$12:$R$112*('W2'!$B$12:$B$112='W6 - Preform cost'!$B18)*('W2'!$M$7:$R$7='W6 - Operating cost'!$B$1))*POWER(1+'W6 - Operating cost'!$C$72,'W6 - Operating cost'!DE1)*'W6 - Operating cost'!$E$1/PHOI_KG</f>
        <v>16.210884719584982</v>
      </c>
      <c r="DD18" s="55"/>
      <c r="DE18" s="55"/>
      <c r="DF18" s="55"/>
      <c r="DH18" s="55"/>
      <c r="DI18" s="329" cm="1">
        <f t="array" ref="DI18">SUMPRODUCT('W2'!$M$12:$R$112*('W2'!$B$12:$B$112='W6 - Preform cost'!$B18)*('W2'!$M$7:$R$7='W6 - Operating cost'!$B$1))*POWER(1+'W6 - Operating cost'!$C$72,'W6 - Operating cost'!DK1)*'W6 - Operating cost'!$E$1/PHOI_KG</f>
        <v>17.021428955564232</v>
      </c>
      <c r="DJ18" s="55"/>
      <c r="DK18" s="55"/>
      <c r="DL18" s="55"/>
      <c r="DN18" s="55"/>
      <c r="DO18" s="329" cm="1">
        <f t="array" ref="DO18">SUMPRODUCT('W2'!$M$12:$R$112*('W2'!$B$12:$B$112='W6 - Preform cost'!$B18)*('W2'!$M$7:$R$7='W6 - Operating cost'!$B$1))*POWER(1+'W6 - Operating cost'!$C$72,'W6 - Operating cost'!DQ1)*'W6 - Operating cost'!$E$1/PHOI_KG</f>
        <v>17.872500403342446</v>
      </c>
      <c r="DP18" s="55"/>
      <c r="DQ18" s="55"/>
      <c r="DR18" s="55"/>
      <c r="DT18" s="55"/>
      <c r="DU18" s="329" cm="1">
        <f t="array" ref="DU18">SUMPRODUCT('W2'!$M$12:$R$112*('W2'!$B$12:$B$112='W6 - Preform cost'!$B18)*('W2'!$M$7:$R$7='W6 - Operating cost'!$B$1))*POWER(1+'W6 - Operating cost'!$C$72,'W6 - Operating cost'!DW1)*'W6 - Operating cost'!$E$1/PHOI_KG</f>
        <v>18.766125423509564</v>
      </c>
      <c r="DV18" s="55"/>
      <c r="DW18" s="55"/>
      <c r="DX18" s="55"/>
      <c r="DZ18" s="55"/>
      <c r="EA18" s="329" cm="1">
        <f t="array" ref="EA18">SUMPRODUCT('W2'!$M$12:$R$112*('W2'!$B$12:$B$112='W6 - Preform cost'!$B18)*('W2'!$M$7:$R$7='W6 - Operating cost'!$B$1))*POWER(1+'W6 - Operating cost'!$C$72,'W6 - Operating cost'!EC1)*'W6 - Operating cost'!$E$1/PHOI_KG</f>
        <v>19.704431694685045</v>
      </c>
      <c r="EB18" s="55"/>
      <c r="EC18" s="55"/>
      <c r="ED18" s="55"/>
      <c r="EF18" s="55"/>
      <c r="EG18" s="329" cm="1">
        <f t="array" ref="EG18">SUMPRODUCT('W2'!$M$12:$R$112*('W2'!$B$12:$B$112='W6 - Preform cost'!$B18)*('W2'!$M$7:$R$7='W6 - Operating cost'!$B$1))*POWER(1+'W6 - Operating cost'!$C$72,'W6 - Operating cost'!EI1)*'W6 - Operating cost'!$E$1/PHOI_KG</f>
        <v>20.689653279419296</v>
      </c>
      <c r="EH18" s="55"/>
      <c r="EI18" s="55"/>
      <c r="EJ18" s="55"/>
      <c r="EL18" s="55"/>
      <c r="EM18" s="329" cm="1">
        <f t="array" ref="EM18">SUMPRODUCT('W2'!$M$12:$R$112*('W2'!$B$12:$B$112='W6 - Preform cost'!$B18)*('W2'!$M$7:$R$7='W6 - Operating cost'!$B$1))*POWER(1+'W6 - Operating cost'!$C$72,'W6 - Operating cost'!EO1)*'W6 - Operating cost'!$E$1/PHOI_KG</f>
        <v>21.724135943390259</v>
      </c>
      <c r="EN18" s="55"/>
      <c r="EO18" s="55"/>
      <c r="EP18" s="55"/>
      <c r="ER18" s="55"/>
      <c r="ES18" s="329" cm="1">
        <f t="array" ref="ES18">SUMPRODUCT('W2'!$M$12:$R$112*('W2'!$B$12:$B$112='W6 - Preform cost'!$B18)*('W2'!$M$7:$R$7='W6 - Operating cost'!$B$1))*POWER(1+'W6 - Operating cost'!$C$72,'W6 - Operating cost'!EU1)*'W6 - Operating cost'!$E$1/PHOI_KG</f>
        <v>22.810342740559776</v>
      </c>
      <c r="ET18" s="55"/>
      <c r="EU18" s="55"/>
      <c r="EV18" s="55"/>
    </row>
    <row r="19" spans="1:152" s="142" customFormat="1" x14ac:dyDescent="0.25">
      <c r="B19" s="393" t="s">
        <v>158</v>
      </c>
      <c r="C19" s="393" t="s">
        <v>71</v>
      </c>
      <c r="D19" s="393"/>
      <c r="E19" s="394" cm="1">
        <f t="array" ref="E19">(SUMPRODUCT('W3'!$K$18:$AJ$1018*('W3'!$A$18:$A$1018='W6 - Operating cost'!$B$1)*('W3'!$F$18:$F$1018="Actual_Price")*('W3'!$K$14:$AJ$14='W6 - Operating cost'!H$2))-SUM(E4:E18,E24:E27))/SUM(E4:E18)</f>
        <v>-0.39268195589532445</v>
      </c>
      <c r="F19" s="393"/>
      <c r="G19" s="393"/>
      <c r="H19" s="393"/>
      <c r="J19" s="393"/>
      <c r="K19" s="394" cm="1">
        <f t="array" ref="K19">(SUMPRODUCT('W3'!$K$18:$AJ$1018*('W3'!$A$18:$A$1018='W6 - Operating cost'!$B$1)*('W3'!$F$18:$F$1018="Actual_Price")*('W3'!$K$14:$AJ$14='W6 - Operating cost'!N$2))-SUM(K4:K18,K24:K27))/SUM(K4:K18)</f>
        <v>-0.14745854957129378</v>
      </c>
      <c r="L19" s="393"/>
      <c r="M19" s="393"/>
      <c r="N19" s="393"/>
      <c r="P19" s="393"/>
      <c r="Q19" s="394" cm="1">
        <f t="array" ref="Q19">(SUMPRODUCT('W3'!$K$18:$AJ$1018*('W3'!$A$18:$A$1018='W6 - Operating cost'!$B$1)*('W3'!$F$18:$F$1018="Actual_Price")*('W3'!$K$14:$AJ$14='W6 - Operating cost'!T$2))-SUM(Q4:Q18,Q24:Q27))/SUM(Q4:Q18)</f>
        <v>0.13870737980135617</v>
      </c>
      <c r="R19" s="393"/>
      <c r="S19" s="393"/>
      <c r="T19" s="393"/>
      <c r="V19" s="393"/>
      <c r="W19" s="394" cm="1">
        <f t="array" ref="W19">(SUMPRODUCT('W3'!$K$18:$AJ$1018*('W3'!$A$18:$A$1018='W6 - Operating cost'!$B$1)*('W3'!$F$18:$F$1018="Actual_Price")*('W3'!$K$14:$AJ$14='W6 - Operating cost'!Z$2))-SUM(W4:W18,W24:W27))/SUM(W4:W18)</f>
        <v>0.13914888444312365</v>
      </c>
      <c r="X19" s="393"/>
      <c r="Y19" s="393"/>
      <c r="Z19" s="393"/>
      <c r="AB19" s="393"/>
      <c r="AC19" s="394" cm="1">
        <f t="array" ref="AC19">(SUMPRODUCT('W3'!$K$18:$AJ$1018*('W3'!$A$18:$A$1018='W6 - Operating cost'!$B$1)*('W3'!$F$18:$F$1018="Actual_Price")*('W3'!$K$14:$AJ$14='W6 - Operating cost'!AF$2))-SUM(AC4:AC18,AC24:AC27))/SUM(AC4:AC18)</f>
        <v>0.13901315807725401</v>
      </c>
      <c r="AD19" s="393"/>
      <c r="AE19" s="393"/>
      <c r="AF19" s="393"/>
      <c r="AH19" s="393"/>
      <c r="AI19" s="394" cm="1">
        <f t="array" ref="AI19">(SUMPRODUCT('W3'!$K$18:$AJ$1018*('W3'!$A$18:$A$1018='W6 - Operating cost'!$B$1)*('W3'!$F$18:$F$1018="Actual_Price")*('W3'!$K$14:$AJ$14='W6 - Operating cost'!AL$2))-SUM(AI4:AI18,AI24:AI27))/SUM(AI4:AI18)</f>
        <v>0.13829949676548031</v>
      </c>
      <c r="AJ19" s="393"/>
      <c r="AK19" s="393"/>
      <c r="AL19" s="393"/>
      <c r="AN19" s="393"/>
      <c r="AO19" s="394" cm="1">
        <f t="array" ref="AO19">(SUMPRODUCT('W3'!$K$18:$AJ$1018*('W3'!$A$18:$A$1018='W6 - Operating cost'!$B$1)*('W3'!$F$18:$F$1018="Actual_Price")*('W3'!$K$14:$AJ$14='W6 - Operating cost'!AR$2))-SUM(AO4:AO18,AO24:AO27))/SUM(AO4:AO18)</f>
        <v>0.13700886948801963</v>
      </c>
      <c r="AP19" s="393"/>
      <c r="AQ19" s="393"/>
      <c r="AR19" s="393"/>
      <c r="AT19" s="393"/>
      <c r="AU19" s="394" cm="1">
        <f t="array" ref="AU19">(SUMPRODUCT('W3'!$K$18:$AJ$1018*('W3'!$A$18:$A$1018='W6 - Operating cost'!$B$1)*('W3'!$F$18:$F$1018="Actual_Price")*('W3'!$K$14:$AJ$14='W6 - Operating cost'!AX$2))-SUM(AU4:AU18,AU24:AU27))/SUM(AU4:AU18)</f>
        <v>0.13514392835027439</v>
      </c>
      <c r="AV19" s="393"/>
      <c r="AW19" s="393"/>
      <c r="AX19" s="393"/>
      <c r="AZ19" s="393"/>
      <c r="BA19" s="394" cm="1">
        <f t="array" ref="BA19">(SUMPRODUCT('W3'!$K$18:$AJ$1018*('W3'!$A$18:$A$1018='W6 - Operating cost'!$B$1)*('W3'!$F$18:$F$1018="Actual_Price")*('W3'!$K$14:$AJ$14='W6 - Operating cost'!BD$2))-SUM(BA4:BA18,BA24:BA27))/SUM(BA4:BA18)</f>
        <v>0.1327090074467652</v>
      </c>
      <c r="BB19" s="393"/>
      <c r="BC19" s="393"/>
      <c r="BD19" s="393"/>
      <c r="BF19" s="393"/>
      <c r="BG19" s="394" cm="1">
        <f t="array" ref="BG19">(SUMPRODUCT('W3'!$K$18:$AJ$1018*('W3'!$A$18:$A$1018='W6 - Operating cost'!$B$1)*('W3'!$F$18:$F$1018="Actual_Price")*('W3'!$K$14:$AJ$14='W6 - Operating cost'!BJ$2))-SUM(BG4:BG18,BG24:BG27))/SUM(BG4:BG18)</f>
        <v>0.12971011032500285</v>
      </c>
      <c r="BH19" s="393"/>
      <c r="BI19" s="393"/>
      <c r="BJ19" s="393"/>
      <c r="BL19" s="393"/>
      <c r="BM19" s="394" cm="1">
        <f t="array" ref="BM19">(SUMPRODUCT('W3'!$K$18:$AJ$1018*('W3'!$A$18:$A$1018='W6 - Operating cost'!$B$1)*('W3'!$F$18:$F$1018="Actual_Price")*('W3'!$K$14:$AJ$14='W6 - Operating cost'!BP$2))-SUM(BM4:BM18,BM24:BM27))/SUM(BM4:BM18)</f>
        <v>0.12615488613956094</v>
      </c>
      <c r="BN19" s="393"/>
      <c r="BO19" s="393"/>
      <c r="BP19" s="393"/>
      <c r="BR19" s="393"/>
      <c r="BS19" s="394" cm="1">
        <f t="array" ref="BS19">(SUMPRODUCT('W3'!$K$18:$AJ$1018*('W3'!$A$18:$A$1018='W6 - Operating cost'!$B$1)*('W3'!$F$18:$F$1018="Actual_Price")*('W3'!$K$14:$AJ$14='W6 - Operating cost'!BV$2))-SUM(BS4:BS18,BS24:BS27))/SUM(BS4:BS18)</f>
        <v>0.12205259473346097</v>
      </c>
      <c r="BT19" s="393"/>
      <c r="BU19" s="393"/>
      <c r="BV19" s="393"/>
      <c r="BX19" s="393"/>
      <c r="BY19" s="394" cm="1">
        <f t="array" ref="BY19">(SUMPRODUCT('W3'!$K$18:$AJ$1018*('W3'!$A$18:$A$1018='W6 - Operating cost'!$B$1)*('W3'!$F$18:$F$1018="Actual_Price")*('W3'!$K$14:$AJ$14='W6 - Operating cost'!CB$2))-SUM(BY4:BY18,BY24:BY27))/SUM(BY4:BY18)</f>
        <v>0.40936019802193646</v>
      </c>
      <c r="BZ19" s="393"/>
      <c r="CA19" s="393"/>
      <c r="CB19" s="393"/>
      <c r="CD19" s="393"/>
      <c r="CE19" s="394" cm="1">
        <f t="array" ref="CE19">(SUMPRODUCT('W3'!$K$18:$AJ$1018*('W3'!$A$18:$A$1018='W6 - Operating cost'!$B$1)*('W3'!$F$18:$F$1018="Actual_Price")*('W3'!$K$14:$AJ$14='W6 - Operating cost'!CH$2))-SUM(CE4:CE18,CE24:CE27))/SUM(CE4:CE18)</f>
        <v>0.3942102851670245</v>
      </c>
      <c r="CF19" s="393"/>
      <c r="CG19" s="393"/>
      <c r="CH19" s="393"/>
      <c r="CJ19" s="393"/>
      <c r="CK19" s="394" cm="1">
        <f t="array" ref="CK19">(SUMPRODUCT('W3'!$K$18:$AJ$1018*('W3'!$A$18:$A$1018='W6 - Operating cost'!$B$1)*('W3'!$F$18:$F$1018="Actual_Price")*('W3'!$K$14:$AJ$14='W6 - Operating cost'!CN$2))-SUM(CK4:CK18,CK24:CK27))/SUM(CK4:CK18)</f>
        <v>0.37865119707521466</v>
      </c>
      <c r="CL19" s="393"/>
      <c r="CM19" s="393"/>
      <c r="CN19" s="393"/>
      <c r="CP19" s="393"/>
      <c r="CQ19" s="394" cm="1">
        <f t="array" ref="CQ19">(SUMPRODUCT('W3'!$K$18:$AJ$1018*('W3'!$A$18:$A$1018='W6 - Operating cost'!$B$1)*('W3'!$F$18:$F$1018="Actual_Price")*('W3'!$K$14:$AJ$14='W6 - Operating cost'!CT$2))-SUM(CQ4:CQ18,CQ24:CQ27))/SUM(CQ4:CQ18)</f>
        <v>0.36271664654533514</v>
      </c>
      <c r="CR19" s="393"/>
      <c r="CS19" s="393"/>
      <c r="CT19" s="393"/>
      <c r="CV19" s="393"/>
      <c r="CW19" s="394" cm="1">
        <f t="array" ref="CW19">(SUMPRODUCT('W3'!$K$18:$AJ$1018*('W3'!$A$18:$A$1018='W6 - Operating cost'!$B$1)*('W3'!$F$18:$F$1018="Actual_Price")*('W3'!$K$14:$AJ$14='W6 - Operating cost'!CZ$2))-SUM(CW4:CW18,CW24:CW27))/SUM(CW4:CW18)</f>
        <v>0.34644041572192513</v>
      </c>
      <c r="CX19" s="393"/>
      <c r="CY19" s="393"/>
      <c r="CZ19" s="393"/>
      <c r="DB19" s="393"/>
      <c r="DC19" s="394" cm="1">
        <f t="array" ref="DC19">(SUMPRODUCT('W3'!$K$18:$AJ$1018*('W3'!$A$18:$A$1018='W6 - Operating cost'!$B$1)*('W3'!$F$18:$F$1018="Actual_Price")*('W3'!$K$14:$AJ$14='W6 - Operating cost'!DF$2))-SUM(DC4:DC18,DC24:DC27))/SUM(DC4:DC18)</f>
        <v>0.32985621501114021</v>
      </c>
      <c r="DD19" s="393"/>
      <c r="DE19" s="393"/>
      <c r="DF19" s="393"/>
      <c r="DH19" s="393"/>
      <c r="DI19" s="394" cm="1">
        <f t="array" ref="DI19">(SUMPRODUCT('W3'!$K$18:$AJ$1018*('W3'!$A$18:$A$1018='W6 - Operating cost'!$B$1)*('W3'!$F$18:$F$1018="Actual_Price")*('W3'!$K$14:$AJ$14='W6 - Operating cost'!DL$2))-SUM(DI4:DI18,DI24:DI27))/SUM(DI4:DI18)</f>
        <v>0.31299754952327774</v>
      </c>
      <c r="DJ19" s="393"/>
      <c r="DK19" s="393"/>
      <c r="DL19" s="393"/>
      <c r="DN19" s="393"/>
      <c r="DO19" s="394" cm="1">
        <f t="array" ref="DO19">(SUMPRODUCT('W3'!$K$18:$AJ$1018*('W3'!$A$18:$A$1018='W6 - Operating cost'!$B$1)*('W3'!$F$18:$F$1018="Actual_Price")*('W3'!$K$14:$AJ$14='W6 - Operating cost'!DR$2))-SUM(DO4:DO18,DO24:DO27))/SUM(DO4:DO18)</f>
        <v>0.29589759383859715</v>
      </c>
      <c r="DP19" s="393"/>
      <c r="DQ19" s="393"/>
      <c r="DR19" s="393"/>
      <c r="DT19" s="393"/>
      <c r="DU19" s="394" cm="1">
        <f t="array" ref="DU19">(SUMPRODUCT('W3'!$K$18:$AJ$1018*('W3'!$A$18:$A$1018='W6 - Operating cost'!$B$1)*('W3'!$F$18:$F$1018="Actual_Price")*('W3'!$K$14:$AJ$14='W6 - Operating cost'!DX$2))-SUM(DU4:DU18,DU24:DU27))/SUM(DU4:DU18)</f>
        <v>0.27858907575055786</v>
      </c>
      <c r="DV19" s="393"/>
      <c r="DW19" s="393"/>
      <c r="DX19" s="393"/>
      <c r="DZ19" s="393"/>
      <c r="EA19" s="394" cm="1">
        <f t="array" ref="EA19">(SUMPRODUCT('W3'!$K$18:$AJ$1018*('W3'!$A$18:$A$1018='W6 - Operating cost'!$B$1)*('W3'!$F$18:$F$1018="Actual_Price")*('W3'!$K$14:$AJ$14='W6 - Operating cost'!ED$2))-SUM(EA4:EA18,EA24:EA27))/SUM(EA4:EA18)</f>
        <v>0.26110416949943455</v>
      </c>
      <c r="EB19" s="393"/>
      <c r="EC19" s="393"/>
      <c r="ED19" s="393"/>
      <c r="EF19" s="393"/>
      <c r="EG19" s="394" cm="1">
        <f t="array" ref="EG19">(SUMPRODUCT('W3'!$K$18:$AJ$1018*('W3'!$A$18:$A$1018='W6 - Operating cost'!$B$1)*('W3'!$F$18:$F$1018="Actual_Price")*('W3'!$K$14:$AJ$14='W6 - Operating cost'!EJ$2))-SUM(EG4:EG18,EG24:EG27))/SUM(EG4:EG18)</f>
        <v>0.2434743988720334</v>
      </c>
      <c r="EH19" s="393"/>
      <c r="EI19" s="393"/>
      <c r="EJ19" s="393"/>
      <c r="EL19" s="393"/>
      <c r="EM19" s="394" cm="1">
        <f t="array" ref="EM19">(SUMPRODUCT('W3'!$K$18:$AJ$1018*('W3'!$A$18:$A$1018='W6 - Operating cost'!$B$1)*('W3'!$F$18:$F$1018="Actual_Price")*('W3'!$K$14:$AJ$14='W6 - Operating cost'!EP$2))-SUM(EM4:EM18,EM24:EM27))/SUM(EM4:EM18)</f>
        <v>0.22573055041219339</v>
      </c>
      <c r="EN19" s="393"/>
      <c r="EO19" s="393"/>
      <c r="EP19" s="393"/>
      <c r="ER19" s="393"/>
      <c r="ES19" s="394" cm="1">
        <f t="array" ref="ES19">(SUMPRODUCT('W3'!$K$18:$AJ$1018*('W3'!$A$18:$A$1018='W6 - Operating cost'!$B$1)*('W3'!$F$18:$F$1018="Actual_Price")*('W3'!$K$14:$AJ$14='W6 - Operating cost'!EV$2))-SUM(ES4:ES18,ES24:ES27))/SUM(ES4:ES18)</f>
        <v>0.20790259686377804</v>
      </c>
      <c r="ET19" s="393"/>
      <c r="EU19" s="393"/>
      <c r="EV19" s="393"/>
    </row>
    <row r="20" spans="1:152" s="142" customFormat="1" x14ac:dyDescent="0.25">
      <c r="B20" s="393" t="s">
        <v>159</v>
      </c>
      <c r="C20" s="393" t="s">
        <v>148</v>
      </c>
      <c r="D20" s="393"/>
      <c r="E20" s="395">
        <f>E19*SUM(E4:E18)</f>
        <v>-177.39432555245389</v>
      </c>
      <c r="F20" s="393"/>
      <c r="G20" s="393"/>
      <c r="H20" s="393"/>
      <c r="J20" s="393"/>
      <c r="K20" s="395">
        <f>K19*SUM(K4:K18)</f>
        <v>-49.805931072240469</v>
      </c>
      <c r="L20" s="393"/>
      <c r="M20" s="393"/>
      <c r="N20" s="393"/>
      <c r="P20" s="393"/>
      <c r="Q20" s="395">
        <f>Q19*SUM(Q4:Q18)</f>
        <v>35.766654515363371</v>
      </c>
      <c r="R20" s="393"/>
      <c r="S20" s="393"/>
      <c r="T20" s="393"/>
      <c r="V20" s="393"/>
      <c r="W20" s="395">
        <f>W19*SUM(W4:W18)</f>
        <v>36.572139155098625</v>
      </c>
      <c r="X20" s="393"/>
      <c r="Y20" s="393"/>
      <c r="Z20" s="393"/>
      <c r="AB20" s="393"/>
      <c r="AC20" s="395">
        <f>AC19*SUM(AC4:AC18)</f>
        <v>37.259272104655111</v>
      </c>
      <c r="AD20" s="393"/>
      <c r="AE20" s="393"/>
      <c r="AF20" s="393"/>
      <c r="AH20" s="393"/>
      <c r="AI20" s="395">
        <f>AI19*SUM(AI4:AI18)</f>
        <v>37.820131936459234</v>
      </c>
      <c r="AJ20" s="393"/>
      <c r="AK20" s="393"/>
      <c r="AL20" s="393"/>
      <c r="AN20" s="393"/>
      <c r="AO20" s="395">
        <f>AO19*SUM(AO4:AO18)</f>
        <v>38.246454568729753</v>
      </c>
      <c r="AP20" s="393"/>
      <c r="AQ20" s="393"/>
      <c r="AR20" s="393"/>
      <c r="AT20" s="393"/>
      <c r="AU20" s="395">
        <f>AU19*SUM(AU4:AU18)</f>
        <v>38.529624680629468</v>
      </c>
      <c r="AV20" s="393"/>
      <c r="AW20" s="393"/>
      <c r="AX20" s="393"/>
      <c r="AZ20" s="393"/>
      <c r="BA20" s="395">
        <f>BA19*SUM(BA4:BA18)</f>
        <v>38.660667467501185</v>
      </c>
      <c r="BB20" s="393"/>
      <c r="BC20" s="393"/>
      <c r="BD20" s="393"/>
      <c r="BF20" s="393"/>
      <c r="BG20" s="395">
        <f>BG19*SUM(BG4:BG18)</f>
        <v>38.630240816432206</v>
      </c>
      <c r="BH20" s="393"/>
      <c r="BI20" s="393"/>
      <c r="BJ20" s="393"/>
      <c r="BL20" s="393"/>
      <c r="BM20" s="395">
        <f>BM19*SUM(BM4:BM18)</f>
        <v>38.428627991528181</v>
      </c>
      <c r="BN20" s="393"/>
      <c r="BO20" s="393"/>
      <c r="BP20" s="393"/>
      <c r="BR20" s="393"/>
      <c r="BS20" s="395">
        <f>BS19*SUM(BS4:BS18)</f>
        <v>38.045730928223293</v>
      </c>
      <c r="BT20" s="393"/>
      <c r="BU20" s="393"/>
      <c r="BV20" s="393"/>
      <c r="BX20" s="393"/>
      <c r="BY20" s="395">
        <f>BY19*SUM(BY4:BY18)</f>
        <v>103.57946473388927</v>
      </c>
      <c r="BZ20" s="393"/>
      <c r="CA20" s="393"/>
      <c r="CB20" s="393"/>
      <c r="CD20" s="393"/>
      <c r="CE20" s="395">
        <f>CE19*SUM(CE4:CE18)</f>
        <v>102.80215059488023</v>
      </c>
      <c r="CF20" s="393"/>
      <c r="CG20" s="393"/>
      <c r="CH20" s="393"/>
      <c r="CJ20" s="393"/>
      <c r="CK20" s="395">
        <f>CK19*SUM(CK4:CK18)</f>
        <v>101.81091453033901</v>
      </c>
      <c r="CL20" s="393"/>
      <c r="CM20" s="393"/>
      <c r="CN20" s="393"/>
      <c r="CP20" s="393"/>
      <c r="CQ20" s="395">
        <f>CQ19*SUM(CQ4:CQ18)</f>
        <v>100.5940824021078</v>
      </c>
      <c r="CR20" s="393"/>
      <c r="CS20" s="393"/>
      <c r="CT20" s="393"/>
      <c r="CV20" s="393"/>
      <c r="CW20" s="395">
        <f>CW19*SUM(CW4:CW18)</f>
        <v>99.139578650884005</v>
      </c>
      <c r="CX20" s="393"/>
      <c r="CY20" s="393"/>
      <c r="CZ20" s="393"/>
      <c r="DB20" s="393"/>
      <c r="DC20" s="395">
        <f>DC19*SUM(DC4:DC18)</f>
        <v>97.434926018602823</v>
      </c>
      <c r="DD20" s="393"/>
      <c r="DE20" s="393"/>
      <c r="DF20" s="393"/>
      <c r="DH20" s="393"/>
      <c r="DI20" s="395">
        <f>DI19*SUM(DI4:DI18)</f>
        <v>95.467246944632493</v>
      </c>
      <c r="DJ20" s="393"/>
      <c r="DK20" s="393"/>
      <c r="DL20" s="393"/>
      <c r="DN20" s="393"/>
      <c r="DO20" s="395">
        <f>DO19*SUM(DO4:DO18)</f>
        <v>93.22326685656175</v>
      </c>
      <c r="DP20" s="393"/>
      <c r="DQ20" s="393"/>
      <c r="DR20" s="393"/>
      <c r="DT20" s="393"/>
      <c r="DU20" s="395">
        <f>DU19*SUM(DU4:DU18)</f>
        <v>90.689319598421093</v>
      </c>
      <c r="DV20" s="393"/>
      <c r="DW20" s="393"/>
      <c r="DX20" s="393"/>
      <c r="DZ20" s="393"/>
      <c r="EA20" s="395">
        <f>EA19*SUM(EA4:EA18)</f>
        <v>87.851355263213009</v>
      </c>
      <c r="EB20" s="393"/>
      <c r="EC20" s="393"/>
      <c r="ED20" s="393"/>
      <c r="EF20" s="393"/>
      <c r="EG20" s="395">
        <f>EG19*SUM(EG4:EG18)</f>
        <v>84.69495072280688</v>
      </c>
      <c r="EH20" s="393"/>
      <c r="EI20" s="393"/>
      <c r="EJ20" s="393"/>
      <c r="EL20" s="393"/>
      <c r="EM20" s="395">
        <f>EM19*SUM(EM4:EM18)</f>
        <v>81.205323176779189</v>
      </c>
      <c r="EN20" s="393"/>
      <c r="EO20" s="393"/>
      <c r="EP20" s="393"/>
      <c r="ER20" s="393"/>
      <c r="ES20" s="395">
        <f>ES19*SUM(ES4:ES18)</f>
        <v>77.367347072850976</v>
      </c>
      <c r="ET20" s="393"/>
      <c r="EU20" s="393"/>
      <c r="EV20" s="393"/>
    </row>
    <row r="21" spans="1:152" s="1" customFormat="1" x14ac:dyDescent="0.25">
      <c r="B21" s="62" t="s">
        <v>160</v>
      </c>
      <c r="C21" s="325" t="s">
        <v>148</v>
      </c>
      <c r="D21" s="325"/>
      <c r="E21" s="326">
        <f>SUM(E4:E18,E20)</f>
        <v>274.35631612903234</v>
      </c>
      <c r="F21" s="325"/>
      <c r="G21" s="325"/>
      <c r="H21" s="325"/>
      <c r="J21" s="325"/>
      <c r="K21" s="391">
        <f>SUM(K4:K18,K20)</f>
        <v>287.9563161290323</v>
      </c>
      <c r="L21" s="325"/>
      <c r="M21" s="325"/>
      <c r="N21" s="325"/>
      <c r="P21" s="325"/>
      <c r="Q21" s="391">
        <f>SUM(Q4:Q18,Q20)</f>
        <v>293.62355129032267</v>
      </c>
      <c r="R21" s="325"/>
      <c r="S21" s="325"/>
      <c r="T21" s="325"/>
      <c r="V21" s="325"/>
      <c r="W21" s="391">
        <f>SUM(W4:W18,W20)</f>
        <v>299.39953659677406</v>
      </c>
      <c r="X21" s="325"/>
      <c r="Y21" s="325"/>
      <c r="Z21" s="325"/>
      <c r="AB21" s="325"/>
      <c r="AC21" s="391">
        <f>SUM(AC4:AC18,AC20)</f>
        <v>305.28621732338723</v>
      </c>
      <c r="AD21" s="325"/>
      <c r="AE21" s="325"/>
      <c r="AF21" s="325"/>
      <c r="AH21" s="325"/>
      <c r="AI21" s="391">
        <f>SUM(AI4:AI18,AI20)</f>
        <v>311.28556616426602</v>
      </c>
      <c r="AJ21" s="325"/>
      <c r="AK21" s="325"/>
      <c r="AL21" s="325"/>
      <c r="AN21" s="325"/>
      <c r="AO21" s="391">
        <f>SUM(AO4:AO18,AO20)</f>
        <v>317.39958320668342</v>
      </c>
      <c r="AP21" s="325"/>
      <c r="AQ21" s="325"/>
      <c r="AR21" s="325"/>
      <c r="AT21" s="325"/>
      <c r="AU21" s="391">
        <f>SUM(AU4:AU18,AU20)</f>
        <v>323.63029587590512</v>
      </c>
      <c r="AV21" s="325"/>
      <c r="AW21" s="325"/>
      <c r="AX21" s="325"/>
      <c r="AZ21" s="325"/>
      <c r="BA21" s="391">
        <f>SUM(BA4:BA18,BA20)</f>
        <v>329.97975884876632</v>
      </c>
      <c r="BB21" s="325"/>
      <c r="BC21" s="325"/>
      <c r="BD21" s="325"/>
      <c r="BF21" s="325"/>
      <c r="BG21" s="391">
        <f>SUM(BG4:BG18,BG20)</f>
        <v>336.45005393385162</v>
      </c>
      <c r="BH21" s="325"/>
      <c r="BI21" s="325"/>
      <c r="BJ21" s="325"/>
      <c r="BL21" s="325"/>
      <c r="BM21" s="391">
        <f>SUM(BM4:BM18,BM20)</f>
        <v>343.04328991604427</v>
      </c>
      <c r="BN21" s="325"/>
      <c r="BO21" s="325"/>
      <c r="BP21" s="325"/>
      <c r="BR21" s="325"/>
      <c r="BS21" s="391">
        <f>SUM(BS4:BS18,BS20)</f>
        <v>349.76160236305628</v>
      </c>
      <c r="BT21" s="325"/>
      <c r="BU21" s="325"/>
      <c r="BV21" s="325"/>
      <c r="BX21" s="325"/>
      <c r="BY21" s="391">
        <f>SUM(BY4:BY18,BY20)</f>
        <v>356.60715339144349</v>
      </c>
      <c r="BZ21" s="325"/>
      <c r="CA21" s="325"/>
      <c r="CB21" s="325"/>
      <c r="CD21" s="325"/>
      <c r="CE21" s="391">
        <f>SUM(CE4:CE18,CE20)</f>
        <v>363.58213138945433</v>
      </c>
      <c r="CF21" s="325"/>
      <c r="CG21" s="325"/>
      <c r="CH21" s="325"/>
      <c r="CJ21" s="325"/>
      <c r="CK21" s="391">
        <f>SUM(CK4:CK18,CK20)</f>
        <v>370.68875069393482</v>
      </c>
      <c r="CL21" s="325"/>
      <c r="CM21" s="325"/>
      <c r="CN21" s="325"/>
      <c r="CP21" s="325"/>
      <c r="CQ21" s="391">
        <f>SUM(CQ4:CQ18,CQ20)</f>
        <v>377.92925121833906</v>
      </c>
      <c r="CR21" s="325"/>
      <c r="CS21" s="325"/>
      <c r="CT21" s="325"/>
      <c r="CV21" s="325"/>
      <c r="CW21" s="391">
        <f>SUM(CW4:CW18,CW20)</f>
        <v>385.30589802875841</v>
      </c>
      <c r="CX21" s="325"/>
      <c r="CY21" s="325"/>
      <c r="CZ21" s="325"/>
      <c r="DB21" s="325"/>
      <c r="DC21" s="391">
        <f>SUM(DC4:DC18,DC20)</f>
        <v>392.82098086468829</v>
      </c>
      <c r="DD21" s="325"/>
      <c r="DE21" s="325"/>
      <c r="DF21" s="325"/>
      <c r="DH21" s="325"/>
      <c r="DI21" s="391">
        <f>SUM(DI4:DI18,DI20)</f>
        <v>400.47681360110425</v>
      </c>
      <c r="DJ21" s="325"/>
      <c r="DK21" s="325"/>
      <c r="DL21" s="325"/>
      <c r="DN21" s="325"/>
      <c r="DO21" s="391">
        <f>SUM(DO4:DO18,DO20)</f>
        <v>408.27573364820489</v>
      </c>
      <c r="DP21" s="325"/>
      <c r="DQ21" s="325"/>
      <c r="DR21" s="325"/>
      <c r="DT21" s="325"/>
      <c r="DU21" s="391">
        <f>SUM(DU4:DU18,DU20)</f>
        <v>416.22010128500159</v>
      </c>
      <c r="DV21" s="325"/>
      <c r="DW21" s="325"/>
      <c r="DX21" s="325"/>
      <c r="DZ21" s="325"/>
      <c r="EA21" s="391">
        <f>SUM(EA4:EA18,EA20)</f>
        <v>424.31229892272535</v>
      </c>
      <c r="EB21" s="325"/>
      <c r="EC21" s="325"/>
      <c r="ED21" s="325"/>
      <c r="EF21" s="325"/>
      <c r="EG21" s="391">
        <f>SUM(EG4:EG18,EG20)</f>
        <v>432.55473029380528</v>
      </c>
      <c r="EH21" s="325"/>
      <c r="EI21" s="325"/>
      <c r="EJ21" s="325"/>
      <c r="EL21" s="325"/>
      <c r="EM21" s="391">
        <f>SUM(EM4:EM18,EM20)</f>
        <v>440.94981956193789</v>
      </c>
      <c r="EN21" s="325"/>
      <c r="EO21" s="325"/>
      <c r="EP21" s="325"/>
      <c r="ER21" s="325"/>
      <c r="ES21" s="391">
        <f>SUM(ES4:ES18,ES20)</f>
        <v>449.50001034854643</v>
      </c>
      <c r="ET21" s="325"/>
      <c r="EU21" s="325"/>
      <c r="EV21" s="325"/>
    </row>
    <row r="22" spans="1:15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c r="BL22" s="54"/>
      <c r="BM22" s="392"/>
      <c r="BN22" s="54"/>
      <c r="BO22" s="54"/>
      <c r="BP22" s="54"/>
      <c r="BR22" s="54"/>
      <c r="BS22" s="392"/>
      <c r="BT22" s="54"/>
      <c r="BU22" s="54"/>
      <c r="BV22" s="54"/>
      <c r="BX22" s="54"/>
      <c r="BY22" s="392"/>
      <c r="BZ22" s="54"/>
      <c r="CA22" s="54"/>
      <c r="CB22" s="54"/>
      <c r="CD22" s="54"/>
      <c r="CE22" s="392"/>
      <c r="CF22" s="54"/>
      <c r="CG22" s="54"/>
      <c r="CH22" s="54"/>
      <c r="CJ22" s="54"/>
      <c r="CK22" s="392"/>
      <c r="CL22" s="54"/>
      <c r="CM22" s="54"/>
      <c r="CN22" s="54"/>
      <c r="CP22" s="54"/>
      <c r="CQ22" s="392"/>
      <c r="CR22" s="54"/>
      <c r="CS22" s="54"/>
      <c r="CT22" s="54"/>
      <c r="CV22" s="54"/>
      <c r="CW22" s="392"/>
      <c r="CX22" s="54"/>
      <c r="CY22" s="54"/>
      <c r="CZ22" s="54"/>
      <c r="DB22" s="54"/>
      <c r="DC22" s="392"/>
      <c r="DD22" s="54"/>
      <c r="DE22" s="54"/>
      <c r="DF22" s="54"/>
      <c r="DH22" s="54"/>
      <c r="DI22" s="392"/>
      <c r="DJ22" s="54"/>
      <c r="DK22" s="54"/>
      <c r="DL22" s="54"/>
      <c r="DN22" s="54"/>
      <c r="DO22" s="392"/>
      <c r="DP22" s="54"/>
      <c r="DQ22" s="54"/>
      <c r="DR22" s="54"/>
      <c r="DT22" s="54"/>
      <c r="DU22" s="392"/>
      <c r="DV22" s="54"/>
      <c r="DW22" s="54"/>
      <c r="DX22" s="54"/>
      <c r="DZ22" s="54"/>
      <c r="EA22" s="392"/>
      <c r="EB22" s="54"/>
      <c r="EC22" s="54"/>
      <c r="ED22" s="54"/>
      <c r="EF22" s="54"/>
      <c r="EG22" s="392"/>
      <c r="EH22" s="54"/>
      <c r="EI22" s="54"/>
      <c r="EJ22" s="54"/>
      <c r="EL22" s="54"/>
      <c r="EM22" s="392"/>
      <c r="EN22" s="54"/>
      <c r="EO22" s="54"/>
      <c r="EP22" s="54"/>
      <c r="ER22" s="54"/>
      <c r="ES22" s="392"/>
      <c r="ET22" s="54"/>
      <c r="EU22" s="54"/>
      <c r="EV22" s="54"/>
    </row>
    <row r="23" spans="1:152" x14ac:dyDescent="0.25">
      <c r="A23" t="s">
        <v>624</v>
      </c>
      <c r="B23" s="55" t="s">
        <v>162</v>
      </c>
      <c r="C23" s="55" t="s">
        <v>163</v>
      </c>
      <c r="D23" s="55"/>
      <c r="E23" s="100">
        <f>IF('W6 - Operating cost'!$D$1="USD",INDEX('W2'!$M$56:$R$56,MATCH('W6 - Operating cost'!$B$1,'W2'!$M$7:$R$7,0))*(1+'W6 - Operating cost'!G$1)*POWER(1+INDEX('Cover Page'!$H$8:$W$8,MATCH('W6 - Operating cost'!$B$1,'Cover Page'!$H$5:$W$5,0)),'W6 - Operating cost'!G$1)*10^3,INDEX('W2'!$M$56:$R$56,MATCH('W6 - Operating cost'!$B$1,'W2'!$M$7:$R$7,0))*POWER(1+INDEX('Cover Page'!$H$8:$W$8,MATCH('W6 - Operating cost'!$B$1,'Cover Page'!$H$5:$W$5,0)),'W6 - Operating cost'!G$1)/EXR*10^3)</f>
        <v>960</v>
      </c>
      <c r="F23" s="55"/>
      <c r="G23" s="55"/>
      <c r="H23" s="55"/>
      <c r="J23" s="55"/>
      <c r="K23" s="100">
        <f>IF('W6 - Operating cost'!$D$1="USD",INDEX('W2'!$M$56:$R$56,MATCH('W6 - Operating cost'!$B$1,'W2'!$M$7:$R$7,0))*(1+'W6 - Operating cost'!M$1)*POWER(1+INDEX('Cover Page'!$H$8:$W$8,MATCH('W6 - Operating cost'!$B$1,'Cover Page'!$H$5:$W$5,0)),'W6 - Operating cost'!M$1)*10^3,INDEX('W2'!$M$56:$R$56,MATCH('W6 - Operating cost'!$B$1,'W2'!$M$7:$R$7,0))*POWER(1+INDEX('Cover Page'!$H$8:$W$8,MATCH('W6 - Operating cost'!$B$1,'Cover Page'!$H$5:$W$5,0)),'W6 - Operating cost'!M$1)/EXR*10^3)</f>
        <v>960</v>
      </c>
      <c r="L23" s="55"/>
      <c r="M23" s="55"/>
      <c r="N23" s="55"/>
      <c r="P23" s="55"/>
      <c r="Q23" s="100">
        <f>IF('W6 - Operating cost'!$D$1="USD",INDEX('W2'!$M$56:$R$56,MATCH('W6 - Operating cost'!$B$1,'W2'!$M$7:$R$7,0))*(1+'W6 - Operating cost'!S$1)*POWER(1+INDEX('Cover Page'!$H$8:$W$8,MATCH('W6 - Operating cost'!$B$1,'Cover Page'!$H$5:$W$5,0)),'W6 - Operating cost'!S$1)*10^3,INDEX('W2'!$M$56:$R$56,MATCH('W6 - Operating cost'!$B$1,'W2'!$M$7:$R$7,0))*POWER(1+INDEX('Cover Page'!$H$8:$W$8,MATCH('W6 - Operating cost'!$B$1,'Cover Page'!$H$5:$W$5,0)),'W6 - Operating cost'!S$1)/EXR*10^3)</f>
        <v>979.2</v>
      </c>
      <c r="R23" s="55"/>
      <c r="S23" s="55"/>
      <c r="T23" s="55"/>
      <c r="V23" s="55"/>
      <c r="W23" s="100">
        <f>IF('W6 - Operating cost'!$D$1="USD",INDEX('W2'!$M$56:$R$56,MATCH('W6 - Operating cost'!$B$1,'W2'!$M$7:$R$7,0))*(1+'W6 - Operating cost'!Y$1)*POWER(1+INDEX('Cover Page'!$H$8:$W$8,MATCH('W6 - Operating cost'!$B$1,'Cover Page'!$H$5:$W$5,0)),'W6 - Operating cost'!Y$1)*10^3,INDEX('W2'!$M$56:$R$56,MATCH('W6 - Operating cost'!$B$1,'W2'!$M$7:$R$7,0))*POWER(1+INDEX('Cover Page'!$H$8:$W$8,MATCH('W6 - Operating cost'!$B$1,'Cover Page'!$H$5:$W$5,0)),'W6 - Operating cost'!Y$1)/EXR*10^3)</f>
        <v>998.78399999999988</v>
      </c>
      <c r="X23" s="55"/>
      <c r="Y23" s="55"/>
      <c r="Z23" s="55"/>
      <c r="AB23" s="55"/>
      <c r="AC23" s="100">
        <f>IF('W6 - Operating cost'!$D$1="USD",INDEX('W2'!$M$56:$R$56,MATCH('W6 - Operating cost'!$B$1,'W2'!$M$7:$R$7,0))*(1+'W6 - Operating cost'!AE$1)*POWER(1+INDEX('Cover Page'!$H$8:$W$8,MATCH('W6 - Operating cost'!$B$1,'Cover Page'!$H$5:$W$5,0)),'W6 - Operating cost'!AE$1)*10^3,INDEX('W2'!$M$56:$R$56,MATCH('W6 - Operating cost'!$B$1,'W2'!$M$7:$R$7,0))*POWER(1+INDEX('Cover Page'!$H$8:$W$8,MATCH('W6 - Operating cost'!$B$1,'Cover Page'!$H$5:$W$5,0)),'W6 - Operating cost'!AE$1)/EXR*10^3)</f>
        <v>1018.7596799999999</v>
      </c>
      <c r="AD23" s="55"/>
      <c r="AE23" s="55"/>
      <c r="AF23" s="55"/>
      <c r="AH23" s="55"/>
      <c r="AI23" s="100">
        <f>IF('W6 - Operating cost'!$D$1="USD",INDEX('W2'!$M$56:$R$56,MATCH('W6 - Operating cost'!$B$1,'W2'!$M$7:$R$7,0))*(1+'W6 - Operating cost'!AK$1)*POWER(1+INDEX('Cover Page'!$H$8:$W$8,MATCH('W6 - Operating cost'!$B$1,'Cover Page'!$H$5:$W$5,0)),'W6 - Operating cost'!AK$1)*10^3,INDEX('W2'!$M$56:$R$56,MATCH('W6 - Operating cost'!$B$1,'W2'!$M$7:$R$7,0))*POWER(1+INDEX('Cover Page'!$H$8:$W$8,MATCH('W6 - Operating cost'!$B$1,'Cover Page'!$H$5:$W$5,0)),'W6 - Operating cost'!AK$1)/EXR*10^3)</f>
        <v>1039.1348736</v>
      </c>
      <c r="AJ23" s="55"/>
      <c r="AK23" s="55"/>
      <c r="AL23" s="55"/>
      <c r="AN23" s="55"/>
      <c r="AO23" s="100">
        <f>IF('W6 - Operating cost'!$D$1="USD",INDEX('W2'!$M$56:$R$56,MATCH('W6 - Operating cost'!$B$1,'W2'!$M$7:$R$7,0))*(1+'W6 - Operating cost'!AQ$1)*POWER(1+INDEX('Cover Page'!$H$8:$W$8,MATCH('W6 - Operating cost'!$B$1,'Cover Page'!$H$5:$W$5,0)),'W6 - Operating cost'!AQ$1)*10^3,INDEX('W2'!$M$56:$R$56,MATCH('W6 - Operating cost'!$B$1,'W2'!$M$7:$R$7,0))*POWER(1+INDEX('Cover Page'!$H$8:$W$8,MATCH('W6 - Operating cost'!$B$1,'Cover Page'!$H$5:$W$5,0)),'W6 - Operating cost'!AQ$1)/EXR*10^3)</f>
        <v>1059.9175710720001</v>
      </c>
      <c r="AP23" s="55"/>
      <c r="AQ23" s="55"/>
      <c r="AR23" s="55"/>
      <c r="AT23" s="55"/>
      <c r="AU23" s="100">
        <f>IF('W6 - Operating cost'!$D$1="USD",INDEX('W2'!$M$56:$R$56,MATCH('W6 - Operating cost'!$B$1,'W2'!$M$7:$R$7,0))*(1+'W6 - Operating cost'!AW$1)*POWER(1+INDEX('Cover Page'!$H$8:$W$8,MATCH('W6 - Operating cost'!$B$1,'Cover Page'!$H$5:$W$5,0)),'W6 - Operating cost'!AW$1)*10^3,INDEX('W2'!$M$56:$R$56,MATCH('W6 - Operating cost'!$B$1,'W2'!$M$7:$R$7,0))*POWER(1+INDEX('Cover Page'!$H$8:$W$8,MATCH('W6 - Operating cost'!$B$1,'Cover Page'!$H$5:$W$5,0)),'W6 - Operating cost'!AW$1)/EXR*10^3)</f>
        <v>1081.1159224934402</v>
      </c>
      <c r="AV23" s="55"/>
      <c r="AW23" s="55"/>
      <c r="AX23" s="55"/>
      <c r="AZ23" s="55"/>
      <c r="BA23" s="100">
        <f>IF('W6 - Operating cost'!$D$1="USD",INDEX('W2'!$M$56:$R$56,MATCH('W6 - Operating cost'!$B$1,'W2'!$M$7:$R$7,0))*(1+'W6 - Operating cost'!BC$1)*POWER(1+INDEX('Cover Page'!$H$8:$W$8,MATCH('W6 - Operating cost'!$B$1,'Cover Page'!$H$5:$W$5,0)),'W6 - Operating cost'!BC$1)*10^3,INDEX('W2'!$M$56:$R$56,MATCH('W6 - Operating cost'!$B$1,'W2'!$M$7:$R$7,0))*POWER(1+INDEX('Cover Page'!$H$8:$W$8,MATCH('W6 - Operating cost'!$B$1,'Cover Page'!$H$5:$W$5,0)),'W6 - Operating cost'!BC$1)/EXR*10^3)</f>
        <v>1102.7382409433087</v>
      </c>
      <c r="BB23" s="55"/>
      <c r="BC23" s="55"/>
      <c r="BD23" s="55"/>
      <c r="BF23" s="55"/>
      <c r="BG23" s="100">
        <f>IF('W6 - Operating cost'!$D$1="USD",INDEX('W2'!$M$56:$R$56,MATCH('W6 - Operating cost'!$B$1,'W2'!$M$7:$R$7,0))*(1+'W6 - Operating cost'!BI$1)*POWER(1+INDEX('Cover Page'!$H$8:$W$8,MATCH('W6 - Operating cost'!$B$1,'Cover Page'!$H$5:$W$5,0)),'W6 - Operating cost'!BI$1)*10^3,INDEX('W2'!$M$56:$R$56,MATCH('W6 - Operating cost'!$B$1,'W2'!$M$7:$R$7,0))*POWER(1+INDEX('Cover Page'!$H$8:$W$8,MATCH('W6 - Operating cost'!$B$1,'Cover Page'!$H$5:$W$5,0)),'W6 - Operating cost'!BI$1)/EXR*10^3)</f>
        <v>1124.793005762175</v>
      </c>
      <c r="BH23" s="55"/>
      <c r="BI23" s="55"/>
      <c r="BJ23" s="55"/>
      <c r="BL23" s="55"/>
      <c r="BM23" s="100">
        <f>IF('W6 - Operating cost'!$D$1="USD",INDEX('W2'!$M$56:$R$56,MATCH('W6 - Operating cost'!$B$1,'W2'!$M$7:$R$7,0))*(1+'W6 - Operating cost'!BO$1)*POWER(1+INDEX('Cover Page'!$H$8:$W$8,MATCH('W6 - Operating cost'!$B$1,'Cover Page'!$H$5:$W$5,0)),'W6 - Operating cost'!BO$1)*10^3,INDEX('W2'!$M$56:$R$56,MATCH('W6 - Operating cost'!$B$1,'W2'!$M$7:$R$7,0))*POWER(1+INDEX('Cover Page'!$H$8:$W$8,MATCH('W6 - Operating cost'!$B$1,'Cover Page'!$H$5:$W$5,0)),'W6 - Operating cost'!BO$1)/EXR*10^3)</f>
        <v>1147.2888658774184</v>
      </c>
      <c r="BN23" s="55"/>
      <c r="BO23" s="55"/>
      <c r="BP23" s="55"/>
      <c r="BR23" s="55"/>
      <c r="BS23" s="100">
        <f>IF('W6 - Operating cost'!$D$1="USD",INDEX('W2'!$M$56:$R$56,MATCH('W6 - Operating cost'!$B$1,'W2'!$M$7:$R$7,0))*(1+'W6 - Operating cost'!BU$1)*POWER(1+INDEX('Cover Page'!$H$8:$W$8,MATCH('W6 - Operating cost'!$B$1,'Cover Page'!$H$5:$W$5,0)),'W6 - Operating cost'!BU$1)*10^3,INDEX('W2'!$M$56:$R$56,MATCH('W6 - Operating cost'!$B$1,'W2'!$M$7:$R$7,0))*POWER(1+INDEX('Cover Page'!$H$8:$W$8,MATCH('W6 - Operating cost'!$B$1,'Cover Page'!$H$5:$W$5,0)),'W6 - Operating cost'!BU$1)/EXR*10^3)</f>
        <v>1170.2346431949668</v>
      </c>
      <c r="BT23" s="55"/>
      <c r="BU23" s="55"/>
      <c r="BV23" s="55"/>
      <c r="BX23" s="55"/>
      <c r="BY23" s="100">
        <f>IF('W6 - Operating cost'!$D$1="USD",INDEX('W2'!$M$56:$R$56,MATCH('W6 - Operating cost'!$B$1,'W2'!$M$7:$R$7,0))*(1+'W6 - Operating cost'!CA$1)*POWER(1+INDEX('Cover Page'!$H$8:$W$8,MATCH('W6 - Operating cost'!$B$1,'Cover Page'!$H$5:$W$5,0)),'W6 - Operating cost'!CA$1)*10^3,INDEX('W2'!$M$56:$R$56,MATCH('W6 - Operating cost'!$B$1,'W2'!$M$7:$R$7,0))*POWER(1+INDEX('Cover Page'!$H$8:$W$8,MATCH('W6 - Operating cost'!$B$1,'Cover Page'!$H$5:$W$5,0)),'W6 - Operating cost'!CA$1)/EXR*10^3)</f>
        <v>1193.6393360588659</v>
      </c>
      <c r="BZ23" s="55"/>
      <c r="CA23" s="55"/>
      <c r="CB23" s="55"/>
      <c r="CD23" s="55"/>
      <c r="CE23" s="100">
        <f>IF('W6 - Operating cost'!$D$1="USD",INDEX('W2'!$M$56:$R$56,MATCH('W6 - Operating cost'!$B$1,'W2'!$M$7:$R$7,0))*(1+'W6 - Operating cost'!CG$1)*POWER(1+INDEX('Cover Page'!$H$8:$W$8,MATCH('W6 - Operating cost'!$B$1,'Cover Page'!$H$5:$W$5,0)),'W6 - Operating cost'!CG$1)*10^3,INDEX('W2'!$M$56:$R$56,MATCH('W6 - Operating cost'!$B$1,'W2'!$M$7:$R$7,0))*POWER(1+INDEX('Cover Page'!$H$8:$W$8,MATCH('W6 - Operating cost'!$B$1,'Cover Page'!$H$5:$W$5,0)),'W6 - Operating cost'!CG$1)/EXR*10^3)</f>
        <v>1217.5121227800435</v>
      </c>
      <c r="CF23" s="55"/>
      <c r="CG23" s="55"/>
      <c r="CH23" s="55"/>
      <c r="CJ23" s="55"/>
      <c r="CK23" s="100">
        <f>IF('W6 - Operating cost'!$D$1="USD",INDEX('W2'!$M$56:$R$56,MATCH('W6 - Operating cost'!$B$1,'W2'!$M$7:$R$7,0))*(1+'W6 - Operating cost'!CM$1)*POWER(1+INDEX('Cover Page'!$H$8:$W$8,MATCH('W6 - Operating cost'!$B$1,'Cover Page'!$H$5:$W$5,0)),'W6 - Operating cost'!CM$1)*10^3,INDEX('W2'!$M$56:$R$56,MATCH('W6 - Operating cost'!$B$1,'W2'!$M$7:$R$7,0))*POWER(1+INDEX('Cover Page'!$H$8:$W$8,MATCH('W6 - Operating cost'!$B$1,'Cover Page'!$H$5:$W$5,0)),'W6 - Operating cost'!CM$1)/EXR*10^3)</f>
        <v>1241.8623652356441</v>
      </c>
      <c r="CL23" s="55"/>
      <c r="CM23" s="55"/>
      <c r="CN23" s="55"/>
      <c r="CP23" s="55"/>
      <c r="CQ23" s="100">
        <f>IF('W6 - Operating cost'!$D$1="USD",INDEX('W2'!$M$56:$R$56,MATCH('W6 - Operating cost'!$B$1,'W2'!$M$7:$R$7,0))*(1+'W6 - Operating cost'!CS$1)*POWER(1+INDEX('Cover Page'!$H$8:$W$8,MATCH('W6 - Operating cost'!$B$1,'Cover Page'!$H$5:$W$5,0)),'W6 - Operating cost'!CS$1)*10^3,INDEX('W2'!$M$56:$R$56,MATCH('W6 - Operating cost'!$B$1,'W2'!$M$7:$R$7,0))*POWER(1+INDEX('Cover Page'!$H$8:$W$8,MATCH('W6 - Operating cost'!$B$1,'Cover Page'!$H$5:$W$5,0)),'W6 - Operating cost'!CS$1)/EXR*10^3)</f>
        <v>1266.6996125403571</v>
      </c>
      <c r="CR23" s="55"/>
      <c r="CS23" s="55"/>
      <c r="CT23" s="55"/>
      <c r="CV23" s="55"/>
      <c r="CW23" s="100">
        <f>IF('W6 - Operating cost'!$D$1="USD",INDEX('W2'!$M$56:$R$56,MATCH('W6 - Operating cost'!$B$1,'W2'!$M$7:$R$7,0))*(1+'W6 - Operating cost'!CY$1)*POWER(1+INDEX('Cover Page'!$H$8:$W$8,MATCH('W6 - Operating cost'!$B$1,'Cover Page'!$H$5:$W$5,0)),'W6 - Operating cost'!CY$1)*10^3,INDEX('W2'!$M$56:$R$56,MATCH('W6 - Operating cost'!$B$1,'W2'!$M$7:$R$7,0))*POWER(1+INDEX('Cover Page'!$H$8:$W$8,MATCH('W6 - Operating cost'!$B$1,'Cover Page'!$H$5:$W$5,0)),'W6 - Operating cost'!CY$1)/EXR*10^3)</f>
        <v>1292.033604791164</v>
      </c>
      <c r="CX23" s="55"/>
      <c r="CY23" s="55"/>
      <c r="CZ23" s="55"/>
      <c r="DB23" s="55"/>
      <c r="DC23" s="100">
        <f>IF('W6 - Operating cost'!$D$1="USD",INDEX('W2'!$M$56:$R$56,MATCH('W6 - Operating cost'!$B$1,'W2'!$M$7:$R$7,0))*(1+'W6 - Operating cost'!DE$1)*POWER(1+INDEX('Cover Page'!$H$8:$W$8,MATCH('W6 - Operating cost'!$B$1,'Cover Page'!$H$5:$W$5,0)),'W6 - Operating cost'!DE$1)*10^3,INDEX('W2'!$M$56:$R$56,MATCH('W6 - Operating cost'!$B$1,'W2'!$M$7:$R$7,0))*POWER(1+INDEX('Cover Page'!$H$8:$W$8,MATCH('W6 - Operating cost'!$B$1,'Cover Page'!$H$5:$W$5,0)),'W6 - Operating cost'!DE$1)/EXR*10^3)</f>
        <v>1317.8742768869877</v>
      </c>
      <c r="DD23" s="55"/>
      <c r="DE23" s="55"/>
      <c r="DF23" s="55"/>
      <c r="DH23" s="55"/>
      <c r="DI23" s="100">
        <f>IF('W6 - Operating cost'!$D$1="USD",INDEX('W2'!$M$56:$R$56,MATCH('W6 - Operating cost'!$B$1,'W2'!$M$7:$R$7,0))*(1+'W6 - Operating cost'!DK$1)*POWER(1+INDEX('Cover Page'!$H$8:$W$8,MATCH('W6 - Operating cost'!$B$1,'Cover Page'!$H$5:$W$5,0)),'W6 - Operating cost'!DK$1)*10^3,INDEX('W2'!$M$56:$R$56,MATCH('W6 - Operating cost'!$B$1,'W2'!$M$7:$R$7,0))*POWER(1+INDEX('Cover Page'!$H$8:$W$8,MATCH('W6 - Operating cost'!$B$1,'Cover Page'!$H$5:$W$5,0)),'W6 - Operating cost'!DK$1)/EXR*10^3)</f>
        <v>1344.2317624247273</v>
      </c>
      <c r="DJ23" s="55"/>
      <c r="DK23" s="55"/>
      <c r="DL23" s="55"/>
      <c r="DN23" s="55"/>
      <c r="DO23" s="100">
        <f>IF('W6 - Operating cost'!$D$1="USD",INDEX('W2'!$M$56:$R$56,MATCH('W6 - Operating cost'!$B$1,'W2'!$M$7:$R$7,0))*(1+'W6 - Operating cost'!DQ$1)*POWER(1+INDEX('Cover Page'!$H$8:$W$8,MATCH('W6 - Operating cost'!$B$1,'Cover Page'!$H$5:$W$5,0)),'W6 - Operating cost'!DQ$1)*10^3,INDEX('W2'!$M$56:$R$56,MATCH('W6 - Operating cost'!$B$1,'W2'!$M$7:$R$7,0))*POWER(1+INDEX('Cover Page'!$H$8:$W$8,MATCH('W6 - Operating cost'!$B$1,'Cover Page'!$H$5:$W$5,0)),'W6 - Operating cost'!DQ$1)/EXR*10^3)</f>
        <v>1371.1163976732219</v>
      </c>
      <c r="DP23" s="55"/>
      <c r="DQ23" s="55"/>
      <c r="DR23" s="55"/>
      <c r="DT23" s="55"/>
      <c r="DU23" s="100">
        <f>IF('W6 - Operating cost'!$D$1="USD",INDEX('W2'!$M$56:$R$56,MATCH('W6 - Operating cost'!$B$1,'W2'!$M$7:$R$7,0))*(1+'W6 - Operating cost'!DW$1)*POWER(1+INDEX('Cover Page'!$H$8:$W$8,MATCH('W6 - Operating cost'!$B$1,'Cover Page'!$H$5:$W$5,0)),'W6 - Operating cost'!DW$1)*10^3,INDEX('W2'!$M$56:$R$56,MATCH('W6 - Operating cost'!$B$1,'W2'!$M$7:$R$7,0))*POWER(1+INDEX('Cover Page'!$H$8:$W$8,MATCH('W6 - Operating cost'!$B$1,'Cover Page'!$H$5:$W$5,0)),'W6 - Operating cost'!DW$1)/EXR*10^3)</f>
        <v>1398.5387256266863</v>
      </c>
      <c r="DV23" s="55"/>
      <c r="DW23" s="55"/>
      <c r="DX23" s="55"/>
      <c r="DZ23" s="55"/>
      <c r="EA23" s="100">
        <f>IF('W6 - Operating cost'!$D$1="USD",INDEX('W2'!$M$56:$R$56,MATCH('W6 - Operating cost'!$B$1,'W2'!$M$7:$R$7,0))*(1+'W6 - Operating cost'!EC$1)*POWER(1+INDEX('Cover Page'!$H$8:$W$8,MATCH('W6 - Operating cost'!$B$1,'Cover Page'!$H$5:$W$5,0)),'W6 - Operating cost'!EC$1)*10^3,INDEX('W2'!$M$56:$R$56,MATCH('W6 - Operating cost'!$B$1,'W2'!$M$7:$R$7,0))*POWER(1+INDEX('Cover Page'!$H$8:$W$8,MATCH('W6 - Operating cost'!$B$1,'Cover Page'!$H$5:$W$5,0)),'W6 - Operating cost'!EC$1)/EXR*10^3)</f>
        <v>1426.5095001392201</v>
      </c>
      <c r="EB23" s="55"/>
      <c r="EC23" s="55"/>
      <c r="ED23" s="55"/>
      <c r="EF23" s="55"/>
      <c r="EG23" s="100">
        <f>IF('W6 - Operating cost'!$D$1="USD",INDEX('W2'!$M$56:$R$56,MATCH('W6 - Operating cost'!$B$1,'W2'!$M$7:$R$7,0))*(1+'W6 - Operating cost'!EI$1)*POWER(1+INDEX('Cover Page'!$H$8:$W$8,MATCH('W6 - Operating cost'!$B$1,'Cover Page'!$H$5:$W$5,0)),'W6 - Operating cost'!EI$1)*10^3,INDEX('W2'!$M$56:$R$56,MATCH('W6 - Operating cost'!$B$1,'W2'!$M$7:$R$7,0))*POWER(1+INDEX('Cover Page'!$H$8:$W$8,MATCH('W6 - Operating cost'!$B$1,'Cover Page'!$H$5:$W$5,0)),'W6 - Operating cost'!EI$1)/EXR*10^3)</f>
        <v>1455.0396901420045</v>
      </c>
      <c r="EH23" s="55"/>
      <c r="EI23" s="55"/>
      <c r="EJ23" s="55"/>
      <c r="EL23" s="55"/>
      <c r="EM23" s="100">
        <f>IF('W6 - Operating cost'!$D$1="USD",INDEX('W2'!$M$56:$R$56,MATCH('W6 - Operating cost'!$B$1,'W2'!$M$7:$R$7,0))*(1+'W6 - Operating cost'!EO$1)*POWER(1+INDEX('Cover Page'!$H$8:$W$8,MATCH('W6 - Operating cost'!$B$1,'Cover Page'!$H$5:$W$5,0)),'W6 - Operating cost'!EO$1)*10^3,INDEX('W2'!$M$56:$R$56,MATCH('W6 - Operating cost'!$B$1,'W2'!$M$7:$R$7,0))*POWER(1+INDEX('Cover Page'!$H$8:$W$8,MATCH('W6 - Operating cost'!$B$1,'Cover Page'!$H$5:$W$5,0)),'W6 - Operating cost'!EO$1)/EXR*10^3)</f>
        <v>1484.1404839448444</v>
      </c>
      <c r="EN23" s="55"/>
      <c r="EO23" s="55"/>
      <c r="EP23" s="55"/>
      <c r="ER23" s="55"/>
      <c r="ES23" s="100">
        <f>IF('W6 - Operating cost'!$D$1="USD",INDEX('W2'!$M$56:$R$56,MATCH('W6 - Operating cost'!$B$1,'W2'!$M$7:$R$7,0))*(1+'W6 - Operating cost'!EU$1)*POWER(1+INDEX('Cover Page'!$H$8:$W$8,MATCH('W6 - Operating cost'!$B$1,'Cover Page'!$H$5:$W$5,0)),'W6 - Operating cost'!EU$1)*10^3,INDEX('W2'!$M$56:$R$56,MATCH('W6 - Operating cost'!$B$1,'W2'!$M$7:$R$7,0))*POWER(1+INDEX('Cover Page'!$H$8:$W$8,MATCH('W6 - Operating cost'!$B$1,'Cover Page'!$H$5:$W$5,0)),'W6 - Operating cost'!EU$1)/EXR*10^3)</f>
        <v>1513.8232936237412</v>
      </c>
      <c r="ET23" s="55"/>
      <c r="EU23" s="55"/>
      <c r="EV23" s="55"/>
    </row>
    <row r="24" spans="1:152" x14ac:dyDescent="0.25">
      <c r="A24" t="s">
        <v>624</v>
      </c>
      <c r="B24" s="55" t="s">
        <v>164</v>
      </c>
      <c r="C24" s="55" t="s">
        <v>148</v>
      </c>
      <c r="D24" s="55"/>
      <c r="E24" s="329">
        <f>E23*EXR*'Cover Page'!$F$25/10^6</f>
        <v>374.4</v>
      </c>
      <c r="F24" s="55"/>
      <c r="G24" s="55"/>
      <c r="H24" s="55"/>
      <c r="J24" s="55"/>
      <c r="K24" s="329">
        <f>K23*EXR*'Cover Page'!$F$25/10^6</f>
        <v>374.4</v>
      </c>
      <c r="L24" s="55"/>
      <c r="M24" s="55"/>
      <c r="N24" s="55"/>
      <c r="P24" s="55"/>
      <c r="Q24" s="329">
        <f>Q23*EXR*'Cover Page'!$F$25/10^6</f>
        <v>381.88799999999998</v>
      </c>
      <c r="R24" s="55"/>
      <c r="S24" s="55"/>
      <c r="T24" s="55"/>
      <c r="V24" s="55"/>
      <c r="W24" s="329">
        <f>W23*EXR*'Cover Page'!$F$25/10^6</f>
        <v>389.52575999999993</v>
      </c>
      <c r="X24" s="55"/>
      <c r="Y24" s="55"/>
      <c r="Z24" s="55"/>
      <c r="AB24" s="55"/>
      <c r="AC24" s="329">
        <f>AC23*EXR*'Cover Page'!$F$25/10^6</f>
        <v>397.31627519999995</v>
      </c>
      <c r="AD24" s="55"/>
      <c r="AE24" s="55"/>
      <c r="AF24" s="55"/>
      <c r="AH24" s="55"/>
      <c r="AI24" s="329">
        <f>AI23*EXR*'Cover Page'!$F$25/10^6</f>
        <v>405.26260070400002</v>
      </c>
      <c r="AJ24" s="55"/>
      <c r="AK24" s="55"/>
      <c r="AL24" s="55"/>
      <c r="AN24" s="55"/>
      <c r="AO24" s="329">
        <f>AO23*EXR*'Cover Page'!$F$25/10^6</f>
        <v>413.36785271808003</v>
      </c>
      <c r="AP24" s="55"/>
      <c r="AQ24" s="55"/>
      <c r="AR24" s="55"/>
      <c r="AT24" s="55"/>
      <c r="AU24" s="329">
        <f>AU23*EXR*'Cover Page'!$F$25/10^6</f>
        <v>421.63520977244167</v>
      </c>
      <c r="AV24" s="55"/>
      <c r="AW24" s="55"/>
      <c r="AX24" s="55"/>
      <c r="AZ24" s="55"/>
      <c r="BA24" s="329">
        <f>BA23*EXR*'Cover Page'!$F$25/10^6</f>
        <v>430.06791396789043</v>
      </c>
      <c r="BB24" s="55"/>
      <c r="BC24" s="55"/>
      <c r="BD24" s="55"/>
      <c r="BF24" s="55"/>
      <c r="BG24" s="329">
        <f>BG23*EXR*'Cover Page'!$F$25/10^6</f>
        <v>438.66927224724822</v>
      </c>
      <c r="BH24" s="55"/>
      <c r="BI24" s="55"/>
      <c r="BJ24" s="55"/>
      <c r="BL24" s="55"/>
      <c r="BM24" s="329">
        <f>BM23*EXR*'Cover Page'!$F$25/10^6</f>
        <v>447.44265769219322</v>
      </c>
      <c r="BN24" s="55"/>
      <c r="BO24" s="55"/>
      <c r="BP24" s="55"/>
      <c r="BR24" s="55"/>
      <c r="BS24" s="329">
        <f>BS23*EXR*'Cover Page'!$F$25/10^6</f>
        <v>456.39151084603702</v>
      </c>
      <c r="BT24" s="55"/>
      <c r="BU24" s="55"/>
      <c r="BV24" s="55"/>
      <c r="BX24" s="55"/>
      <c r="BY24" s="329">
        <f>BY23*EXR*'Cover Page'!$F$25/10^6</f>
        <v>465.51934106295766</v>
      </c>
      <c r="BZ24" s="55"/>
      <c r="CA24" s="55"/>
      <c r="CB24" s="55"/>
      <c r="CD24" s="55"/>
      <c r="CE24" s="329">
        <f>CE23*EXR*'Cover Page'!$F$25/10^6</f>
        <v>474.82972788421694</v>
      </c>
      <c r="CF24" s="55"/>
      <c r="CG24" s="55"/>
      <c r="CH24" s="55"/>
      <c r="CJ24" s="55"/>
      <c r="CK24" s="329">
        <f>CK23*EXR*'Cover Page'!$F$25/10^6</f>
        <v>484.3263224419012</v>
      </c>
      <c r="CL24" s="55"/>
      <c r="CM24" s="55"/>
      <c r="CN24" s="55"/>
      <c r="CP24" s="55"/>
      <c r="CQ24" s="329">
        <f>CQ23*EXR*'Cover Page'!$F$25/10^6</f>
        <v>494.01284889073924</v>
      </c>
      <c r="CR24" s="55"/>
      <c r="CS24" s="55"/>
      <c r="CT24" s="55"/>
      <c r="CV24" s="55"/>
      <c r="CW24" s="329">
        <f>CW23*EXR*'Cover Page'!$F$25/10^6</f>
        <v>503.8931058685539</v>
      </c>
      <c r="CX24" s="55"/>
      <c r="CY24" s="55"/>
      <c r="CZ24" s="55"/>
      <c r="DB24" s="55"/>
      <c r="DC24" s="329">
        <f>DC23*EXR*'Cover Page'!$F$25/10^6</f>
        <v>513.97096798592509</v>
      </c>
      <c r="DD24" s="55"/>
      <c r="DE24" s="55"/>
      <c r="DF24" s="55"/>
      <c r="DH24" s="55"/>
      <c r="DI24" s="329">
        <f>DI23*EXR*'Cover Page'!$F$25/10^6</f>
        <v>524.25038734564362</v>
      </c>
      <c r="DJ24" s="55"/>
      <c r="DK24" s="55"/>
      <c r="DL24" s="55"/>
      <c r="DN24" s="55"/>
      <c r="DO24" s="329">
        <f>DO23*EXR*'Cover Page'!$F$25/10^6</f>
        <v>534.73539509255647</v>
      </c>
      <c r="DP24" s="55"/>
      <c r="DQ24" s="55"/>
      <c r="DR24" s="55"/>
      <c r="DT24" s="55"/>
      <c r="DU24" s="329">
        <f>DU23*EXR*'Cover Page'!$F$25/10^6</f>
        <v>545.43010299440766</v>
      </c>
      <c r="DV24" s="55"/>
      <c r="DW24" s="55"/>
      <c r="DX24" s="55"/>
      <c r="DZ24" s="55"/>
      <c r="EA24" s="329">
        <f>EA23*EXR*'Cover Page'!$F$25/10^6</f>
        <v>556.33870505429593</v>
      </c>
      <c r="EB24" s="55"/>
      <c r="EC24" s="55"/>
      <c r="ED24" s="55"/>
      <c r="EF24" s="55"/>
      <c r="EG24" s="329">
        <f>EG23*EXR*'Cover Page'!$F$25/10^6</f>
        <v>567.46547915538179</v>
      </c>
      <c r="EH24" s="55"/>
      <c r="EI24" s="55"/>
      <c r="EJ24" s="55"/>
      <c r="EL24" s="55"/>
      <c r="EM24" s="329">
        <f>EM23*EXR*'Cover Page'!$F$25/10^6</f>
        <v>578.81478873848937</v>
      </c>
      <c r="EN24" s="55"/>
      <c r="EO24" s="55"/>
      <c r="EP24" s="55"/>
      <c r="ER24" s="55"/>
      <c r="ES24" s="329">
        <f>ES23*EXR*'Cover Page'!$F$25/10^6</f>
        <v>590.3910845132591</v>
      </c>
      <c r="ET24" s="55"/>
      <c r="EU24" s="55"/>
      <c r="EV24" s="55"/>
    </row>
    <row r="25" spans="1:152" x14ac:dyDescent="0.25">
      <c r="A25" t="s">
        <v>624</v>
      </c>
      <c r="B25" s="55" t="s">
        <v>165</v>
      </c>
      <c r="C25" s="55" t="s">
        <v>148</v>
      </c>
      <c r="D25" s="55"/>
      <c r="E25" s="100">
        <f>'W6 - Operating cost'!G60/'W6 - Preform cost'!D29</f>
        <v>3.0630387096774192</v>
      </c>
      <c r="F25" s="55"/>
      <c r="G25" s="55"/>
      <c r="H25" s="55"/>
      <c r="J25" s="55"/>
      <c r="K25" s="100">
        <f>'W6 - Operating cost'!M60/'W6 - Preform cost'!J29</f>
        <v>3.0630387096774196</v>
      </c>
      <c r="L25" s="55"/>
      <c r="M25" s="55"/>
      <c r="N25" s="55"/>
      <c r="P25" s="55"/>
      <c r="Q25" s="100">
        <f>'W6 - Operating cost'!S60/'W6 - Preform cost'!P29</f>
        <v>3.2161906451612907</v>
      </c>
      <c r="R25" s="55"/>
      <c r="S25" s="55"/>
      <c r="T25" s="55"/>
      <c r="V25" s="55"/>
      <c r="W25" s="100">
        <f>'W6 - Operating cost'!Y60/'W6 - Preform cost'!V29</f>
        <v>3.3770001774193554</v>
      </c>
      <c r="X25" s="55"/>
      <c r="Y25" s="55"/>
      <c r="Z25" s="55"/>
      <c r="AB25" s="55"/>
      <c r="AC25" s="100">
        <f>'W6 - Operating cost'!AE60/'W6 - Preform cost'!AB29</f>
        <v>3.5458501862903224</v>
      </c>
      <c r="AD25" s="55"/>
      <c r="AE25" s="55"/>
      <c r="AF25" s="55"/>
      <c r="AH25" s="55"/>
      <c r="AI25" s="100">
        <f>'W6 - Operating cost'!AK60/'W6 - Preform cost'!AH29</f>
        <v>3.7231426956048383</v>
      </c>
      <c r="AJ25" s="55"/>
      <c r="AK25" s="55"/>
      <c r="AL25" s="55"/>
      <c r="AN25" s="55"/>
      <c r="AO25" s="100">
        <f>'W6 - Operating cost'!AQ60/'W6 - Preform cost'!AN29</f>
        <v>3.9092998303850814</v>
      </c>
      <c r="AP25" s="55"/>
      <c r="AQ25" s="55"/>
      <c r="AR25" s="55"/>
      <c r="AT25" s="55"/>
      <c r="AU25" s="100">
        <f>'W6 - Operating cost'!AW60/'W6 - Preform cost'!AT29</f>
        <v>4.1047648219043351</v>
      </c>
      <c r="AV25" s="55"/>
      <c r="AW25" s="55"/>
      <c r="AX25" s="55"/>
      <c r="AZ25" s="55"/>
      <c r="BA25" s="100">
        <f>'W6 - Operating cost'!BC60/'W6 - Preform cost'!AZ29</f>
        <v>4.3100030629995523</v>
      </c>
      <c r="BB25" s="55"/>
      <c r="BC25" s="55"/>
      <c r="BD25" s="55"/>
      <c r="BF25" s="55"/>
      <c r="BG25" s="100">
        <f>'W6 - Operating cost'!BI60/'W6 - Preform cost'!BF29</f>
        <v>4.525503216149529</v>
      </c>
      <c r="BH25" s="55"/>
      <c r="BI25" s="55"/>
      <c r="BJ25" s="55"/>
      <c r="BL25" s="55"/>
      <c r="BM25" s="100">
        <f>'W6 - Operating cost'!BO60/'W6 - Preform cost'!BL29</f>
        <v>4.7517783769570059</v>
      </c>
      <c r="BN25" s="55"/>
      <c r="BO25" s="55"/>
      <c r="BP25" s="55"/>
      <c r="BR25" s="55"/>
      <c r="BS25" s="100">
        <f>'W6 - Operating cost'!BU60/'W6 - Preform cost'!BR29</f>
        <v>4.9893672958048567</v>
      </c>
      <c r="BT25" s="55"/>
      <c r="BU25" s="55"/>
      <c r="BV25" s="55"/>
      <c r="BX25" s="55"/>
      <c r="BY25" s="100">
        <f>'W6 - Operating cost'!CA60/'W6 - Preform cost'!BX29</f>
        <v>5.2388356605950994</v>
      </c>
      <c r="BZ25" s="55"/>
      <c r="CA25" s="55"/>
      <c r="CB25" s="55"/>
      <c r="CD25" s="55"/>
      <c r="CE25" s="100">
        <f>'W6 - Operating cost'!CG60/'W6 - Preform cost'!CD29</f>
        <v>5.5007774436248544</v>
      </c>
      <c r="CF25" s="55"/>
      <c r="CG25" s="55"/>
      <c r="CH25" s="55"/>
      <c r="CJ25" s="55"/>
      <c r="CK25" s="100">
        <f>'W6 - Operating cost'!CM60/'W6 - Preform cost'!CJ29</f>
        <v>5.7758163158060976</v>
      </c>
      <c r="CL25" s="55"/>
      <c r="CM25" s="55"/>
      <c r="CN25" s="55"/>
      <c r="CP25" s="55"/>
      <c r="CQ25" s="100">
        <f>'W6 - Operating cost'!CS60/'W6 - Preform cost'!CP29</f>
        <v>6.064607131596401</v>
      </c>
      <c r="CR25" s="55"/>
      <c r="CS25" s="55"/>
      <c r="CT25" s="55"/>
      <c r="CV25" s="55"/>
      <c r="CW25" s="100">
        <f>'W6 - Operating cost'!CY60/'W6 - Preform cost'!CV29</f>
        <v>6.3678374881762227</v>
      </c>
      <c r="CX25" s="55"/>
      <c r="CY25" s="55"/>
      <c r="CZ25" s="55"/>
      <c r="DB25" s="55"/>
      <c r="DC25" s="100">
        <f>'W6 - Operating cost'!DE60/'W6 - Preform cost'!DB29</f>
        <v>6.686229362585034</v>
      </c>
      <c r="DD25" s="55"/>
      <c r="DE25" s="55"/>
      <c r="DF25" s="55"/>
      <c r="DH25" s="55"/>
      <c r="DI25" s="100">
        <f>'W6 - Operating cost'!DK60/'W6 - Preform cost'!DH29</f>
        <v>7.0205408307142863</v>
      </c>
      <c r="DJ25" s="55"/>
      <c r="DK25" s="55"/>
      <c r="DL25" s="55"/>
      <c r="DN25" s="55"/>
      <c r="DO25" s="100">
        <f>'W6 - Operating cost'!DQ60/'W6 - Preform cost'!DN29</f>
        <v>7.3715678722499991</v>
      </c>
      <c r="DP25" s="55"/>
      <c r="DQ25" s="55"/>
      <c r="DR25" s="55"/>
      <c r="DT25" s="55"/>
      <c r="DU25" s="100">
        <f>'W6 - Operating cost'!DW60/'W6 - Preform cost'!DT29</f>
        <v>7.7401462658625002</v>
      </c>
      <c r="DV25" s="55"/>
      <c r="DW25" s="55"/>
      <c r="DX25" s="55"/>
      <c r="DZ25" s="55"/>
      <c r="EA25" s="100">
        <f>'W6 - Operating cost'!EC60/'W6 - Preform cost'!DZ29</f>
        <v>8.1271535791556264</v>
      </c>
      <c r="EB25" s="55"/>
      <c r="EC25" s="55"/>
      <c r="ED25" s="55"/>
      <c r="EF25" s="55"/>
      <c r="EG25" s="100">
        <f>'W6 - Operating cost'!EI60/'W6 - Preform cost'!EF29</f>
        <v>8.5335112581134069</v>
      </c>
      <c r="EH25" s="55"/>
      <c r="EI25" s="55"/>
      <c r="EJ25" s="55"/>
      <c r="EL25" s="55"/>
      <c r="EM25" s="100">
        <f>'W6 - Operating cost'!EO60/'W6 - Preform cost'!EL29</f>
        <v>8.9601868210190752</v>
      </c>
      <c r="EN25" s="55"/>
      <c r="EO25" s="55"/>
      <c r="EP25" s="55"/>
      <c r="ER25" s="55"/>
      <c r="ES25" s="100">
        <f>'W6 - Operating cost'!EU60/'W6 - Preform cost'!ER29</f>
        <v>9.4081961620700305</v>
      </c>
      <c r="ET25" s="55"/>
      <c r="EU25" s="55"/>
      <c r="EV25" s="55"/>
    </row>
    <row r="26" spans="1:152" x14ac:dyDescent="0.25">
      <c r="A26" t="s">
        <v>624</v>
      </c>
      <c r="B26" s="55" t="s">
        <v>143</v>
      </c>
      <c r="C26" s="55" t="s">
        <v>148</v>
      </c>
      <c r="D26" s="55"/>
      <c r="E26" s="329">
        <f>E24/(1-'W6 - Operating cost'!$D$25)-E24</f>
        <v>28.180645161290329</v>
      </c>
      <c r="F26" s="55"/>
      <c r="G26" s="55"/>
      <c r="H26" s="55"/>
      <c r="J26" s="55"/>
      <c r="K26" s="329">
        <f>K24/(1-'W6 - Operating cost'!$D$25)-K24</f>
        <v>28.180645161290329</v>
      </c>
      <c r="L26" s="55"/>
      <c r="M26" s="55"/>
      <c r="N26" s="55"/>
      <c r="P26" s="55"/>
      <c r="Q26" s="329">
        <f>Q24/(1-'W6 - Operating cost'!$D$25)-Q24</f>
        <v>28.744258064516146</v>
      </c>
      <c r="R26" s="55"/>
      <c r="S26" s="55"/>
      <c r="T26" s="55"/>
      <c r="V26" s="55"/>
      <c r="W26" s="329">
        <f>W24/(1-'W6 - Operating cost'!$D$25)-W24</f>
        <v>29.319143225806499</v>
      </c>
      <c r="X26" s="55"/>
      <c r="Y26" s="55"/>
      <c r="Z26" s="55"/>
      <c r="AB26" s="55"/>
      <c r="AC26" s="329">
        <f>AC24/(1-'W6 - Operating cost'!$D$25)-AC24</f>
        <v>29.90552609032261</v>
      </c>
      <c r="AD26" s="55"/>
      <c r="AE26" s="55"/>
      <c r="AF26" s="55"/>
      <c r="AH26" s="55"/>
      <c r="AI26" s="329">
        <f>AI24/(1-'W6 - Operating cost'!$D$25)-AI24</f>
        <v>30.503636612129071</v>
      </c>
      <c r="AJ26" s="55"/>
      <c r="AK26" s="55"/>
      <c r="AL26" s="55"/>
      <c r="AN26" s="55"/>
      <c r="AO26" s="329">
        <f>AO24/(1-'W6 - Operating cost'!$D$25)-AO24</f>
        <v>31.113709344371671</v>
      </c>
      <c r="AP26" s="55"/>
      <c r="AQ26" s="55"/>
      <c r="AR26" s="55"/>
      <c r="AT26" s="55"/>
      <c r="AU26" s="329">
        <f>AU24/(1-'W6 - Operating cost'!$D$25)-AU24</f>
        <v>31.73598353125908</v>
      </c>
      <c r="AV26" s="55"/>
      <c r="AW26" s="55"/>
      <c r="AX26" s="55"/>
      <c r="AZ26" s="55"/>
      <c r="BA26" s="329">
        <f>BA24/(1-'W6 - Operating cost'!$D$25)-BA24</f>
        <v>32.370703201884282</v>
      </c>
      <c r="BB26" s="55"/>
      <c r="BC26" s="55"/>
      <c r="BD26" s="55"/>
      <c r="BF26" s="55"/>
      <c r="BG26" s="329">
        <f>BG24/(1-'W6 - Operating cost'!$D$25)-BG24</f>
        <v>33.018117265921944</v>
      </c>
      <c r="BH26" s="55"/>
      <c r="BI26" s="55"/>
      <c r="BJ26" s="55"/>
      <c r="BL26" s="55"/>
      <c r="BM26" s="329">
        <f>BM24/(1-'W6 - Operating cost'!$D$25)-BM24</f>
        <v>33.678479611240391</v>
      </c>
      <c r="BN26" s="55"/>
      <c r="BO26" s="55"/>
      <c r="BP26" s="55"/>
      <c r="BR26" s="55"/>
      <c r="BS26" s="329">
        <f>BS24/(1-'W6 - Operating cost'!$D$25)-BS24</f>
        <v>34.352049203465185</v>
      </c>
      <c r="BT26" s="55"/>
      <c r="BU26" s="55"/>
      <c r="BV26" s="55"/>
      <c r="BX26" s="55"/>
      <c r="BY26" s="329">
        <f>BY24/(1-'W6 - Operating cost'!$D$25)-BY24</f>
        <v>35.039090187534498</v>
      </c>
      <c r="BZ26" s="55"/>
      <c r="CA26" s="55"/>
      <c r="CB26" s="55"/>
      <c r="CD26" s="55"/>
      <c r="CE26" s="329">
        <f>CE24/(1-'W6 - Operating cost'!$D$25)-CE24</f>
        <v>35.739871991285156</v>
      </c>
      <c r="CF26" s="55"/>
      <c r="CG26" s="55"/>
      <c r="CH26" s="55"/>
      <c r="CJ26" s="55"/>
      <c r="CK26" s="329">
        <f>CK24/(1-'W6 - Operating cost'!$D$25)-CK24</f>
        <v>36.454669431110915</v>
      </c>
      <c r="CL26" s="55"/>
      <c r="CM26" s="55"/>
      <c r="CN26" s="55"/>
      <c r="CP26" s="55"/>
      <c r="CQ26" s="329">
        <f>CQ24/(1-'W6 - Operating cost'!$D$25)-CQ24</f>
        <v>37.18376281973309</v>
      </c>
      <c r="CR26" s="55"/>
      <c r="CS26" s="55"/>
      <c r="CT26" s="55"/>
      <c r="CV26" s="55"/>
      <c r="CW26" s="329">
        <f>CW24/(1-'W6 - Operating cost'!$D$25)-CW24</f>
        <v>37.927438076127714</v>
      </c>
      <c r="CX26" s="55"/>
      <c r="CY26" s="55"/>
      <c r="CZ26" s="55"/>
      <c r="DB26" s="55"/>
      <c r="DC26" s="329">
        <f>DC24/(1-'W6 - Operating cost'!$D$25)-DC24</f>
        <v>38.685986837650262</v>
      </c>
      <c r="DD26" s="55"/>
      <c r="DE26" s="55"/>
      <c r="DF26" s="55"/>
      <c r="DH26" s="55"/>
      <c r="DI26" s="329">
        <f>DI24/(1-'W6 - Operating cost'!$D$25)-DI24</f>
        <v>39.459706574403299</v>
      </c>
      <c r="DJ26" s="55"/>
      <c r="DK26" s="55"/>
      <c r="DL26" s="55"/>
      <c r="DN26" s="55"/>
      <c r="DO26" s="329">
        <f>DO24/(1-'W6 - Operating cost'!$D$25)-DO24</f>
        <v>40.248900705891401</v>
      </c>
      <c r="DP26" s="55"/>
      <c r="DQ26" s="55"/>
      <c r="DR26" s="55"/>
      <c r="DT26" s="55"/>
      <c r="DU26" s="329">
        <f>DU24/(1-'W6 - Operating cost'!$D$25)-DU24</f>
        <v>41.053878720009266</v>
      </c>
      <c r="DV26" s="55"/>
      <c r="DW26" s="55"/>
      <c r="DX26" s="55"/>
      <c r="DZ26" s="55"/>
      <c r="EA26" s="329">
        <f>EA24/(1-'W6 - Operating cost'!$D$25)-EA24</f>
        <v>41.874956294409458</v>
      </c>
      <c r="EB26" s="55"/>
      <c r="EC26" s="55"/>
      <c r="ED26" s="55"/>
      <c r="EF26" s="55"/>
      <c r="EG26" s="329">
        <f>EG24/(1-'W6 - Operating cost'!$D$25)-EG24</f>
        <v>42.712455420297601</v>
      </c>
      <c r="EH26" s="55"/>
      <c r="EI26" s="55"/>
      <c r="EJ26" s="55"/>
      <c r="EL26" s="55"/>
      <c r="EM26" s="329">
        <f>EM24/(1-'W6 - Operating cost'!$D$25)-EM24</f>
        <v>43.566704528703553</v>
      </c>
      <c r="EN26" s="55"/>
      <c r="EO26" s="55"/>
      <c r="EP26" s="55"/>
      <c r="ER26" s="55"/>
      <c r="ES26" s="329">
        <f>ES24/(1-'W6 - Operating cost'!$D$25)-ES24</f>
        <v>44.438038619277563</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f>E21+E24+E26+E25</f>
        <v>680.00000000000011</v>
      </c>
      <c r="F28" s="325"/>
      <c r="G28" s="325"/>
      <c r="H28" s="325"/>
      <c r="J28" s="325"/>
      <c r="K28" s="326">
        <f>K21+K24+K26+K25</f>
        <v>693.6</v>
      </c>
      <c r="L28" s="325"/>
      <c r="M28" s="325"/>
      <c r="N28" s="325"/>
      <c r="P28" s="325"/>
      <c r="Q28" s="326">
        <f>Q21+Q24+Q26+Q25</f>
        <v>707.47199999999998</v>
      </c>
      <c r="R28" s="325"/>
      <c r="S28" s="325"/>
      <c r="T28" s="325"/>
      <c r="V28" s="325"/>
      <c r="W28" s="326">
        <f>W21+W24+W26+W25</f>
        <v>721.62143999999989</v>
      </c>
      <c r="X28" s="325"/>
      <c r="Y28" s="325"/>
      <c r="Z28" s="325"/>
      <c r="AB28" s="325"/>
      <c r="AC28" s="326">
        <f>AC21+AC24+AC26+AC25</f>
        <v>736.05386880000003</v>
      </c>
      <c r="AD28" s="325"/>
      <c r="AE28" s="325"/>
      <c r="AF28" s="325"/>
      <c r="AH28" s="325"/>
      <c r="AI28" s="326">
        <f>AI21+AI24+AI26+AI25</f>
        <v>750.77494617599984</v>
      </c>
      <c r="AJ28" s="325"/>
      <c r="AK28" s="325"/>
      <c r="AL28" s="325"/>
      <c r="AN28" s="325"/>
      <c r="AO28" s="326">
        <f>AO21+AO24+AO26+AO25</f>
        <v>765.7904450995203</v>
      </c>
      <c r="AP28" s="325"/>
      <c r="AQ28" s="325"/>
      <c r="AR28" s="325"/>
      <c r="AT28" s="325"/>
      <c r="AU28" s="326">
        <f>AU21+AU24+AU26+AU25</f>
        <v>781.10625400151025</v>
      </c>
      <c r="AV28" s="325"/>
      <c r="AW28" s="325"/>
      <c r="AX28" s="325"/>
      <c r="AZ28" s="325"/>
      <c r="BA28" s="326">
        <f>BA21+BA24+BA26+BA25</f>
        <v>796.72837908154054</v>
      </c>
      <c r="BB28" s="325"/>
      <c r="BC28" s="325"/>
      <c r="BD28" s="325"/>
      <c r="BF28" s="325"/>
      <c r="BG28" s="326">
        <f>BG21+BG24+BG26+BG25</f>
        <v>812.66294666317128</v>
      </c>
      <c r="BH28" s="325"/>
      <c r="BI28" s="325"/>
      <c r="BJ28" s="325"/>
      <c r="BL28" s="325"/>
      <c r="BM28" s="326">
        <f>BM21+BM24+BM26+BM25</f>
        <v>828.91620559643479</v>
      </c>
      <c r="BN28" s="325"/>
      <c r="BO28" s="325"/>
      <c r="BP28" s="325"/>
      <c r="BR28" s="325"/>
      <c r="BS28" s="326">
        <f>BS21+BS24+BS26+BS25</f>
        <v>845.49452970836342</v>
      </c>
      <c r="BT28" s="325"/>
      <c r="BU28" s="325"/>
      <c r="BV28" s="325"/>
      <c r="BX28" s="325"/>
      <c r="BY28" s="326">
        <f>BY21+BY24+BY26+BY25</f>
        <v>862.40442030253075</v>
      </c>
      <c r="BZ28" s="325"/>
      <c r="CA28" s="325"/>
      <c r="CB28" s="325"/>
      <c r="CD28" s="325"/>
      <c r="CE28" s="326">
        <f t="shared" ref="CE28" si="0">CE21+CE24+CE26+CE25</f>
        <v>879.65250870858131</v>
      </c>
      <c r="CF28" s="325"/>
      <c r="CG28" s="325"/>
      <c r="CH28" s="325"/>
      <c r="CJ28" s="325"/>
      <c r="CK28" s="326">
        <f t="shared" ref="CK28" si="1">CK21+CK24+CK26+CK25</f>
        <v>897.24555888275302</v>
      </c>
      <c r="CL28" s="325"/>
      <c r="CM28" s="325"/>
      <c r="CN28" s="325"/>
      <c r="CP28" s="325"/>
      <c r="CQ28" s="326">
        <f t="shared" ref="CQ28" si="2">CQ21+CQ24+CQ26+CQ25</f>
        <v>915.19047006040773</v>
      </c>
      <c r="CR28" s="325"/>
      <c r="CS28" s="325"/>
      <c r="CT28" s="325"/>
      <c r="CV28" s="325"/>
      <c r="CW28" s="326">
        <f t="shared" ref="CW28" si="3">CW21+CW24+CW26+CW25</f>
        <v>933.4942794616162</v>
      </c>
      <c r="CX28" s="325"/>
      <c r="CY28" s="325"/>
      <c r="CZ28" s="325"/>
      <c r="DB28" s="325"/>
      <c r="DC28" s="326">
        <f t="shared" ref="DC28" si="4">DC21+DC24+DC26+DC25</f>
        <v>952.16416505084862</v>
      </c>
      <c r="DD28" s="325"/>
      <c r="DE28" s="325"/>
      <c r="DF28" s="325"/>
      <c r="DH28" s="325"/>
      <c r="DI28" s="326">
        <f t="shared" ref="DI28" si="5">DI21+DI24+DI26+DI25</f>
        <v>971.20744835186542</v>
      </c>
      <c r="DJ28" s="325"/>
      <c r="DK28" s="325"/>
      <c r="DL28" s="325"/>
      <c r="DN28" s="325"/>
      <c r="DO28" s="326">
        <f t="shared" ref="DO28" si="6">DO21+DO24+DO26+DO25</f>
        <v>990.63159731890278</v>
      </c>
      <c r="DP28" s="325"/>
      <c r="DQ28" s="325"/>
      <c r="DR28" s="325"/>
      <c r="DT28" s="325"/>
      <c r="DU28" s="326">
        <f t="shared" ref="DU28" si="7">DU21+DU24+DU26+DU25</f>
        <v>1010.444229265281</v>
      </c>
      <c r="DV28" s="325"/>
      <c r="DW28" s="325"/>
      <c r="DX28" s="325"/>
      <c r="DZ28" s="325"/>
      <c r="EA28" s="326">
        <f t="shared" ref="EA28" si="8">EA21+EA24+EA26+EA25</f>
        <v>1030.6531138505864</v>
      </c>
      <c r="EB28" s="325"/>
      <c r="EC28" s="325"/>
      <c r="ED28" s="325"/>
      <c r="EF28" s="325"/>
      <c r="EG28" s="326">
        <f t="shared" ref="EG28" si="9">EG21+EG24+EG26+EG25</f>
        <v>1051.2661761275981</v>
      </c>
      <c r="EH28" s="325"/>
      <c r="EI28" s="325"/>
      <c r="EJ28" s="325"/>
      <c r="EL28" s="325"/>
      <c r="EM28" s="326">
        <f t="shared" ref="EM28" si="10">EM21+EM24+EM26+EM25</f>
        <v>1072.2914996501497</v>
      </c>
      <c r="EN28" s="325"/>
      <c r="EO28" s="325"/>
      <c r="EP28" s="325"/>
      <c r="ER28" s="325"/>
      <c r="ES28" s="326">
        <f t="shared" ref="ES28" si="11">ES21+ES24+ES26+ES25</f>
        <v>1093.7373296431529</v>
      </c>
      <c r="ET28" s="325"/>
      <c r="EU28" s="325"/>
      <c r="EV28" s="325"/>
    </row>
    <row r="29" spans="1:152" x14ac:dyDescent="0.25">
      <c r="B29" t="s">
        <v>122</v>
      </c>
      <c r="D29" s="15">
        <f>'W6 - Operating cost'!D31</f>
        <v>206472499.20000002</v>
      </c>
      <c r="J29" s="15">
        <f>'W6 - Operating cost'!J31</f>
        <v>289061498.88</v>
      </c>
      <c r="P29" s="15">
        <f>'W6 - Operating cost'!P31</f>
        <v>412944998.40000004</v>
      </c>
      <c r="V29" s="15">
        <f>'W6 - Operating cost'!V31</f>
        <v>412944998.40000004</v>
      </c>
      <c r="AB29" s="15">
        <f>'W6 - Operating cost'!AB31</f>
        <v>412944998.40000004</v>
      </c>
      <c r="AH29" s="15">
        <f>'W6 - Operating cost'!AH31</f>
        <v>412944998.40000004</v>
      </c>
      <c r="AN29" s="15">
        <f>'W6 - Operating cost'!AN31</f>
        <v>412944998.40000004</v>
      </c>
      <c r="AT29" s="15">
        <f>'W6 - Operating cost'!AT31</f>
        <v>412944998.40000004</v>
      </c>
      <c r="AZ29" s="15">
        <f>'W6 - Operating cost'!AZ31</f>
        <v>412944998.40000004</v>
      </c>
      <c r="BF29" s="15">
        <f>'W6 - Operating cost'!BF31</f>
        <v>412944998.40000004</v>
      </c>
      <c r="BL29" s="15">
        <f>'W6 - Operating cost'!BL31</f>
        <v>412944998.40000004</v>
      </c>
      <c r="BR29" s="15">
        <f>'W6 - Operating cost'!BR31</f>
        <v>412944998.40000004</v>
      </c>
      <c r="BX29" s="15">
        <f>'W6 - Operating cost'!BX31</f>
        <v>412944998.40000004</v>
      </c>
      <c r="CD29" s="15">
        <f>'W6 - Operating cost'!CD31</f>
        <v>412944998.40000004</v>
      </c>
      <c r="CJ29" s="15">
        <f>'W6 - Operating cost'!CJ31</f>
        <v>412944998.40000004</v>
      </c>
      <c r="CP29" s="15">
        <f>'W6 - Operating cost'!CP31</f>
        <v>412944998.40000004</v>
      </c>
      <c r="CV29" s="15">
        <f>'W6 - Operating cost'!CV31</f>
        <v>412944998.40000004</v>
      </c>
      <c r="DB29" s="15">
        <f>'W6 - Operating cost'!DB31</f>
        <v>412944998.40000004</v>
      </c>
      <c r="DH29" s="15">
        <f>'W6 - Operating cost'!DH31</f>
        <v>412944998.40000004</v>
      </c>
      <c r="DN29" s="15">
        <f>'W6 - Operating cost'!DN31</f>
        <v>412944998.40000004</v>
      </c>
      <c r="DT29" s="15">
        <f>'W6 - Operating cost'!DT31</f>
        <v>412944998.40000004</v>
      </c>
      <c r="DZ29" s="15">
        <f>'W6 - Operating cost'!DZ31</f>
        <v>412944998.40000004</v>
      </c>
      <c r="EF29" s="15">
        <f>'W6 - Operating cost'!EF31</f>
        <v>412944998.40000004</v>
      </c>
      <c r="EL29" s="15">
        <f>'W6 - Operating cost'!EL31</f>
        <v>412944998.40000004</v>
      </c>
      <c r="ER29" s="15">
        <f>'W6 - Operating cost'!ER31</f>
        <v>412944998.40000004</v>
      </c>
    </row>
    <row r="30" spans="1:152" x14ac:dyDescent="0.25">
      <c r="E30" s="15"/>
    </row>
    <row r="31" spans="1:152" x14ac:dyDescent="0.25">
      <c r="B31" t="s">
        <v>631</v>
      </c>
      <c r="E31" s="64">
        <f>SUM(E4:E18)</f>
        <v>451.75064168148623</v>
      </c>
      <c r="K31" s="64">
        <f t="shared" ref="K31" si="12">SUM(K4:K18)</f>
        <v>337.76224720127277</v>
      </c>
      <c r="Q31" s="64">
        <f t="shared" ref="Q31" si="13">SUM(Q4:Q18)</f>
        <v>257.8568967749593</v>
      </c>
      <c r="W31" s="64">
        <f t="shared" ref="W31" si="14">SUM(W4:W18)</f>
        <v>262.82739744167543</v>
      </c>
      <c r="AC31" s="64">
        <f t="shared" ref="AC31" si="15">SUM(AC4:AC18)</f>
        <v>268.02694521873212</v>
      </c>
      <c r="AI31" s="64">
        <f t="shared" ref="AI31" si="16">SUM(AI4:AI18)</f>
        <v>273.46543422780678</v>
      </c>
      <c r="AO31" s="64">
        <f t="shared" ref="AO31" si="17">SUM(AO4:AO18)</f>
        <v>279.15312863795367</v>
      </c>
      <c r="AU31" s="64">
        <f t="shared" ref="AU31" si="18">SUM(AU4:AU18)</f>
        <v>285.10067119527565</v>
      </c>
      <c r="BA31" s="64">
        <f t="shared" ref="BA31" si="19">SUM(BA4:BA18)</f>
        <v>291.31909138126514</v>
      </c>
      <c r="BG31" s="64">
        <f t="shared" ref="BG31" si="20">SUM(BG4:BG18)</f>
        <v>297.81981311741941</v>
      </c>
      <c r="BM31" s="64">
        <f t="shared" ref="BM31" si="21">SUM(BM4:BM18)</f>
        <v>304.6146619245161</v>
      </c>
      <c r="BS31" s="64">
        <f t="shared" ref="BS31" si="22">SUM(BS4:BS18)</f>
        <v>311.71587143483299</v>
      </c>
      <c r="BY31" s="64">
        <f t="shared" ref="BY31" si="23">SUM(BY4:BY18)</f>
        <v>253.02768865755419</v>
      </c>
      <c r="CE31" s="64">
        <f t="shared" ref="CE31" si="24">SUM(CE4:CE18)</f>
        <v>260.7799807945741</v>
      </c>
      <c r="CK31" s="64">
        <f t="shared" ref="CK31" si="25">SUM(CK4:CK18)</f>
        <v>268.87783616359582</v>
      </c>
      <c r="CQ31" s="64">
        <f t="shared" ref="CQ31" si="26">SUM(CQ4:CQ18)</f>
        <v>277.33516881623126</v>
      </c>
      <c r="CW31" s="64">
        <f t="shared" ref="CW31" si="27">SUM(CW4:CW18)</f>
        <v>286.1663193778744</v>
      </c>
      <c r="DC31" s="64">
        <f t="shared" ref="DC31" si="28">SUM(DC4:DC18)</f>
        <v>295.38605484608547</v>
      </c>
      <c r="DI31" s="64">
        <f t="shared" ref="DI31" si="29">SUM(DI4:DI18)</f>
        <v>305.00956665647175</v>
      </c>
      <c r="DO31" s="64">
        <f t="shared" ref="DO31" si="30">SUM(DO4:DO18)</f>
        <v>315.05246679164316</v>
      </c>
      <c r="DU31" s="64">
        <f t="shared" ref="DU31" si="31">SUM(DU4:DU18)</f>
        <v>325.5307816865805</v>
      </c>
      <c r="EA31" s="64">
        <f t="shared" ref="EA31" si="32">SUM(EA4:EA18)</f>
        <v>336.46094365951234</v>
      </c>
      <c r="EG31" s="64">
        <f t="shared" ref="EG31" si="33">SUM(EG4:EG18)</f>
        <v>347.8597795709984</v>
      </c>
      <c r="EM31" s="64">
        <f t="shared" ref="EM31" si="34">SUM(EM4:EM18)</f>
        <v>359.7444963851587</v>
      </c>
      <c r="ES31" s="64">
        <f t="shared" ref="ES31" si="35">SUM(ES4:ES18)</f>
        <v>372.13266327569545</v>
      </c>
    </row>
    <row r="32" spans="1:152" x14ac:dyDescent="0.25">
      <c r="B32" t="s">
        <v>677</v>
      </c>
      <c r="E32" s="651">
        <f>E28-E20</f>
        <v>857.39432555245401</v>
      </c>
      <c r="K32" s="651">
        <f t="shared" ref="K32" si="36">K28-K20</f>
        <v>743.40593107224049</v>
      </c>
      <c r="Q32" s="651">
        <f t="shared" ref="Q32" si="37">Q28-Q20</f>
        <v>671.70534548463661</v>
      </c>
      <c r="W32" s="651">
        <f t="shared" ref="W32" si="38">W28-W20</f>
        <v>685.04930084490127</v>
      </c>
      <c r="AC32" s="651">
        <f t="shared" ref="AC32" si="39">AC28-AC20</f>
        <v>698.79459669534492</v>
      </c>
      <c r="AI32" s="651">
        <f t="shared" ref="AI32" si="40">AI28-AI20</f>
        <v>712.95481423954061</v>
      </c>
      <c r="AO32" s="651">
        <f t="shared" ref="AO32" si="41">AO28-AO20</f>
        <v>727.54399053079055</v>
      </c>
      <c r="AU32" s="651">
        <f t="shared" ref="AU32" si="42">AU28-AU20</f>
        <v>742.57662932088078</v>
      </c>
      <c r="BA32" s="651">
        <f t="shared" ref="BA32" si="43">BA28-BA20</f>
        <v>758.06771161403935</v>
      </c>
      <c r="BG32" s="651">
        <f t="shared" ref="BG32" si="44">BG28-BG20</f>
        <v>774.03270584673908</v>
      </c>
      <c r="BM32" s="651">
        <f t="shared" ref="BM32" si="45">BM28-BM20</f>
        <v>790.48757760490662</v>
      </c>
      <c r="BS32" s="651">
        <f t="shared" ref="BS32" si="46">BS28-BS20</f>
        <v>807.44879878014012</v>
      </c>
      <c r="BY32" s="651">
        <f t="shared" ref="BY32" si="47">BY28-BY20</f>
        <v>758.82495556864149</v>
      </c>
      <c r="CE32" s="651">
        <f t="shared" ref="CE32" si="48">CE28-CE20</f>
        <v>776.85035811370108</v>
      </c>
      <c r="CK32" s="651">
        <f t="shared" ref="CK32" si="49">CK28-CK20</f>
        <v>795.43464435241401</v>
      </c>
      <c r="CQ32" s="651">
        <f t="shared" ref="CQ32" si="50">CQ28-CQ20</f>
        <v>814.59638765829993</v>
      </c>
      <c r="CW32" s="651">
        <f t="shared" ref="CW32" si="51">CW28-CW20</f>
        <v>834.3547008107322</v>
      </c>
      <c r="DC32" s="651">
        <f t="shared" ref="DC32" si="52">DC28-DC20</f>
        <v>854.7292390322458</v>
      </c>
      <c r="DI32" s="651">
        <f t="shared" ref="DI32" si="53">DI28-DI20</f>
        <v>875.74020140723292</v>
      </c>
      <c r="DO32" s="651">
        <f t="shared" ref="DO32" si="54">DO28-DO20</f>
        <v>897.40833046234104</v>
      </c>
      <c r="DU32" s="651">
        <f t="shared" ref="DU32" si="55">DU28-DU20</f>
        <v>919.75490966685993</v>
      </c>
      <c r="EA32" s="651">
        <f t="shared" ref="EA32" si="56">EA28-EA20</f>
        <v>942.80175858737334</v>
      </c>
      <c r="EG32" s="651">
        <f t="shared" ref="EG32" si="57">EG28-EG20</f>
        <v>966.57122540479122</v>
      </c>
      <c r="EM32" s="651">
        <f t="shared" ref="EM32" si="58">EM28-EM20</f>
        <v>991.08617647337053</v>
      </c>
      <c r="ES32" s="651">
        <f t="shared" ref="ES32" si="59">ES28-ES20</f>
        <v>1016.3699825703019</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089A-139C-46F6-A479-AD756D7AD67F}">
  <dimension ref="A1:E74"/>
  <sheetViews>
    <sheetView topLeftCell="A20" workbookViewId="0">
      <selection activeCell="E63" sqref="E63"/>
    </sheetView>
  </sheetViews>
  <sheetFormatPr defaultRowHeight="15" x14ac:dyDescent="0.25"/>
  <cols>
    <col min="1" max="1" width="16.25" customWidth="1"/>
    <col min="2" max="2" width="22.125" customWidth="1"/>
    <col min="3" max="3" width="18.75" customWidth="1"/>
    <col min="4" max="4" width="26" customWidth="1"/>
    <col min="5" max="5" width="32.5" customWidth="1"/>
    <col min="7" max="7" width="16.5" bestFit="1" customWidth="1"/>
  </cols>
  <sheetData>
    <row r="1" spans="1:5" x14ac:dyDescent="0.25">
      <c r="A1" s="443" t="s">
        <v>605</v>
      </c>
      <c r="B1" s="443"/>
      <c r="C1" s="321"/>
    </row>
    <row r="3" spans="1:5" ht="30" x14ac:dyDescent="0.25">
      <c r="A3" s="444" t="s">
        <v>606</v>
      </c>
      <c r="B3" s="444" t="s">
        <v>607</v>
      </c>
      <c r="C3" s="444" t="s">
        <v>608</v>
      </c>
      <c r="D3" s="444" t="s">
        <v>609</v>
      </c>
      <c r="E3" s="444" t="s">
        <v>610</v>
      </c>
    </row>
    <row r="4" spans="1:5" x14ac:dyDescent="0.25">
      <c r="A4" s="445">
        <v>0</v>
      </c>
      <c r="B4" s="445"/>
      <c r="C4" s="100">
        <v>150000000000</v>
      </c>
      <c r="D4" s="55"/>
      <c r="E4" s="55"/>
    </row>
    <row r="5" spans="1:5" x14ac:dyDescent="0.25">
      <c r="A5" s="445">
        <v>1</v>
      </c>
      <c r="B5" s="445">
        <v>29</v>
      </c>
      <c r="C5" s="100">
        <v>145000000000</v>
      </c>
      <c r="D5" s="55"/>
      <c r="E5" s="55"/>
    </row>
    <row r="6" spans="1:5" x14ac:dyDescent="0.25">
      <c r="A6" s="445">
        <v>2</v>
      </c>
      <c r="B6" s="445">
        <v>28</v>
      </c>
      <c r="C6" s="100">
        <v>140000000000</v>
      </c>
      <c r="D6" s="55"/>
      <c r="E6" s="55"/>
    </row>
    <row r="7" spans="1:5" x14ac:dyDescent="0.25">
      <c r="A7" s="445">
        <v>3</v>
      </c>
      <c r="B7" s="445">
        <v>27</v>
      </c>
      <c r="C7" s="100">
        <v>135000000000</v>
      </c>
      <c r="D7" s="55"/>
      <c r="E7" s="55"/>
    </row>
    <row r="8" spans="1:5" x14ac:dyDescent="0.25">
      <c r="A8" s="445">
        <v>4</v>
      </c>
      <c r="B8" s="445">
        <v>26</v>
      </c>
      <c r="C8" s="100">
        <v>130000000000</v>
      </c>
      <c r="D8" s="55"/>
      <c r="E8" s="55"/>
    </row>
    <row r="9" spans="1:5" x14ac:dyDescent="0.25">
      <c r="A9" s="445">
        <v>5</v>
      </c>
      <c r="B9" s="445">
        <v>25</v>
      </c>
      <c r="C9" s="100">
        <v>125000000000</v>
      </c>
      <c r="D9" s="55"/>
      <c r="E9" s="55"/>
    </row>
    <row r="10" spans="1:5" x14ac:dyDescent="0.25">
      <c r="A10" s="445">
        <v>6</v>
      </c>
      <c r="B10" s="445">
        <v>24</v>
      </c>
      <c r="C10" s="100">
        <v>120000000000</v>
      </c>
      <c r="D10" s="55"/>
      <c r="E10" s="55"/>
    </row>
    <row r="11" spans="1:5" x14ac:dyDescent="0.25">
      <c r="A11" s="445">
        <v>7</v>
      </c>
      <c r="B11" s="445">
        <v>23</v>
      </c>
      <c r="C11" s="100">
        <v>115000000000</v>
      </c>
      <c r="D11" s="55"/>
      <c r="E11" s="55"/>
    </row>
    <row r="12" spans="1:5" x14ac:dyDescent="0.25">
      <c r="A12" s="445">
        <v>8</v>
      </c>
      <c r="B12" s="445">
        <v>22</v>
      </c>
      <c r="C12" s="100">
        <v>110000000000</v>
      </c>
      <c r="D12" s="55"/>
      <c r="E12" s="55"/>
    </row>
    <row r="13" spans="1:5" x14ac:dyDescent="0.25">
      <c r="A13" s="445">
        <v>9</v>
      </c>
      <c r="B13" s="445">
        <v>21</v>
      </c>
      <c r="C13" s="100">
        <v>105000000000</v>
      </c>
      <c r="D13" s="55"/>
      <c r="E13" s="55"/>
    </row>
    <row r="14" spans="1:5" x14ac:dyDescent="0.25">
      <c r="A14" s="445">
        <v>10</v>
      </c>
      <c r="B14" s="445">
        <v>20</v>
      </c>
      <c r="C14" s="100">
        <v>100000000000</v>
      </c>
      <c r="D14" s="55"/>
      <c r="E14" s="55"/>
    </row>
    <row r="15" spans="1:5" x14ac:dyDescent="0.25">
      <c r="A15" s="445">
        <v>11</v>
      </c>
      <c r="B15" s="445">
        <v>19</v>
      </c>
      <c r="C15" s="100">
        <v>95000000000</v>
      </c>
      <c r="D15" s="55"/>
      <c r="E15" s="55"/>
    </row>
    <row r="16" spans="1:5" x14ac:dyDescent="0.25">
      <c r="A16" s="445">
        <v>12</v>
      </c>
      <c r="B16" s="445">
        <v>18</v>
      </c>
      <c r="C16" s="100">
        <v>90000000000</v>
      </c>
      <c r="D16" s="55"/>
      <c r="E16" s="55"/>
    </row>
    <row r="17" spans="1:5" x14ac:dyDescent="0.25">
      <c r="A17" s="445">
        <v>13</v>
      </c>
      <c r="B17" s="445">
        <v>17</v>
      </c>
      <c r="C17" s="100">
        <v>85000000000</v>
      </c>
      <c r="D17" s="55"/>
      <c r="E17" s="55"/>
    </row>
    <row r="18" spans="1:5" x14ac:dyDescent="0.25">
      <c r="A18" s="445">
        <v>14</v>
      </c>
      <c r="B18" s="445">
        <v>16</v>
      </c>
      <c r="C18" s="100">
        <v>80000000000</v>
      </c>
      <c r="D18" s="55"/>
      <c r="E18" s="55"/>
    </row>
    <row r="19" spans="1:5" x14ac:dyDescent="0.25">
      <c r="A19" s="445">
        <v>15</v>
      </c>
      <c r="B19" s="445">
        <v>15</v>
      </c>
      <c r="C19" s="100">
        <v>75000000000</v>
      </c>
      <c r="D19" s="55"/>
      <c r="E19" s="55"/>
    </row>
    <row r="20" spans="1:5" x14ac:dyDescent="0.25">
      <c r="A20" s="445">
        <v>16</v>
      </c>
      <c r="B20" s="445">
        <v>14</v>
      </c>
      <c r="C20" s="100">
        <v>70000000000</v>
      </c>
      <c r="D20" s="55"/>
      <c r="E20" s="55"/>
    </row>
    <row r="21" spans="1:5" x14ac:dyDescent="0.25">
      <c r="A21" s="445">
        <v>17</v>
      </c>
      <c r="B21" s="445">
        <v>13</v>
      </c>
      <c r="C21" s="100">
        <v>65000000000</v>
      </c>
      <c r="D21" s="55"/>
      <c r="E21" s="55"/>
    </row>
    <row r="22" spans="1:5" x14ac:dyDescent="0.25">
      <c r="A22" s="445">
        <v>18</v>
      </c>
      <c r="B22" s="445">
        <v>12</v>
      </c>
      <c r="C22" s="100">
        <v>60000000000</v>
      </c>
      <c r="D22" s="55"/>
      <c r="E22" s="55"/>
    </row>
    <row r="23" spans="1:5" x14ac:dyDescent="0.25">
      <c r="A23" s="445">
        <v>19</v>
      </c>
      <c r="B23" s="445">
        <v>11</v>
      </c>
      <c r="C23" s="100">
        <v>55000000000</v>
      </c>
      <c r="D23" s="55"/>
      <c r="E23" s="55"/>
    </row>
    <row r="24" spans="1:5" x14ac:dyDescent="0.25">
      <c r="A24" s="445">
        <v>20</v>
      </c>
      <c r="B24" s="445">
        <v>10</v>
      </c>
      <c r="C24" s="100">
        <v>50000000000</v>
      </c>
      <c r="D24" s="55"/>
      <c r="E24" s="55"/>
    </row>
    <row r="25" spans="1:5" x14ac:dyDescent="0.25">
      <c r="A25" s="445">
        <v>21</v>
      </c>
      <c r="B25" s="445">
        <v>9</v>
      </c>
      <c r="C25" s="100">
        <v>45000000000</v>
      </c>
      <c r="D25" s="55"/>
      <c r="E25" s="55"/>
    </row>
    <row r="26" spans="1:5" x14ac:dyDescent="0.25">
      <c r="A26" s="445">
        <v>22</v>
      </c>
      <c r="B26" s="445">
        <v>8</v>
      </c>
      <c r="C26" s="100">
        <v>40000000000</v>
      </c>
      <c r="D26" s="55"/>
      <c r="E26" s="55"/>
    </row>
    <row r="27" spans="1:5" x14ac:dyDescent="0.25">
      <c r="A27" s="445">
        <v>23</v>
      </c>
      <c r="B27" s="445">
        <v>7</v>
      </c>
      <c r="C27" s="100">
        <v>35000000000</v>
      </c>
      <c r="D27" s="55"/>
      <c r="E27" s="55"/>
    </row>
    <row r="28" spans="1:5" x14ac:dyDescent="0.25">
      <c r="A28" s="445">
        <v>24</v>
      </c>
      <c r="B28" s="445">
        <v>6</v>
      </c>
      <c r="C28" s="100">
        <v>30000000000</v>
      </c>
      <c r="D28" s="55"/>
      <c r="E28" s="55"/>
    </row>
    <row r="29" spans="1:5" x14ac:dyDescent="0.25">
      <c r="A29" s="445">
        <v>25</v>
      </c>
      <c r="B29" s="445">
        <v>5</v>
      </c>
      <c r="C29" s="100">
        <v>25000000000</v>
      </c>
      <c r="D29" s="55"/>
      <c r="E29" s="55"/>
    </row>
    <row r="30" spans="1:5" x14ac:dyDescent="0.25">
      <c r="A30" s="445">
        <v>26</v>
      </c>
      <c r="B30" s="445">
        <v>4</v>
      </c>
      <c r="C30" s="100">
        <v>20000000000</v>
      </c>
      <c r="D30" s="55"/>
      <c r="E30" s="55"/>
    </row>
    <row r="31" spans="1:5" x14ac:dyDescent="0.25">
      <c r="A31" s="445">
        <v>27</v>
      </c>
      <c r="B31" s="445">
        <v>3</v>
      </c>
      <c r="C31" s="100">
        <v>15000000000</v>
      </c>
      <c r="D31" s="55"/>
      <c r="E31" s="55"/>
    </row>
    <row r="32" spans="1:5" x14ac:dyDescent="0.25">
      <c r="A32" s="445">
        <v>28</v>
      </c>
      <c r="B32" s="445">
        <v>2</v>
      </c>
      <c r="C32" s="100">
        <v>10000000000</v>
      </c>
      <c r="D32" s="55"/>
      <c r="E32" s="55"/>
    </row>
    <row r="33" spans="1:5" x14ac:dyDescent="0.25">
      <c r="A33" s="445">
        <v>29</v>
      </c>
      <c r="B33" s="445">
        <v>1</v>
      </c>
      <c r="C33" s="100">
        <v>5000000000</v>
      </c>
      <c r="D33" s="55"/>
      <c r="E33" s="55"/>
    </row>
    <row r="34" spans="1:5" x14ac:dyDescent="0.25">
      <c r="A34" s="445">
        <v>30</v>
      </c>
      <c r="B34" s="445">
        <v>0</v>
      </c>
      <c r="C34" s="100">
        <v>0</v>
      </c>
      <c r="D34" s="55"/>
      <c r="E34" s="55"/>
    </row>
    <row r="36" spans="1:5" x14ac:dyDescent="0.25">
      <c r="A36" s="446" t="s">
        <v>611</v>
      </c>
    </row>
    <row r="38" spans="1:5" x14ac:dyDescent="0.25">
      <c r="A38" s="443" t="s">
        <v>612</v>
      </c>
      <c r="B38" s="443"/>
      <c r="C38" s="321"/>
    </row>
    <row r="40" spans="1:5" ht="30" x14ac:dyDescent="0.25">
      <c r="A40" s="444" t="s">
        <v>606</v>
      </c>
      <c r="B40" s="444" t="s">
        <v>607</v>
      </c>
      <c r="C40" s="444" t="s">
        <v>608</v>
      </c>
      <c r="D40" s="444" t="s">
        <v>609</v>
      </c>
      <c r="E40" s="444" t="s">
        <v>610</v>
      </c>
    </row>
    <row r="41" spans="1:5" x14ac:dyDescent="0.25">
      <c r="A41" s="445">
        <v>0</v>
      </c>
      <c r="B41" s="445"/>
      <c r="C41" s="100">
        <v>294175000000</v>
      </c>
      <c r="D41" s="55"/>
      <c r="E41" s="55"/>
    </row>
    <row r="42" spans="1:5" x14ac:dyDescent="0.25">
      <c r="A42" s="445">
        <v>1</v>
      </c>
      <c r="B42" s="445">
        <v>14</v>
      </c>
      <c r="C42" s="100">
        <v>274563333333.33334</v>
      </c>
      <c r="D42" s="55"/>
      <c r="E42" s="55"/>
    </row>
    <row r="43" spans="1:5" x14ac:dyDescent="0.25">
      <c r="A43" s="445">
        <v>2</v>
      </c>
      <c r="B43" s="445">
        <v>13</v>
      </c>
      <c r="C43" s="100">
        <v>254951666666.66666</v>
      </c>
      <c r="D43" s="55"/>
      <c r="E43" s="55"/>
    </row>
    <row r="44" spans="1:5" x14ac:dyDescent="0.25">
      <c r="A44" s="445">
        <v>3</v>
      </c>
      <c r="B44" s="445">
        <v>12</v>
      </c>
      <c r="C44" s="100">
        <v>235340000000</v>
      </c>
      <c r="D44" s="55"/>
      <c r="E44" s="55"/>
    </row>
    <row r="45" spans="1:5" x14ac:dyDescent="0.25">
      <c r="A45" s="445">
        <v>4</v>
      </c>
      <c r="B45" s="445">
        <v>11</v>
      </c>
      <c r="C45" s="100">
        <v>215728333333.33334</v>
      </c>
      <c r="D45" s="55"/>
      <c r="E45" s="55"/>
    </row>
    <row r="46" spans="1:5" x14ac:dyDescent="0.25">
      <c r="A46" s="445">
        <v>5</v>
      </c>
      <c r="B46" s="445">
        <v>10</v>
      </c>
      <c r="C46" s="100">
        <v>196116666666.66666</v>
      </c>
      <c r="D46" s="55"/>
      <c r="E46" s="55"/>
    </row>
    <row r="47" spans="1:5" x14ac:dyDescent="0.25">
      <c r="A47" s="445">
        <v>6</v>
      </c>
      <c r="B47" s="445">
        <v>9</v>
      </c>
      <c r="C47" s="100">
        <v>176505000000</v>
      </c>
      <c r="D47" s="55"/>
      <c r="E47" s="55"/>
    </row>
    <row r="48" spans="1:5" x14ac:dyDescent="0.25">
      <c r="A48" s="445">
        <v>7</v>
      </c>
      <c r="B48" s="445">
        <v>8</v>
      </c>
      <c r="C48" s="100">
        <v>156893333333.33334</v>
      </c>
      <c r="D48" s="55"/>
      <c r="E48" s="55"/>
    </row>
    <row r="49" spans="1:5" x14ac:dyDescent="0.25">
      <c r="A49" s="445">
        <v>8</v>
      </c>
      <c r="B49" s="445">
        <v>7</v>
      </c>
      <c r="C49" s="100">
        <v>137281666666.66667</v>
      </c>
      <c r="D49" s="55"/>
      <c r="E49" s="55"/>
    </row>
    <row r="50" spans="1:5" x14ac:dyDescent="0.25">
      <c r="A50" s="445">
        <v>9</v>
      </c>
      <c r="B50" s="445">
        <v>6</v>
      </c>
      <c r="C50" s="100">
        <v>117670000000</v>
      </c>
      <c r="D50" s="55"/>
      <c r="E50" s="55"/>
    </row>
    <row r="51" spans="1:5" x14ac:dyDescent="0.25">
      <c r="A51" s="445">
        <v>10</v>
      </c>
      <c r="B51" s="445">
        <v>5</v>
      </c>
      <c r="C51" s="100">
        <v>98058333333.333328</v>
      </c>
      <c r="D51" s="55"/>
      <c r="E51" s="55"/>
    </row>
    <row r="52" spans="1:5" x14ac:dyDescent="0.25">
      <c r="A52" s="445">
        <v>11</v>
      </c>
      <c r="B52" s="445">
        <v>4</v>
      </c>
      <c r="C52" s="100">
        <v>78446666666.666672</v>
      </c>
      <c r="D52" s="55"/>
      <c r="E52" s="55"/>
    </row>
    <row r="53" spans="1:5" x14ac:dyDescent="0.25">
      <c r="A53" s="445">
        <v>12</v>
      </c>
      <c r="B53" s="445">
        <v>3</v>
      </c>
      <c r="C53" s="100">
        <v>58835000000</v>
      </c>
      <c r="D53" s="55"/>
      <c r="E53" s="55"/>
    </row>
    <row r="54" spans="1:5" x14ac:dyDescent="0.25">
      <c r="A54" s="445">
        <v>13</v>
      </c>
      <c r="B54" s="445">
        <v>2</v>
      </c>
      <c r="C54" s="100">
        <v>39223333333.333336</v>
      </c>
      <c r="D54" s="55"/>
      <c r="E54" s="55"/>
    </row>
    <row r="55" spans="1:5" x14ac:dyDescent="0.25">
      <c r="A55" s="445">
        <v>14</v>
      </c>
      <c r="B55" s="445">
        <v>1</v>
      </c>
      <c r="C55" s="100">
        <v>19611666666.666668</v>
      </c>
      <c r="D55" s="55"/>
      <c r="E55" s="55"/>
    </row>
    <row r="56" spans="1:5" x14ac:dyDescent="0.25">
      <c r="A56" s="445">
        <v>15</v>
      </c>
      <c r="B56" s="445">
        <v>0</v>
      </c>
      <c r="C56" s="100">
        <v>0</v>
      </c>
      <c r="D56" s="55"/>
      <c r="E56" s="55"/>
    </row>
    <row r="58" spans="1:5" x14ac:dyDescent="0.25">
      <c r="A58" s="446" t="s">
        <v>611</v>
      </c>
    </row>
    <row r="60" spans="1:5" x14ac:dyDescent="0.25">
      <c r="A60" s="443" t="s">
        <v>613</v>
      </c>
      <c r="B60" s="443"/>
      <c r="C60" s="321"/>
    </row>
    <row r="63" spans="1:5" ht="30" x14ac:dyDescent="0.25">
      <c r="A63" s="444" t="s">
        <v>606</v>
      </c>
      <c r="B63" s="444" t="s">
        <v>607</v>
      </c>
      <c r="C63" s="444" t="s">
        <v>608</v>
      </c>
      <c r="D63" s="444" t="s">
        <v>609</v>
      </c>
      <c r="E63" s="444" t="s">
        <v>610</v>
      </c>
    </row>
    <row r="64" spans="1:5" x14ac:dyDescent="0.25">
      <c r="A64" s="445">
        <v>0</v>
      </c>
      <c r="B64" s="445"/>
      <c r="C64" s="100">
        <v>15625000000</v>
      </c>
      <c r="D64" s="55"/>
      <c r="E64" s="55"/>
    </row>
    <row r="65" spans="1:5" x14ac:dyDescent="0.25">
      <c r="A65" s="445">
        <v>1</v>
      </c>
      <c r="B65" s="445">
        <v>9</v>
      </c>
      <c r="C65" s="100">
        <v>14062500000</v>
      </c>
      <c r="D65" s="55"/>
      <c r="E65" s="55"/>
    </row>
    <row r="66" spans="1:5" x14ac:dyDescent="0.25">
      <c r="A66" s="445">
        <v>2</v>
      </c>
      <c r="B66" s="445">
        <v>8</v>
      </c>
      <c r="C66" s="100">
        <v>12500000000</v>
      </c>
      <c r="D66" s="55"/>
      <c r="E66" s="55"/>
    </row>
    <row r="67" spans="1:5" x14ac:dyDescent="0.25">
      <c r="A67" s="445">
        <v>3</v>
      </c>
      <c r="B67" s="445">
        <v>7</v>
      </c>
      <c r="C67" s="100">
        <v>10937500000</v>
      </c>
      <c r="D67" s="55"/>
      <c r="E67" s="55"/>
    </row>
    <row r="68" spans="1:5" x14ac:dyDescent="0.25">
      <c r="A68" s="445">
        <v>4</v>
      </c>
      <c r="B68" s="445">
        <v>6</v>
      </c>
      <c r="C68" s="100">
        <v>9375000000</v>
      </c>
      <c r="D68" s="55"/>
      <c r="E68" s="55"/>
    </row>
    <row r="69" spans="1:5" x14ac:dyDescent="0.25">
      <c r="A69" s="445">
        <v>5</v>
      </c>
      <c r="B69" s="445">
        <v>5</v>
      </c>
      <c r="C69" s="100">
        <v>7812500000</v>
      </c>
      <c r="D69" s="55"/>
      <c r="E69" s="55"/>
    </row>
    <row r="70" spans="1:5" x14ac:dyDescent="0.25">
      <c r="A70" s="445">
        <v>6</v>
      </c>
      <c r="B70" s="445">
        <v>4</v>
      </c>
      <c r="C70" s="100">
        <v>6250000000</v>
      </c>
      <c r="D70" s="55"/>
      <c r="E70" s="55"/>
    </row>
    <row r="71" spans="1:5" x14ac:dyDescent="0.25">
      <c r="A71" s="445">
        <v>7</v>
      </c>
      <c r="B71" s="445">
        <v>3</v>
      </c>
      <c r="C71" s="100">
        <v>4687500000</v>
      </c>
      <c r="D71" s="55"/>
      <c r="E71" s="55"/>
    </row>
    <row r="72" spans="1:5" x14ac:dyDescent="0.25">
      <c r="A72" s="445">
        <v>8</v>
      </c>
      <c r="B72" s="445">
        <v>2</v>
      </c>
      <c r="C72" s="100">
        <v>3125000000</v>
      </c>
      <c r="D72" s="55"/>
      <c r="E72" s="55"/>
    </row>
    <row r="73" spans="1:5" x14ac:dyDescent="0.25">
      <c r="A73" s="445">
        <v>9</v>
      </c>
      <c r="B73" s="445">
        <v>1</v>
      </c>
      <c r="C73" s="100">
        <v>1562500000</v>
      </c>
      <c r="D73" s="55"/>
      <c r="E73" s="55"/>
    </row>
    <row r="74" spans="1:5" x14ac:dyDescent="0.25">
      <c r="A74" s="445">
        <v>10</v>
      </c>
      <c r="B74" s="445">
        <v>0</v>
      </c>
      <c r="C74" s="100">
        <v>0</v>
      </c>
      <c r="D74" s="55"/>
      <c r="E74" s="55"/>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878C-7708-410F-8637-EF6AE3953E99}">
  <sheetPr>
    <tabColor theme="0" tint="-0.249977111117893"/>
  </sheetPr>
  <dimension ref="A1:BJ36"/>
  <sheetViews>
    <sheetView zoomScale="125" zoomScaleNormal="145" workbookViewId="0">
      <selection activeCell="Q68" sqref="Q68"/>
    </sheetView>
  </sheetViews>
  <sheetFormatPr defaultRowHeight="15" x14ac:dyDescent="0.25"/>
  <cols>
    <col min="2" max="2" width="28" customWidth="1"/>
    <col min="3" max="3" width="10.5" customWidth="1"/>
    <col min="4" max="4" width="20" customWidth="1"/>
    <col min="5" max="5" width="15.375" bestFit="1" customWidth="1"/>
    <col min="6" max="6" width="8.5"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s>
  <sheetData>
    <row r="1" spans="1:6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row>
    <row r="2" spans="1:6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row>
    <row r="3" spans="1:6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row>
    <row r="4" spans="1:62" x14ac:dyDescent="0.25">
      <c r="A4" t="s">
        <v>623</v>
      </c>
      <c r="B4" s="55" t="s">
        <v>147</v>
      </c>
      <c r="C4" s="55" t="s">
        <v>148</v>
      </c>
      <c r="D4" s="55"/>
      <c r="E4" s="329">
        <v>144.8266459545213</v>
      </c>
      <c r="F4" s="55"/>
      <c r="G4" s="55"/>
      <c r="H4" s="55"/>
      <c r="J4" s="55"/>
      <c r="K4" s="329">
        <v>103.44760425322951</v>
      </c>
      <c r="L4" s="138">
        <f>K4/K$32</f>
        <v>0.28996231209121254</v>
      </c>
      <c r="M4" s="134"/>
      <c r="N4" s="55"/>
      <c r="P4" s="55"/>
      <c r="Q4" s="329">
        <v>72.413322977260648</v>
      </c>
      <c r="R4" s="55"/>
      <c r="S4" s="55"/>
      <c r="T4" s="55"/>
      <c r="V4" s="55"/>
      <c r="W4" s="329">
        <v>72.413322977260648</v>
      </c>
      <c r="X4" s="55"/>
      <c r="Y4" s="55"/>
      <c r="Z4" s="55"/>
      <c r="AB4" s="55"/>
      <c r="AC4" s="329">
        <v>72.413322977260648</v>
      </c>
      <c r="AD4" s="55"/>
      <c r="AE4" s="55"/>
      <c r="AF4" s="55"/>
      <c r="AH4" s="55"/>
      <c r="AI4" s="329">
        <v>72.413322977260648</v>
      </c>
      <c r="AJ4" s="55"/>
      <c r="AK4" s="55"/>
      <c r="AL4" s="55"/>
      <c r="AN4" s="55"/>
      <c r="AO4" s="329">
        <v>72.413322977260648</v>
      </c>
      <c r="AP4" s="55"/>
      <c r="AQ4" s="55"/>
      <c r="AR4" s="55"/>
      <c r="AT4" s="55"/>
      <c r="AU4" s="329">
        <v>72.413322977260648</v>
      </c>
      <c r="AV4" s="55"/>
      <c r="AW4" s="55"/>
      <c r="AX4" s="55"/>
      <c r="AZ4" s="55"/>
      <c r="BA4" s="329">
        <v>72.413322977260648</v>
      </c>
      <c r="BB4" s="55"/>
      <c r="BC4" s="55"/>
      <c r="BD4" s="55"/>
      <c r="BF4" s="55"/>
      <c r="BG4" s="329">
        <v>72.413322977260648</v>
      </c>
      <c r="BH4" s="55"/>
      <c r="BI4" s="55"/>
      <c r="BJ4" s="55"/>
    </row>
    <row r="5" spans="1:62" x14ac:dyDescent="0.25">
      <c r="A5" t="s">
        <v>623</v>
      </c>
      <c r="B5" s="55" t="s">
        <v>149</v>
      </c>
      <c r="C5" s="55" t="s">
        <v>148</v>
      </c>
      <c r="D5" s="55"/>
      <c r="E5" s="329">
        <v>50.689326084082452</v>
      </c>
      <c r="F5" s="55"/>
      <c r="G5" s="55"/>
      <c r="H5" s="55"/>
      <c r="J5" s="55"/>
      <c r="K5" s="329">
        <v>36.206661488630331</v>
      </c>
      <c r="L5" s="138">
        <f t="shared" ref="L5:L18" si="0">K5/K$32</f>
        <v>0.10148680923192438</v>
      </c>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row>
    <row r="6" spans="1:62" x14ac:dyDescent="0.25">
      <c r="A6" t="s">
        <v>624</v>
      </c>
      <c r="B6" s="55" t="s">
        <v>150</v>
      </c>
      <c r="C6" s="55" t="s">
        <v>148</v>
      </c>
      <c r="D6" s="55"/>
      <c r="E6" s="329">
        <v>25.705645161290324</v>
      </c>
      <c r="F6" s="55"/>
      <c r="G6" s="55"/>
      <c r="H6" s="55"/>
      <c r="J6" s="55"/>
      <c r="K6" s="329">
        <v>25.705645161290324</v>
      </c>
      <c r="L6" s="138">
        <f t="shared" si="0"/>
        <v>7.2052594727261041E-2</v>
      </c>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row>
    <row r="7" spans="1:62" x14ac:dyDescent="0.25">
      <c r="A7" t="s">
        <v>623</v>
      </c>
      <c r="B7" s="55" t="s">
        <v>151</v>
      </c>
      <c r="C7" s="55" t="s">
        <v>148</v>
      </c>
      <c r="D7" s="55"/>
      <c r="E7" s="329">
        <v>5.143112109994707</v>
      </c>
      <c r="F7" s="55"/>
      <c r="G7" s="55"/>
      <c r="H7" s="55"/>
      <c r="J7" s="55"/>
      <c r="K7" s="329">
        <v>3.6736515071390774</v>
      </c>
      <c r="L7" s="138">
        <f t="shared" si="0"/>
        <v>1.0297198204995254E-2</v>
      </c>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3.2820295799283583</v>
      </c>
      <c r="AP7" s="55"/>
      <c r="AQ7" s="55"/>
      <c r="AR7" s="55"/>
      <c r="AT7" s="55"/>
      <c r="AU7" s="329">
        <v>3.4461310589247764</v>
      </c>
      <c r="AV7" s="55"/>
      <c r="AW7" s="55"/>
      <c r="AX7" s="55"/>
      <c r="AZ7" s="55"/>
      <c r="BA7" s="329">
        <v>3.6184376118710162</v>
      </c>
      <c r="BB7" s="55"/>
      <c r="BC7" s="55"/>
      <c r="BD7" s="55"/>
      <c r="BF7" s="55"/>
      <c r="BG7" s="329">
        <v>3.7993594924645668</v>
      </c>
      <c r="BH7" s="55"/>
      <c r="BI7" s="55"/>
      <c r="BJ7" s="55"/>
    </row>
    <row r="8" spans="1:62" x14ac:dyDescent="0.25">
      <c r="A8" t="s">
        <v>623</v>
      </c>
      <c r="B8" s="55" t="s">
        <v>152</v>
      </c>
      <c r="C8" s="55" t="s">
        <v>148</v>
      </c>
      <c r="D8" s="55"/>
      <c r="E8" s="329">
        <v>26.315590296139586</v>
      </c>
      <c r="F8" s="55"/>
      <c r="G8" s="55"/>
      <c r="H8" s="55"/>
      <c r="J8" s="55"/>
      <c r="K8" s="329">
        <v>18.79685021152828</v>
      </c>
      <c r="L8" s="138">
        <f t="shared" si="0"/>
        <v>5.2687330815559055E-2</v>
      </c>
      <c r="M8" s="55"/>
      <c r="N8" s="55"/>
      <c r="P8" s="55"/>
      <c r="Q8" s="329">
        <v>13.815684905473285</v>
      </c>
      <c r="R8" s="55"/>
      <c r="S8" s="55"/>
      <c r="T8" s="55"/>
      <c r="V8" s="55"/>
      <c r="W8" s="329">
        <v>14.506469150746947</v>
      </c>
      <c r="X8" s="55"/>
      <c r="Y8" s="55"/>
      <c r="Z8" s="55"/>
      <c r="AB8" s="55"/>
      <c r="AC8" s="329">
        <v>15.2317926082843</v>
      </c>
      <c r="AD8" s="55"/>
      <c r="AE8" s="55"/>
      <c r="AF8" s="55"/>
      <c r="AH8" s="55"/>
      <c r="AI8" s="329">
        <v>15.993382238698509</v>
      </c>
      <c r="AJ8" s="55"/>
      <c r="AK8" s="55"/>
      <c r="AL8" s="55"/>
      <c r="AN8" s="55"/>
      <c r="AO8" s="329">
        <v>16.793051350633434</v>
      </c>
      <c r="AP8" s="55"/>
      <c r="AQ8" s="55"/>
      <c r="AR8" s="55"/>
      <c r="AT8" s="55"/>
      <c r="AU8" s="329">
        <v>17.632703918165106</v>
      </c>
      <c r="AV8" s="55"/>
      <c r="AW8" s="55"/>
      <c r="AX8" s="55"/>
      <c r="AZ8" s="55"/>
      <c r="BA8" s="329">
        <v>18.514339114073366</v>
      </c>
      <c r="BB8" s="55"/>
      <c r="BC8" s="55"/>
      <c r="BD8" s="55"/>
      <c r="BF8" s="55"/>
      <c r="BG8" s="329">
        <v>19.440056069777032</v>
      </c>
      <c r="BH8" s="55"/>
      <c r="BI8" s="55"/>
      <c r="BJ8" s="55"/>
    </row>
    <row r="9" spans="1:62" x14ac:dyDescent="0.25">
      <c r="A9" t="s">
        <v>624</v>
      </c>
      <c r="B9" s="55" t="s">
        <v>153</v>
      </c>
      <c r="C9" s="55" t="s">
        <v>148</v>
      </c>
      <c r="D9" s="55"/>
      <c r="E9" s="329">
        <v>12.25</v>
      </c>
      <c r="F9" s="55"/>
      <c r="G9" s="55"/>
      <c r="H9" s="55"/>
      <c r="J9" s="55"/>
      <c r="K9" s="329">
        <v>12.25</v>
      </c>
      <c r="L9" s="138">
        <f t="shared" si="0"/>
        <v>3.4336593377477492E-2</v>
      </c>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row>
    <row r="10" spans="1:62" x14ac:dyDescent="0.25">
      <c r="A10" t="s">
        <v>624</v>
      </c>
      <c r="B10" s="55" t="s">
        <v>154</v>
      </c>
      <c r="C10" s="55" t="s">
        <v>148</v>
      </c>
      <c r="D10" s="55"/>
      <c r="E10" s="329">
        <v>13.333333333333334</v>
      </c>
      <c r="F10" s="55"/>
      <c r="G10" s="55"/>
      <c r="H10" s="55"/>
      <c r="J10" s="55"/>
      <c r="K10" s="329">
        <v>13.333333333333334</v>
      </c>
      <c r="L10" s="138">
        <f t="shared" si="0"/>
        <v>3.7373162859839451E-2</v>
      </c>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row>
    <row r="11" spans="1:62" x14ac:dyDescent="0.25">
      <c r="A11" t="s">
        <v>623</v>
      </c>
      <c r="B11" s="55" t="s">
        <v>155</v>
      </c>
      <c r="C11" s="55" t="s">
        <v>148</v>
      </c>
      <c r="D11" s="55"/>
      <c r="E11" s="329">
        <v>31.398730830248518</v>
      </c>
      <c r="F11" s="55"/>
      <c r="G11" s="55"/>
      <c r="H11" s="55"/>
      <c r="J11" s="55"/>
      <c r="K11" s="329">
        <v>22.427664878748946</v>
      </c>
      <c r="L11" s="138">
        <f t="shared" si="0"/>
        <v>6.2864457905953935E-2</v>
      </c>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row>
    <row r="12" spans="1:62" x14ac:dyDescent="0.25">
      <c r="A12" t="s">
        <v>623</v>
      </c>
      <c r="B12" s="55" t="s">
        <v>132</v>
      </c>
      <c r="C12" s="55" t="s">
        <v>148</v>
      </c>
      <c r="D12" s="55"/>
      <c r="E12" s="329"/>
      <c r="F12" s="55"/>
      <c r="G12" s="55"/>
      <c r="H12" s="55"/>
      <c r="J12" s="55"/>
      <c r="K12" s="55"/>
      <c r="L12" s="138">
        <f t="shared" si="0"/>
        <v>0</v>
      </c>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row>
    <row r="13" spans="1:62" x14ac:dyDescent="0.25">
      <c r="A13" t="s">
        <v>623</v>
      </c>
      <c r="B13" s="55" t="s">
        <v>355</v>
      </c>
      <c r="C13" s="55" t="s">
        <v>148</v>
      </c>
      <c r="D13" s="55"/>
      <c r="E13" s="329">
        <v>13.187466948704378</v>
      </c>
      <c r="F13" s="55"/>
      <c r="G13" s="55"/>
      <c r="H13" s="55"/>
      <c r="J13" s="55"/>
      <c r="K13" s="329">
        <v>9.4196192490745574</v>
      </c>
      <c r="L13" s="138">
        <f t="shared" si="0"/>
        <v>2.6403072320500653E-2</v>
      </c>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row>
    <row r="14" spans="1:62" x14ac:dyDescent="0.25">
      <c r="A14" t="s">
        <v>623</v>
      </c>
      <c r="B14" s="55" t="s">
        <v>533</v>
      </c>
      <c r="C14" s="55" t="s">
        <v>148</v>
      </c>
      <c r="D14" s="55"/>
      <c r="E14" s="329">
        <v>3.9562400846113133</v>
      </c>
      <c r="F14" s="55"/>
      <c r="G14" s="55"/>
      <c r="H14" s="55"/>
      <c r="J14" s="55"/>
      <c r="K14" s="329">
        <v>2.8258857747223671</v>
      </c>
      <c r="L14" s="138">
        <f t="shared" si="0"/>
        <v>7.9209216961501957E-3</v>
      </c>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row>
    <row r="15" spans="1:62" x14ac:dyDescent="0.25">
      <c r="A15" t="s">
        <v>623</v>
      </c>
      <c r="B15" s="55" t="s">
        <v>523</v>
      </c>
      <c r="C15" s="55" t="s">
        <v>148</v>
      </c>
      <c r="D15" s="55"/>
      <c r="E15" s="329">
        <v>4.4664694606028519</v>
      </c>
      <c r="F15" s="55"/>
      <c r="G15" s="55"/>
      <c r="H15" s="55"/>
      <c r="J15" s="55"/>
      <c r="K15" s="329">
        <v>3.1903353290020373</v>
      </c>
      <c r="L15" s="138">
        <f t="shared" si="0"/>
        <v>8.9424691371219455E-3</v>
      </c>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row>
    <row r="16" spans="1:62" x14ac:dyDescent="0.25">
      <c r="A16" t="s">
        <v>624</v>
      </c>
      <c r="B16" s="55" t="s">
        <v>534</v>
      </c>
      <c r="C16" s="55" t="s">
        <v>148</v>
      </c>
      <c r="D16" s="55"/>
      <c r="E16" s="329">
        <v>12.717569077207818</v>
      </c>
      <c r="F16" s="55"/>
      <c r="G16" s="101"/>
      <c r="H16" s="55"/>
      <c r="J16" s="55"/>
      <c r="K16" s="329">
        <v>9.5177567141346184</v>
      </c>
      <c r="L16" s="138">
        <f t="shared" si="0"/>
        <v>2.6678150380326261E-2</v>
      </c>
      <c r="M16" s="101"/>
      <c r="N16" s="55"/>
      <c r="P16" s="55"/>
      <c r="Q16" s="329">
        <v>7.2931004676758286</v>
      </c>
      <c r="R16" s="55"/>
      <c r="S16" s="101"/>
      <c r="T16" s="55"/>
      <c r="V16" s="55"/>
      <c r="W16" s="329">
        <v>7.4770636448142458</v>
      </c>
      <c r="X16" s="55"/>
      <c r="Y16" s="101"/>
      <c r="Z16" s="55"/>
      <c r="AB16" s="55"/>
      <c r="AC16" s="329">
        <v>7.6702249808095857</v>
      </c>
      <c r="AD16" s="55"/>
      <c r="AE16" s="101"/>
      <c r="AF16" s="55"/>
      <c r="AH16" s="55"/>
      <c r="AI16" s="329">
        <v>7.8730443836046931</v>
      </c>
      <c r="AJ16" s="55"/>
      <c r="AK16" s="101"/>
      <c r="AL16" s="55"/>
      <c r="AN16" s="55"/>
      <c r="AO16" s="329">
        <v>8.0860047565395554</v>
      </c>
      <c r="AP16" s="55"/>
      <c r="AQ16" s="101"/>
      <c r="AR16" s="55"/>
      <c r="AT16" s="55"/>
      <c r="AU16" s="329">
        <v>8.3096131481211586</v>
      </c>
      <c r="AV16" s="55"/>
      <c r="AW16" s="101"/>
      <c r="AX16" s="55"/>
      <c r="AZ16" s="55"/>
      <c r="BA16" s="329">
        <v>8.5444019592818456</v>
      </c>
      <c r="BB16" s="55"/>
      <c r="BC16" s="101"/>
      <c r="BD16" s="55"/>
      <c r="BF16" s="55"/>
      <c r="BG16" s="329">
        <v>8.7909302110005658</v>
      </c>
      <c r="BH16" s="55"/>
      <c r="BI16" s="101"/>
      <c r="BJ16" s="55"/>
    </row>
    <row r="17" spans="1:62" x14ac:dyDescent="0.25">
      <c r="A17" t="s">
        <v>625</v>
      </c>
      <c r="B17" s="55" t="s">
        <v>144</v>
      </c>
      <c r="C17" s="55" t="s">
        <v>148</v>
      </c>
      <c r="D17" s="55"/>
      <c r="E17" s="329">
        <v>125.06114489687985</v>
      </c>
      <c r="F17" s="55"/>
      <c r="G17" s="55"/>
      <c r="H17" s="55"/>
      <c r="J17" s="55"/>
      <c r="K17" s="329">
        <v>88.540839979261904</v>
      </c>
      <c r="L17" s="138">
        <f t="shared" si="0"/>
        <v>0.24817884242189542</v>
      </c>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row>
    <row r="18" spans="1:62" x14ac:dyDescent="0.25">
      <c r="A18" t="s">
        <v>624</v>
      </c>
      <c r="B18" s="55" t="s">
        <v>156</v>
      </c>
      <c r="C18" s="55" t="s">
        <v>148</v>
      </c>
      <c r="D18" s="55"/>
      <c r="E18" s="329">
        <v>7.426393071716209</v>
      </c>
      <c r="F18" s="55"/>
      <c r="G18" s="55"/>
      <c r="H18" s="55"/>
      <c r="J18" s="55"/>
      <c r="K18" s="329">
        <v>7.426393071716209</v>
      </c>
      <c r="L18" s="138">
        <f t="shared" si="0"/>
        <v>2.0816084829782491E-2</v>
      </c>
      <c r="M18" s="55"/>
      <c r="N18" s="55"/>
      <c r="P18" s="55"/>
      <c r="Q18" s="329">
        <v>7.79771272530202</v>
      </c>
      <c r="R18" s="55"/>
      <c r="S18" s="55"/>
      <c r="T18" s="55"/>
      <c r="V18" s="55"/>
      <c r="W18" s="329">
        <v>8.1875983615671206</v>
      </c>
      <c r="X18" s="55"/>
      <c r="Y18" s="55"/>
      <c r="Z18" s="55"/>
      <c r="AB18" s="55"/>
      <c r="AC18" s="329">
        <v>8.5969782796454766</v>
      </c>
      <c r="AD18" s="55"/>
      <c r="AE18" s="55"/>
      <c r="AF18" s="55"/>
      <c r="AH18" s="55"/>
      <c r="AI18" s="329">
        <v>9.0268271936277511</v>
      </c>
      <c r="AJ18" s="55"/>
      <c r="AK18" s="55"/>
      <c r="AL18" s="55"/>
      <c r="AN18" s="55"/>
      <c r="AO18" s="329">
        <v>9.4781685533091391</v>
      </c>
      <c r="AP18" s="55"/>
      <c r="AQ18" s="55"/>
      <c r="AR18" s="55"/>
      <c r="AT18" s="55"/>
      <c r="AU18" s="329">
        <v>9.9520769809745939</v>
      </c>
      <c r="AV18" s="55"/>
      <c r="AW18" s="55"/>
      <c r="AX18" s="55"/>
      <c r="AZ18" s="55"/>
      <c r="BA18" s="329">
        <v>10.449680830023325</v>
      </c>
      <c r="BB18" s="55"/>
      <c r="BC18" s="55"/>
      <c r="BD18" s="55"/>
      <c r="BF18" s="55"/>
      <c r="BG18" s="329">
        <v>10.972164871524491</v>
      </c>
      <c r="BH18" s="55"/>
      <c r="BI18" s="55"/>
      <c r="BJ18" s="55"/>
    </row>
    <row r="19" spans="1:62" s="142" customFormat="1" x14ac:dyDescent="0.25">
      <c r="B19" s="393" t="s">
        <v>158</v>
      </c>
      <c r="C19" s="393" t="s">
        <v>71</v>
      </c>
      <c r="D19" s="393"/>
      <c r="E19" s="394">
        <v>-0.32438368036426141</v>
      </c>
      <c r="F19" s="393"/>
      <c r="G19" s="393"/>
      <c r="H19" s="393"/>
      <c r="J19" s="393"/>
      <c r="K19" s="394">
        <v>-5.627320010687447E-2</v>
      </c>
      <c r="L19" s="393"/>
      <c r="M19" s="393"/>
      <c r="N19" s="393"/>
      <c r="P19" s="393"/>
      <c r="Q19" s="394">
        <v>0.25886671865267041</v>
      </c>
      <c r="R19" s="393"/>
      <c r="S19" s="393"/>
      <c r="T19" s="393"/>
      <c r="V19" s="393"/>
      <c r="W19" s="394">
        <v>0.25989417784222829</v>
      </c>
      <c r="X19" s="393"/>
      <c r="Y19" s="393"/>
      <c r="Z19" s="393"/>
      <c r="AB19" s="393"/>
      <c r="AC19" s="394">
        <v>0.26029131655885313</v>
      </c>
      <c r="AD19" s="393"/>
      <c r="AE19" s="393"/>
      <c r="AF19" s="393"/>
      <c r="AH19" s="393"/>
      <c r="AI19" s="394">
        <v>0.26005639326992153</v>
      </c>
      <c r="AJ19" s="393"/>
      <c r="AK19" s="393"/>
      <c r="AL19" s="393"/>
      <c r="AN19" s="393"/>
      <c r="AO19" s="394">
        <v>0.25918949421577575</v>
      </c>
      <c r="AP19" s="393"/>
      <c r="AQ19" s="393"/>
      <c r="AR19" s="393"/>
      <c r="AT19" s="393"/>
      <c r="AU19" s="394">
        <v>0.25769255083102804</v>
      </c>
      <c r="AV19" s="393"/>
      <c r="AW19" s="393"/>
      <c r="AX19" s="393"/>
      <c r="AZ19" s="393"/>
      <c r="BA19" s="394">
        <v>0.25556934477883742</v>
      </c>
      <c r="BB19" s="393"/>
      <c r="BC19" s="393"/>
      <c r="BD19" s="393"/>
      <c r="BF19" s="393"/>
      <c r="BG19" s="394">
        <v>0.25282550045929897</v>
      </c>
      <c r="BH19" s="393"/>
      <c r="BI19" s="393"/>
      <c r="BJ19" s="393"/>
    </row>
    <row r="20" spans="1:62" s="142" customFormat="1" x14ac:dyDescent="0.25">
      <c r="B20" s="393" t="s">
        <v>159</v>
      </c>
      <c r="C20" s="393" t="s">
        <v>148</v>
      </c>
      <c r="D20" s="393"/>
      <c r="E20" s="395">
        <v>-154.56157933317945</v>
      </c>
      <c r="F20" s="393"/>
      <c r="G20" s="393"/>
      <c r="H20" s="393"/>
      <c r="J20" s="393"/>
      <c r="K20" s="395">
        <v>-20.076152975658253</v>
      </c>
      <c r="L20" s="393"/>
      <c r="M20" s="393"/>
      <c r="N20" s="393"/>
      <c r="P20" s="393"/>
      <c r="Q20" s="395">
        <v>70.619040085312662</v>
      </c>
      <c r="R20" s="393"/>
      <c r="S20" s="393"/>
      <c r="T20" s="393"/>
      <c r="V20" s="393"/>
      <c r="W20" s="395">
        <v>72.258342715754765</v>
      </c>
      <c r="X20" s="393"/>
      <c r="Y20" s="393"/>
      <c r="Z20" s="393"/>
      <c r="AB20" s="393"/>
      <c r="AC20" s="395">
        <v>73.792873632205243</v>
      </c>
      <c r="AD20" s="393"/>
      <c r="AE20" s="393"/>
      <c r="AF20" s="393"/>
      <c r="AH20" s="393"/>
      <c r="AI20" s="395">
        <v>75.214818414474124</v>
      </c>
      <c r="AJ20" s="393"/>
      <c r="AK20" s="393"/>
      <c r="AL20" s="393"/>
      <c r="AN20" s="393"/>
      <c r="AO20" s="395">
        <v>76.516013116865395</v>
      </c>
      <c r="AP20" s="393"/>
      <c r="AQ20" s="393"/>
      <c r="AR20" s="393"/>
      <c r="AT20" s="393"/>
      <c r="AU20" s="395">
        <v>77.687935032787607</v>
      </c>
      <c r="AV20" s="393"/>
      <c r="AW20" s="393"/>
      <c r="AX20" s="393"/>
      <c r="AZ20" s="393"/>
      <c r="BA20" s="395">
        <v>78.721693755770644</v>
      </c>
      <c r="BB20" s="393"/>
      <c r="BC20" s="393"/>
      <c r="BD20" s="393"/>
      <c r="BF20" s="393"/>
      <c r="BG20" s="395">
        <v>79.608022614339802</v>
      </c>
      <c r="BH20" s="393"/>
      <c r="BI20" s="393"/>
      <c r="BJ20" s="393"/>
    </row>
    <row r="21" spans="1:62" s="1" customFormat="1" x14ac:dyDescent="0.25">
      <c r="B21" s="62" t="s">
        <v>160</v>
      </c>
      <c r="C21" s="325" t="s">
        <v>148</v>
      </c>
      <c r="D21" s="325"/>
      <c r="E21" s="326">
        <v>321.91608797615322</v>
      </c>
      <c r="F21" s="325"/>
      <c r="G21" s="325"/>
      <c r="H21" s="325"/>
      <c r="J21" s="325"/>
      <c r="K21" s="391">
        <v>336.6860879761532</v>
      </c>
      <c r="L21" s="325"/>
      <c r="M21" s="325"/>
      <c r="N21" s="325"/>
      <c r="P21" s="325"/>
      <c r="Q21" s="391">
        <v>343.41980973567649</v>
      </c>
      <c r="R21" s="325"/>
      <c r="S21" s="325"/>
      <c r="T21" s="325"/>
      <c r="V21" s="325"/>
      <c r="W21" s="391">
        <v>350.28820593038984</v>
      </c>
      <c r="X21" s="325"/>
      <c r="Y21" s="325"/>
      <c r="Z21" s="325"/>
      <c r="AB21" s="325"/>
      <c r="AC21" s="391">
        <v>357.29397004899761</v>
      </c>
      <c r="AD21" s="325"/>
      <c r="AE21" s="325"/>
      <c r="AF21" s="325"/>
      <c r="AH21" s="325"/>
      <c r="AI21" s="391">
        <v>364.43984944997749</v>
      </c>
      <c r="AJ21" s="325"/>
      <c r="AK21" s="325"/>
      <c r="AL21" s="325"/>
      <c r="AN21" s="325"/>
      <c r="AO21" s="391">
        <v>371.72864643897714</v>
      </c>
      <c r="AP21" s="325"/>
      <c r="AQ21" s="325"/>
      <c r="AR21" s="325"/>
      <c r="AT21" s="325"/>
      <c r="AU21" s="391">
        <v>379.16321936775654</v>
      </c>
      <c r="AV21" s="325"/>
      <c r="AW21" s="325"/>
      <c r="AX21" s="325"/>
      <c r="AZ21" s="325"/>
      <c r="BA21" s="391">
        <v>386.74648375511202</v>
      </c>
      <c r="BB21" s="325"/>
      <c r="BC21" s="325"/>
      <c r="BD21" s="325"/>
      <c r="BF21" s="325"/>
      <c r="BG21" s="391">
        <v>394.48141343021382</v>
      </c>
      <c r="BH21" s="325"/>
      <c r="BI21" s="325"/>
      <c r="BJ21" s="325"/>
    </row>
    <row r="22" spans="1:6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row>
    <row r="23" spans="1:62" x14ac:dyDescent="0.25">
      <c r="A23" t="s">
        <v>624</v>
      </c>
      <c r="B23" s="55" t="s">
        <v>162</v>
      </c>
      <c r="C23" s="55" t="s">
        <v>163</v>
      </c>
      <c r="D23" s="55"/>
      <c r="E23" s="100">
        <v>1033.1281018191401</v>
      </c>
      <c r="F23" s="55"/>
      <c r="G23" s="55"/>
      <c r="H23" s="55"/>
      <c r="J23" s="55"/>
      <c r="K23" s="329">
        <v>1033.1281018191401</v>
      </c>
      <c r="L23" s="55"/>
      <c r="M23" s="55"/>
      <c r="N23" s="55"/>
      <c r="P23" s="55"/>
      <c r="Q23" s="329">
        <v>1053.7906638555228</v>
      </c>
      <c r="R23" s="55"/>
      <c r="S23" s="55"/>
      <c r="T23" s="55"/>
      <c r="V23" s="55"/>
      <c r="W23" s="329">
        <v>1074.8664771326332</v>
      </c>
      <c r="X23" s="55"/>
      <c r="Y23" s="55"/>
      <c r="Z23" s="55"/>
      <c r="AB23" s="55"/>
      <c r="AC23" s="329">
        <v>1096.363806675286</v>
      </c>
      <c r="AD23" s="55"/>
      <c r="AE23" s="55"/>
      <c r="AF23" s="55"/>
      <c r="AH23" s="55"/>
      <c r="AI23" s="329">
        <v>1118.2910828087918</v>
      </c>
      <c r="AJ23" s="55"/>
      <c r="AK23" s="55"/>
      <c r="AL23" s="55"/>
      <c r="AN23" s="55"/>
      <c r="AO23" s="329">
        <v>1140.6569044649675</v>
      </c>
      <c r="AP23" s="55"/>
      <c r="AQ23" s="55"/>
      <c r="AR23" s="55"/>
      <c r="AT23" s="55"/>
      <c r="AU23" s="329">
        <v>1163.4700425542669</v>
      </c>
      <c r="AV23" s="55"/>
      <c r="AW23" s="55"/>
      <c r="AX23" s="55"/>
      <c r="AZ23" s="55"/>
      <c r="BA23" s="329">
        <v>1186.7394434053519</v>
      </c>
      <c r="BB23" s="55"/>
      <c r="BC23" s="55"/>
      <c r="BD23" s="55"/>
      <c r="BF23" s="55"/>
      <c r="BG23" s="329">
        <v>1210.4742322734592</v>
      </c>
      <c r="BH23" s="55"/>
      <c r="BI23" s="55"/>
      <c r="BJ23" s="55"/>
    </row>
    <row r="24" spans="1:62" x14ac:dyDescent="0.25">
      <c r="A24" t="s">
        <v>624</v>
      </c>
      <c r="B24" s="55" t="s">
        <v>164</v>
      </c>
      <c r="C24" s="55" t="s">
        <v>148</v>
      </c>
      <c r="D24" s="55"/>
      <c r="E24" s="329">
        <v>387.42303818217749</v>
      </c>
      <c r="F24" s="55"/>
      <c r="G24" s="55"/>
      <c r="H24" s="55"/>
      <c r="J24" s="55"/>
      <c r="K24" s="329">
        <v>387.42303818217749</v>
      </c>
      <c r="L24" s="55"/>
      <c r="M24" s="55"/>
      <c r="N24" s="55"/>
      <c r="P24" s="55"/>
      <c r="Q24" s="329">
        <v>395.17149894582099</v>
      </c>
      <c r="R24" s="55"/>
      <c r="S24" s="55"/>
      <c r="T24" s="55"/>
      <c r="V24" s="55"/>
      <c r="W24" s="329">
        <v>403.07492892473743</v>
      </c>
      <c r="X24" s="55"/>
      <c r="Y24" s="55"/>
      <c r="Z24" s="55"/>
      <c r="AB24" s="55"/>
      <c r="AC24" s="329">
        <v>411.13642750323226</v>
      </c>
      <c r="AD24" s="55"/>
      <c r="AE24" s="55"/>
      <c r="AF24" s="55"/>
      <c r="AH24" s="55"/>
      <c r="AI24" s="329">
        <v>419.35915605329689</v>
      </c>
      <c r="AJ24" s="55"/>
      <c r="AK24" s="55"/>
      <c r="AL24" s="55"/>
      <c r="AN24" s="55"/>
      <c r="AO24" s="329">
        <v>427.74633917436279</v>
      </c>
      <c r="AP24" s="55"/>
      <c r="AQ24" s="55"/>
      <c r="AR24" s="55"/>
      <c r="AT24" s="55"/>
      <c r="AU24" s="329">
        <v>436.30126595785003</v>
      </c>
      <c r="AV24" s="55"/>
      <c r="AW24" s="55"/>
      <c r="AX24" s="55"/>
      <c r="AZ24" s="55"/>
      <c r="BA24" s="329">
        <v>445.02729127700695</v>
      </c>
      <c r="BB24" s="55"/>
      <c r="BC24" s="55"/>
      <c r="BD24" s="55"/>
      <c r="BF24" s="55"/>
      <c r="BG24" s="329">
        <v>453.92783710254719</v>
      </c>
      <c r="BH24" s="55"/>
      <c r="BI24" s="55"/>
      <c r="BJ24" s="55"/>
    </row>
    <row r="25" spans="1:62" x14ac:dyDescent="0.25">
      <c r="B25" s="55" t="s">
        <v>165</v>
      </c>
      <c r="C25" s="55" t="s">
        <v>148</v>
      </c>
      <c r="D25" s="55"/>
      <c r="E25" s="55"/>
      <c r="F25" s="55"/>
      <c r="G25" s="55"/>
      <c r="H25" s="55"/>
      <c r="J25" s="55"/>
      <c r="K25" s="329"/>
      <c r="L25" s="55"/>
      <c r="M25" s="55"/>
      <c r="N25" s="55"/>
      <c r="P25" s="55"/>
      <c r="Q25" s="329"/>
      <c r="R25" s="55"/>
      <c r="S25" s="55"/>
      <c r="T25" s="55"/>
      <c r="V25" s="55"/>
      <c r="W25" s="329"/>
      <c r="X25" s="55"/>
      <c r="Y25" s="55"/>
      <c r="Z25" s="55"/>
      <c r="AB25" s="55"/>
      <c r="AC25" s="329"/>
      <c r="AD25" s="55"/>
      <c r="AE25" s="55"/>
      <c r="AF25" s="55"/>
      <c r="AH25" s="55"/>
      <c r="AI25" s="329"/>
      <c r="AJ25" s="55"/>
      <c r="AK25" s="55"/>
      <c r="AL25" s="55"/>
      <c r="AN25" s="55"/>
      <c r="AO25" s="329"/>
      <c r="AP25" s="55"/>
      <c r="AQ25" s="55"/>
      <c r="AR25" s="55"/>
      <c r="AT25" s="55"/>
      <c r="AU25" s="329"/>
      <c r="AV25" s="55"/>
      <c r="AW25" s="55"/>
      <c r="AX25" s="55"/>
      <c r="AZ25" s="55"/>
      <c r="BA25" s="329"/>
      <c r="BB25" s="55"/>
      <c r="BC25" s="55"/>
      <c r="BD25" s="55"/>
      <c r="BF25" s="55"/>
      <c r="BG25" s="329"/>
      <c r="BH25" s="55"/>
      <c r="BI25" s="55"/>
      <c r="BJ25" s="55"/>
    </row>
    <row r="26" spans="1:62" x14ac:dyDescent="0.25">
      <c r="A26" t="s">
        <v>624</v>
      </c>
      <c r="B26" s="55" t="s">
        <v>143</v>
      </c>
      <c r="C26" s="55" t="s">
        <v>148</v>
      </c>
      <c r="D26" s="55"/>
      <c r="E26" s="329">
        <v>29.160873841669279</v>
      </c>
      <c r="F26" s="55"/>
      <c r="G26" s="55"/>
      <c r="H26" s="55"/>
      <c r="J26" s="55"/>
      <c r="K26" s="329">
        <v>29.160873841669279</v>
      </c>
      <c r="L26" s="55"/>
      <c r="M26" s="55"/>
      <c r="N26" s="55"/>
      <c r="P26" s="55"/>
      <c r="Q26" s="329">
        <v>29.744091318502662</v>
      </c>
      <c r="R26" s="55"/>
      <c r="S26" s="55"/>
      <c r="T26" s="55"/>
      <c r="V26" s="55"/>
      <c r="W26" s="329">
        <v>30.338973144872714</v>
      </c>
      <c r="X26" s="55"/>
      <c r="Y26" s="55"/>
      <c r="Z26" s="55"/>
      <c r="AB26" s="55"/>
      <c r="AC26" s="329">
        <v>30.945752607770174</v>
      </c>
      <c r="AD26" s="55"/>
      <c r="AE26" s="55"/>
      <c r="AF26" s="55"/>
      <c r="AH26" s="55"/>
      <c r="AI26" s="329">
        <v>31.564667659925579</v>
      </c>
      <c r="AJ26" s="55"/>
      <c r="AK26" s="55"/>
      <c r="AL26" s="55"/>
      <c r="AN26" s="55"/>
      <c r="AO26" s="329">
        <v>32.195961013124084</v>
      </c>
      <c r="AP26" s="55"/>
      <c r="AQ26" s="55"/>
      <c r="AR26" s="55"/>
      <c r="AT26" s="55"/>
      <c r="AU26" s="329">
        <v>32.839880233386566</v>
      </c>
      <c r="AV26" s="55"/>
      <c r="AW26" s="55"/>
      <c r="AX26" s="55"/>
      <c r="AZ26" s="55"/>
      <c r="BA26" s="329">
        <v>33.496677838054296</v>
      </c>
      <c r="BB26" s="55"/>
      <c r="BC26" s="55"/>
      <c r="BD26" s="55"/>
      <c r="BF26" s="55"/>
      <c r="BG26" s="329">
        <v>34.166611394815384</v>
      </c>
      <c r="BH26" s="55"/>
      <c r="BI26" s="55"/>
      <c r="BJ26" s="55"/>
    </row>
    <row r="27" spans="1:6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row>
    <row r="28" spans="1:62" s="1" customFormat="1" x14ac:dyDescent="0.25">
      <c r="B28" s="62" t="s">
        <v>362</v>
      </c>
      <c r="C28" s="325" t="s">
        <v>148</v>
      </c>
      <c r="D28" s="325"/>
      <c r="E28" s="326">
        <v>738.5</v>
      </c>
      <c r="F28" s="325"/>
      <c r="G28" s="325"/>
      <c r="H28" s="325"/>
      <c r="J28" s="325"/>
      <c r="K28" s="326">
        <v>753.27</v>
      </c>
      <c r="L28" s="325"/>
      <c r="M28" s="325"/>
      <c r="N28" s="325"/>
      <c r="P28" s="325"/>
      <c r="Q28" s="326">
        <v>768.33540000000005</v>
      </c>
      <c r="R28" s="325"/>
      <c r="S28" s="325"/>
      <c r="T28" s="325"/>
      <c r="V28" s="325"/>
      <c r="W28" s="326">
        <v>783.70210799999995</v>
      </c>
      <c r="X28" s="325"/>
      <c r="Y28" s="325"/>
      <c r="Z28" s="325"/>
      <c r="AB28" s="325"/>
      <c r="AC28" s="326">
        <v>799.37615015999995</v>
      </c>
      <c r="AD28" s="325"/>
      <c r="AE28" s="325"/>
      <c r="AF28" s="325"/>
      <c r="AH28" s="325"/>
      <c r="AI28" s="326">
        <v>815.36367316320002</v>
      </c>
      <c r="AJ28" s="325"/>
      <c r="AK28" s="325"/>
      <c r="AL28" s="325"/>
      <c r="AN28" s="325"/>
      <c r="AO28" s="326">
        <v>831.670946626464</v>
      </c>
      <c r="AP28" s="325"/>
      <c r="AQ28" s="325"/>
      <c r="AR28" s="325"/>
      <c r="AT28" s="325"/>
      <c r="AU28" s="326">
        <v>848.30436555899314</v>
      </c>
      <c r="AV28" s="325"/>
      <c r="AW28" s="325"/>
      <c r="AX28" s="325"/>
      <c r="AZ28" s="325"/>
      <c r="BA28" s="326">
        <v>865.27045287017313</v>
      </c>
      <c r="BB28" s="325"/>
      <c r="BC28" s="325"/>
      <c r="BD28" s="325"/>
      <c r="BF28" s="325"/>
      <c r="BG28" s="326">
        <v>882.57586192757651</v>
      </c>
      <c r="BH28" s="325"/>
      <c r="BI28" s="325"/>
      <c r="BJ28" s="325"/>
    </row>
    <row r="29" spans="1:6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row>
    <row r="30" spans="1:62" x14ac:dyDescent="0.25">
      <c r="E30" s="15"/>
      <c r="H30" s="127">
        <v>0</v>
      </c>
      <c r="N30" s="127">
        <v>1</v>
      </c>
      <c r="T30" s="127">
        <v>2</v>
      </c>
      <c r="Z30" s="127">
        <v>3</v>
      </c>
      <c r="AF30" s="127">
        <v>4</v>
      </c>
      <c r="AL30" s="127">
        <v>5</v>
      </c>
      <c r="AR30" s="127">
        <v>6</v>
      </c>
      <c r="AX30" s="127">
        <v>7</v>
      </c>
      <c r="BD30" s="127">
        <v>8</v>
      </c>
      <c r="BJ30" s="127">
        <v>9</v>
      </c>
    </row>
    <row r="31" spans="1:62" x14ac:dyDescent="0.25">
      <c r="B31" s="322" t="s">
        <v>650</v>
      </c>
      <c r="C31" s="323">
        <v>0.02</v>
      </c>
      <c r="D31" s="32"/>
      <c r="E31" s="64">
        <f>E28-E20</f>
        <v>893.06157933317945</v>
      </c>
      <c r="J31" s="32"/>
      <c r="K31" s="64">
        <f>K28-K20</f>
        <v>773.34615297565824</v>
      </c>
      <c r="P31" s="32"/>
      <c r="Q31" s="64">
        <f>Q28-Q20</f>
        <v>697.71635991468736</v>
      </c>
      <c r="V31" s="32"/>
      <c r="W31" s="64">
        <f t="shared" ref="W31" si="1">W28-W20</f>
        <v>711.44376528424516</v>
      </c>
      <c r="AB31" s="32"/>
      <c r="AC31" s="64">
        <f t="shared" ref="AC31" si="2">AC28-AC20</f>
        <v>725.58327652779474</v>
      </c>
      <c r="AH31" s="32"/>
      <c r="AI31" s="64">
        <f t="shared" ref="AI31" si="3">AI28-AI20</f>
        <v>740.14885474872585</v>
      </c>
      <c r="AN31" s="32"/>
      <c r="AO31" s="64">
        <f t="shared" ref="AO31" si="4">AO28-AO20</f>
        <v>755.15493350959855</v>
      </c>
      <c r="AT31" s="32"/>
      <c r="AU31" s="64">
        <f t="shared" ref="AU31" si="5">AU28-AU20</f>
        <v>770.61643052620548</v>
      </c>
      <c r="AZ31" s="32"/>
      <c r="BA31" s="64">
        <f t="shared" ref="BA31" si="6">BA28-BA20</f>
        <v>786.54875911440251</v>
      </c>
      <c r="BF31" s="32"/>
      <c r="BG31" s="64">
        <f t="shared" ref="BG31" si="7">BG28-BG20</f>
        <v>802.96783931323671</v>
      </c>
    </row>
    <row r="32" spans="1:62" x14ac:dyDescent="0.25">
      <c r="B32" s="322" t="s">
        <v>651</v>
      </c>
      <c r="C32" s="323">
        <v>0.02</v>
      </c>
      <c r="E32" s="651">
        <f>SUM(E4:E18)</f>
        <v>476.47766730933267</v>
      </c>
      <c r="K32" s="651">
        <f>SUM(K4:K18)</f>
        <v>356.76224095181146</v>
      </c>
      <c r="Q32" s="651">
        <f>SUM(Q4:Q18)</f>
        <v>272.80076965036375</v>
      </c>
      <c r="W32" s="651">
        <f>SUM(W4:W18)</f>
        <v>278.02986321463504</v>
      </c>
      <c r="AC32" s="651">
        <f>SUM(AC4:AC18)</f>
        <v>283.50109641679234</v>
      </c>
    </row>
    <row r="33" spans="5:59" x14ac:dyDescent="0.25">
      <c r="E33" s="666">
        <f>E20/E28</f>
        <v>-0.20929123809502972</v>
      </c>
      <c r="K33" s="666">
        <f>K20/K28</f>
        <v>-2.6652001242128659E-2</v>
      </c>
      <c r="Q33" s="666">
        <f>Q20/Q28</f>
        <v>9.1911735532831954E-2</v>
      </c>
      <c r="W33" s="324"/>
      <c r="AC33" s="324"/>
      <c r="AI33" s="324"/>
      <c r="AO33" s="324"/>
      <c r="AU33" s="324"/>
      <c r="BA33" s="324"/>
      <c r="BG33" s="324"/>
    </row>
    <row r="34" spans="5:59" x14ac:dyDescent="0.25">
      <c r="E34" s="604"/>
    </row>
    <row r="35" spans="5:59" x14ac:dyDescent="0.25">
      <c r="K35" s="324"/>
      <c r="Q35" s="324"/>
      <c r="W35" s="324"/>
      <c r="AC35" s="324"/>
      <c r="AI35" s="324"/>
      <c r="AO35" s="324"/>
      <c r="AU35" s="324"/>
      <c r="BA35" s="324"/>
      <c r="BG35" s="324"/>
    </row>
    <row r="36" spans="5:59" x14ac:dyDescent="0.25">
      <c r="E36" s="64"/>
      <c r="K36" s="324"/>
      <c r="Q36" s="324"/>
      <c r="W36" s="324"/>
      <c r="AC36" s="324"/>
      <c r="AI36" s="324"/>
      <c r="AO36" s="324"/>
      <c r="AU36" s="324"/>
      <c r="BA36" s="324"/>
      <c r="BG36" s="32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40C-834F-4466-B7F7-C1299E8259A6}">
  <sheetPr>
    <tabColor theme="0" tint="-0.249977111117893"/>
  </sheetPr>
  <dimension ref="A1:EV37"/>
  <sheetViews>
    <sheetView showGridLines="0" zoomScale="85" zoomScaleNormal="85" workbookViewId="0">
      <selection activeCell="Q68" sqref="Q68"/>
    </sheetView>
  </sheetViews>
  <sheetFormatPr defaultRowHeight="15" x14ac:dyDescent="0.25"/>
  <cols>
    <col min="1" max="1" width="10" bestFit="1" customWidth="1"/>
    <col min="2" max="2" width="28" customWidth="1"/>
    <col min="3" max="3" width="10.5" customWidth="1"/>
    <col min="4" max="4" width="20" customWidth="1"/>
    <col min="5" max="5" width="17.125" customWidth="1"/>
    <col min="6" max="6" width="17.75" bestFit="1" customWidth="1"/>
    <col min="7" max="7" width="10.5" customWidth="1"/>
    <col min="8" max="8" width="12.75" customWidth="1"/>
    <col min="9" max="9" width="1.75" customWidth="1"/>
    <col min="10" max="10" width="19.25" bestFit="1" customWidth="1"/>
    <col min="11" max="11" width="11.75" bestFit="1" customWidth="1"/>
    <col min="12" max="12" width="10.75" customWidth="1"/>
    <col min="13" max="13" width="10.25" customWidth="1"/>
    <col min="14" max="14" width="10.75" customWidth="1"/>
    <col min="15" max="15" width="1.75" customWidth="1"/>
    <col min="16" max="16" width="19.25" bestFit="1" customWidth="1"/>
    <col min="17" max="17" width="11.75" bestFit="1" customWidth="1"/>
    <col min="18" max="18" width="10.75" customWidth="1"/>
    <col min="19" max="19" width="10.25" customWidth="1"/>
    <col min="20" max="20" width="10.75" customWidth="1"/>
    <col min="21" max="21" width="1.75" customWidth="1"/>
    <col min="22" max="22" width="19.25" bestFit="1" customWidth="1"/>
    <col min="23" max="23" width="11.75" bestFit="1" customWidth="1"/>
    <col min="24" max="24" width="10.75" customWidth="1"/>
    <col min="25" max="25" width="10.25" customWidth="1"/>
    <col min="26" max="26" width="10.75" customWidth="1"/>
    <col min="27" max="27" width="1.75" customWidth="1"/>
    <col min="28" max="28" width="19.25" bestFit="1" customWidth="1"/>
    <col min="29" max="29" width="11.75" bestFit="1" customWidth="1"/>
    <col min="30" max="30" width="10.75" customWidth="1"/>
    <col min="31" max="31" width="10.25" customWidth="1"/>
    <col min="32" max="32" width="10.75" customWidth="1"/>
    <col min="33" max="33" width="1.75" customWidth="1"/>
    <col min="34" max="34" width="19.25" bestFit="1" customWidth="1"/>
    <col min="35" max="35" width="11.75" bestFit="1" customWidth="1"/>
    <col min="36" max="36" width="10.75" customWidth="1"/>
    <col min="37" max="37" width="10.25" customWidth="1"/>
    <col min="38" max="38" width="10.75" customWidth="1"/>
    <col min="39" max="39" width="1.75" customWidth="1"/>
    <col min="40" max="40" width="19.25" bestFit="1" customWidth="1"/>
    <col min="41" max="41" width="11.75" bestFit="1" customWidth="1"/>
    <col min="42" max="42" width="10.75" customWidth="1"/>
    <col min="43" max="43" width="10.25" customWidth="1"/>
    <col min="44" max="44" width="10.75" customWidth="1"/>
    <col min="45" max="45" width="1.75" customWidth="1"/>
    <col min="46" max="46" width="19.25" bestFit="1" customWidth="1"/>
    <col min="47" max="47" width="11.75" bestFit="1" customWidth="1"/>
    <col min="48" max="48" width="10.75" customWidth="1"/>
    <col min="49" max="49" width="10.25" customWidth="1"/>
    <col min="50" max="50" width="10.75" customWidth="1"/>
    <col min="51" max="51" width="1.75" customWidth="1"/>
    <col min="52" max="52" width="19.25" bestFit="1" customWidth="1"/>
    <col min="53" max="53" width="11.75" bestFit="1" customWidth="1"/>
    <col min="54" max="54" width="10.75" customWidth="1"/>
    <col min="55" max="55" width="10.25" customWidth="1"/>
    <col min="56" max="56" width="10.75" customWidth="1"/>
    <col min="57" max="57" width="1.75" customWidth="1"/>
    <col min="58" max="58" width="19.25" bestFit="1" customWidth="1"/>
    <col min="59" max="59" width="11.75" bestFit="1" customWidth="1"/>
    <col min="60" max="60" width="10.75" customWidth="1"/>
    <col min="61" max="61" width="10.25" customWidth="1"/>
    <col min="62" max="62" width="10.75" customWidth="1"/>
    <col min="63" max="63" width="1.75" customWidth="1"/>
    <col min="64" max="64" width="19.25" bestFit="1" customWidth="1"/>
    <col min="65" max="65" width="11.75" bestFit="1" customWidth="1"/>
    <col min="66" max="66" width="10.75" customWidth="1"/>
    <col min="67" max="67" width="10.25" customWidth="1"/>
    <col min="68" max="68" width="10.75" customWidth="1"/>
    <col min="69" max="69" width="1.75" customWidth="1"/>
    <col min="70" max="70" width="19.25" bestFit="1" customWidth="1"/>
    <col min="71" max="71" width="11.75" bestFit="1" customWidth="1"/>
    <col min="72" max="72" width="10.75" customWidth="1"/>
    <col min="73" max="73" width="10.25" customWidth="1"/>
    <col min="74" max="74" width="10.75" customWidth="1"/>
    <col min="75" max="75" width="1.75" customWidth="1"/>
    <col min="76" max="76" width="19.25" bestFit="1" customWidth="1"/>
    <col min="77" max="77" width="11.75" bestFit="1" customWidth="1"/>
    <col min="78" max="78" width="10.75" customWidth="1"/>
    <col min="79" max="79" width="10.25" customWidth="1"/>
    <col min="80" max="80" width="10.75" customWidth="1"/>
    <col min="81" max="81" width="1.75" customWidth="1"/>
    <col min="82" max="82" width="19.25" bestFit="1" customWidth="1"/>
    <col min="83" max="83" width="11.75" bestFit="1" customWidth="1"/>
    <col min="84" max="84" width="10.75" customWidth="1"/>
    <col min="85" max="85" width="10.25" customWidth="1"/>
    <col min="86" max="86" width="10.75" customWidth="1"/>
    <col min="87" max="87" width="1.75" customWidth="1"/>
    <col min="88" max="88" width="19.25" bestFit="1" customWidth="1"/>
    <col min="89" max="89" width="11.75" bestFit="1" customWidth="1"/>
    <col min="90" max="90" width="10.75" customWidth="1"/>
    <col min="91" max="91" width="10.25" customWidth="1"/>
    <col min="92" max="92" width="10.75" customWidth="1"/>
    <col min="93" max="93" width="1.75" customWidth="1"/>
    <col min="94" max="94" width="19.25" bestFit="1" customWidth="1"/>
    <col min="95" max="95" width="11.75" bestFit="1" customWidth="1"/>
    <col min="96" max="96" width="10.75" customWidth="1"/>
    <col min="97" max="97" width="10.25" customWidth="1"/>
    <col min="98" max="98" width="10.75" customWidth="1"/>
    <col min="99" max="99" width="1.75" customWidth="1"/>
    <col min="100" max="100" width="19.25" bestFit="1" customWidth="1"/>
    <col min="101" max="101" width="11.75" bestFit="1" customWidth="1"/>
    <col min="102" max="102" width="10.75" customWidth="1"/>
    <col min="103" max="103" width="10.25" customWidth="1"/>
    <col min="104" max="104" width="10.75" customWidth="1"/>
    <col min="105" max="105" width="1.75" customWidth="1"/>
    <col min="106" max="106" width="19.25" bestFit="1" customWidth="1"/>
    <col min="107" max="107" width="11.75" bestFit="1" customWidth="1"/>
    <col min="108" max="108" width="10.75" customWidth="1"/>
    <col min="109" max="109" width="10.25" customWidth="1"/>
    <col min="110" max="110" width="10.75" customWidth="1"/>
    <col min="111" max="111" width="1.75" customWidth="1"/>
    <col min="112" max="112" width="19.25" bestFit="1" customWidth="1"/>
    <col min="113" max="113" width="11.75" bestFit="1" customWidth="1"/>
    <col min="114" max="114" width="10.75" customWidth="1"/>
    <col min="115" max="115" width="10.25" customWidth="1"/>
    <col min="116" max="116" width="10.75" customWidth="1"/>
    <col min="117" max="117" width="1.75" customWidth="1"/>
    <col min="118" max="118" width="19.25" bestFit="1" customWidth="1"/>
    <col min="119" max="119" width="11.75" bestFit="1" customWidth="1"/>
    <col min="120" max="120" width="10.75" customWidth="1"/>
    <col min="121" max="121" width="10.25" customWidth="1"/>
    <col min="122" max="122" width="10.75" customWidth="1"/>
    <col min="123" max="123" width="1.75" customWidth="1"/>
    <col min="124" max="124" width="19.25" bestFit="1" customWidth="1"/>
    <col min="125" max="125" width="11.75" bestFit="1" customWidth="1"/>
    <col min="126" max="126" width="10.75" customWidth="1"/>
    <col min="127" max="127" width="10.25" customWidth="1"/>
    <col min="128" max="128" width="10.75" customWidth="1"/>
    <col min="129" max="129" width="1.75" customWidth="1"/>
    <col min="130" max="130" width="19.25" bestFit="1" customWidth="1"/>
    <col min="131" max="131" width="11.75" bestFit="1" customWidth="1"/>
    <col min="132" max="132" width="10.75" customWidth="1"/>
    <col min="133" max="133" width="10.25" customWidth="1"/>
    <col min="134" max="134" width="10.75" customWidth="1"/>
    <col min="135" max="135" width="1.75" customWidth="1"/>
    <col min="136" max="136" width="19.25" bestFit="1" customWidth="1"/>
    <col min="137" max="137" width="11.75" bestFit="1" customWidth="1"/>
    <col min="138" max="138" width="10.75" customWidth="1"/>
    <col min="139" max="139" width="10.25" customWidth="1"/>
    <col min="140" max="140" width="10.75" customWidth="1"/>
    <col min="141" max="141" width="1.75" customWidth="1"/>
    <col min="142" max="142" width="19.25" bestFit="1" customWidth="1"/>
    <col min="143" max="143" width="11.75" bestFit="1" customWidth="1"/>
    <col min="144" max="144" width="10.75" customWidth="1"/>
    <col min="145" max="145" width="10.25" customWidth="1"/>
    <col min="146" max="146" width="10.75" customWidth="1"/>
    <col min="147" max="147" width="1.75" customWidth="1"/>
    <col min="148" max="148" width="19.25" bestFit="1" customWidth="1"/>
    <col min="149" max="149" width="11.75" bestFit="1" customWidth="1"/>
    <col min="150" max="150" width="10.75" customWidth="1"/>
    <col min="151" max="151" width="10.25" customWidth="1"/>
    <col min="152" max="152" width="10.75" customWidth="1"/>
  </cols>
  <sheetData>
    <row r="1" spans="1:152" ht="17.25" x14ac:dyDescent="0.3">
      <c r="B1" s="50" t="s">
        <v>350</v>
      </c>
      <c r="C1" s="49"/>
      <c r="D1" s="49"/>
      <c r="E1" s="49"/>
      <c r="F1" s="49"/>
      <c r="G1" s="49"/>
      <c r="H1" s="49"/>
      <c r="J1" s="50" t="s">
        <v>641</v>
      </c>
      <c r="K1" s="49"/>
      <c r="L1" s="49"/>
      <c r="M1" s="49"/>
      <c r="N1" s="49"/>
      <c r="P1" s="50" t="s">
        <v>642</v>
      </c>
      <c r="Q1" s="49"/>
      <c r="R1" s="49"/>
      <c r="S1" s="49"/>
      <c r="T1" s="49"/>
      <c r="V1" s="50" t="s">
        <v>643</v>
      </c>
      <c r="W1" s="49"/>
      <c r="X1" s="49"/>
      <c r="Y1" s="49"/>
      <c r="Z1" s="49"/>
      <c r="AB1" s="50" t="s">
        <v>644</v>
      </c>
      <c r="AC1" s="49"/>
      <c r="AD1" s="49"/>
      <c r="AE1" s="49"/>
      <c r="AF1" s="49"/>
      <c r="AH1" s="50" t="s">
        <v>645</v>
      </c>
      <c r="AI1" s="49"/>
      <c r="AJ1" s="49"/>
      <c r="AK1" s="49"/>
      <c r="AL1" s="49"/>
      <c r="AN1" s="50" t="s">
        <v>646</v>
      </c>
      <c r="AO1" s="49"/>
      <c r="AP1" s="49"/>
      <c r="AQ1" s="49"/>
      <c r="AR1" s="49"/>
      <c r="AT1" s="50" t="s">
        <v>647</v>
      </c>
      <c r="AU1" s="49"/>
      <c r="AV1" s="49"/>
      <c r="AW1" s="49"/>
      <c r="AX1" s="49"/>
      <c r="AZ1" s="50" t="s">
        <v>648</v>
      </c>
      <c r="BA1" s="49"/>
      <c r="BB1" s="49"/>
      <c r="BC1" s="49"/>
      <c r="BD1" s="49"/>
      <c r="BF1" s="50" t="s">
        <v>649</v>
      </c>
      <c r="BG1" s="49"/>
      <c r="BH1" s="49"/>
      <c r="BI1" s="49"/>
      <c r="BJ1" s="49"/>
      <c r="BL1" s="50" t="s">
        <v>700</v>
      </c>
      <c r="BM1" s="49"/>
      <c r="BN1" s="49"/>
      <c r="BO1" s="49"/>
      <c r="BP1" s="49"/>
      <c r="BR1" s="50" t="s">
        <v>701</v>
      </c>
      <c r="BS1" s="49"/>
      <c r="BT1" s="49"/>
      <c r="BU1" s="49"/>
      <c r="BV1" s="49"/>
      <c r="BX1" s="50" t="s">
        <v>702</v>
      </c>
      <c r="BY1" s="49"/>
      <c r="BZ1" s="49"/>
      <c r="CA1" s="49"/>
      <c r="CB1" s="49"/>
      <c r="CD1" s="50" t="s">
        <v>703</v>
      </c>
      <c r="CE1" s="49"/>
      <c r="CF1" s="49"/>
      <c r="CG1" s="49"/>
      <c r="CH1" s="49"/>
      <c r="CJ1" s="50" t="s">
        <v>704</v>
      </c>
      <c r="CK1" s="49"/>
      <c r="CL1" s="49"/>
      <c r="CM1" s="49"/>
      <c r="CN1" s="49"/>
      <c r="CP1" s="50" t="s">
        <v>705</v>
      </c>
      <c r="CQ1" s="49"/>
      <c r="CR1" s="49"/>
      <c r="CS1" s="49"/>
      <c r="CT1" s="49"/>
      <c r="CV1" s="50" t="s">
        <v>706</v>
      </c>
      <c r="CW1" s="49"/>
      <c r="CX1" s="49"/>
      <c r="CY1" s="49"/>
      <c r="CZ1" s="49"/>
      <c r="DB1" s="50" t="s">
        <v>707</v>
      </c>
      <c r="DC1" s="49"/>
      <c r="DD1" s="49"/>
      <c r="DE1" s="49"/>
      <c r="DF1" s="49"/>
      <c r="DH1" s="50" t="s">
        <v>708</v>
      </c>
      <c r="DI1" s="49"/>
      <c r="DJ1" s="49"/>
      <c r="DK1" s="49"/>
      <c r="DL1" s="49"/>
      <c r="DN1" s="50" t="s">
        <v>709</v>
      </c>
      <c r="DO1" s="49"/>
      <c r="DP1" s="49"/>
      <c r="DQ1" s="49"/>
      <c r="DR1" s="49"/>
      <c r="DT1" s="50" t="s">
        <v>710</v>
      </c>
      <c r="DU1" s="49"/>
      <c r="DV1" s="49"/>
      <c r="DW1" s="49"/>
      <c r="DX1" s="49"/>
      <c r="DZ1" s="50" t="s">
        <v>711</v>
      </c>
      <c r="EA1" s="49"/>
      <c r="EB1" s="49"/>
      <c r="EC1" s="49"/>
      <c r="ED1" s="49"/>
      <c r="EF1" s="50" t="s">
        <v>712</v>
      </c>
      <c r="EG1" s="49"/>
      <c r="EH1" s="49"/>
      <c r="EI1" s="49"/>
      <c r="EJ1" s="49"/>
      <c r="EL1" s="50" t="s">
        <v>713</v>
      </c>
      <c r="EM1" s="49"/>
      <c r="EN1" s="49"/>
      <c r="EO1" s="49"/>
      <c r="EP1" s="49"/>
      <c r="ER1" s="50" t="s">
        <v>714</v>
      </c>
      <c r="ES1" s="49"/>
      <c r="ET1" s="49"/>
      <c r="EU1" s="49"/>
      <c r="EV1" s="49"/>
    </row>
    <row r="2" spans="1:152" x14ac:dyDescent="0.25">
      <c r="B2" s="52" t="s">
        <v>80</v>
      </c>
      <c r="C2" s="52" t="s">
        <v>81</v>
      </c>
      <c r="D2" s="52" t="s">
        <v>82</v>
      </c>
      <c r="E2" s="52" t="s">
        <v>83</v>
      </c>
      <c r="F2" s="52" t="s">
        <v>84</v>
      </c>
      <c r="G2" s="52" t="s">
        <v>85</v>
      </c>
      <c r="H2" s="52" t="s">
        <v>86</v>
      </c>
      <c r="J2" s="52" t="s">
        <v>82</v>
      </c>
      <c r="K2" s="52" t="s">
        <v>83</v>
      </c>
      <c r="L2" s="52" t="s">
        <v>84</v>
      </c>
      <c r="M2" s="52" t="s">
        <v>85</v>
      </c>
      <c r="N2" s="52" t="s">
        <v>86</v>
      </c>
      <c r="P2" s="52" t="s">
        <v>82</v>
      </c>
      <c r="Q2" s="52" t="s">
        <v>83</v>
      </c>
      <c r="R2" s="52" t="s">
        <v>84</v>
      </c>
      <c r="S2" s="52" t="s">
        <v>85</v>
      </c>
      <c r="T2" s="52" t="s">
        <v>86</v>
      </c>
      <c r="V2" s="52" t="s">
        <v>82</v>
      </c>
      <c r="W2" s="52" t="s">
        <v>83</v>
      </c>
      <c r="X2" s="52" t="s">
        <v>84</v>
      </c>
      <c r="Y2" s="52" t="s">
        <v>85</v>
      </c>
      <c r="Z2" s="52" t="s">
        <v>86</v>
      </c>
      <c r="AB2" s="52" t="s">
        <v>82</v>
      </c>
      <c r="AC2" s="52" t="s">
        <v>83</v>
      </c>
      <c r="AD2" s="52" t="s">
        <v>84</v>
      </c>
      <c r="AE2" s="52" t="s">
        <v>85</v>
      </c>
      <c r="AF2" s="52" t="s">
        <v>86</v>
      </c>
      <c r="AH2" s="52" t="s">
        <v>82</v>
      </c>
      <c r="AI2" s="52" t="s">
        <v>83</v>
      </c>
      <c r="AJ2" s="52" t="s">
        <v>84</v>
      </c>
      <c r="AK2" s="52" t="s">
        <v>85</v>
      </c>
      <c r="AL2" s="52" t="s">
        <v>86</v>
      </c>
      <c r="AN2" s="52" t="s">
        <v>82</v>
      </c>
      <c r="AO2" s="52" t="s">
        <v>83</v>
      </c>
      <c r="AP2" s="52" t="s">
        <v>84</v>
      </c>
      <c r="AQ2" s="52" t="s">
        <v>85</v>
      </c>
      <c r="AR2" s="52" t="s">
        <v>86</v>
      </c>
      <c r="AT2" s="52" t="s">
        <v>82</v>
      </c>
      <c r="AU2" s="52" t="s">
        <v>83</v>
      </c>
      <c r="AV2" s="52" t="s">
        <v>84</v>
      </c>
      <c r="AW2" s="52" t="s">
        <v>85</v>
      </c>
      <c r="AX2" s="52" t="s">
        <v>86</v>
      </c>
      <c r="AZ2" s="52" t="s">
        <v>82</v>
      </c>
      <c r="BA2" s="52" t="s">
        <v>83</v>
      </c>
      <c r="BB2" s="52" t="s">
        <v>84</v>
      </c>
      <c r="BC2" s="52" t="s">
        <v>85</v>
      </c>
      <c r="BD2" s="52" t="s">
        <v>86</v>
      </c>
      <c r="BF2" s="52" t="s">
        <v>82</v>
      </c>
      <c r="BG2" s="52" t="s">
        <v>83</v>
      </c>
      <c r="BH2" s="52" t="s">
        <v>84</v>
      </c>
      <c r="BI2" s="52" t="s">
        <v>85</v>
      </c>
      <c r="BJ2" s="52" t="s">
        <v>86</v>
      </c>
      <c r="BL2" s="52" t="s">
        <v>82</v>
      </c>
      <c r="BM2" s="52" t="s">
        <v>83</v>
      </c>
      <c r="BN2" s="52" t="s">
        <v>84</v>
      </c>
      <c r="BO2" s="52" t="s">
        <v>85</v>
      </c>
      <c r="BP2" s="52" t="s">
        <v>86</v>
      </c>
      <c r="BR2" s="52" t="s">
        <v>82</v>
      </c>
      <c r="BS2" s="52" t="s">
        <v>83</v>
      </c>
      <c r="BT2" s="52" t="s">
        <v>84</v>
      </c>
      <c r="BU2" s="52" t="s">
        <v>85</v>
      </c>
      <c r="BV2" s="52" t="s">
        <v>86</v>
      </c>
      <c r="BX2" s="52" t="s">
        <v>82</v>
      </c>
      <c r="BY2" s="52" t="s">
        <v>83</v>
      </c>
      <c r="BZ2" s="52" t="s">
        <v>84</v>
      </c>
      <c r="CA2" s="52" t="s">
        <v>85</v>
      </c>
      <c r="CB2" s="52" t="s">
        <v>86</v>
      </c>
      <c r="CD2" s="52" t="s">
        <v>82</v>
      </c>
      <c r="CE2" s="52" t="s">
        <v>83</v>
      </c>
      <c r="CF2" s="52" t="s">
        <v>84</v>
      </c>
      <c r="CG2" s="52" t="s">
        <v>85</v>
      </c>
      <c r="CH2" s="52" t="s">
        <v>86</v>
      </c>
      <c r="CJ2" s="52" t="s">
        <v>82</v>
      </c>
      <c r="CK2" s="52" t="s">
        <v>83</v>
      </c>
      <c r="CL2" s="52" t="s">
        <v>84</v>
      </c>
      <c r="CM2" s="52" t="s">
        <v>85</v>
      </c>
      <c r="CN2" s="52" t="s">
        <v>86</v>
      </c>
      <c r="CP2" s="52" t="s">
        <v>82</v>
      </c>
      <c r="CQ2" s="52" t="s">
        <v>83</v>
      </c>
      <c r="CR2" s="52" t="s">
        <v>84</v>
      </c>
      <c r="CS2" s="52" t="s">
        <v>85</v>
      </c>
      <c r="CT2" s="52" t="s">
        <v>86</v>
      </c>
      <c r="CV2" s="52" t="s">
        <v>82</v>
      </c>
      <c r="CW2" s="52" t="s">
        <v>83</v>
      </c>
      <c r="CX2" s="52" t="s">
        <v>84</v>
      </c>
      <c r="CY2" s="52" t="s">
        <v>85</v>
      </c>
      <c r="CZ2" s="52" t="s">
        <v>86</v>
      </c>
      <c r="DB2" s="52" t="s">
        <v>82</v>
      </c>
      <c r="DC2" s="52" t="s">
        <v>83</v>
      </c>
      <c r="DD2" s="52" t="s">
        <v>84</v>
      </c>
      <c r="DE2" s="52" t="s">
        <v>85</v>
      </c>
      <c r="DF2" s="52" t="s">
        <v>86</v>
      </c>
      <c r="DH2" s="52" t="s">
        <v>82</v>
      </c>
      <c r="DI2" s="52" t="s">
        <v>83</v>
      </c>
      <c r="DJ2" s="52" t="s">
        <v>84</v>
      </c>
      <c r="DK2" s="52" t="s">
        <v>85</v>
      </c>
      <c r="DL2" s="52" t="s">
        <v>86</v>
      </c>
      <c r="DN2" s="52" t="s">
        <v>82</v>
      </c>
      <c r="DO2" s="52" t="s">
        <v>83</v>
      </c>
      <c r="DP2" s="52" t="s">
        <v>84</v>
      </c>
      <c r="DQ2" s="52" t="s">
        <v>85</v>
      </c>
      <c r="DR2" s="52" t="s">
        <v>86</v>
      </c>
      <c r="DT2" s="52" t="s">
        <v>82</v>
      </c>
      <c r="DU2" s="52" t="s">
        <v>83</v>
      </c>
      <c r="DV2" s="52" t="s">
        <v>84</v>
      </c>
      <c r="DW2" s="52" t="s">
        <v>85</v>
      </c>
      <c r="DX2" s="52" t="s">
        <v>86</v>
      </c>
      <c r="DZ2" s="52" t="s">
        <v>82</v>
      </c>
      <c r="EA2" s="52" t="s">
        <v>83</v>
      </c>
      <c r="EB2" s="52" t="s">
        <v>84</v>
      </c>
      <c r="EC2" s="52" t="s">
        <v>85</v>
      </c>
      <c r="ED2" s="52" t="s">
        <v>86</v>
      </c>
      <c r="EF2" s="52" t="s">
        <v>82</v>
      </c>
      <c r="EG2" s="52" t="s">
        <v>83</v>
      </c>
      <c r="EH2" s="52" t="s">
        <v>84</v>
      </c>
      <c r="EI2" s="52" t="s">
        <v>85</v>
      </c>
      <c r="EJ2" s="52" t="s">
        <v>86</v>
      </c>
      <c r="EL2" s="52" t="s">
        <v>82</v>
      </c>
      <c r="EM2" s="52" t="s">
        <v>83</v>
      </c>
      <c r="EN2" s="52" t="s">
        <v>84</v>
      </c>
      <c r="EO2" s="52" t="s">
        <v>85</v>
      </c>
      <c r="EP2" s="52" t="s">
        <v>86</v>
      </c>
      <c r="ER2" s="52" t="s">
        <v>82</v>
      </c>
      <c r="ES2" s="52" t="s">
        <v>83</v>
      </c>
      <c r="ET2" s="52" t="s">
        <v>84</v>
      </c>
      <c r="EU2" s="52" t="s">
        <v>85</v>
      </c>
      <c r="EV2" s="52" t="s">
        <v>86</v>
      </c>
    </row>
    <row r="3" spans="1:152" x14ac:dyDescent="0.25">
      <c r="B3" s="61" t="s">
        <v>146</v>
      </c>
      <c r="C3" s="54"/>
      <c r="D3" s="54"/>
      <c r="E3" s="54"/>
      <c r="F3" s="54"/>
      <c r="G3" s="54"/>
      <c r="H3" s="54"/>
      <c r="J3" s="54"/>
      <c r="K3" s="54"/>
      <c r="L3" s="54"/>
      <c r="M3" s="54"/>
      <c r="N3" s="54"/>
      <c r="P3" s="54"/>
      <c r="Q3" s="54"/>
      <c r="R3" s="54"/>
      <c r="S3" s="54"/>
      <c r="T3" s="54"/>
      <c r="V3" s="54"/>
      <c r="W3" s="54"/>
      <c r="X3" s="54"/>
      <c r="Y3" s="54"/>
      <c r="Z3" s="54"/>
      <c r="AB3" s="54"/>
      <c r="AC3" s="54"/>
      <c r="AD3" s="54"/>
      <c r="AE3" s="54"/>
      <c r="AF3" s="54"/>
      <c r="AH3" s="54"/>
      <c r="AI3" s="54"/>
      <c r="AJ3" s="54"/>
      <c r="AK3" s="54"/>
      <c r="AL3" s="54"/>
      <c r="AN3" s="54"/>
      <c r="AO3" s="54"/>
      <c r="AP3" s="54"/>
      <c r="AQ3" s="54"/>
      <c r="AR3" s="54"/>
      <c r="AT3" s="54"/>
      <c r="AU3" s="54"/>
      <c r="AV3" s="54"/>
      <c r="AW3" s="54"/>
      <c r="AX3" s="54"/>
      <c r="AZ3" s="54"/>
      <c r="BA3" s="54"/>
      <c r="BB3" s="54"/>
      <c r="BC3" s="54"/>
      <c r="BD3" s="54"/>
      <c r="BF3" s="54"/>
      <c r="BG3" s="54"/>
      <c r="BH3" s="54"/>
      <c r="BI3" s="54"/>
      <c r="BJ3" s="54"/>
      <c r="BL3" s="54"/>
      <c r="BM3" s="54"/>
      <c r="BN3" s="54"/>
      <c r="BO3" s="54"/>
      <c r="BP3" s="54"/>
      <c r="BR3" s="54"/>
      <c r="BS3" s="54"/>
      <c r="BT3" s="54"/>
      <c r="BU3" s="54"/>
      <c r="BV3" s="54"/>
      <c r="BX3" s="54"/>
      <c r="BY3" s="54"/>
      <c r="BZ3" s="54"/>
      <c r="CA3" s="54"/>
      <c r="CB3" s="54"/>
      <c r="CD3" s="54"/>
      <c r="CE3" s="54"/>
      <c r="CF3" s="54"/>
      <c r="CG3" s="54"/>
      <c r="CH3" s="54"/>
      <c r="CJ3" s="54"/>
      <c r="CK3" s="54"/>
      <c r="CL3" s="54"/>
      <c r="CM3" s="54"/>
      <c r="CN3" s="54"/>
      <c r="CP3" s="54"/>
      <c r="CQ3" s="54"/>
      <c r="CR3" s="54"/>
      <c r="CS3" s="54"/>
      <c r="CT3" s="54"/>
      <c r="CV3" s="54"/>
      <c r="CW3" s="54"/>
      <c r="CX3" s="54"/>
      <c r="CY3" s="54"/>
      <c r="CZ3" s="54"/>
      <c r="DB3" s="54"/>
      <c r="DC3" s="54"/>
      <c r="DD3" s="54"/>
      <c r="DE3" s="54"/>
      <c r="DF3" s="54"/>
      <c r="DH3" s="54"/>
      <c r="DI3" s="54"/>
      <c r="DJ3" s="54"/>
      <c r="DK3" s="54"/>
      <c r="DL3" s="54"/>
      <c r="DN3" s="54"/>
      <c r="DO3" s="54"/>
      <c r="DP3" s="54"/>
      <c r="DQ3" s="54"/>
      <c r="DR3" s="54"/>
      <c r="DT3" s="54"/>
      <c r="DU3" s="54"/>
      <c r="DV3" s="54"/>
      <c r="DW3" s="54"/>
      <c r="DX3" s="54"/>
      <c r="DZ3" s="54"/>
      <c r="EA3" s="54"/>
      <c r="EB3" s="54"/>
      <c r="EC3" s="54"/>
      <c r="ED3" s="54"/>
      <c r="EF3" s="54"/>
      <c r="EG3" s="54"/>
      <c r="EH3" s="54"/>
      <c r="EI3" s="54"/>
      <c r="EJ3" s="54"/>
      <c r="EL3" s="54"/>
      <c r="EM3" s="54"/>
      <c r="EN3" s="54"/>
      <c r="EO3" s="54"/>
      <c r="EP3" s="54"/>
      <c r="ER3" s="54"/>
      <c r="ES3" s="54"/>
      <c r="ET3" s="54"/>
      <c r="EU3" s="54"/>
      <c r="EV3" s="54"/>
    </row>
    <row r="4" spans="1:152" x14ac:dyDescent="0.25">
      <c r="A4" t="s">
        <v>623</v>
      </c>
      <c r="B4" s="55" t="s">
        <v>147</v>
      </c>
      <c r="C4" s="55" t="s">
        <v>148</v>
      </c>
      <c r="D4" s="55"/>
      <c r="E4" s="329">
        <v>96.551097303014217</v>
      </c>
      <c r="F4" s="55"/>
      <c r="G4" s="55"/>
      <c r="H4" s="55"/>
      <c r="J4" s="55"/>
      <c r="K4" s="329">
        <v>68.965069502153028</v>
      </c>
      <c r="L4" s="55"/>
      <c r="M4" s="55"/>
      <c r="N4" s="55"/>
      <c r="P4" s="55"/>
      <c r="Q4" s="329">
        <v>48.275548651507108</v>
      </c>
      <c r="R4" s="55"/>
      <c r="S4" s="55"/>
      <c r="T4" s="55"/>
      <c r="V4" s="55"/>
      <c r="W4" s="329">
        <v>48.275548651507108</v>
      </c>
      <c r="X4" s="55"/>
      <c r="Y4" s="55"/>
      <c r="Z4" s="55"/>
      <c r="AB4" s="55"/>
      <c r="AC4" s="329">
        <v>48.275548651507108</v>
      </c>
      <c r="AD4" s="55"/>
      <c r="AE4" s="55"/>
      <c r="AF4" s="55"/>
      <c r="AH4" s="55"/>
      <c r="AI4" s="329">
        <v>48.275548651507108</v>
      </c>
      <c r="AJ4" s="55"/>
      <c r="AK4" s="55"/>
      <c r="AL4" s="55"/>
      <c r="AN4" s="55"/>
      <c r="AO4" s="329">
        <v>48.275548651507108</v>
      </c>
      <c r="AP4" s="55"/>
      <c r="AQ4" s="55"/>
      <c r="AR4" s="55"/>
      <c r="AT4" s="55"/>
      <c r="AU4" s="329">
        <v>48.275548651507108</v>
      </c>
      <c r="AV4" s="55"/>
      <c r="AW4" s="55"/>
      <c r="AX4" s="55"/>
      <c r="AZ4" s="55"/>
      <c r="BA4" s="329">
        <v>48.275548651507108</v>
      </c>
      <c r="BB4" s="55"/>
      <c r="BC4" s="55"/>
      <c r="BD4" s="55"/>
      <c r="BF4" s="55"/>
      <c r="BG4" s="329">
        <v>48.275548651507108</v>
      </c>
      <c r="BH4" s="55"/>
      <c r="BI4" s="55"/>
      <c r="BJ4" s="55"/>
      <c r="BL4" s="55"/>
      <c r="BM4" s="329">
        <v>48.275548651507108</v>
      </c>
      <c r="BN4" s="55"/>
      <c r="BO4" s="55"/>
      <c r="BP4" s="55"/>
      <c r="BR4" s="55"/>
      <c r="BS4" s="329">
        <v>48.275548651507108</v>
      </c>
      <c r="BT4" s="55"/>
      <c r="BU4" s="55"/>
      <c r="BV4" s="55"/>
      <c r="BX4" s="55"/>
      <c r="BY4" s="329">
        <v>48.275548651507108</v>
      </c>
      <c r="BZ4" s="55"/>
      <c r="CA4" s="55"/>
      <c r="CB4" s="55"/>
      <c r="CD4" s="55"/>
      <c r="CE4" s="329">
        <v>48.275548651507108</v>
      </c>
      <c r="CF4" s="55"/>
      <c r="CG4" s="55"/>
      <c r="CH4" s="55"/>
      <c r="CJ4" s="55"/>
      <c r="CK4" s="329">
        <v>48.275548651507108</v>
      </c>
      <c r="CL4" s="55"/>
      <c r="CM4" s="55"/>
      <c r="CN4" s="55"/>
      <c r="CP4" s="55"/>
      <c r="CQ4" s="329">
        <v>0</v>
      </c>
      <c r="CR4" s="55"/>
      <c r="CS4" s="55"/>
      <c r="CT4" s="55"/>
      <c r="CV4" s="55"/>
      <c r="CW4" s="329">
        <v>0</v>
      </c>
      <c r="CX4" s="55"/>
      <c r="CY4" s="55"/>
      <c r="CZ4" s="55"/>
      <c r="DB4" s="55"/>
      <c r="DC4" s="329">
        <v>0</v>
      </c>
      <c r="DD4" s="55"/>
      <c r="DE4" s="55"/>
      <c r="DF4" s="55"/>
      <c r="DH4" s="55"/>
      <c r="DI4" s="329">
        <v>0</v>
      </c>
      <c r="DJ4" s="55"/>
      <c r="DK4" s="55"/>
      <c r="DL4" s="55"/>
      <c r="DN4" s="55"/>
      <c r="DO4" s="329">
        <v>0</v>
      </c>
      <c r="DP4" s="55"/>
      <c r="DQ4" s="55"/>
      <c r="DR4" s="55"/>
      <c r="DT4" s="55"/>
      <c r="DU4" s="329">
        <v>0</v>
      </c>
      <c r="DV4" s="55"/>
      <c r="DW4" s="55"/>
      <c r="DX4" s="55"/>
      <c r="DZ4" s="55"/>
      <c r="EA4" s="329">
        <v>0</v>
      </c>
      <c r="EB4" s="55"/>
      <c r="EC4" s="55"/>
      <c r="ED4" s="55"/>
      <c r="EF4" s="55"/>
      <c r="EG4" s="329">
        <v>0</v>
      </c>
      <c r="EH4" s="55"/>
      <c r="EI4" s="55"/>
      <c r="EJ4" s="55"/>
      <c r="EL4" s="55"/>
      <c r="EM4" s="329">
        <v>0</v>
      </c>
      <c r="EN4" s="55"/>
      <c r="EO4" s="55"/>
      <c r="EP4" s="55"/>
      <c r="ER4" s="55"/>
      <c r="ES4" s="329">
        <v>0</v>
      </c>
      <c r="ET4" s="55"/>
      <c r="EU4" s="55"/>
      <c r="EV4" s="55"/>
    </row>
    <row r="5" spans="1:152" x14ac:dyDescent="0.25">
      <c r="A5" t="s">
        <v>623</v>
      </c>
      <c r="B5" s="55" t="s">
        <v>149</v>
      </c>
      <c r="C5" s="55" t="s">
        <v>148</v>
      </c>
      <c r="D5" s="55"/>
      <c r="E5" s="329">
        <v>50.689326084082452</v>
      </c>
      <c r="F5" s="55"/>
      <c r="G5" s="55"/>
      <c r="H5" s="55"/>
      <c r="J5" s="55"/>
      <c r="K5" s="329">
        <v>36.206661488630331</v>
      </c>
      <c r="L5" s="55"/>
      <c r="M5" s="55"/>
      <c r="N5" s="55"/>
      <c r="P5" s="55"/>
      <c r="Q5" s="329">
        <v>26.611896194143288</v>
      </c>
      <c r="R5" s="55"/>
      <c r="S5" s="55"/>
      <c r="T5" s="55"/>
      <c r="V5" s="55"/>
      <c r="W5" s="329">
        <v>27.942491003850453</v>
      </c>
      <c r="X5" s="55"/>
      <c r="Y5" s="55"/>
      <c r="Z5" s="55"/>
      <c r="AB5" s="55"/>
      <c r="AC5" s="329">
        <v>29.339615554042979</v>
      </c>
      <c r="AD5" s="55"/>
      <c r="AE5" s="55"/>
      <c r="AF5" s="55"/>
      <c r="AH5" s="55"/>
      <c r="AI5" s="329">
        <v>30.806596331745123</v>
      </c>
      <c r="AJ5" s="55"/>
      <c r="AK5" s="55"/>
      <c r="AL5" s="55"/>
      <c r="AN5" s="55"/>
      <c r="AO5" s="329">
        <v>32.346926148332386</v>
      </c>
      <c r="AP5" s="55"/>
      <c r="AQ5" s="55"/>
      <c r="AR5" s="55"/>
      <c r="AT5" s="55"/>
      <c r="AU5" s="329">
        <v>33.964272455748997</v>
      </c>
      <c r="AV5" s="55"/>
      <c r="AW5" s="55"/>
      <c r="AX5" s="55"/>
      <c r="AZ5" s="55"/>
      <c r="BA5" s="329">
        <v>35.66248607853646</v>
      </c>
      <c r="BB5" s="55"/>
      <c r="BC5" s="55"/>
      <c r="BD5" s="55"/>
      <c r="BF5" s="55"/>
      <c r="BG5" s="329">
        <v>37.445610382463272</v>
      </c>
      <c r="BH5" s="55"/>
      <c r="BI5" s="55"/>
      <c r="BJ5" s="55"/>
      <c r="BL5" s="55"/>
      <c r="BM5" s="329">
        <v>39.317890901586431</v>
      </c>
      <c r="BN5" s="55"/>
      <c r="BO5" s="55"/>
      <c r="BP5" s="55"/>
      <c r="BR5" s="55"/>
      <c r="BS5" s="329">
        <v>41.28378544666576</v>
      </c>
      <c r="BT5" s="55"/>
      <c r="BU5" s="55"/>
      <c r="BV5" s="55"/>
      <c r="BX5" s="55"/>
      <c r="BY5" s="329">
        <v>43.347974718999055</v>
      </c>
      <c r="BZ5" s="55"/>
      <c r="CA5" s="55"/>
      <c r="CB5" s="55"/>
      <c r="CD5" s="55"/>
      <c r="CE5" s="329">
        <v>45.515373454948993</v>
      </c>
      <c r="CF5" s="55"/>
      <c r="CG5" s="55"/>
      <c r="CH5" s="55"/>
      <c r="CJ5" s="55"/>
      <c r="CK5" s="329">
        <v>47.79114212769646</v>
      </c>
      <c r="CL5" s="55"/>
      <c r="CM5" s="55"/>
      <c r="CN5" s="55"/>
      <c r="CP5" s="55"/>
      <c r="CQ5" s="329">
        <v>50.180699234081267</v>
      </c>
      <c r="CR5" s="55"/>
      <c r="CS5" s="55"/>
      <c r="CT5" s="55"/>
      <c r="CV5" s="55"/>
      <c r="CW5" s="329">
        <v>52.689734195785356</v>
      </c>
      <c r="CX5" s="55"/>
      <c r="CY5" s="55"/>
      <c r="CZ5" s="55"/>
      <c r="DB5" s="55"/>
      <c r="DC5" s="329">
        <v>55.324220905574613</v>
      </c>
      <c r="DD5" s="55"/>
      <c r="DE5" s="55"/>
      <c r="DF5" s="55"/>
      <c r="DH5" s="55"/>
      <c r="DI5" s="329">
        <v>58.09043195085335</v>
      </c>
      <c r="DJ5" s="55"/>
      <c r="DK5" s="55"/>
      <c r="DL5" s="55"/>
      <c r="DN5" s="55"/>
      <c r="DO5" s="329">
        <v>60.994953548396019</v>
      </c>
      <c r="DP5" s="55"/>
      <c r="DQ5" s="55"/>
      <c r="DR5" s="55"/>
      <c r="DT5" s="55"/>
      <c r="DU5" s="329">
        <v>64.044701225815814</v>
      </c>
      <c r="DV5" s="55"/>
      <c r="DW5" s="55"/>
      <c r="DX5" s="55"/>
      <c r="DZ5" s="55"/>
      <c r="EA5" s="329">
        <v>67.246936287106607</v>
      </c>
      <c r="EB5" s="55"/>
      <c r="EC5" s="55"/>
      <c r="ED5" s="55"/>
      <c r="EF5" s="55"/>
      <c r="EG5" s="329">
        <v>70.609283101461926</v>
      </c>
      <c r="EH5" s="55"/>
      <c r="EI5" s="55"/>
      <c r="EJ5" s="55"/>
      <c r="EL5" s="55"/>
      <c r="EM5" s="329">
        <v>74.139747256535017</v>
      </c>
      <c r="EN5" s="55"/>
      <c r="EO5" s="55"/>
      <c r="EP5" s="55"/>
      <c r="ER5" s="55"/>
      <c r="ES5" s="329">
        <v>77.846734619361783</v>
      </c>
      <c r="ET5" s="55"/>
      <c r="EU5" s="55"/>
      <c r="EV5" s="55"/>
    </row>
    <row r="6" spans="1:152" x14ac:dyDescent="0.25">
      <c r="A6" t="s">
        <v>624</v>
      </c>
      <c r="B6" s="55" t="s">
        <v>150</v>
      </c>
      <c r="C6" s="55" t="s">
        <v>148</v>
      </c>
      <c r="D6" s="55"/>
      <c r="E6" s="329">
        <v>25.705645161290324</v>
      </c>
      <c r="F6" s="55"/>
      <c r="G6" s="55"/>
      <c r="H6" s="55"/>
      <c r="J6" s="55"/>
      <c r="K6" s="329">
        <v>25.705645161290324</v>
      </c>
      <c r="L6" s="55"/>
      <c r="M6" s="55"/>
      <c r="N6" s="55"/>
      <c r="P6" s="55"/>
      <c r="Q6" s="329">
        <v>26.99092741935484</v>
      </c>
      <c r="R6" s="55"/>
      <c r="S6" s="55"/>
      <c r="T6" s="55"/>
      <c r="V6" s="55"/>
      <c r="W6" s="329">
        <v>28.34047379032258</v>
      </c>
      <c r="X6" s="55"/>
      <c r="Y6" s="55"/>
      <c r="Z6" s="55"/>
      <c r="AB6" s="55"/>
      <c r="AC6" s="329">
        <v>29.757497479838715</v>
      </c>
      <c r="AD6" s="55"/>
      <c r="AE6" s="55"/>
      <c r="AF6" s="55"/>
      <c r="AH6" s="55"/>
      <c r="AI6" s="329">
        <v>31.24537235383065</v>
      </c>
      <c r="AJ6" s="55"/>
      <c r="AK6" s="55"/>
      <c r="AL6" s="55"/>
      <c r="AN6" s="55"/>
      <c r="AO6" s="329">
        <v>32.807640971522183</v>
      </c>
      <c r="AP6" s="55"/>
      <c r="AQ6" s="55"/>
      <c r="AR6" s="55"/>
      <c r="AT6" s="55"/>
      <c r="AU6" s="329">
        <v>34.448023020098283</v>
      </c>
      <c r="AV6" s="55"/>
      <c r="AW6" s="55"/>
      <c r="AX6" s="55"/>
      <c r="AZ6" s="55"/>
      <c r="BA6" s="329">
        <v>36.170424171103207</v>
      </c>
      <c r="BB6" s="55"/>
      <c r="BC6" s="55"/>
      <c r="BD6" s="55"/>
      <c r="BF6" s="55"/>
      <c r="BG6" s="329">
        <v>37.978945379658363</v>
      </c>
      <c r="BH6" s="55"/>
      <c r="BI6" s="55"/>
      <c r="BJ6" s="55"/>
      <c r="BL6" s="55"/>
      <c r="BM6" s="329">
        <v>39.877892648641286</v>
      </c>
      <c r="BN6" s="55"/>
      <c r="BO6" s="55"/>
      <c r="BP6" s="55"/>
      <c r="BR6" s="55"/>
      <c r="BS6" s="329">
        <v>41.871787281073345</v>
      </c>
      <c r="BT6" s="55"/>
      <c r="BU6" s="55"/>
      <c r="BV6" s="55"/>
      <c r="BX6" s="55"/>
      <c r="BY6" s="329">
        <v>43.965376645127016</v>
      </c>
      <c r="BZ6" s="55"/>
      <c r="CA6" s="55"/>
      <c r="CB6" s="55"/>
      <c r="CD6" s="55"/>
      <c r="CE6" s="329">
        <v>46.163645477383362</v>
      </c>
      <c r="CF6" s="55"/>
      <c r="CG6" s="55"/>
      <c r="CH6" s="55"/>
      <c r="CJ6" s="55"/>
      <c r="CK6" s="329">
        <v>48.47182775125254</v>
      </c>
      <c r="CL6" s="55"/>
      <c r="CM6" s="55"/>
      <c r="CN6" s="55"/>
      <c r="CP6" s="55"/>
      <c r="CQ6" s="329">
        <v>50.895419138815157</v>
      </c>
      <c r="CR6" s="55"/>
      <c r="CS6" s="55"/>
      <c r="CT6" s="55"/>
      <c r="CV6" s="55"/>
      <c r="CW6" s="329">
        <v>53.440190095755923</v>
      </c>
      <c r="CX6" s="55"/>
      <c r="CY6" s="55"/>
      <c r="CZ6" s="55"/>
      <c r="DB6" s="55"/>
      <c r="DC6" s="329">
        <v>56.112199600543725</v>
      </c>
      <c r="DD6" s="55"/>
      <c r="DE6" s="55"/>
      <c r="DF6" s="55"/>
      <c r="DH6" s="55"/>
      <c r="DI6" s="329">
        <v>58.917809580570911</v>
      </c>
      <c r="DJ6" s="55"/>
      <c r="DK6" s="55"/>
      <c r="DL6" s="55"/>
      <c r="DN6" s="55"/>
      <c r="DO6" s="329">
        <v>61.863700059599459</v>
      </c>
      <c r="DP6" s="55"/>
      <c r="DQ6" s="55"/>
      <c r="DR6" s="55"/>
      <c r="DT6" s="55"/>
      <c r="DU6" s="329">
        <v>64.956885062579431</v>
      </c>
      <c r="DV6" s="55"/>
      <c r="DW6" s="55"/>
      <c r="DX6" s="55"/>
      <c r="DZ6" s="55"/>
      <c r="EA6" s="329">
        <v>68.204729315708391</v>
      </c>
      <c r="EB6" s="55"/>
      <c r="EC6" s="55"/>
      <c r="ED6" s="55"/>
      <c r="EF6" s="55"/>
      <c r="EG6" s="329">
        <v>71.614965781493808</v>
      </c>
      <c r="EH6" s="55"/>
      <c r="EI6" s="55"/>
      <c r="EJ6" s="55"/>
      <c r="EL6" s="55"/>
      <c r="EM6" s="329">
        <v>75.195714070568513</v>
      </c>
      <c r="EN6" s="55"/>
      <c r="EO6" s="55"/>
      <c r="EP6" s="55"/>
      <c r="ER6" s="55"/>
      <c r="ES6" s="329">
        <v>78.95549977409695</v>
      </c>
      <c r="ET6" s="55"/>
      <c r="EU6" s="55"/>
      <c r="EV6" s="55"/>
    </row>
    <row r="7" spans="1:152" x14ac:dyDescent="0.25">
      <c r="A7" t="s">
        <v>623</v>
      </c>
      <c r="B7" s="55" t="s">
        <v>151</v>
      </c>
      <c r="C7" s="55" t="s">
        <v>148</v>
      </c>
      <c r="D7" s="55"/>
      <c r="E7" s="329">
        <v>5.1431121099947079</v>
      </c>
      <c r="F7" s="55"/>
      <c r="G7" s="55"/>
      <c r="H7" s="55"/>
      <c r="J7" s="55"/>
      <c r="K7" s="329">
        <v>3.673651507139077</v>
      </c>
      <c r="L7" s="55"/>
      <c r="M7" s="55"/>
      <c r="N7" s="55"/>
      <c r="P7" s="55"/>
      <c r="Q7" s="329">
        <v>2.7001338577472214</v>
      </c>
      <c r="R7" s="55"/>
      <c r="S7" s="55"/>
      <c r="T7" s="55"/>
      <c r="V7" s="55"/>
      <c r="W7" s="329">
        <v>2.8351405506345824</v>
      </c>
      <c r="X7" s="55"/>
      <c r="Y7" s="55"/>
      <c r="Z7" s="55"/>
      <c r="AB7" s="55"/>
      <c r="AC7" s="329">
        <v>2.9768975781663123</v>
      </c>
      <c r="AD7" s="55"/>
      <c r="AE7" s="55"/>
      <c r="AF7" s="55"/>
      <c r="AH7" s="55"/>
      <c r="AI7" s="329">
        <v>3.1257424570746273</v>
      </c>
      <c r="AJ7" s="55"/>
      <c r="AK7" s="55"/>
      <c r="AL7" s="55"/>
      <c r="AN7" s="55"/>
      <c r="AO7" s="329">
        <v>3.2820295799283588</v>
      </c>
      <c r="AP7" s="55"/>
      <c r="AQ7" s="55"/>
      <c r="AR7" s="55"/>
      <c r="AT7" s="55"/>
      <c r="AU7" s="329">
        <v>3.4461310589247769</v>
      </c>
      <c r="AV7" s="55"/>
      <c r="AW7" s="55"/>
      <c r="AX7" s="55"/>
      <c r="AZ7" s="55"/>
      <c r="BA7" s="329">
        <v>3.6184376118710166</v>
      </c>
      <c r="BB7" s="55"/>
      <c r="BC7" s="55"/>
      <c r="BD7" s="55"/>
      <c r="BF7" s="55"/>
      <c r="BG7" s="329">
        <v>3.7993594924645668</v>
      </c>
      <c r="BH7" s="55"/>
      <c r="BI7" s="55"/>
      <c r="BJ7" s="55"/>
      <c r="BL7" s="55"/>
      <c r="BM7" s="329">
        <v>3.9893274670877945</v>
      </c>
      <c r="BN7" s="55"/>
      <c r="BO7" s="55"/>
      <c r="BP7" s="55"/>
      <c r="BR7" s="55"/>
      <c r="BS7" s="329">
        <v>4.1887938404421838</v>
      </c>
      <c r="BT7" s="55"/>
      <c r="BU7" s="55"/>
      <c r="BV7" s="55"/>
      <c r="BX7" s="55"/>
      <c r="BY7" s="329">
        <v>4.3982335324642943</v>
      </c>
      <c r="BZ7" s="55"/>
      <c r="CA7" s="55"/>
      <c r="CB7" s="55"/>
      <c r="CD7" s="55"/>
      <c r="CE7" s="329">
        <v>4.6181452090875084</v>
      </c>
      <c r="CF7" s="55"/>
      <c r="CG7" s="55"/>
      <c r="CH7" s="55"/>
      <c r="CJ7" s="55"/>
      <c r="CK7" s="329">
        <v>4.8490524695418848</v>
      </c>
      <c r="CL7" s="55"/>
      <c r="CM7" s="55"/>
      <c r="CN7" s="55"/>
      <c r="CP7" s="55"/>
      <c r="CQ7" s="329">
        <v>5.0915050930189771</v>
      </c>
      <c r="CR7" s="55"/>
      <c r="CS7" s="55"/>
      <c r="CT7" s="55"/>
      <c r="CV7" s="55"/>
      <c r="CW7" s="329">
        <v>5.3460803476699281</v>
      </c>
      <c r="CX7" s="55"/>
      <c r="CY7" s="55"/>
      <c r="CZ7" s="55"/>
      <c r="DB7" s="55"/>
      <c r="DC7" s="329">
        <v>5.6133843650534239</v>
      </c>
      <c r="DD7" s="55"/>
      <c r="DE7" s="55"/>
      <c r="DF7" s="55"/>
      <c r="DH7" s="55"/>
      <c r="DI7" s="329">
        <v>5.8940535833060963</v>
      </c>
      <c r="DJ7" s="55"/>
      <c r="DK7" s="55"/>
      <c r="DL7" s="55"/>
      <c r="DN7" s="55"/>
      <c r="DO7" s="329">
        <v>6.1887562624713999</v>
      </c>
      <c r="DP7" s="55"/>
      <c r="DQ7" s="55"/>
      <c r="DR7" s="55"/>
      <c r="DT7" s="55"/>
      <c r="DU7" s="329">
        <v>6.4981940755949701</v>
      </c>
      <c r="DV7" s="55"/>
      <c r="DW7" s="55"/>
      <c r="DX7" s="55"/>
      <c r="DZ7" s="55"/>
      <c r="EA7" s="329">
        <v>6.8231037793747182</v>
      </c>
      <c r="EB7" s="55"/>
      <c r="EC7" s="55"/>
      <c r="ED7" s="55"/>
      <c r="EF7" s="55"/>
      <c r="EG7" s="329">
        <v>7.1642589683434554</v>
      </c>
      <c r="EH7" s="55"/>
      <c r="EI7" s="55"/>
      <c r="EJ7" s="55"/>
      <c r="EL7" s="55"/>
      <c r="EM7" s="329">
        <v>7.522471916760626</v>
      </c>
      <c r="EN7" s="55"/>
      <c r="EO7" s="55"/>
      <c r="EP7" s="55"/>
      <c r="ER7" s="55"/>
      <c r="ES7" s="329">
        <v>7.8985955125986598</v>
      </c>
      <c r="ET7" s="55"/>
      <c r="EU7" s="55"/>
      <c r="EV7" s="55"/>
    </row>
    <row r="8" spans="1:152" x14ac:dyDescent="0.25">
      <c r="A8" t="s">
        <v>623</v>
      </c>
      <c r="B8" s="55" t="s">
        <v>152</v>
      </c>
      <c r="C8" s="55" t="s">
        <v>148</v>
      </c>
      <c r="D8" s="55"/>
      <c r="E8" s="329">
        <v>26.315590296139586</v>
      </c>
      <c r="F8" s="55"/>
      <c r="G8" s="55"/>
      <c r="H8" s="55"/>
      <c r="J8" s="55"/>
      <c r="K8" s="329">
        <v>18.796850211528277</v>
      </c>
      <c r="L8" s="55"/>
      <c r="M8" s="55"/>
      <c r="N8" s="55"/>
      <c r="P8" s="55"/>
      <c r="Q8" s="329">
        <v>13.815684905473285</v>
      </c>
      <c r="R8" s="55"/>
      <c r="S8" s="55"/>
      <c r="T8" s="55"/>
      <c r="V8" s="55"/>
      <c r="W8" s="329">
        <v>14.506469150746947</v>
      </c>
      <c r="X8" s="55"/>
      <c r="Y8" s="55"/>
      <c r="Z8" s="55"/>
      <c r="AB8" s="55"/>
      <c r="AC8" s="329">
        <v>15.231792608284298</v>
      </c>
      <c r="AD8" s="55"/>
      <c r="AE8" s="55"/>
      <c r="AF8" s="55"/>
      <c r="AH8" s="55"/>
      <c r="AI8" s="329">
        <v>15.993382238698509</v>
      </c>
      <c r="AJ8" s="55"/>
      <c r="AK8" s="55"/>
      <c r="AL8" s="55"/>
      <c r="AN8" s="55"/>
      <c r="AO8" s="329">
        <v>16.793051350633437</v>
      </c>
      <c r="AP8" s="55"/>
      <c r="AQ8" s="55"/>
      <c r="AR8" s="55"/>
      <c r="AT8" s="55"/>
      <c r="AU8" s="329">
        <v>17.632703918165106</v>
      </c>
      <c r="AV8" s="55"/>
      <c r="AW8" s="55"/>
      <c r="AX8" s="55"/>
      <c r="AZ8" s="55"/>
      <c r="BA8" s="329">
        <v>18.514339114073366</v>
      </c>
      <c r="BB8" s="55"/>
      <c r="BC8" s="55"/>
      <c r="BD8" s="55"/>
      <c r="BF8" s="55"/>
      <c r="BG8" s="329">
        <v>19.440056069777032</v>
      </c>
      <c r="BH8" s="55"/>
      <c r="BI8" s="55"/>
      <c r="BJ8" s="55"/>
      <c r="BL8" s="55"/>
      <c r="BM8" s="329">
        <v>20.412058873265885</v>
      </c>
      <c r="BN8" s="55"/>
      <c r="BO8" s="55"/>
      <c r="BP8" s="55"/>
      <c r="BR8" s="55"/>
      <c r="BS8" s="329">
        <v>21.43266181692918</v>
      </c>
      <c r="BT8" s="55"/>
      <c r="BU8" s="55"/>
      <c r="BV8" s="55"/>
      <c r="BX8" s="55"/>
      <c r="BY8" s="329">
        <v>22.504294907775641</v>
      </c>
      <c r="BZ8" s="55"/>
      <c r="CA8" s="55"/>
      <c r="CB8" s="55"/>
      <c r="CD8" s="55"/>
      <c r="CE8" s="329">
        <v>23.629509653164419</v>
      </c>
      <c r="CF8" s="55"/>
      <c r="CG8" s="55"/>
      <c r="CH8" s="55"/>
      <c r="CJ8" s="55"/>
      <c r="CK8" s="329">
        <v>24.810985135822644</v>
      </c>
      <c r="CL8" s="55"/>
      <c r="CM8" s="55"/>
      <c r="CN8" s="55"/>
      <c r="CP8" s="55"/>
      <c r="CQ8" s="329">
        <v>26.051534392613771</v>
      </c>
      <c r="CR8" s="55"/>
      <c r="CS8" s="55"/>
      <c r="CT8" s="55"/>
      <c r="CV8" s="55"/>
      <c r="CW8" s="329">
        <v>27.354111112244468</v>
      </c>
      <c r="CX8" s="55"/>
      <c r="CY8" s="55"/>
      <c r="CZ8" s="55"/>
      <c r="DB8" s="55"/>
      <c r="DC8" s="329">
        <v>28.721816667856686</v>
      </c>
      <c r="DD8" s="55"/>
      <c r="DE8" s="55"/>
      <c r="DF8" s="55"/>
      <c r="DH8" s="55"/>
      <c r="DI8" s="329">
        <v>30.157907501249529</v>
      </c>
      <c r="DJ8" s="55"/>
      <c r="DK8" s="55"/>
      <c r="DL8" s="55"/>
      <c r="DN8" s="55"/>
      <c r="DO8" s="329">
        <v>31.665802876312</v>
      </c>
      <c r="DP8" s="55"/>
      <c r="DQ8" s="55"/>
      <c r="DR8" s="55"/>
      <c r="DT8" s="55"/>
      <c r="DU8" s="329">
        <v>33.249093020127603</v>
      </c>
      <c r="DV8" s="55"/>
      <c r="DW8" s="55"/>
      <c r="DX8" s="55"/>
      <c r="DZ8" s="55"/>
      <c r="EA8" s="329">
        <v>34.911547671133981</v>
      </c>
      <c r="EB8" s="55"/>
      <c r="EC8" s="55"/>
      <c r="ED8" s="55"/>
      <c r="EF8" s="55"/>
      <c r="EG8" s="329">
        <v>36.657125054690681</v>
      </c>
      <c r="EH8" s="55"/>
      <c r="EI8" s="55"/>
      <c r="EJ8" s="55"/>
      <c r="EL8" s="55"/>
      <c r="EM8" s="329">
        <v>38.489981307425218</v>
      </c>
      <c r="EN8" s="55"/>
      <c r="EO8" s="55"/>
      <c r="EP8" s="55"/>
      <c r="ER8" s="55"/>
      <c r="ES8" s="329">
        <v>40.414480372796476</v>
      </c>
      <c r="ET8" s="55"/>
      <c r="EU8" s="55"/>
      <c r="EV8" s="55"/>
    </row>
    <row r="9" spans="1:152" x14ac:dyDescent="0.25">
      <c r="A9" t="s">
        <v>624</v>
      </c>
      <c r="B9" s="55" t="s">
        <v>153</v>
      </c>
      <c r="C9" s="55" t="s">
        <v>148</v>
      </c>
      <c r="D9" s="55"/>
      <c r="E9" s="329">
        <v>12.25</v>
      </c>
      <c r="F9" s="55"/>
      <c r="G9" s="55"/>
      <c r="H9" s="55"/>
      <c r="J9" s="55"/>
      <c r="K9" s="329">
        <v>12.25</v>
      </c>
      <c r="L9" s="55"/>
      <c r="M9" s="55"/>
      <c r="N9" s="55"/>
      <c r="P9" s="55"/>
      <c r="Q9" s="329">
        <v>12.862500000000001</v>
      </c>
      <c r="R9" s="55"/>
      <c r="S9" s="55"/>
      <c r="T9" s="55"/>
      <c r="V9" s="55"/>
      <c r="W9" s="329">
        <v>13.505625</v>
      </c>
      <c r="X9" s="55"/>
      <c r="Y9" s="55"/>
      <c r="Z9" s="55"/>
      <c r="AB9" s="55"/>
      <c r="AC9" s="329">
        <v>14.180906250000001</v>
      </c>
      <c r="AD9" s="55"/>
      <c r="AE9" s="55"/>
      <c r="AF9" s="55"/>
      <c r="AH9" s="55"/>
      <c r="AI9" s="329">
        <v>14.8899515625</v>
      </c>
      <c r="AJ9" s="55"/>
      <c r="AK9" s="55"/>
      <c r="AL9" s="55"/>
      <c r="AN9" s="55"/>
      <c r="AO9" s="329">
        <v>15.634449140625003</v>
      </c>
      <c r="AP9" s="55"/>
      <c r="AQ9" s="55"/>
      <c r="AR9" s="55"/>
      <c r="AT9" s="55"/>
      <c r="AU9" s="329">
        <v>16.416171597656252</v>
      </c>
      <c r="AV9" s="55"/>
      <c r="AW9" s="55"/>
      <c r="AX9" s="55"/>
      <c r="AZ9" s="55"/>
      <c r="BA9" s="329">
        <v>17.236980177539067</v>
      </c>
      <c r="BB9" s="55"/>
      <c r="BC9" s="55"/>
      <c r="BD9" s="55"/>
      <c r="BF9" s="55"/>
      <c r="BG9" s="329">
        <v>18.098829186416015</v>
      </c>
      <c r="BH9" s="55"/>
      <c r="BI9" s="55"/>
      <c r="BJ9" s="55"/>
      <c r="BL9" s="55"/>
      <c r="BM9" s="329">
        <v>19.003770645736818</v>
      </c>
      <c r="BN9" s="55"/>
      <c r="BO9" s="55"/>
      <c r="BP9" s="55"/>
      <c r="BR9" s="55"/>
      <c r="BS9" s="329">
        <v>19.953959178023656</v>
      </c>
      <c r="BT9" s="55"/>
      <c r="BU9" s="55"/>
      <c r="BV9" s="55"/>
      <c r="BX9" s="55"/>
      <c r="BY9" s="329">
        <v>20.951657136924844</v>
      </c>
      <c r="BZ9" s="55"/>
      <c r="CA9" s="55"/>
      <c r="CB9" s="55"/>
      <c r="CD9" s="55"/>
      <c r="CE9" s="329">
        <v>21.999239993771084</v>
      </c>
      <c r="CF9" s="55"/>
      <c r="CG9" s="55"/>
      <c r="CH9" s="55"/>
      <c r="CJ9" s="55"/>
      <c r="CK9" s="329">
        <v>23.099201993459641</v>
      </c>
      <c r="CL9" s="55"/>
      <c r="CM9" s="55"/>
      <c r="CN9" s="55"/>
      <c r="CP9" s="55"/>
      <c r="CQ9" s="329">
        <v>24.254162093132617</v>
      </c>
      <c r="CR9" s="55"/>
      <c r="CS9" s="55"/>
      <c r="CT9" s="55"/>
      <c r="CV9" s="55"/>
      <c r="CW9" s="329">
        <v>25.466870197789255</v>
      </c>
      <c r="CX9" s="55"/>
      <c r="CY9" s="55"/>
      <c r="CZ9" s="55"/>
      <c r="DB9" s="55"/>
      <c r="DC9" s="329">
        <v>26.740213707678716</v>
      </c>
      <c r="DD9" s="55"/>
      <c r="DE9" s="55"/>
      <c r="DF9" s="55"/>
      <c r="DH9" s="55"/>
      <c r="DI9" s="329">
        <v>28.077224393062654</v>
      </c>
      <c r="DJ9" s="55"/>
      <c r="DK9" s="55"/>
      <c r="DL9" s="55"/>
      <c r="DN9" s="55"/>
      <c r="DO9" s="329">
        <v>29.481085612715788</v>
      </c>
      <c r="DP9" s="55"/>
      <c r="DQ9" s="55"/>
      <c r="DR9" s="55"/>
      <c r="DT9" s="55"/>
      <c r="DU9" s="329">
        <v>30.955139893351578</v>
      </c>
      <c r="DV9" s="55"/>
      <c r="DW9" s="55"/>
      <c r="DX9" s="55"/>
      <c r="DZ9" s="55"/>
      <c r="EA9" s="329">
        <v>32.502896888019158</v>
      </c>
      <c r="EB9" s="55"/>
      <c r="EC9" s="55"/>
      <c r="ED9" s="55"/>
      <c r="EF9" s="55"/>
      <c r="EG9" s="329">
        <v>34.128041732420115</v>
      </c>
      <c r="EH9" s="55"/>
      <c r="EI9" s="55"/>
      <c r="EJ9" s="55"/>
      <c r="EL9" s="55"/>
      <c r="EM9" s="329">
        <v>35.834443819041113</v>
      </c>
      <c r="EN9" s="55"/>
      <c r="EO9" s="55"/>
      <c r="EP9" s="55"/>
      <c r="ER9" s="55"/>
      <c r="ES9" s="329">
        <v>37.626166009993177</v>
      </c>
      <c r="ET9" s="55"/>
      <c r="EU9" s="55"/>
      <c r="EV9" s="55"/>
    </row>
    <row r="10" spans="1:152" x14ac:dyDescent="0.25">
      <c r="A10" t="s">
        <v>624</v>
      </c>
      <c r="B10" s="55" t="s">
        <v>154</v>
      </c>
      <c r="C10" s="55" t="s">
        <v>148</v>
      </c>
      <c r="D10" s="55"/>
      <c r="E10" s="329">
        <v>13.333333333333334</v>
      </c>
      <c r="F10" s="55"/>
      <c r="G10" s="55"/>
      <c r="H10" s="55"/>
      <c r="J10" s="55"/>
      <c r="K10" s="329">
        <v>13.333333333333334</v>
      </c>
      <c r="L10" s="55"/>
      <c r="M10" s="55"/>
      <c r="N10" s="55"/>
      <c r="P10" s="55"/>
      <c r="Q10" s="329">
        <v>14</v>
      </c>
      <c r="R10" s="55"/>
      <c r="S10" s="55"/>
      <c r="T10" s="55"/>
      <c r="V10" s="55"/>
      <c r="W10" s="329">
        <v>14.7</v>
      </c>
      <c r="X10" s="55"/>
      <c r="Y10" s="55"/>
      <c r="Z10" s="55"/>
      <c r="AB10" s="55"/>
      <c r="AC10" s="329">
        <v>15.435000000000002</v>
      </c>
      <c r="AD10" s="55"/>
      <c r="AE10" s="55"/>
      <c r="AF10" s="55"/>
      <c r="AH10" s="55"/>
      <c r="AI10" s="329">
        <v>16.20675</v>
      </c>
      <c r="AJ10" s="55"/>
      <c r="AK10" s="55"/>
      <c r="AL10" s="55"/>
      <c r="AN10" s="55"/>
      <c r="AO10" s="329">
        <v>17.017087500000002</v>
      </c>
      <c r="AP10" s="55"/>
      <c r="AQ10" s="55"/>
      <c r="AR10" s="55"/>
      <c r="AT10" s="55"/>
      <c r="AU10" s="329">
        <v>17.867941875</v>
      </c>
      <c r="AV10" s="55"/>
      <c r="AW10" s="55"/>
      <c r="AX10" s="55"/>
      <c r="AZ10" s="55"/>
      <c r="BA10" s="329">
        <v>18.761338968750003</v>
      </c>
      <c r="BB10" s="55"/>
      <c r="BC10" s="55"/>
      <c r="BD10" s="55"/>
      <c r="BF10" s="55"/>
      <c r="BG10" s="329">
        <v>19.699405917187502</v>
      </c>
      <c r="BH10" s="55"/>
      <c r="BI10" s="55"/>
      <c r="BJ10" s="55"/>
      <c r="BL10" s="55"/>
      <c r="BM10" s="329">
        <v>20.684376213046878</v>
      </c>
      <c r="BN10" s="55"/>
      <c r="BO10" s="55"/>
      <c r="BP10" s="55"/>
      <c r="BR10" s="55"/>
      <c r="BS10" s="329">
        <v>21.718595023699223</v>
      </c>
      <c r="BT10" s="55"/>
      <c r="BU10" s="55"/>
      <c r="BV10" s="55"/>
      <c r="BX10" s="55"/>
      <c r="BY10" s="329">
        <v>22.804524774884186</v>
      </c>
      <c r="BZ10" s="55"/>
      <c r="CA10" s="55"/>
      <c r="CB10" s="55"/>
      <c r="CD10" s="55"/>
      <c r="CE10" s="329">
        <v>23.944751013628391</v>
      </c>
      <c r="CF10" s="55"/>
      <c r="CG10" s="55"/>
      <c r="CH10" s="55"/>
      <c r="CJ10" s="55"/>
      <c r="CK10" s="329">
        <v>25.141988564309813</v>
      </c>
      <c r="CL10" s="55"/>
      <c r="CM10" s="55"/>
      <c r="CN10" s="55"/>
      <c r="CP10" s="55"/>
      <c r="CQ10" s="329">
        <v>26.399087992525299</v>
      </c>
      <c r="CR10" s="55"/>
      <c r="CS10" s="55"/>
      <c r="CT10" s="55"/>
      <c r="CV10" s="55"/>
      <c r="CW10" s="329">
        <v>27.719042392151572</v>
      </c>
      <c r="CX10" s="55"/>
      <c r="CY10" s="55"/>
      <c r="CZ10" s="55"/>
      <c r="DB10" s="55"/>
      <c r="DC10" s="329">
        <v>29.104994511759145</v>
      </c>
      <c r="DD10" s="55"/>
      <c r="DE10" s="55"/>
      <c r="DF10" s="55"/>
      <c r="DH10" s="55"/>
      <c r="DI10" s="329">
        <v>30.56024423734711</v>
      </c>
      <c r="DJ10" s="55"/>
      <c r="DK10" s="55"/>
      <c r="DL10" s="55"/>
      <c r="DN10" s="55"/>
      <c r="DO10" s="329">
        <v>32.088256449214462</v>
      </c>
      <c r="DP10" s="55"/>
      <c r="DQ10" s="55"/>
      <c r="DR10" s="55"/>
      <c r="DT10" s="55"/>
      <c r="DU10" s="329">
        <v>33.692669271675186</v>
      </c>
      <c r="DV10" s="55"/>
      <c r="DW10" s="55"/>
      <c r="DX10" s="55"/>
      <c r="DZ10" s="55"/>
      <c r="EA10" s="329">
        <v>35.377302735258944</v>
      </c>
      <c r="EB10" s="55"/>
      <c r="EC10" s="55"/>
      <c r="ED10" s="55"/>
      <c r="EF10" s="55"/>
      <c r="EG10" s="329">
        <v>37.146167872021891</v>
      </c>
      <c r="EH10" s="55"/>
      <c r="EI10" s="55"/>
      <c r="EJ10" s="55"/>
      <c r="EL10" s="55"/>
      <c r="EM10" s="329">
        <v>39.003476265622986</v>
      </c>
      <c r="EN10" s="55"/>
      <c r="EO10" s="55"/>
      <c r="EP10" s="55"/>
      <c r="ER10" s="55"/>
      <c r="ES10" s="329">
        <v>40.95365007890414</v>
      </c>
      <c r="ET10" s="55"/>
      <c r="EU10" s="55"/>
      <c r="EV10" s="55"/>
    </row>
    <row r="11" spans="1:152" x14ac:dyDescent="0.25">
      <c r="A11" t="s">
        <v>623</v>
      </c>
      <c r="B11" s="55" t="s">
        <v>155</v>
      </c>
      <c r="C11" s="55" t="s">
        <v>148</v>
      </c>
      <c r="D11" s="55"/>
      <c r="E11" s="329">
        <v>31.398730830248518</v>
      </c>
      <c r="F11" s="55"/>
      <c r="G11" s="55"/>
      <c r="H11" s="55"/>
      <c r="J11" s="55"/>
      <c r="K11" s="329">
        <v>22.427664878748946</v>
      </c>
      <c r="L11" s="55"/>
      <c r="M11" s="55"/>
      <c r="N11" s="55"/>
      <c r="P11" s="55"/>
      <c r="Q11" s="329">
        <v>15.699365415124259</v>
      </c>
      <c r="R11" s="55"/>
      <c r="S11" s="55"/>
      <c r="T11" s="55"/>
      <c r="V11" s="55"/>
      <c r="W11" s="329">
        <v>15.699365415124259</v>
      </c>
      <c r="X11" s="55"/>
      <c r="Y11" s="55"/>
      <c r="Z11" s="55"/>
      <c r="AB11" s="55"/>
      <c r="AC11" s="329">
        <v>15.699365415124259</v>
      </c>
      <c r="AD11" s="55"/>
      <c r="AE11" s="55"/>
      <c r="AF11" s="55"/>
      <c r="AH11" s="55"/>
      <c r="AI11" s="329">
        <v>15.699365415124259</v>
      </c>
      <c r="AJ11" s="55"/>
      <c r="AK11" s="55"/>
      <c r="AL11" s="55"/>
      <c r="AN11" s="55"/>
      <c r="AO11" s="329">
        <v>15.699365415124259</v>
      </c>
      <c r="AP11" s="55"/>
      <c r="AQ11" s="55"/>
      <c r="AR11" s="55"/>
      <c r="AT11" s="55"/>
      <c r="AU11" s="329">
        <v>15.699365415124259</v>
      </c>
      <c r="AV11" s="55"/>
      <c r="AW11" s="55"/>
      <c r="AX11" s="55"/>
      <c r="AZ11" s="55"/>
      <c r="BA11" s="329">
        <v>15.699365415124259</v>
      </c>
      <c r="BB11" s="55"/>
      <c r="BC11" s="55"/>
      <c r="BD11" s="55"/>
      <c r="BF11" s="55"/>
      <c r="BG11" s="329">
        <v>15.699365415124259</v>
      </c>
      <c r="BH11" s="55"/>
      <c r="BI11" s="55"/>
      <c r="BJ11" s="55"/>
      <c r="BL11" s="55"/>
      <c r="BM11" s="329">
        <v>15.699365415124259</v>
      </c>
      <c r="BN11" s="55"/>
      <c r="BO11" s="55"/>
      <c r="BP11" s="55"/>
      <c r="BR11" s="55"/>
      <c r="BS11" s="329">
        <v>15.699365415124259</v>
      </c>
      <c r="BT11" s="55"/>
      <c r="BU11" s="55"/>
      <c r="BV11" s="55"/>
      <c r="BX11" s="55"/>
      <c r="BY11" s="329">
        <v>15.699365415124259</v>
      </c>
      <c r="BZ11" s="55"/>
      <c r="CA11" s="55"/>
      <c r="CB11" s="55"/>
      <c r="CD11" s="55"/>
      <c r="CE11" s="329">
        <v>15.699365415124259</v>
      </c>
      <c r="CF11" s="55"/>
      <c r="CG11" s="55"/>
      <c r="CH11" s="55"/>
      <c r="CJ11" s="55"/>
      <c r="CK11" s="329">
        <v>15.699365415124259</v>
      </c>
      <c r="CL11" s="55"/>
      <c r="CM11" s="55"/>
      <c r="CN11" s="55"/>
      <c r="CP11" s="55"/>
      <c r="CQ11" s="329">
        <v>15.699365415124259</v>
      </c>
      <c r="CR11" s="55"/>
      <c r="CS11" s="55"/>
      <c r="CT11" s="55"/>
      <c r="CV11" s="55"/>
      <c r="CW11" s="329">
        <v>15.699365415124259</v>
      </c>
      <c r="CX11" s="55"/>
      <c r="CY11" s="55"/>
      <c r="CZ11" s="55"/>
      <c r="DB11" s="55"/>
      <c r="DC11" s="329">
        <v>15.699365415124259</v>
      </c>
      <c r="DD11" s="55"/>
      <c r="DE11" s="55"/>
      <c r="DF11" s="55"/>
      <c r="DH11" s="55"/>
      <c r="DI11" s="329">
        <v>15.699365415124259</v>
      </c>
      <c r="DJ11" s="55"/>
      <c r="DK11" s="55"/>
      <c r="DL11" s="55"/>
      <c r="DN11" s="55"/>
      <c r="DO11" s="329">
        <v>15.699365415124259</v>
      </c>
      <c r="DP11" s="55"/>
      <c r="DQ11" s="55"/>
      <c r="DR11" s="55"/>
      <c r="DT11" s="55"/>
      <c r="DU11" s="329">
        <v>15.699365415124259</v>
      </c>
      <c r="DV11" s="55"/>
      <c r="DW11" s="55"/>
      <c r="DX11" s="55"/>
      <c r="DZ11" s="55"/>
      <c r="EA11" s="329">
        <v>15.699365415124259</v>
      </c>
      <c r="EB11" s="55"/>
      <c r="EC11" s="55"/>
      <c r="ED11" s="55"/>
      <c r="EF11" s="55"/>
      <c r="EG11" s="329">
        <v>15.699365415124259</v>
      </c>
      <c r="EH11" s="55"/>
      <c r="EI11" s="55"/>
      <c r="EJ11" s="55"/>
      <c r="EL11" s="55"/>
      <c r="EM11" s="329">
        <v>15.699365415124259</v>
      </c>
      <c r="EN11" s="55"/>
      <c r="EO11" s="55"/>
      <c r="EP11" s="55"/>
      <c r="ER11" s="55"/>
      <c r="ES11" s="329">
        <v>15.699365415124259</v>
      </c>
      <c r="ET11" s="55"/>
      <c r="EU11" s="55"/>
      <c r="EV11" s="55"/>
    </row>
    <row r="12" spans="1:152" x14ac:dyDescent="0.25">
      <c r="A12" t="s">
        <v>623</v>
      </c>
      <c r="B12" s="55" t="s">
        <v>132</v>
      </c>
      <c r="C12" s="55" t="s">
        <v>148</v>
      </c>
      <c r="D12" s="55"/>
      <c r="E12" s="329"/>
      <c r="F12" s="55"/>
      <c r="G12" s="55"/>
      <c r="H12" s="55"/>
      <c r="J12" s="55"/>
      <c r="K12" s="55"/>
      <c r="L12" s="55"/>
      <c r="M12" s="55"/>
      <c r="N12" s="55"/>
      <c r="P12" s="55"/>
      <c r="Q12" s="55"/>
      <c r="R12" s="55"/>
      <c r="S12" s="55"/>
      <c r="T12" s="55"/>
      <c r="V12" s="55"/>
      <c r="W12" s="55"/>
      <c r="X12" s="55"/>
      <c r="Y12" s="55"/>
      <c r="Z12" s="55"/>
      <c r="AB12" s="55"/>
      <c r="AC12" s="55"/>
      <c r="AD12" s="55"/>
      <c r="AE12" s="55"/>
      <c r="AF12" s="55"/>
      <c r="AH12" s="55"/>
      <c r="AI12" s="55"/>
      <c r="AJ12" s="55"/>
      <c r="AK12" s="55"/>
      <c r="AL12" s="55"/>
      <c r="AN12" s="55"/>
      <c r="AO12" s="55"/>
      <c r="AP12" s="55"/>
      <c r="AQ12" s="55"/>
      <c r="AR12" s="55"/>
      <c r="AT12" s="55"/>
      <c r="AU12" s="55"/>
      <c r="AV12" s="55"/>
      <c r="AW12" s="55"/>
      <c r="AX12" s="55"/>
      <c r="AZ12" s="55"/>
      <c r="BA12" s="55"/>
      <c r="BB12" s="55"/>
      <c r="BC12" s="55"/>
      <c r="BD12" s="55"/>
      <c r="BF12" s="55"/>
      <c r="BG12" s="55"/>
      <c r="BH12" s="55"/>
      <c r="BI12" s="55"/>
      <c r="BJ12" s="55"/>
      <c r="BL12" s="55"/>
      <c r="BM12" s="55"/>
      <c r="BN12" s="55"/>
      <c r="BO12" s="55"/>
      <c r="BP12" s="55"/>
      <c r="BR12" s="55"/>
      <c r="BS12" s="55"/>
      <c r="BT12" s="55"/>
      <c r="BU12" s="55"/>
      <c r="BV12" s="55"/>
      <c r="BX12" s="55"/>
      <c r="BY12" s="55"/>
      <c r="BZ12" s="55"/>
      <c r="CA12" s="55"/>
      <c r="CB12" s="55"/>
      <c r="CD12" s="55"/>
      <c r="CE12" s="55"/>
      <c r="CF12" s="55"/>
      <c r="CG12" s="55"/>
      <c r="CH12" s="55"/>
      <c r="CJ12" s="55"/>
      <c r="CK12" s="55"/>
      <c r="CL12" s="55"/>
      <c r="CM12" s="55"/>
      <c r="CN12" s="55"/>
      <c r="CP12" s="55"/>
      <c r="CQ12" s="55"/>
      <c r="CR12" s="55"/>
      <c r="CS12" s="55"/>
      <c r="CT12" s="55"/>
      <c r="CV12" s="55"/>
      <c r="CW12" s="55"/>
      <c r="CX12" s="55"/>
      <c r="CY12" s="55"/>
      <c r="CZ12" s="55"/>
      <c r="DB12" s="55"/>
      <c r="DC12" s="55"/>
      <c r="DD12" s="55"/>
      <c r="DE12" s="55"/>
      <c r="DF12" s="55"/>
      <c r="DH12" s="55"/>
      <c r="DI12" s="55"/>
      <c r="DJ12" s="55"/>
      <c r="DK12" s="55"/>
      <c r="DL12" s="55"/>
      <c r="DN12" s="55"/>
      <c r="DO12" s="55"/>
      <c r="DP12" s="55"/>
      <c r="DQ12" s="55"/>
      <c r="DR12" s="55"/>
      <c r="DT12" s="55"/>
      <c r="DU12" s="55"/>
      <c r="DV12" s="55"/>
      <c r="DW12" s="55"/>
      <c r="DX12" s="55"/>
      <c r="DZ12" s="55"/>
      <c r="EA12" s="55"/>
      <c r="EB12" s="55"/>
      <c r="EC12" s="55"/>
      <c r="ED12" s="55"/>
      <c r="EF12" s="55"/>
      <c r="EG12" s="55"/>
      <c r="EH12" s="55"/>
      <c r="EI12" s="55"/>
      <c r="EJ12" s="55"/>
      <c r="EL12" s="55"/>
      <c r="EM12" s="55"/>
      <c r="EN12" s="55"/>
      <c r="EO12" s="55"/>
      <c r="EP12" s="55"/>
      <c r="ER12" s="55"/>
      <c r="ES12" s="55"/>
      <c r="ET12" s="55"/>
      <c r="EU12" s="55"/>
      <c r="EV12" s="55"/>
    </row>
    <row r="13" spans="1:152" x14ac:dyDescent="0.25">
      <c r="A13" t="s">
        <v>623</v>
      </c>
      <c r="B13" s="55" t="s">
        <v>355</v>
      </c>
      <c r="C13" s="55" t="s">
        <v>148</v>
      </c>
      <c r="D13" s="55"/>
      <c r="E13" s="329">
        <v>13.187466948704378</v>
      </c>
      <c r="F13" s="55"/>
      <c r="G13" s="55"/>
      <c r="H13" s="55"/>
      <c r="J13" s="55"/>
      <c r="K13" s="329">
        <v>9.4196192490745574</v>
      </c>
      <c r="L13" s="55"/>
      <c r="M13" s="55"/>
      <c r="N13" s="55"/>
      <c r="P13" s="55"/>
      <c r="Q13" s="329">
        <v>6.9234201480697983</v>
      </c>
      <c r="R13" s="55"/>
      <c r="S13" s="55"/>
      <c r="T13" s="55"/>
      <c r="V13" s="55"/>
      <c r="W13" s="329">
        <v>7.2695911554732886</v>
      </c>
      <c r="X13" s="55"/>
      <c r="Y13" s="55"/>
      <c r="Z13" s="55"/>
      <c r="AB13" s="55"/>
      <c r="AC13" s="329">
        <v>7.633070713246954</v>
      </c>
      <c r="AD13" s="55"/>
      <c r="AE13" s="55"/>
      <c r="AF13" s="55"/>
      <c r="AH13" s="55"/>
      <c r="AI13" s="329">
        <v>8.0147242489092996</v>
      </c>
      <c r="AJ13" s="55"/>
      <c r="AK13" s="55"/>
      <c r="AL13" s="55"/>
      <c r="AN13" s="55"/>
      <c r="AO13" s="329">
        <v>8.4154604613547672</v>
      </c>
      <c r="AP13" s="55"/>
      <c r="AQ13" s="55"/>
      <c r="AR13" s="55"/>
      <c r="AT13" s="55"/>
      <c r="AU13" s="329">
        <v>8.8362334844225039</v>
      </c>
      <c r="AV13" s="55"/>
      <c r="AW13" s="55"/>
      <c r="AX13" s="55"/>
      <c r="AZ13" s="55"/>
      <c r="BA13" s="329">
        <v>9.2780451586436321</v>
      </c>
      <c r="BB13" s="55"/>
      <c r="BC13" s="55"/>
      <c r="BD13" s="55"/>
      <c r="BF13" s="55"/>
      <c r="BG13" s="329">
        <v>9.7419474165758118</v>
      </c>
      <c r="BH13" s="55"/>
      <c r="BI13" s="55"/>
      <c r="BJ13" s="55"/>
      <c r="BL13" s="55"/>
      <c r="BM13" s="329">
        <v>10.229044787404602</v>
      </c>
      <c r="BN13" s="55"/>
      <c r="BO13" s="55"/>
      <c r="BP13" s="55"/>
      <c r="BR13" s="55"/>
      <c r="BS13" s="329">
        <v>10.740497026774831</v>
      </c>
      <c r="BT13" s="55"/>
      <c r="BU13" s="55"/>
      <c r="BV13" s="55"/>
      <c r="BX13" s="55"/>
      <c r="BY13" s="329">
        <v>11.277521878113577</v>
      </c>
      <c r="BZ13" s="55"/>
      <c r="CA13" s="55"/>
      <c r="CB13" s="55"/>
      <c r="CD13" s="55"/>
      <c r="CE13" s="329">
        <v>11.841397972019251</v>
      </c>
      <c r="CF13" s="55"/>
      <c r="CG13" s="55"/>
      <c r="CH13" s="55"/>
      <c r="CJ13" s="55"/>
      <c r="CK13" s="329">
        <v>12.433467870620214</v>
      </c>
      <c r="CL13" s="55"/>
      <c r="CM13" s="55"/>
      <c r="CN13" s="55"/>
      <c r="CP13" s="55"/>
      <c r="CQ13" s="329">
        <v>13.055141264151224</v>
      </c>
      <c r="CR13" s="55"/>
      <c r="CS13" s="55"/>
      <c r="CT13" s="55"/>
      <c r="CV13" s="55"/>
      <c r="CW13" s="329">
        <v>13.707898327358789</v>
      </c>
      <c r="CX13" s="55"/>
      <c r="CY13" s="55"/>
      <c r="CZ13" s="55"/>
      <c r="DB13" s="55"/>
      <c r="DC13" s="329">
        <v>14.393293243726728</v>
      </c>
      <c r="DD13" s="55"/>
      <c r="DE13" s="55"/>
      <c r="DF13" s="55"/>
      <c r="DH13" s="55"/>
      <c r="DI13" s="329">
        <v>15.112957905913069</v>
      </c>
      <c r="DJ13" s="55"/>
      <c r="DK13" s="55"/>
      <c r="DL13" s="55"/>
      <c r="DN13" s="55"/>
      <c r="DO13" s="329">
        <v>15.868605801208718</v>
      </c>
      <c r="DP13" s="55"/>
      <c r="DQ13" s="55"/>
      <c r="DR13" s="55"/>
      <c r="DT13" s="55"/>
      <c r="DU13" s="329">
        <v>16.662036091269158</v>
      </c>
      <c r="DV13" s="55"/>
      <c r="DW13" s="55"/>
      <c r="DX13" s="55"/>
      <c r="DZ13" s="55"/>
      <c r="EA13" s="329">
        <v>17.49513789583261</v>
      </c>
      <c r="EB13" s="55"/>
      <c r="EC13" s="55"/>
      <c r="ED13" s="55"/>
      <c r="EF13" s="55"/>
      <c r="EG13" s="329">
        <v>18.369894790624244</v>
      </c>
      <c r="EH13" s="55"/>
      <c r="EI13" s="55"/>
      <c r="EJ13" s="55"/>
      <c r="EL13" s="55"/>
      <c r="EM13" s="329">
        <v>19.288389530155456</v>
      </c>
      <c r="EN13" s="55"/>
      <c r="EO13" s="55"/>
      <c r="EP13" s="55"/>
      <c r="ER13" s="55"/>
      <c r="ES13" s="329">
        <v>20.252809006663231</v>
      </c>
      <c r="ET13" s="55"/>
      <c r="EU13" s="55"/>
      <c r="EV13" s="55"/>
    </row>
    <row r="14" spans="1:152" x14ac:dyDescent="0.25">
      <c r="A14" t="s">
        <v>623</v>
      </c>
      <c r="B14" s="55" t="s">
        <v>533</v>
      </c>
      <c r="C14" s="55" t="s">
        <v>148</v>
      </c>
      <c r="D14" s="55"/>
      <c r="E14" s="329">
        <v>3.9562400846113133</v>
      </c>
      <c r="F14" s="55"/>
      <c r="G14" s="55"/>
      <c r="H14" s="55"/>
      <c r="J14" s="55"/>
      <c r="K14" s="329">
        <v>2.8258857747223671</v>
      </c>
      <c r="L14" s="55"/>
      <c r="M14" s="55"/>
      <c r="N14" s="55"/>
      <c r="P14" s="55"/>
      <c r="Q14" s="329">
        <v>2.0770260444209394</v>
      </c>
      <c r="R14" s="55"/>
      <c r="S14" s="55"/>
      <c r="T14" s="55"/>
      <c r="V14" s="55"/>
      <c r="W14" s="329">
        <v>2.1808773466419864</v>
      </c>
      <c r="X14" s="55"/>
      <c r="Y14" s="55"/>
      <c r="Z14" s="55"/>
      <c r="AB14" s="55"/>
      <c r="AC14" s="329">
        <v>2.2899212139740865</v>
      </c>
      <c r="AD14" s="55"/>
      <c r="AE14" s="55"/>
      <c r="AF14" s="55"/>
      <c r="AH14" s="55"/>
      <c r="AI14" s="329">
        <v>2.4044172746727899</v>
      </c>
      <c r="AJ14" s="55"/>
      <c r="AK14" s="55"/>
      <c r="AL14" s="55"/>
      <c r="AN14" s="55"/>
      <c r="AO14" s="329">
        <v>2.5246381384064303</v>
      </c>
      <c r="AP14" s="55"/>
      <c r="AQ14" s="55"/>
      <c r="AR14" s="55"/>
      <c r="AT14" s="55"/>
      <c r="AU14" s="329">
        <v>2.6508700453267511</v>
      </c>
      <c r="AV14" s="55"/>
      <c r="AW14" s="55"/>
      <c r="AX14" s="55"/>
      <c r="AZ14" s="55"/>
      <c r="BA14" s="329">
        <v>2.7834135475930895</v>
      </c>
      <c r="BB14" s="55"/>
      <c r="BC14" s="55"/>
      <c r="BD14" s="55"/>
      <c r="BF14" s="55"/>
      <c r="BG14" s="329">
        <v>2.9225842249727436</v>
      </c>
      <c r="BH14" s="55"/>
      <c r="BI14" s="55"/>
      <c r="BJ14" s="55"/>
      <c r="BL14" s="55"/>
      <c r="BM14" s="329">
        <v>3.0687134362213806</v>
      </c>
      <c r="BN14" s="55"/>
      <c r="BO14" s="55"/>
      <c r="BP14" s="55"/>
      <c r="BR14" s="55"/>
      <c r="BS14" s="329">
        <v>3.2221491080324491</v>
      </c>
      <c r="BT14" s="55"/>
      <c r="BU14" s="55"/>
      <c r="BV14" s="55"/>
      <c r="BX14" s="55"/>
      <c r="BY14" s="329">
        <v>3.3832565634340717</v>
      </c>
      <c r="BZ14" s="55"/>
      <c r="CA14" s="55"/>
      <c r="CB14" s="55"/>
      <c r="CD14" s="55"/>
      <c r="CE14" s="329">
        <v>3.5524193916057754</v>
      </c>
      <c r="CF14" s="55"/>
      <c r="CG14" s="55"/>
      <c r="CH14" s="55"/>
      <c r="CJ14" s="55"/>
      <c r="CK14" s="329">
        <v>3.7300403611860649</v>
      </c>
      <c r="CL14" s="55"/>
      <c r="CM14" s="55"/>
      <c r="CN14" s="55"/>
      <c r="CP14" s="55"/>
      <c r="CQ14" s="329">
        <v>3.9165423792453664</v>
      </c>
      <c r="CR14" s="55"/>
      <c r="CS14" s="55"/>
      <c r="CT14" s="55"/>
      <c r="CV14" s="55"/>
      <c r="CW14" s="329">
        <v>4.1123694982076362</v>
      </c>
      <c r="CX14" s="55"/>
      <c r="CY14" s="55"/>
      <c r="CZ14" s="55"/>
      <c r="DB14" s="55"/>
      <c r="DC14" s="329">
        <v>4.3179879731180186</v>
      </c>
      <c r="DD14" s="55"/>
      <c r="DE14" s="55"/>
      <c r="DF14" s="55"/>
      <c r="DH14" s="55"/>
      <c r="DI14" s="329">
        <v>4.5338873717739201</v>
      </c>
      <c r="DJ14" s="55"/>
      <c r="DK14" s="55"/>
      <c r="DL14" s="55"/>
      <c r="DN14" s="55"/>
      <c r="DO14" s="329">
        <v>4.7605817403626149</v>
      </c>
      <c r="DP14" s="55"/>
      <c r="DQ14" s="55"/>
      <c r="DR14" s="55"/>
      <c r="DT14" s="55"/>
      <c r="DU14" s="329">
        <v>4.9986108273807455</v>
      </c>
      <c r="DV14" s="55"/>
      <c r="DW14" s="55"/>
      <c r="DX14" s="55"/>
      <c r="DZ14" s="55"/>
      <c r="EA14" s="329">
        <v>5.2485413687497831</v>
      </c>
      <c r="EB14" s="55"/>
      <c r="EC14" s="55"/>
      <c r="ED14" s="55"/>
      <c r="EF14" s="55"/>
      <c r="EG14" s="329">
        <v>5.5109684371872731</v>
      </c>
      <c r="EH14" s="55"/>
      <c r="EI14" s="55"/>
      <c r="EJ14" s="55"/>
      <c r="EL14" s="55"/>
      <c r="EM14" s="329">
        <v>5.7865168590466363</v>
      </c>
      <c r="EN14" s="55"/>
      <c r="EO14" s="55"/>
      <c r="EP14" s="55"/>
      <c r="ER14" s="55"/>
      <c r="ES14" s="329">
        <v>6.0758427019989698</v>
      </c>
      <c r="ET14" s="55"/>
      <c r="EU14" s="55"/>
      <c r="EV14" s="55"/>
    </row>
    <row r="15" spans="1:152" x14ac:dyDescent="0.25">
      <c r="A15" t="s">
        <v>623</v>
      </c>
      <c r="B15" s="55" t="s">
        <v>523</v>
      </c>
      <c r="C15" s="55" t="s">
        <v>148</v>
      </c>
      <c r="D15" s="55"/>
      <c r="E15" s="329">
        <v>4.4664694606028519</v>
      </c>
      <c r="F15" s="55"/>
      <c r="G15" s="55"/>
      <c r="H15" s="55"/>
      <c r="J15" s="55"/>
      <c r="K15" s="329">
        <v>3.1903353290020373</v>
      </c>
      <c r="L15" s="55"/>
      <c r="M15" s="55"/>
      <c r="N15" s="55"/>
      <c r="P15" s="55"/>
      <c r="Q15" s="329">
        <v>2.2332347303014259</v>
      </c>
      <c r="R15" s="55"/>
      <c r="S15" s="55"/>
      <c r="T15" s="55"/>
      <c r="V15" s="55"/>
      <c r="W15" s="329">
        <v>2.2332347303014259</v>
      </c>
      <c r="X15" s="55"/>
      <c r="Y15" s="55"/>
      <c r="Z15" s="55"/>
      <c r="AB15" s="55"/>
      <c r="AC15" s="329">
        <v>2.2332347303014259</v>
      </c>
      <c r="AD15" s="55"/>
      <c r="AE15" s="55"/>
      <c r="AF15" s="55"/>
      <c r="AH15" s="55"/>
      <c r="AI15" s="329">
        <v>2.2332347303014259</v>
      </c>
      <c r="AJ15" s="55"/>
      <c r="AK15" s="55"/>
      <c r="AL15" s="55"/>
      <c r="AN15" s="55"/>
      <c r="AO15" s="329">
        <v>2.2332347303014259</v>
      </c>
      <c r="AP15" s="55"/>
      <c r="AQ15" s="55"/>
      <c r="AR15" s="55"/>
      <c r="AT15" s="55"/>
      <c r="AU15" s="329">
        <v>2.2332347303014259</v>
      </c>
      <c r="AV15" s="55"/>
      <c r="AW15" s="55"/>
      <c r="AX15" s="55"/>
      <c r="AZ15" s="55"/>
      <c r="BA15" s="329">
        <v>2.2332347303014259</v>
      </c>
      <c r="BB15" s="55"/>
      <c r="BC15" s="55"/>
      <c r="BD15" s="55"/>
      <c r="BF15" s="55"/>
      <c r="BG15" s="329">
        <v>2.2332347303014259</v>
      </c>
      <c r="BH15" s="55"/>
      <c r="BI15" s="55"/>
      <c r="BJ15" s="55"/>
      <c r="BL15" s="55"/>
      <c r="BM15" s="329">
        <v>2.2332347303014259</v>
      </c>
      <c r="BN15" s="55"/>
      <c r="BO15" s="55"/>
      <c r="BP15" s="55"/>
      <c r="BR15" s="55"/>
      <c r="BS15" s="329">
        <v>2.2332347303014259</v>
      </c>
      <c r="BT15" s="55"/>
      <c r="BU15" s="55"/>
      <c r="BV15" s="55"/>
      <c r="BX15" s="55"/>
      <c r="BY15" s="329">
        <v>2.2332347303014259</v>
      </c>
      <c r="BZ15" s="55"/>
      <c r="CA15" s="55"/>
      <c r="CB15" s="55"/>
      <c r="CD15" s="55"/>
      <c r="CE15" s="329">
        <v>2.2332347303014259</v>
      </c>
      <c r="CF15" s="55"/>
      <c r="CG15" s="55"/>
      <c r="CH15" s="55"/>
      <c r="CJ15" s="55"/>
      <c r="CK15" s="329">
        <v>2.2332347303014259</v>
      </c>
      <c r="CL15" s="55"/>
      <c r="CM15" s="55"/>
      <c r="CN15" s="55"/>
      <c r="CP15" s="55"/>
      <c r="CQ15" s="329">
        <v>2.2332347303014259</v>
      </c>
      <c r="CR15" s="55"/>
      <c r="CS15" s="55"/>
      <c r="CT15" s="55"/>
      <c r="CV15" s="55"/>
      <c r="CW15" s="329">
        <v>2.2332347303014259</v>
      </c>
      <c r="CX15" s="55"/>
      <c r="CY15" s="55"/>
      <c r="CZ15" s="55"/>
      <c r="DB15" s="55"/>
      <c r="DC15" s="329">
        <v>2.2332347303014259</v>
      </c>
      <c r="DD15" s="55"/>
      <c r="DE15" s="55"/>
      <c r="DF15" s="55"/>
      <c r="DH15" s="55"/>
      <c r="DI15" s="329">
        <v>2.2332347303014259</v>
      </c>
      <c r="DJ15" s="55"/>
      <c r="DK15" s="55"/>
      <c r="DL15" s="55"/>
      <c r="DN15" s="55"/>
      <c r="DO15" s="329">
        <v>2.2332347303014259</v>
      </c>
      <c r="DP15" s="55"/>
      <c r="DQ15" s="55"/>
      <c r="DR15" s="55"/>
      <c r="DT15" s="55"/>
      <c r="DU15" s="329">
        <v>2.2332347303014259</v>
      </c>
      <c r="DV15" s="55"/>
      <c r="DW15" s="55"/>
      <c r="DX15" s="55"/>
      <c r="DZ15" s="55"/>
      <c r="EA15" s="329">
        <v>2.2332347303014259</v>
      </c>
      <c r="EB15" s="55"/>
      <c r="EC15" s="55"/>
      <c r="ED15" s="55"/>
      <c r="EF15" s="55"/>
      <c r="EG15" s="329">
        <v>2.2332347303014259</v>
      </c>
      <c r="EH15" s="55"/>
      <c r="EI15" s="55"/>
      <c r="EJ15" s="55"/>
      <c r="EL15" s="55"/>
      <c r="EM15" s="329">
        <v>2.2332347303014259</v>
      </c>
      <c r="EN15" s="55"/>
      <c r="EO15" s="55"/>
      <c r="EP15" s="55"/>
      <c r="ER15" s="55"/>
      <c r="ES15" s="329">
        <v>2.2332347303014259</v>
      </c>
      <c r="ET15" s="55"/>
      <c r="EU15" s="55"/>
      <c r="EV15" s="55"/>
    </row>
    <row r="16" spans="1:152" x14ac:dyDescent="0.25">
      <c r="A16" t="s">
        <v>624</v>
      </c>
      <c r="B16" s="55" t="s">
        <v>534</v>
      </c>
      <c r="C16" s="55" t="s">
        <v>148</v>
      </c>
      <c r="D16" s="55"/>
      <c r="E16" s="329">
        <v>10.786547131147534</v>
      </c>
      <c r="F16" s="55"/>
      <c r="G16" s="55"/>
      <c r="H16" s="55"/>
      <c r="J16" s="55"/>
      <c r="K16" s="329">
        <v>8.1384553240915576</v>
      </c>
      <c r="L16" s="55"/>
      <c r="M16" s="55"/>
      <c r="N16" s="55"/>
      <c r="P16" s="55"/>
      <c r="Q16" s="329">
        <v>6.3275894946456859</v>
      </c>
      <c r="R16" s="55"/>
      <c r="S16" s="55"/>
      <c r="T16" s="55"/>
      <c r="V16" s="55"/>
      <c r="W16" s="329">
        <v>6.5115526717841048</v>
      </c>
      <c r="X16" s="55"/>
      <c r="Y16" s="55"/>
      <c r="Z16" s="55"/>
      <c r="AB16" s="55"/>
      <c r="AC16" s="329">
        <v>6.7047140077794447</v>
      </c>
      <c r="AD16" s="55"/>
      <c r="AE16" s="55"/>
      <c r="AF16" s="55"/>
      <c r="AH16" s="55"/>
      <c r="AI16" s="329">
        <v>6.9075334105745503</v>
      </c>
      <c r="AJ16" s="55"/>
      <c r="AK16" s="55"/>
      <c r="AL16" s="55"/>
      <c r="AN16" s="55"/>
      <c r="AO16" s="329">
        <v>7.1204937835094144</v>
      </c>
      <c r="AP16" s="55"/>
      <c r="AQ16" s="55"/>
      <c r="AR16" s="55"/>
      <c r="AT16" s="55"/>
      <c r="AU16" s="329">
        <v>7.3441021750910185</v>
      </c>
      <c r="AV16" s="55"/>
      <c r="AW16" s="55"/>
      <c r="AX16" s="55"/>
      <c r="AZ16" s="55"/>
      <c r="BA16" s="329">
        <v>7.5788909862517055</v>
      </c>
      <c r="BB16" s="55"/>
      <c r="BC16" s="55"/>
      <c r="BD16" s="55"/>
      <c r="BF16" s="55"/>
      <c r="BG16" s="329">
        <v>7.8254192379704239</v>
      </c>
      <c r="BH16" s="55"/>
      <c r="BI16" s="55"/>
      <c r="BJ16" s="55"/>
      <c r="BL16" s="55"/>
      <c r="BM16" s="329">
        <v>8.0842739022750791</v>
      </c>
      <c r="BN16" s="55"/>
      <c r="BO16" s="55"/>
      <c r="BP16" s="55"/>
      <c r="BR16" s="55"/>
      <c r="BS16" s="329">
        <v>8.3560712997949675</v>
      </c>
      <c r="BT16" s="55"/>
      <c r="BU16" s="55"/>
      <c r="BV16" s="55"/>
      <c r="BX16" s="55"/>
      <c r="BY16" s="329">
        <v>8.6414585671908508</v>
      </c>
      <c r="BZ16" s="55"/>
      <c r="CA16" s="55"/>
      <c r="CB16" s="55"/>
      <c r="CD16" s="55"/>
      <c r="CE16" s="329">
        <v>8.9411151979565293</v>
      </c>
      <c r="CF16" s="55"/>
      <c r="CG16" s="55"/>
      <c r="CH16" s="55"/>
      <c r="CJ16" s="55"/>
      <c r="CK16" s="329">
        <v>9.2557546602604894</v>
      </c>
      <c r="CL16" s="55"/>
      <c r="CM16" s="55"/>
      <c r="CN16" s="55"/>
      <c r="CP16" s="55"/>
      <c r="CQ16" s="329">
        <v>7.6551041496193619</v>
      </c>
      <c r="CR16" s="55"/>
      <c r="CS16" s="55"/>
      <c r="CT16" s="55"/>
      <c r="CV16" s="55"/>
      <c r="CW16" s="329">
        <v>8.0019941568094808</v>
      </c>
      <c r="CX16" s="55"/>
      <c r="CY16" s="55"/>
      <c r="CZ16" s="55"/>
      <c r="DB16" s="55"/>
      <c r="DC16" s="329">
        <v>8.3662286643591042</v>
      </c>
      <c r="DD16" s="55"/>
      <c r="DE16" s="55"/>
      <c r="DF16" s="55"/>
      <c r="DH16" s="55"/>
      <c r="DI16" s="329">
        <v>8.7486748972862092</v>
      </c>
      <c r="DJ16" s="55"/>
      <c r="DK16" s="55"/>
      <c r="DL16" s="55"/>
      <c r="DN16" s="55"/>
      <c r="DO16" s="329">
        <v>9.1502434418596685</v>
      </c>
      <c r="DP16" s="55"/>
      <c r="DQ16" s="55"/>
      <c r="DR16" s="55"/>
      <c r="DT16" s="55"/>
      <c r="DU16" s="329">
        <v>9.5718904136617997</v>
      </c>
      <c r="DV16" s="55"/>
      <c r="DW16" s="55"/>
      <c r="DX16" s="55"/>
      <c r="DZ16" s="55"/>
      <c r="EA16" s="329">
        <v>10.014619734054039</v>
      </c>
      <c r="EB16" s="55"/>
      <c r="EC16" s="55"/>
      <c r="ED16" s="55"/>
      <c r="EF16" s="55"/>
      <c r="EG16" s="329">
        <v>10.479485520465888</v>
      </c>
      <c r="EH16" s="55"/>
      <c r="EI16" s="55"/>
      <c r="EJ16" s="55"/>
      <c r="EL16" s="55"/>
      <c r="EM16" s="329">
        <v>10.967594596198328</v>
      </c>
      <c r="EN16" s="55"/>
      <c r="EO16" s="55"/>
      <c r="EP16" s="55"/>
      <c r="ER16" s="55"/>
      <c r="ES16" s="329">
        <v>11.480109125717398</v>
      </c>
      <c r="ET16" s="55"/>
      <c r="EU16" s="55"/>
      <c r="EV16" s="55"/>
    </row>
    <row r="17" spans="1:152" x14ac:dyDescent="0.25">
      <c r="A17" t="s">
        <v>625</v>
      </c>
      <c r="B17" s="55" t="s">
        <v>144</v>
      </c>
      <c r="C17" s="55" t="s">
        <v>148</v>
      </c>
      <c r="D17" s="55"/>
      <c r="E17" s="329">
        <v>125.06114489687985</v>
      </c>
      <c r="F17" s="55"/>
      <c r="G17" s="55"/>
      <c r="H17" s="55"/>
      <c r="J17" s="55"/>
      <c r="K17" s="329">
        <v>88.540839979261904</v>
      </c>
      <c r="L17" s="55"/>
      <c r="M17" s="55"/>
      <c r="N17" s="55"/>
      <c r="P17" s="55"/>
      <c r="Q17" s="329">
        <v>61.382444765490177</v>
      </c>
      <c r="R17" s="55"/>
      <c r="S17" s="55"/>
      <c r="T17" s="55"/>
      <c r="V17" s="55"/>
      <c r="W17" s="329">
        <v>60.738610087897598</v>
      </c>
      <c r="X17" s="55"/>
      <c r="Y17" s="55"/>
      <c r="Z17" s="55"/>
      <c r="AB17" s="55"/>
      <c r="AC17" s="329">
        <v>60.043268636097608</v>
      </c>
      <c r="AD17" s="55"/>
      <c r="AE17" s="55"/>
      <c r="AF17" s="55"/>
      <c r="AH17" s="55"/>
      <c r="AI17" s="329">
        <v>59.292299868153613</v>
      </c>
      <c r="AJ17" s="55"/>
      <c r="AK17" s="55"/>
      <c r="AL17" s="55"/>
      <c r="AN17" s="55"/>
      <c r="AO17" s="329">
        <v>58.481253598774096</v>
      </c>
      <c r="AP17" s="55"/>
      <c r="AQ17" s="55"/>
      <c r="AR17" s="55"/>
      <c r="AT17" s="55"/>
      <c r="AU17" s="329">
        <v>57.605323627844221</v>
      </c>
      <c r="AV17" s="55"/>
      <c r="AW17" s="55"/>
      <c r="AX17" s="55"/>
      <c r="AZ17" s="55"/>
      <c r="BA17" s="329">
        <v>56.659319259239957</v>
      </c>
      <c r="BB17" s="55"/>
      <c r="BC17" s="55"/>
      <c r="BD17" s="55"/>
      <c r="BF17" s="55"/>
      <c r="BG17" s="329">
        <v>55.637634541147342</v>
      </c>
      <c r="BH17" s="55"/>
      <c r="BI17" s="55"/>
      <c r="BJ17" s="55"/>
      <c r="BL17" s="55"/>
      <c r="BM17" s="329">
        <v>54.534215045607333</v>
      </c>
      <c r="BN17" s="55"/>
      <c r="BO17" s="55"/>
      <c r="BP17" s="55"/>
      <c r="BR17" s="55"/>
      <c r="BS17" s="329">
        <v>53.342521990424117</v>
      </c>
      <c r="BT17" s="55"/>
      <c r="BU17" s="55"/>
      <c r="BV17" s="55"/>
      <c r="BX17" s="55"/>
      <c r="BY17" s="329">
        <v>52.055493490826258</v>
      </c>
      <c r="BZ17" s="55"/>
      <c r="CA17" s="55"/>
      <c r="CB17" s="55"/>
      <c r="CD17" s="55"/>
      <c r="CE17" s="329">
        <v>50.665502711260558</v>
      </c>
      <c r="CF17" s="55"/>
      <c r="CG17" s="55"/>
      <c r="CH17" s="55"/>
      <c r="CJ17" s="55"/>
      <c r="CK17" s="329">
        <v>49.164312669329597</v>
      </c>
      <c r="CL17" s="55"/>
      <c r="CM17" s="55"/>
      <c r="CN17" s="55"/>
      <c r="CP17" s="55"/>
      <c r="CQ17" s="329">
        <v>47.543027424044169</v>
      </c>
      <c r="CR17" s="55"/>
      <c r="CS17" s="55"/>
      <c r="CT17" s="55"/>
      <c r="CV17" s="55"/>
      <c r="CW17" s="329">
        <v>45.792039359135892</v>
      </c>
      <c r="CX17" s="55"/>
      <c r="CY17" s="55"/>
      <c r="CZ17" s="55"/>
      <c r="DB17" s="55"/>
      <c r="DC17" s="329">
        <v>43.900972249034965</v>
      </c>
      <c r="DD17" s="55"/>
      <c r="DE17" s="55"/>
      <c r="DF17" s="55"/>
      <c r="DH17" s="55"/>
      <c r="DI17" s="329">
        <v>41.858619770125962</v>
      </c>
      <c r="DJ17" s="55"/>
      <c r="DK17" s="55"/>
      <c r="DL17" s="55"/>
      <c r="DN17" s="55"/>
      <c r="DO17" s="329">
        <v>39.652879092904236</v>
      </c>
      <c r="DP17" s="55"/>
      <c r="DQ17" s="55"/>
      <c r="DR17" s="55"/>
      <c r="DT17" s="55"/>
      <c r="DU17" s="329">
        <v>37.270679161504781</v>
      </c>
      <c r="DV17" s="55"/>
      <c r="DW17" s="55"/>
      <c r="DX17" s="55"/>
      <c r="DZ17" s="55"/>
      <c r="EA17" s="329">
        <v>34.697903235593358</v>
      </c>
      <c r="EB17" s="55"/>
      <c r="EC17" s="55"/>
      <c r="ED17" s="55"/>
      <c r="EF17" s="55"/>
      <c r="EG17" s="329">
        <v>31.919305235609023</v>
      </c>
      <c r="EH17" s="55"/>
      <c r="EI17" s="55"/>
      <c r="EJ17" s="55"/>
      <c r="EL17" s="55"/>
      <c r="EM17" s="329">
        <v>28.918419395625943</v>
      </c>
      <c r="EN17" s="55"/>
      <c r="EO17" s="55"/>
      <c r="EP17" s="55"/>
      <c r="ER17" s="55"/>
      <c r="ES17" s="329">
        <v>25.677462688444219</v>
      </c>
      <c r="ET17" s="55"/>
      <c r="EU17" s="55"/>
      <c r="EV17" s="55"/>
    </row>
    <row r="18" spans="1:152" x14ac:dyDescent="0.25">
      <c r="A18" t="s">
        <v>624</v>
      </c>
      <c r="B18" s="55" t="s">
        <v>156</v>
      </c>
      <c r="C18" s="55" t="s">
        <v>148</v>
      </c>
      <c r="D18" s="55"/>
      <c r="E18" s="329">
        <v>7.426393071716209</v>
      </c>
      <c r="F18" s="55"/>
      <c r="G18" s="55"/>
      <c r="H18" s="55"/>
      <c r="J18" s="55"/>
      <c r="K18" s="329">
        <v>7.426393071716209</v>
      </c>
      <c r="L18" s="55"/>
      <c r="M18" s="55"/>
      <c r="N18" s="55"/>
      <c r="P18" s="55"/>
      <c r="Q18" s="329">
        <v>7.7977127253020191</v>
      </c>
      <c r="R18" s="55"/>
      <c r="S18" s="55"/>
      <c r="T18" s="55"/>
      <c r="V18" s="55"/>
      <c r="W18" s="329">
        <v>8.1875983615671206</v>
      </c>
      <c r="X18" s="55"/>
      <c r="Y18" s="55"/>
      <c r="Z18" s="55"/>
      <c r="AB18" s="55"/>
      <c r="AC18" s="329">
        <v>8.5969782796454766</v>
      </c>
      <c r="AD18" s="55"/>
      <c r="AE18" s="55"/>
      <c r="AF18" s="55"/>
      <c r="AH18" s="55"/>
      <c r="AI18" s="329">
        <v>9.0268271936277493</v>
      </c>
      <c r="AJ18" s="55"/>
      <c r="AK18" s="55"/>
      <c r="AL18" s="55"/>
      <c r="AN18" s="55"/>
      <c r="AO18" s="329">
        <v>9.4781685533091373</v>
      </c>
      <c r="AP18" s="55"/>
      <c r="AQ18" s="55"/>
      <c r="AR18" s="55"/>
      <c r="AT18" s="55"/>
      <c r="AU18" s="329">
        <v>9.9520769809745939</v>
      </c>
      <c r="AV18" s="55"/>
      <c r="AW18" s="55"/>
      <c r="AX18" s="55"/>
      <c r="AZ18" s="55"/>
      <c r="BA18" s="329">
        <v>10.449680830023327</v>
      </c>
      <c r="BB18" s="55"/>
      <c r="BC18" s="55"/>
      <c r="BD18" s="55"/>
      <c r="BF18" s="55"/>
      <c r="BG18" s="329">
        <v>10.972164871524493</v>
      </c>
      <c r="BH18" s="55"/>
      <c r="BI18" s="55"/>
      <c r="BJ18" s="55"/>
      <c r="BL18" s="55"/>
      <c r="BM18" s="329">
        <v>11.520773115100717</v>
      </c>
      <c r="BN18" s="55"/>
      <c r="BO18" s="55"/>
      <c r="BP18" s="55"/>
      <c r="BR18" s="55"/>
      <c r="BS18" s="329">
        <v>12.096811770855751</v>
      </c>
      <c r="BT18" s="55"/>
      <c r="BU18" s="55"/>
      <c r="BV18" s="55"/>
      <c r="BX18" s="55"/>
      <c r="BY18" s="329">
        <v>12.70165235939854</v>
      </c>
      <c r="BZ18" s="55"/>
      <c r="CA18" s="55"/>
      <c r="CB18" s="55"/>
      <c r="CD18" s="55"/>
      <c r="CE18" s="329">
        <v>13.336734977368465</v>
      </c>
      <c r="CF18" s="55"/>
      <c r="CG18" s="55"/>
      <c r="CH18" s="55"/>
      <c r="CJ18" s="55"/>
      <c r="CK18" s="329">
        <v>14.003571726236892</v>
      </c>
      <c r="CL18" s="55"/>
      <c r="CM18" s="55"/>
      <c r="CN18" s="55"/>
      <c r="CP18" s="55"/>
      <c r="CQ18" s="329">
        <v>14.703750312548733</v>
      </c>
      <c r="CR18" s="55"/>
      <c r="CS18" s="55"/>
      <c r="CT18" s="55"/>
      <c r="CV18" s="55"/>
      <c r="CW18" s="329">
        <v>15.438937828176174</v>
      </c>
      <c r="CX18" s="55"/>
      <c r="CY18" s="55"/>
      <c r="CZ18" s="55"/>
      <c r="DB18" s="55"/>
      <c r="DC18" s="329">
        <v>16.210884719584982</v>
      </c>
      <c r="DD18" s="55"/>
      <c r="DE18" s="55"/>
      <c r="DF18" s="55"/>
      <c r="DH18" s="55"/>
      <c r="DI18" s="329">
        <v>17.021428955564232</v>
      </c>
      <c r="DJ18" s="55"/>
      <c r="DK18" s="55"/>
      <c r="DL18" s="55"/>
      <c r="DN18" s="55"/>
      <c r="DO18" s="329">
        <v>17.872500403342446</v>
      </c>
      <c r="DP18" s="55"/>
      <c r="DQ18" s="55"/>
      <c r="DR18" s="55"/>
      <c r="DT18" s="55"/>
      <c r="DU18" s="329">
        <v>18.766125423509564</v>
      </c>
      <c r="DV18" s="55"/>
      <c r="DW18" s="55"/>
      <c r="DX18" s="55"/>
      <c r="DZ18" s="55"/>
      <c r="EA18" s="329">
        <v>19.704431694685045</v>
      </c>
      <c r="EB18" s="55"/>
      <c r="EC18" s="55"/>
      <c r="ED18" s="55"/>
      <c r="EF18" s="55"/>
      <c r="EG18" s="329">
        <v>20.689653279419296</v>
      </c>
      <c r="EH18" s="55"/>
      <c r="EI18" s="55"/>
      <c r="EJ18" s="55"/>
      <c r="EL18" s="55"/>
      <c r="EM18" s="329">
        <v>21.724135943390259</v>
      </c>
      <c r="EN18" s="55"/>
      <c r="EO18" s="55"/>
      <c r="EP18" s="55"/>
      <c r="ER18" s="55"/>
      <c r="ES18" s="329">
        <v>22.810342740559776</v>
      </c>
      <c r="ET18" s="55"/>
      <c r="EU18" s="55"/>
      <c r="EV18" s="55"/>
    </row>
    <row r="19" spans="1:152" s="142" customFormat="1" x14ac:dyDescent="0.25">
      <c r="B19" s="393" t="s">
        <v>158</v>
      </c>
      <c r="C19" s="393" t="s">
        <v>71</v>
      </c>
      <c r="D19" s="393"/>
      <c r="E19" s="394">
        <v>-0.2905545548150546</v>
      </c>
      <c r="F19" s="393"/>
      <c r="G19" s="393"/>
      <c r="H19" s="393"/>
      <c r="J19" s="393"/>
      <c r="K19" s="394">
        <v>-1.2790002047395315E-2</v>
      </c>
      <c r="L19" s="393"/>
      <c r="M19" s="393"/>
      <c r="N19" s="393"/>
      <c r="P19" s="393"/>
      <c r="Q19" s="394">
        <v>0.30454296127216668</v>
      </c>
      <c r="R19" s="393"/>
      <c r="S19" s="393"/>
      <c r="T19" s="393"/>
      <c r="V19" s="393"/>
      <c r="W19" s="394">
        <v>0.30312382607748628</v>
      </c>
      <c r="X19" s="393"/>
      <c r="Y19" s="393"/>
      <c r="Z19" s="393"/>
      <c r="AB19" s="393"/>
      <c r="AC19" s="394">
        <v>0.30104253389152419</v>
      </c>
      <c r="AD19" s="393"/>
      <c r="AE19" s="393"/>
      <c r="AF19" s="393"/>
      <c r="AH19" s="393"/>
      <c r="AI19" s="394">
        <v>0.29830382890697449</v>
      </c>
      <c r="AJ19" s="393"/>
      <c r="AK19" s="393"/>
      <c r="AL19" s="393"/>
      <c r="AN19" s="393"/>
      <c r="AO19" s="394">
        <v>0.29491438124207836</v>
      </c>
      <c r="AP19" s="393"/>
      <c r="AQ19" s="393"/>
      <c r="AR19" s="393"/>
      <c r="AT19" s="393"/>
      <c r="AU19" s="394">
        <v>0.29088275980478273</v>
      </c>
      <c r="AV19" s="393"/>
      <c r="AW19" s="393"/>
      <c r="AX19" s="393"/>
      <c r="AZ19" s="393"/>
      <c r="BA19" s="394">
        <v>0.28621939223289522</v>
      </c>
      <c r="BB19" s="393"/>
      <c r="BC19" s="393"/>
      <c r="BD19" s="393"/>
      <c r="BF19" s="393"/>
      <c r="BG19" s="394">
        <v>0.28093651234215145</v>
      </c>
      <c r="BH19" s="393"/>
      <c r="BI19" s="393"/>
      <c r="BJ19" s="393"/>
      <c r="BL19" s="393"/>
      <c r="BM19" s="394">
        <v>0.27504809567439426</v>
      </c>
      <c r="BN19" s="393"/>
      <c r="BO19" s="393"/>
      <c r="BP19" s="393"/>
      <c r="BR19" s="393"/>
      <c r="BS19" s="394">
        <v>0.26856978388779634</v>
      </c>
      <c r="BT19" s="393"/>
      <c r="BU19" s="393"/>
      <c r="BV19" s="393"/>
      <c r="BX19" s="393"/>
      <c r="BY19" s="394">
        <v>0.26151879886708107</v>
      </c>
      <c r="BZ19" s="393"/>
      <c r="CA19" s="393"/>
      <c r="CB19" s="393"/>
      <c r="CD19" s="393"/>
      <c r="CE19" s="394">
        <v>0.25391384755153795</v>
      </c>
      <c r="CF19" s="393"/>
      <c r="CG19" s="393"/>
      <c r="CH19" s="393"/>
      <c r="CJ19" s="393"/>
      <c r="CK19" s="394">
        <v>0.24577501858025091</v>
      </c>
      <c r="CL19" s="393"/>
      <c r="CM19" s="393"/>
      <c r="CN19" s="393"/>
      <c r="CP19" s="393"/>
      <c r="CQ19" s="394">
        <v>0.45303039099190517</v>
      </c>
      <c r="CR19" s="393"/>
      <c r="CS19" s="393"/>
      <c r="CT19" s="393"/>
      <c r="CV19" s="393"/>
      <c r="CW19" s="394">
        <v>0.43556613928486315</v>
      </c>
      <c r="CX19" s="393"/>
      <c r="CY19" s="393"/>
      <c r="CZ19" s="393"/>
      <c r="DB19" s="393"/>
      <c r="DC19" s="394">
        <v>0.41779633226986901</v>
      </c>
      <c r="DD19" s="393"/>
      <c r="DE19" s="393"/>
      <c r="DF19" s="393"/>
      <c r="DH19" s="393"/>
      <c r="DI19" s="394">
        <v>0.39975648101952838</v>
      </c>
      <c r="DJ19" s="393"/>
      <c r="DK19" s="393"/>
      <c r="DL19" s="393"/>
      <c r="DN19" s="393"/>
      <c r="DO19" s="394">
        <v>0.38148165501751802</v>
      </c>
      <c r="DP19" s="393"/>
      <c r="DQ19" s="393"/>
      <c r="DR19" s="393"/>
      <c r="DT19" s="393"/>
      <c r="DU19" s="394">
        <v>0.36300636455847124</v>
      </c>
      <c r="DV19" s="393"/>
      <c r="DW19" s="393"/>
      <c r="DX19" s="393"/>
      <c r="DZ19" s="393"/>
      <c r="EA19" s="394">
        <v>0.34436445358084178</v>
      </c>
      <c r="EB19" s="393"/>
      <c r="EC19" s="393"/>
      <c r="ED19" s="393"/>
      <c r="EF19" s="393"/>
      <c r="EG19" s="394">
        <v>0.32558900323113327</v>
      </c>
      <c r="EH19" s="393"/>
      <c r="EI19" s="393"/>
      <c r="EJ19" s="393"/>
      <c r="EL19" s="393"/>
      <c r="EM19" s="394">
        <v>0.30671224632274058</v>
      </c>
      <c r="EN19" s="393"/>
      <c r="EO19" s="393"/>
      <c r="EP19" s="393"/>
      <c r="ER19" s="393"/>
      <c r="ES19" s="394">
        <v>0.28776549272733187</v>
      </c>
      <c r="ET19" s="393"/>
      <c r="EU19" s="393"/>
      <c r="EV19" s="393"/>
    </row>
    <row r="20" spans="1:152" s="142" customFormat="1" x14ac:dyDescent="0.25">
      <c r="B20" s="393" t="s">
        <v>159</v>
      </c>
      <c r="C20" s="393" t="s">
        <v>148</v>
      </c>
      <c r="D20" s="393"/>
      <c r="E20" s="395">
        <v>-123.85500873561205</v>
      </c>
      <c r="F20" s="393"/>
      <c r="G20" s="393"/>
      <c r="H20" s="393"/>
      <c r="J20" s="393"/>
      <c r="K20" s="395">
        <v>-4.1043168345387357</v>
      </c>
      <c r="L20" s="393"/>
      <c r="M20" s="393"/>
      <c r="N20" s="393"/>
      <c r="P20" s="393"/>
      <c r="Q20" s="395">
        <v>75.434525384096332</v>
      </c>
      <c r="R20" s="393"/>
      <c r="S20" s="393"/>
      <c r="T20" s="393"/>
      <c r="V20" s="393"/>
      <c r="W20" s="395">
        <v>76.668072014538325</v>
      </c>
      <c r="X20" s="393"/>
      <c r="Y20" s="393"/>
      <c r="Z20" s="393"/>
      <c r="AB20" s="393"/>
      <c r="AC20" s="395">
        <v>77.788731810988793</v>
      </c>
      <c r="AD20" s="393"/>
      <c r="AE20" s="393"/>
      <c r="AF20" s="393"/>
      <c r="AH20" s="393"/>
      <c r="AI20" s="395">
        <v>78.788528050857849</v>
      </c>
      <c r="AJ20" s="393"/>
      <c r="AK20" s="393"/>
      <c r="AL20" s="393"/>
      <c r="AN20" s="393"/>
      <c r="AO20" s="395">
        <v>79.659131240000988</v>
      </c>
      <c r="AP20" s="393"/>
      <c r="AQ20" s="393"/>
      <c r="AR20" s="393"/>
      <c r="AT20" s="393"/>
      <c r="AU20" s="395">
        <v>80.391849812410328</v>
      </c>
      <c r="AV20" s="393"/>
      <c r="AW20" s="393"/>
      <c r="AX20" s="393"/>
      <c r="AZ20" s="393"/>
      <c r="BA20" s="395">
        <v>80.977621125009819</v>
      </c>
      <c r="BB20" s="393"/>
      <c r="BC20" s="393"/>
      <c r="BD20" s="393"/>
      <c r="BF20" s="393"/>
      <c r="BG20" s="395">
        <v>81.407002824988581</v>
      </c>
      <c r="BH20" s="393"/>
      <c r="BI20" s="393"/>
      <c r="BJ20" s="393"/>
      <c r="BL20" s="393"/>
      <c r="BM20" s="395">
        <v>81.670164676013769</v>
      </c>
      <c r="BN20" s="393"/>
      <c r="BO20" s="393"/>
      <c r="BP20" s="393"/>
      <c r="BR20" s="393"/>
      <c r="BS20" s="395">
        <v>81.756880939450525</v>
      </c>
      <c r="BT20" s="393"/>
      <c r="BU20" s="393"/>
      <c r="BV20" s="393"/>
      <c r="BX20" s="393"/>
      <c r="BY20" s="395">
        <v>81.656523417409858</v>
      </c>
      <c r="BZ20" s="393"/>
      <c r="CA20" s="393"/>
      <c r="CB20" s="393"/>
      <c r="CD20" s="393"/>
      <c r="CE20" s="395">
        <v>81.358055276143318</v>
      </c>
      <c r="CF20" s="393"/>
      <c r="CG20" s="393"/>
      <c r="CH20" s="393"/>
      <c r="CJ20" s="393"/>
      <c r="CK20" s="395">
        <v>80.850025781127101</v>
      </c>
      <c r="CL20" s="393"/>
      <c r="CM20" s="393"/>
      <c r="CN20" s="393"/>
      <c r="CP20" s="393"/>
      <c r="CQ20" s="395">
        <v>130.32713668670954</v>
      </c>
      <c r="CR20" s="393"/>
      <c r="CS20" s="393"/>
      <c r="CT20" s="393"/>
      <c r="CV20" s="393"/>
      <c r="CW20" s="395">
        <v>129.36395685553998</v>
      </c>
      <c r="CX20" s="393"/>
      <c r="CY20" s="393"/>
      <c r="CZ20" s="393"/>
      <c r="DB20" s="393"/>
      <c r="DC20" s="395">
        <v>128.15434424857528</v>
      </c>
      <c r="DD20" s="393"/>
      <c r="DE20" s="393"/>
      <c r="DF20" s="393"/>
      <c r="DH20" s="393"/>
      <c r="DI20" s="395">
        <v>126.68516352985796</v>
      </c>
      <c r="DJ20" s="393"/>
      <c r="DK20" s="393"/>
      <c r="DL20" s="393"/>
      <c r="DN20" s="393"/>
      <c r="DO20" s="395">
        <v>124.94285846497108</v>
      </c>
      <c r="DP20" s="393"/>
      <c r="DQ20" s="393"/>
      <c r="DR20" s="393"/>
      <c r="DT20" s="393"/>
      <c r="DU20" s="395">
        <v>122.91345576486297</v>
      </c>
      <c r="DV20" s="393"/>
      <c r="DW20" s="393"/>
      <c r="DX20" s="393"/>
      <c r="DZ20" s="393"/>
      <c r="EA20" s="395">
        <v>120.58257123335203</v>
      </c>
      <c r="EB20" s="393"/>
      <c r="EC20" s="393"/>
      <c r="ED20" s="393"/>
      <c r="EF20" s="393"/>
      <c r="EG20" s="395">
        <v>117.93541850481722</v>
      </c>
      <c r="EH20" s="393"/>
      <c r="EI20" s="393"/>
      <c r="EJ20" s="393"/>
      <c r="EL20" s="393"/>
      <c r="EM20" s="395">
        <v>114.95682068666395</v>
      </c>
      <c r="EN20" s="393"/>
      <c r="EO20" s="393"/>
      <c r="EP20" s="393"/>
      <c r="ER20" s="393"/>
      <c r="ES20" s="395">
        <v>111.63122525174867</v>
      </c>
      <c r="ET20" s="393"/>
      <c r="EU20" s="393"/>
      <c r="EV20" s="393"/>
    </row>
    <row r="21" spans="1:152" s="1" customFormat="1" x14ac:dyDescent="0.25">
      <c r="B21" s="62" t="s">
        <v>160</v>
      </c>
      <c r="C21" s="325" t="s">
        <v>148</v>
      </c>
      <c r="D21" s="325"/>
      <c r="E21" s="326">
        <v>302.41608797615322</v>
      </c>
      <c r="F21" s="325"/>
      <c r="G21" s="325"/>
      <c r="H21" s="325"/>
      <c r="J21" s="325"/>
      <c r="K21" s="391">
        <v>316.79608797615322</v>
      </c>
      <c r="L21" s="325"/>
      <c r="M21" s="325"/>
      <c r="N21" s="325"/>
      <c r="P21" s="325"/>
      <c r="Q21" s="391">
        <v>323.13200973567632</v>
      </c>
      <c r="R21" s="325"/>
      <c r="S21" s="325"/>
      <c r="T21" s="325"/>
      <c r="V21" s="325"/>
      <c r="W21" s="391">
        <v>329.59464993038978</v>
      </c>
      <c r="X21" s="325"/>
      <c r="Y21" s="325"/>
      <c r="Z21" s="325"/>
      <c r="AB21" s="325"/>
      <c r="AC21" s="391">
        <v>336.18654292899748</v>
      </c>
      <c r="AD21" s="325"/>
      <c r="AE21" s="325"/>
      <c r="AF21" s="325"/>
      <c r="AH21" s="325"/>
      <c r="AI21" s="391">
        <v>342.91027378757752</v>
      </c>
      <c r="AJ21" s="325"/>
      <c r="AK21" s="325"/>
      <c r="AL21" s="325"/>
      <c r="AN21" s="325"/>
      <c r="AO21" s="391">
        <v>349.76847926332903</v>
      </c>
      <c r="AP21" s="325"/>
      <c r="AQ21" s="325"/>
      <c r="AR21" s="325"/>
      <c r="AT21" s="325"/>
      <c r="AU21" s="391">
        <v>356.76384884859561</v>
      </c>
      <c r="AV21" s="325"/>
      <c r="AW21" s="325"/>
      <c r="AX21" s="325"/>
      <c r="AZ21" s="325"/>
      <c r="BA21" s="391">
        <v>363.89912582556747</v>
      </c>
      <c r="BB21" s="325"/>
      <c r="BC21" s="325"/>
      <c r="BD21" s="325"/>
      <c r="BF21" s="325"/>
      <c r="BG21" s="391">
        <v>371.17710834207895</v>
      </c>
      <c r="BH21" s="325"/>
      <c r="BI21" s="325"/>
      <c r="BJ21" s="325"/>
      <c r="BL21" s="325"/>
      <c r="BM21" s="391">
        <v>378.60065050892075</v>
      </c>
      <c r="BN21" s="325"/>
      <c r="BO21" s="325"/>
      <c r="BP21" s="325"/>
      <c r="BR21" s="325"/>
      <c r="BS21" s="391">
        <v>386.17266351909876</v>
      </c>
      <c r="BT21" s="325"/>
      <c r="BU21" s="325"/>
      <c r="BV21" s="325"/>
      <c r="BX21" s="325"/>
      <c r="BY21" s="391">
        <v>393.89611678948103</v>
      </c>
      <c r="BZ21" s="325"/>
      <c r="CA21" s="325"/>
      <c r="CB21" s="325"/>
      <c r="CD21" s="325"/>
      <c r="CE21" s="391">
        <v>401.77403912527046</v>
      </c>
      <c r="CF21" s="325"/>
      <c r="CG21" s="325"/>
      <c r="CH21" s="325"/>
      <c r="CJ21" s="325"/>
      <c r="CK21" s="391">
        <v>409.80951990777612</v>
      </c>
      <c r="CL21" s="325"/>
      <c r="CM21" s="325"/>
      <c r="CN21" s="325"/>
      <c r="CP21" s="325"/>
      <c r="CQ21" s="391">
        <v>418.00571030593113</v>
      </c>
      <c r="CR21" s="325"/>
      <c r="CS21" s="325"/>
      <c r="CT21" s="325"/>
      <c r="CV21" s="325"/>
      <c r="CW21" s="391">
        <v>426.3658245120501</v>
      </c>
      <c r="CX21" s="325"/>
      <c r="CY21" s="325"/>
      <c r="CZ21" s="325"/>
      <c r="DB21" s="325"/>
      <c r="DC21" s="391">
        <v>434.89314100229115</v>
      </c>
      <c r="DD21" s="325"/>
      <c r="DE21" s="325"/>
      <c r="DF21" s="325"/>
      <c r="DH21" s="325"/>
      <c r="DI21" s="391">
        <v>443.59100382233669</v>
      </c>
      <c r="DJ21" s="325"/>
      <c r="DK21" s="325"/>
      <c r="DL21" s="325"/>
      <c r="DN21" s="325"/>
      <c r="DO21" s="391">
        <v>452.4628238987836</v>
      </c>
      <c r="DP21" s="325"/>
      <c r="DQ21" s="325"/>
      <c r="DR21" s="325"/>
      <c r="DT21" s="325"/>
      <c r="DU21" s="391">
        <v>461.51208037675929</v>
      </c>
      <c r="DV21" s="325"/>
      <c r="DW21" s="325"/>
      <c r="DX21" s="325"/>
      <c r="DZ21" s="325"/>
      <c r="EA21" s="391">
        <v>470.74232198429445</v>
      </c>
      <c r="EB21" s="325"/>
      <c r="EC21" s="325"/>
      <c r="ED21" s="325"/>
      <c r="EF21" s="325"/>
      <c r="EG21" s="391">
        <v>480.15716842398058</v>
      </c>
      <c r="EH21" s="325"/>
      <c r="EI21" s="325"/>
      <c r="EJ21" s="325"/>
      <c r="EL21" s="325"/>
      <c r="EM21" s="391">
        <v>489.76031179245973</v>
      </c>
      <c r="EN21" s="325"/>
      <c r="EO21" s="325"/>
      <c r="EP21" s="325"/>
      <c r="ER21" s="325"/>
      <c r="ES21" s="391">
        <v>499.55551802830917</v>
      </c>
      <c r="ET21" s="325"/>
      <c r="EU21" s="325"/>
      <c r="EV21" s="325"/>
    </row>
    <row r="22" spans="1:152" x14ac:dyDescent="0.25">
      <c r="B22" s="61" t="s">
        <v>161</v>
      </c>
      <c r="C22" s="54"/>
      <c r="D22" s="54"/>
      <c r="E22" s="54"/>
      <c r="F22" s="54"/>
      <c r="G22" s="54"/>
      <c r="H22" s="54"/>
      <c r="J22" s="54"/>
      <c r="K22" s="392"/>
      <c r="L22" s="54"/>
      <c r="M22" s="54"/>
      <c r="N22" s="54"/>
      <c r="P22" s="54"/>
      <c r="Q22" s="392"/>
      <c r="R22" s="54"/>
      <c r="S22" s="54"/>
      <c r="T22" s="54"/>
      <c r="V22" s="54"/>
      <c r="W22" s="392"/>
      <c r="X22" s="54"/>
      <c r="Y22" s="54"/>
      <c r="Z22" s="54"/>
      <c r="AB22" s="54"/>
      <c r="AC22" s="392"/>
      <c r="AD22" s="54"/>
      <c r="AE22" s="54"/>
      <c r="AF22" s="54"/>
      <c r="AH22" s="54"/>
      <c r="AI22" s="392"/>
      <c r="AJ22" s="54"/>
      <c r="AK22" s="54"/>
      <c r="AL22" s="54"/>
      <c r="AN22" s="54"/>
      <c r="AO22" s="392"/>
      <c r="AP22" s="54"/>
      <c r="AQ22" s="54"/>
      <c r="AR22" s="54"/>
      <c r="AT22" s="54"/>
      <c r="AU22" s="392"/>
      <c r="AV22" s="54"/>
      <c r="AW22" s="54"/>
      <c r="AX22" s="54"/>
      <c r="AZ22" s="54"/>
      <c r="BA22" s="392"/>
      <c r="BB22" s="54"/>
      <c r="BC22" s="54"/>
      <c r="BD22" s="54"/>
      <c r="BF22" s="54"/>
      <c r="BG22" s="392"/>
      <c r="BH22" s="54"/>
      <c r="BI22" s="54"/>
      <c r="BJ22" s="54"/>
      <c r="BL22" s="54"/>
      <c r="BM22" s="392"/>
      <c r="BN22" s="54"/>
      <c r="BO22" s="54"/>
      <c r="BP22" s="54"/>
      <c r="BR22" s="54"/>
      <c r="BS22" s="392"/>
      <c r="BT22" s="54"/>
      <c r="BU22" s="54"/>
      <c r="BV22" s="54"/>
      <c r="BX22" s="54"/>
      <c r="BY22" s="392"/>
      <c r="BZ22" s="54"/>
      <c r="CA22" s="54"/>
      <c r="CB22" s="54"/>
      <c r="CD22" s="54"/>
      <c r="CE22" s="392"/>
      <c r="CF22" s="54"/>
      <c r="CG22" s="54"/>
      <c r="CH22" s="54"/>
      <c r="CJ22" s="54"/>
      <c r="CK22" s="392"/>
      <c r="CL22" s="54"/>
      <c r="CM22" s="54"/>
      <c r="CN22" s="54"/>
      <c r="CP22" s="54"/>
      <c r="CQ22" s="392"/>
      <c r="CR22" s="54"/>
      <c r="CS22" s="54"/>
      <c r="CT22" s="54"/>
      <c r="CV22" s="54"/>
      <c r="CW22" s="392"/>
      <c r="CX22" s="54"/>
      <c r="CY22" s="54"/>
      <c r="CZ22" s="54"/>
      <c r="DB22" s="54"/>
      <c r="DC22" s="392"/>
      <c r="DD22" s="54"/>
      <c r="DE22" s="54"/>
      <c r="DF22" s="54"/>
      <c r="DH22" s="54"/>
      <c r="DI22" s="392"/>
      <c r="DJ22" s="54"/>
      <c r="DK22" s="54"/>
      <c r="DL22" s="54"/>
      <c r="DN22" s="54"/>
      <c r="DO22" s="392"/>
      <c r="DP22" s="54"/>
      <c r="DQ22" s="54"/>
      <c r="DR22" s="54"/>
      <c r="DT22" s="54"/>
      <c r="DU22" s="392"/>
      <c r="DV22" s="54"/>
      <c r="DW22" s="54"/>
      <c r="DX22" s="54"/>
      <c r="DZ22" s="54"/>
      <c r="EA22" s="392"/>
      <c r="EB22" s="54"/>
      <c r="EC22" s="54"/>
      <c r="ED22" s="54"/>
      <c r="EF22" s="54"/>
      <c r="EG22" s="392"/>
      <c r="EH22" s="54"/>
      <c r="EI22" s="54"/>
      <c r="EJ22" s="54"/>
      <c r="EL22" s="54"/>
      <c r="EM22" s="392"/>
      <c r="EN22" s="54"/>
      <c r="EO22" s="54"/>
      <c r="EP22" s="54"/>
      <c r="ER22" s="54"/>
      <c r="ES22" s="392"/>
      <c r="ET22" s="54"/>
      <c r="EU22" s="54"/>
      <c r="EV22" s="54"/>
    </row>
    <row r="23" spans="1:152" x14ac:dyDescent="0.25">
      <c r="A23" t="s">
        <v>624</v>
      </c>
      <c r="B23" s="55" t="s">
        <v>162</v>
      </c>
      <c r="C23" s="55" t="s">
        <v>163</v>
      </c>
      <c r="D23" s="55"/>
      <c r="E23" s="100">
        <v>1033.1281018191401</v>
      </c>
      <c r="F23" s="55"/>
      <c r="G23" s="55"/>
      <c r="H23" s="55"/>
      <c r="J23" s="55"/>
      <c r="K23" s="100">
        <v>1033.1281018191401</v>
      </c>
      <c r="L23" s="55"/>
      <c r="M23" s="55"/>
      <c r="N23" s="55"/>
      <c r="P23" s="55"/>
      <c r="Q23" s="100">
        <v>1053.7906638555228</v>
      </c>
      <c r="R23" s="55"/>
      <c r="S23" s="55"/>
      <c r="T23" s="55"/>
      <c r="V23" s="55"/>
      <c r="W23" s="100">
        <v>1074.8664771326332</v>
      </c>
      <c r="X23" s="55"/>
      <c r="Y23" s="55"/>
      <c r="Z23" s="55"/>
      <c r="AB23" s="55"/>
      <c r="AC23" s="100">
        <v>1096.3638066752858</v>
      </c>
      <c r="AD23" s="55"/>
      <c r="AE23" s="55"/>
      <c r="AF23" s="55"/>
      <c r="AH23" s="55"/>
      <c r="AI23" s="100">
        <v>1118.2910828087915</v>
      </c>
      <c r="AJ23" s="55"/>
      <c r="AK23" s="55"/>
      <c r="AL23" s="55"/>
      <c r="AN23" s="55"/>
      <c r="AO23" s="100">
        <v>1140.6569044649675</v>
      </c>
      <c r="AP23" s="55"/>
      <c r="AQ23" s="55"/>
      <c r="AR23" s="55"/>
      <c r="AT23" s="55"/>
      <c r="AU23" s="100">
        <v>1163.4700425542667</v>
      </c>
      <c r="AV23" s="55"/>
      <c r="AW23" s="55"/>
      <c r="AX23" s="55"/>
      <c r="AZ23" s="55"/>
      <c r="BA23" s="100">
        <v>1186.7394434053519</v>
      </c>
      <c r="BB23" s="55"/>
      <c r="BC23" s="55"/>
      <c r="BD23" s="55"/>
      <c r="BF23" s="55"/>
      <c r="BG23" s="100">
        <v>1210.4742322734589</v>
      </c>
      <c r="BH23" s="55"/>
      <c r="BI23" s="55"/>
      <c r="BJ23" s="55"/>
      <c r="BL23" s="55"/>
      <c r="BM23" s="100">
        <v>1234.6837169189282</v>
      </c>
      <c r="BN23" s="55"/>
      <c r="BO23" s="55"/>
      <c r="BP23" s="55"/>
      <c r="BR23" s="55"/>
      <c r="BS23" s="100">
        <v>1259.377391257307</v>
      </c>
      <c r="BT23" s="55"/>
      <c r="BU23" s="55"/>
      <c r="BV23" s="55"/>
      <c r="BX23" s="55"/>
      <c r="BY23" s="100">
        <v>1284.5649390824528</v>
      </c>
      <c r="BZ23" s="55"/>
      <c r="CA23" s="55"/>
      <c r="CB23" s="55"/>
      <c r="CD23" s="55"/>
      <c r="CE23" s="100">
        <v>1310.2562378641021</v>
      </c>
      <c r="CF23" s="55"/>
      <c r="CG23" s="55"/>
      <c r="CH23" s="55"/>
      <c r="CJ23" s="55"/>
      <c r="CK23" s="100">
        <v>1336.4613626213838</v>
      </c>
      <c r="CL23" s="55"/>
      <c r="CM23" s="55"/>
      <c r="CN23" s="55"/>
      <c r="CP23" s="55"/>
      <c r="CQ23" s="100">
        <v>1363.1905898738119</v>
      </c>
      <c r="CR23" s="55"/>
      <c r="CS23" s="55"/>
      <c r="CT23" s="55"/>
      <c r="CV23" s="55"/>
      <c r="CW23" s="100">
        <v>1390.4544016712878</v>
      </c>
      <c r="CX23" s="55"/>
      <c r="CY23" s="55"/>
      <c r="CZ23" s="55"/>
      <c r="DB23" s="55"/>
      <c r="DC23" s="100">
        <v>1418.2634897047139</v>
      </c>
      <c r="DD23" s="55"/>
      <c r="DE23" s="55"/>
      <c r="DF23" s="55"/>
      <c r="DH23" s="55"/>
      <c r="DI23" s="100">
        <v>1446.628759498808</v>
      </c>
      <c r="DJ23" s="55"/>
      <c r="DK23" s="55"/>
      <c r="DL23" s="55"/>
      <c r="DN23" s="55"/>
      <c r="DO23" s="100">
        <v>1475.561334688784</v>
      </c>
      <c r="DP23" s="55"/>
      <c r="DQ23" s="55"/>
      <c r="DR23" s="55"/>
      <c r="DT23" s="55"/>
      <c r="DU23" s="100">
        <v>1505.0725613825598</v>
      </c>
      <c r="DV23" s="55"/>
      <c r="DW23" s="55"/>
      <c r="DX23" s="55"/>
      <c r="DZ23" s="55"/>
      <c r="EA23" s="100">
        <v>1535.1740126102111</v>
      </c>
      <c r="EB23" s="55"/>
      <c r="EC23" s="55"/>
      <c r="ED23" s="55"/>
      <c r="EF23" s="55"/>
      <c r="EG23" s="100">
        <v>1565.877492862415</v>
      </c>
      <c r="EH23" s="55"/>
      <c r="EI23" s="55"/>
      <c r="EJ23" s="55"/>
      <c r="EL23" s="55"/>
      <c r="EM23" s="100">
        <v>1597.1950427196634</v>
      </c>
      <c r="EN23" s="55"/>
      <c r="EO23" s="55"/>
      <c r="EP23" s="55"/>
      <c r="ER23" s="55"/>
      <c r="ES23" s="100">
        <v>1629.1389435740566</v>
      </c>
      <c r="ET23" s="55"/>
      <c r="EU23" s="55"/>
      <c r="EV23" s="55"/>
    </row>
    <row r="24" spans="1:152" x14ac:dyDescent="0.25">
      <c r="A24" t="s">
        <v>624</v>
      </c>
      <c r="B24" s="55" t="s">
        <v>164</v>
      </c>
      <c r="C24" s="55" t="s">
        <v>148</v>
      </c>
      <c r="D24" s="55"/>
      <c r="E24" s="329">
        <v>387.42303818217749</v>
      </c>
      <c r="F24" s="55"/>
      <c r="G24" s="55"/>
      <c r="H24" s="55"/>
      <c r="J24" s="55"/>
      <c r="K24" s="329">
        <v>387.42303818217749</v>
      </c>
      <c r="L24" s="55"/>
      <c r="M24" s="55"/>
      <c r="N24" s="55"/>
      <c r="P24" s="55"/>
      <c r="Q24" s="329">
        <v>395.17149894582104</v>
      </c>
      <c r="R24" s="55"/>
      <c r="S24" s="55"/>
      <c r="T24" s="55"/>
      <c r="V24" s="55"/>
      <c r="W24" s="329">
        <v>403.07492892473743</v>
      </c>
      <c r="X24" s="55"/>
      <c r="Y24" s="55"/>
      <c r="Z24" s="55"/>
      <c r="AB24" s="55"/>
      <c r="AC24" s="329">
        <v>411.1364275032322</v>
      </c>
      <c r="AD24" s="55"/>
      <c r="AE24" s="55"/>
      <c r="AF24" s="55"/>
      <c r="AH24" s="55"/>
      <c r="AI24" s="329">
        <v>419.35915605329683</v>
      </c>
      <c r="AJ24" s="55"/>
      <c r="AK24" s="55"/>
      <c r="AL24" s="55"/>
      <c r="AN24" s="55"/>
      <c r="AO24" s="329">
        <v>427.74633917436284</v>
      </c>
      <c r="AP24" s="55"/>
      <c r="AQ24" s="55"/>
      <c r="AR24" s="55"/>
      <c r="AT24" s="55"/>
      <c r="AU24" s="329">
        <v>436.30126595785003</v>
      </c>
      <c r="AV24" s="55"/>
      <c r="AW24" s="55"/>
      <c r="AX24" s="55"/>
      <c r="AZ24" s="55"/>
      <c r="BA24" s="329">
        <v>445.02729127700701</v>
      </c>
      <c r="BB24" s="55"/>
      <c r="BC24" s="55"/>
      <c r="BD24" s="55"/>
      <c r="BF24" s="55"/>
      <c r="BG24" s="329">
        <v>453.92783710254713</v>
      </c>
      <c r="BH24" s="55"/>
      <c r="BI24" s="55"/>
      <c r="BJ24" s="55"/>
      <c r="BL24" s="55"/>
      <c r="BM24" s="329">
        <v>463.00639384459805</v>
      </c>
      <c r="BN24" s="55"/>
      <c r="BO24" s="55"/>
      <c r="BP24" s="55"/>
      <c r="BR24" s="55"/>
      <c r="BS24" s="329">
        <v>472.26652172149011</v>
      </c>
      <c r="BT24" s="55"/>
      <c r="BU24" s="55"/>
      <c r="BV24" s="55"/>
      <c r="BX24" s="55"/>
      <c r="BY24" s="329">
        <v>481.71185215591981</v>
      </c>
      <c r="BZ24" s="55"/>
      <c r="CA24" s="55"/>
      <c r="CB24" s="55"/>
      <c r="CD24" s="55"/>
      <c r="CE24" s="329">
        <v>491.34608919903826</v>
      </c>
      <c r="CF24" s="55"/>
      <c r="CG24" s="55"/>
      <c r="CH24" s="55"/>
      <c r="CJ24" s="55"/>
      <c r="CK24" s="329">
        <v>501.17301098301891</v>
      </c>
      <c r="CL24" s="55"/>
      <c r="CM24" s="55"/>
      <c r="CN24" s="55"/>
      <c r="CP24" s="55"/>
      <c r="CQ24" s="329">
        <v>511.19647120267945</v>
      </c>
      <c r="CR24" s="55"/>
      <c r="CS24" s="55"/>
      <c r="CT24" s="55"/>
      <c r="CV24" s="55"/>
      <c r="CW24" s="329">
        <v>521.42040062673289</v>
      </c>
      <c r="CX24" s="55"/>
      <c r="CY24" s="55"/>
      <c r="CZ24" s="55"/>
      <c r="DB24" s="55"/>
      <c r="DC24" s="329">
        <v>531.84880863926765</v>
      </c>
      <c r="DD24" s="55"/>
      <c r="DE24" s="55"/>
      <c r="DF24" s="55"/>
      <c r="DH24" s="55"/>
      <c r="DI24" s="329">
        <v>542.48578481205311</v>
      </c>
      <c r="DJ24" s="55"/>
      <c r="DK24" s="55"/>
      <c r="DL24" s="55"/>
      <c r="DN24" s="55"/>
      <c r="DO24" s="329">
        <v>553.33550050829399</v>
      </c>
      <c r="DP24" s="55"/>
      <c r="DQ24" s="55"/>
      <c r="DR24" s="55"/>
      <c r="DT24" s="55"/>
      <c r="DU24" s="329">
        <v>564.40221051845992</v>
      </c>
      <c r="DV24" s="55"/>
      <c r="DW24" s="55"/>
      <c r="DX24" s="55"/>
      <c r="DZ24" s="55"/>
      <c r="EA24" s="329">
        <v>575.69025472882913</v>
      </c>
      <c r="EB24" s="55"/>
      <c r="EC24" s="55"/>
      <c r="ED24" s="55"/>
      <c r="EF24" s="55"/>
      <c r="EG24" s="329">
        <v>587.2040598234056</v>
      </c>
      <c r="EH24" s="55"/>
      <c r="EI24" s="55"/>
      <c r="EJ24" s="55"/>
      <c r="EL24" s="55"/>
      <c r="EM24" s="329">
        <v>598.94814101987379</v>
      </c>
      <c r="EN24" s="55"/>
      <c r="EO24" s="55"/>
      <c r="EP24" s="55"/>
      <c r="ER24" s="55"/>
      <c r="ES24" s="329">
        <v>610.92710384027123</v>
      </c>
      <c r="ET24" s="55"/>
      <c r="EU24" s="55"/>
      <c r="EV24" s="55"/>
    </row>
    <row r="25" spans="1:152" x14ac:dyDescent="0.25">
      <c r="A25" t="s">
        <v>624</v>
      </c>
      <c r="B25" s="55" t="s">
        <v>165</v>
      </c>
      <c r="C25" s="55" t="s">
        <v>148</v>
      </c>
      <c r="D25" s="55"/>
      <c r="E25" s="100">
        <v>0</v>
      </c>
      <c r="F25" s="55"/>
      <c r="G25" s="55"/>
      <c r="H25" s="55"/>
      <c r="J25" s="55"/>
      <c r="K25" s="100">
        <v>0</v>
      </c>
      <c r="L25" s="55"/>
      <c r="M25" s="55"/>
      <c r="N25" s="55"/>
      <c r="P25" s="55"/>
      <c r="Q25" s="100">
        <v>0</v>
      </c>
      <c r="R25" s="55"/>
      <c r="S25" s="55"/>
      <c r="T25" s="55"/>
      <c r="V25" s="55"/>
      <c r="W25" s="100">
        <v>0</v>
      </c>
      <c r="X25" s="55"/>
      <c r="Y25" s="55"/>
      <c r="Z25" s="55"/>
      <c r="AB25" s="55"/>
      <c r="AC25" s="100">
        <v>0</v>
      </c>
      <c r="AD25" s="55"/>
      <c r="AE25" s="55"/>
      <c r="AF25" s="55"/>
      <c r="AH25" s="55"/>
      <c r="AI25" s="100">
        <v>0</v>
      </c>
      <c r="AJ25" s="55"/>
      <c r="AK25" s="55"/>
      <c r="AL25" s="55"/>
      <c r="AN25" s="55"/>
      <c r="AO25" s="100">
        <v>0</v>
      </c>
      <c r="AP25" s="55"/>
      <c r="AQ25" s="55"/>
      <c r="AR25" s="55"/>
      <c r="AT25" s="55"/>
      <c r="AU25" s="100">
        <v>0</v>
      </c>
      <c r="AV25" s="55"/>
      <c r="AW25" s="55"/>
      <c r="AX25" s="55"/>
      <c r="AZ25" s="55"/>
      <c r="BA25" s="100">
        <v>0</v>
      </c>
      <c r="BB25" s="55"/>
      <c r="BC25" s="55"/>
      <c r="BD25" s="55"/>
      <c r="BF25" s="55"/>
      <c r="BG25" s="100">
        <v>0</v>
      </c>
      <c r="BH25" s="55"/>
      <c r="BI25" s="55"/>
      <c r="BJ25" s="55"/>
      <c r="BL25" s="55"/>
      <c r="BM25" s="100">
        <v>0</v>
      </c>
      <c r="BN25" s="55"/>
      <c r="BO25" s="55"/>
      <c r="BP25" s="55"/>
      <c r="BR25" s="55"/>
      <c r="BS25" s="100">
        <v>0</v>
      </c>
      <c r="BT25" s="55"/>
      <c r="BU25" s="55"/>
      <c r="BV25" s="55"/>
      <c r="BX25" s="55"/>
      <c r="BY25" s="100">
        <v>0</v>
      </c>
      <c r="BZ25" s="55"/>
      <c r="CA25" s="55"/>
      <c r="CB25" s="55"/>
      <c r="CD25" s="55"/>
      <c r="CE25" s="100">
        <v>0</v>
      </c>
      <c r="CF25" s="55"/>
      <c r="CG25" s="55"/>
      <c r="CH25" s="55"/>
      <c r="CJ25" s="55"/>
      <c r="CK25" s="100">
        <v>0</v>
      </c>
      <c r="CL25" s="55"/>
      <c r="CM25" s="55"/>
      <c r="CN25" s="55"/>
      <c r="CP25" s="55"/>
      <c r="CQ25" s="100">
        <v>0</v>
      </c>
      <c r="CR25" s="55"/>
      <c r="CS25" s="55"/>
      <c r="CT25" s="55"/>
      <c r="CV25" s="55"/>
      <c r="CW25" s="100">
        <v>0</v>
      </c>
      <c r="CX25" s="55"/>
      <c r="CY25" s="55"/>
      <c r="CZ25" s="55"/>
      <c r="DB25" s="55"/>
      <c r="DC25" s="100">
        <v>0</v>
      </c>
      <c r="DD25" s="55"/>
      <c r="DE25" s="55"/>
      <c r="DF25" s="55"/>
      <c r="DH25" s="55"/>
      <c r="DI25" s="100">
        <v>0</v>
      </c>
      <c r="DJ25" s="55"/>
      <c r="DK25" s="55"/>
      <c r="DL25" s="55"/>
      <c r="DN25" s="55"/>
      <c r="DO25" s="100">
        <v>0</v>
      </c>
      <c r="DP25" s="55"/>
      <c r="DQ25" s="55"/>
      <c r="DR25" s="55"/>
      <c r="DT25" s="55"/>
      <c r="DU25" s="100">
        <v>0</v>
      </c>
      <c r="DV25" s="55"/>
      <c r="DW25" s="55"/>
      <c r="DX25" s="55"/>
      <c r="DZ25" s="55"/>
      <c r="EA25" s="100">
        <v>0</v>
      </c>
      <c r="EB25" s="55"/>
      <c r="EC25" s="55"/>
      <c r="ED25" s="55"/>
      <c r="EF25" s="55"/>
      <c r="EG25" s="100">
        <v>0</v>
      </c>
      <c r="EH25" s="55"/>
      <c r="EI25" s="55"/>
      <c r="EJ25" s="55"/>
      <c r="EL25" s="55"/>
      <c r="EM25" s="100">
        <v>0</v>
      </c>
      <c r="EN25" s="55"/>
      <c r="EO25" s="55"/>
      <c r="EP25" s="55"/>
      <c r="ER25" s="55"/>
      <c r="ES25" s="100">
        <v>0</v>
      </c>
      <c r="ET25" s="55"/>
      <c r="EU25" s="55"/>
      <c r="EV25" s="55"/>
    </row>
    <row r="26" spans="1:152" x14ac:dyDescent="0.25">
      <c r="A26" t="s">
        <v>624</v>
      </c>
      <c r="B26" s="55" t="s">
        <v>143</v>
      </c>
      <c r="C26" s="55" t="s">
        <v>148</v>
      </c>
      <c r="D26" s="55"/>
      <c r="E26" s="329">
        <v>29.160873841669286</v>
      </c>
      <c r="F26" s="55"/>
      <c r="G26" s="55"/>
      <c r="H26" s="55"/>
      <c r="J26" s="55"/>
      <c r="K26" s="329">
        <v>29.160873841669286</v>
      </c>
      <c r="L26" s="55"/>
      <c r="M26" s="55"/>
      <c r="N26" s="55"/>
      <c r="P26" s="55"/>
      <c r="Q26" s="329">
        <v>29.744091318502683</v>
      </c>
      <c r="R26" s="55"/>
      <c r="S26" s="55"/>
      <c r="T26" s="55"/>
      <c r="V26" s="55"/>
      <c r="W26" s="329">
        <v>30.338973144872739</v>
      </c>
      <c r="X26" s="55"/>
      <c r="Y26" s="55"/>
      <c r="Z26" s="55"/>
      <c r="AB26" s="55"/>
      <c r="AC26" s="329">
        <v>30.945752607770203</v>
      </c>
      <c r="AD26" s="55"/>
      <c r="AE26" s="55"/>
      <c r="AF26" s="55"/>
      <c r="AH26" s="55"/>
      <c r="AI26" s="329">
        <v>31.56466765992559</v>
      </c>
      <c r="AJ26" s="55"/>
      <c r="AK26" s="55"/>
      <c r="AL26" s="55"/>
      <c r="AN26" s="55"/>
      <c r="AO26" s="329">
        <v>32.195961013124133</v>
      </c>
      <c r="AP26" s="55"/>
      <c r="AQ26" s="55"/>
      <c r="AR26" s="55"/>
      <c r="AT26" s="55"/>
      <c r="AU26" s="329">
        <v>32.839880233386566</v>
      </c>
      <c r="AV26" s="55"/>
      <c r="AW26" s="55"/>
      <c r="AX26" s="55"/>
      <c r="AZ26" s="55"/>
      <c r="BA26" s="329">
        <v>33.496677838054325</v>
      </c>
      <c r="BB26" s="55"/>
      <c r="BC26" s="55"/>
      <c r="BD26" s="55"/>
      <c r="BF26" s="55"/>
      <c r="BG26" s="329">
        <v>34.166611394815391</v>
      </c>
      <c r="BH26" s="55"/>
      <c r="BI26" s="55"/>
      <c r="BJ26" s="55"/>
      <c r="BL26" s="55"/>
      <c r="BM26" s="329">
        <v>34.849943622711692</v>
      </c>
      <c r="BN26" s="55"/>
      <c r="BO26" s="55"/>
      <c r="BP26" s="55"/>
      <c r="BR26" s="55"/>
      <c r="BS26" s="329">
        <v>35.546942495165979</v>
      </c>
      <c r="BT26" s="55"/>
      <c r="BU26" s="55"/>
      <c r="BV26" s="55"/>
      <c r="BX26" s="55"/>
      <c r="BY26" s="329">
        <v>36.257881345069222</v>
      </c>
      <c r="BZ26" s="55"/>
      <c r="CA26" s="55"/>
      <c r="CB26" s="55"/>
      <c r="CD26" s="55"/>
      <c r="CE26" s="329">
        <v>36.9830389719707</v>
      </c>
      <c r="CF26" s="55"/>
      <c r="CG26" s="55"/>
      <c r="CH26" s="55"/>
      <c r="CJ26" s="55"/>
      <c r="CK26" s="329">
        <v>37.722699751410005</v>
      </c>
      <c r="CL26" s="55"/>
      <c r="CM26" s="55"/>
      <c r="CN26" s="55"/>
      <c r="CP26" s="55"/>
      <c r="CQ26" s="329">
        <v>38.477153746438319</v>
      </c>
      <c r="CR26" s="55"/>
      <c r="CS26" s="55"/>
      <c r="CT26" s="55"/>
      <c r="CV26" s="55"/>
      <c r="CW26" s="329">
        <v>39.246696821366982</v>
      </c>
      <c r="CX26" s="55"/>
      <c r="CY26" s="55"/>
      <c r="CZ26" s="55"/>
      <c r="DB26" s="55"/>
      <c r="DC26" s="329">
        <v>40.031630757794346</v>
      </c>
      <c r="DD26" s="55"/>
      <c r="DE26" s="55"/>
      <c r="DF26" s="55"/>
      <c r="DH26" s="55"/>
      <c r="DI26" s="329">
        <v>40.832263372950251</v>
      </c>
      <c r="DJ26" s="55"/>
      <c r="DK26" s="55"/>
      <c r="DL26" s="55"/>
      <c r="DN26" s="55"/>
      <c r="DO26" s="329">
        <v>41.648908640409218</v>
      </c>
      <c r="DP26" s="55"/>
      <c r="DQ26" s="55"/>
      <c r="DR26" s="55"/>
      <c r="DT26" s="55"/>
      <c r="DU26" s="329">
        <v>42.481886813217443</v>
      </c>
      <c r="DV26" s="55"/>
      <c r="DW26" s="55"/>
      <c r="DX26" s="55"/>
      <c r="DZ26" s="55"/>
      <c r="EA26" s="329">
        <v>43.331524549481856</v>
      </c>
      <c r="EB26" s="55"/>
      <c r="EC26" s="55"/>
      <c r="ED26" s="55"/>
      <c r="EF26" s="55"/>
      <c r="EG26" s="329">
        <v>44.19815504047142</v>
      </c>
      <c r="EH26" s="55"/>
      <c r="EI26" s="55"/>
      <c r="EJ26" s="55"/>
      <c r="EL26" s="55"/>
      <c r="EM26" s="329">
        <v>45.08211814128083</v>
      </c>
      <c r="EN26" s="55"/>
      <c r="EO26" s="55"/>
      <c r="EP26" s="55"/>
      <c r="ER26" s="55"/>
      <c r="ES26" s="329">
        <v>45.983760504106499</v>
      </c>
      <c r="ET26" s="55"/>
      <c r="EU26" s="55"/>
      <c r="EV26" s="55"/>
    </row>
    <row r="27" spans="1:152" x14ac:dyDescent="0.25">
      <c r="B27" s="55" t="s">
        <v>157</v>
      </c>
      <c r="C27" s="55"/>
      <c r="D27" s="55"/>
      <c r="E27" s="55"/>
      <c r="F27" s="55"/>
      <c r="G27" s="55"/>
      <c r="H27" s="55"/>
      <c r="J27" s="55"/>
      <c r="K27" s="55"/>
      <c r="L27" s="55"/>
      <c r="M27" s="55"/>
      <c r="N27" s="55"/>
      <c r="P27" s="55"/>
      <c r="Q27" s="55"/>
      <c r="R27" s="55"/>
      <c r="S27" s="55"/>
      <c r="T27" s="55"/>
      <c r="V27" s="55"/>
      <c r="W27" s="55"/>
      <c r="X27" s="55"/>
      <c r="Y27" s="55"/>
      <c r="Z27" s="55"/>
      <c r="AB27" s="55"/>
      <c r="AC27" s="55"/>
      <c r="AD27" s="55"/>
      <c r="AE27" s="55"/>
      <c r="AF27" s="55"/>
      <c r="AH27" s="55"/>
      <c r="AI27" s="55"/>
      <c r="AJ27" s="55"/>
      <c r="AK27" s="55"/>
      <c r="AL27" s="55"/>
      <c r="AN27" s="55"/>
      <c r="AO27" s="55"/>
      <c r="AP27" s="55"/>
      <c r="AQ27" s="55"/>
      <c r="AR27" s="55"/>
      <c r="AT27" s="55"/>
      <c r="AU27" s="55"/>
      <c r="AV27" s="55"/>
      <c r="AW27" s="55"/>
      <c r="AX27" s="55"/>
      <c r="AZ27" s="55"/>
      <c r="BA27" s="55"/>
      <c r="BB27" s="55"/>
      <c r="BC27" s="55"/>
      <c r="BD27" s="55"/>
      <c r="BF27" s="55"/>
      <c r="BG27" s="55"/>
      <c r="BH27" s="55"/>
      <c r="BI27" s="55"/>
      <c r="BJ27" s="55"/>
      <c r="BL27" s="55"/>
      <c r="BM27" s="55"/>
      <c r="BN27" s="55"/>
      <c r="BO27" s="55"/>
      <c r="BP27" s="55"/>
      <c r="BR27" s="55"/>
      <c r="BS27" s="55"/>
      <c r="BT27" s="55"/>
      <c r="BU27" s="55"/>
      <c r="BV27" s="55"/>
      <c r="BX27" s="55"/>
      <c r="BY27" s="55"/>
      <c r="BZ27" s="55"/>
      <c r="CA27" s="55"/>
      <c r="CB27" s="55"/>
      <c r="CD27" s="55"/>
      <c r="CE27" s="55"/>
      <c r="CF27" s="55"/>
      <c r="CG27" s="55"/>
      <c r="CH27" s="55"/>
      <c r="CJ27" s="55"/>
      <c r="CK27" s="55"/>
      <c r="CL27" s="55"/>
      <c r="CM27" s="55"/>
      <c r="CN27" s="55"/>
      <c r="CP27" s="55"/>
      <c r="CQ27" s="55"/>
      <c r="CR27" s="55"/>
      <c r="CS27" s="55"/>
      <c r="CT27" s="55"/>
      <c r="CV27" s="55"/>
      <c r="CW27" s="55"/>
      <c r="CX27" s="55"/>
      <c r="CY27" s="55"/>
      <c r="CZ27" s="55"/>
      <c r="DB27" s="55"/>
      <c r="DC27" s="55"/>
      <c r="DD27" s="55"/>
      <c r="DE27" s="55"/>
      <c r="DF27" s="55"/>
      <c r="DH27" s="55"/>
      <c r="DI27" s="55"/>
      <c r="DJ27" s="55"/>
      <c r="DK27" s="55"/>
      <c r="DL27" s="55"/>
      <c r="DN27" s="55"/>
      <c r="DO27" s="55"/>
      <c r="DP27" s="55"/>
      <c r="DQ27" s="55"/>
      <c r="DR27" s="55"/>
      <c r="DT27" s="55"/>
      <c r="DU27" s="55"/>
      <c r="DV27" s="55"/>
      <c r="DW27" s="55"/>
      <c r="DX27" s="55"/>
      <c r="DZ27" s="55"/>
      <c r="EA27" s="55"/>
      <c r="EB27" s="55"/>
      <c r="EC27" s="55"/>
      <c r="ED27" s="55"/>
      <c r="EF27" s="55"/>
      <c r="EG27" s="55"/>
      <c r="EH27" s="55"/>
      <c r="EI27" s="55"/>
      <c r="EJ27" s="55"/>
      <c r="EL27" s="55"/>
      <c r="EM27" s="55"/>
      <c r="EN27" s="55"/>
      <c r="EO27" s="55"/>
      <c r="EP27" s="55"/>
      <c r="ER27" s="55"/>
      <c r="ES27" s="55"/>
      <c r="ET27" s="55"/>
      <c r="EU27" s="55"/>
      <c r="EV27" s="55"/>
    </row>
    <row r="28" spans="1:152" s="1" customFormat="1" x14ac:dyDescent="0.25">
      <c r="B28" s="62" t="s">
        <v>362</v>
      </c>
      <c r="C28" s="325" t="s">
        <v>148</v>
      </c>
      <c r="D28" s="325"/>
      <c r="E28" s="326">
        <v>719</v>
      </c>
      <c r="F28" s="325"/>
      <c r="G28" s="325"/>
      <c r="H28" s="325"/>
      <c r="J28" s="325"/>
      <c r="K28" s="326">
        <v>733.38</v>
      </c>
      <c r="L28" s="325"/>
      <c r="M28" s="325"/>
      <c r="N28" s="325"/>
      <c r="P28" s="325"/>
      <c r="Q28" s="326">
        <v>748.04759999999999</v>
      </c>
      <c r="R28" s="325"/>
      <c r="S28" s="325"/>
      <c r="T28" s="325"/>
      <c r="V28" s="325"/>
      <c r="W28" s="326">
        <v>763.0085519999999</v>
      </c>
      <c r="X28" s="325"/>
      <c r="Y28" s="325"/>
      <c r="Z28" s="325"/>
      <c r="AB28" s="325"/>
      <c r="AC28" s="326">
        <v>778.26872303999994</v>
      </c>
      <c r="AD28" s="325"/>
      <c r="AE28" s="325"/>
      <c r="AF28" s="325"/>
      <c r="AH28" s="325"/>
      <c r="AI28" s="326">
        <v>793.8340975008</v>
      </c>
      <c r="AJ28" s="325"/>
      <c r="AK28" s="325"/>
      <c r="AL28" s="325"/>
      <c r="AN28" s="325"/>
      <c r="AO28" s="326">
        <v>809.71077945081606</v>
      </c>
      <c r="AP28" s="325"/>
      <c r="AQ28" s="325"/>
      <c r="AR28" s="325"/>
      <c r="AT28" s="325"/>
      <c r="AU28" s="326">
        <v>825.90499503983222</v>
      </c>
      <c r="AV28" s="325"/>
      <c r="AW28" s="325"/>
      <c r="AX28" s="325"/>
      <c r="AZ28" s="325"/>
      <c r="BA28" s="326">
        <v>842.42309494062886</v>
      </c>
      <c r="BB28" s="325"/>
      <c r="BC28" s="325"/>
      <c r="BD28" s="325"/>
      <c r="BF28" s="325"/>
      <c r="BG28" s="326">
        <v>859.27155683944147</v>
      </c>
      <c r="BH28" s="325"/>
      <c r="BI28" s="325"/>
      <c r="BJ28" s="325"/>
      <c r="BL28" s="325"/>
      <c r="BM28" s="326">
        <v>876.45698797623049</v>
      </c>
      <c r="BN28" s="325"/>
      <c r="BO28" s="325"/>
      <c r="BP28" s="325"/>
      <c r="BR28" s="325"/>
      <c r="BS28" s="326">
        <v>893.98612773575474</v>
      </c>
      <c r="BT28" s="325"/>
      <c r="BU28" s="325"/>
      <c r="BV28" s="325"/>
      <c r="BX28" s="325"/>
      <c r="BY28" s="326">
        <v>911.86585029047012</v>
      </c>
      <c r="BZ28" s="325"/>
      <c r="CA28" s="325"/>
      <c r="CB28" s="325"/>
      <c r="CD28" s="325"/>
      <c r="CE28" s="326">
        <v>930.10316729627948</v>
      </c>
      <c r="CF28" s="325"/>
      <c r="CG28" s="325"/>
      <c r="CH28" s="325"/>
      <c r="CJ28" s="325"/>
      <c r="CK28" s="326">
        <v>948.70523064220504</v>
      </c>
      <c r="CL28" s="325"/>
      <c r="CM28" s="325"/>
      <c r="CN28" s="325"/>
      <c r="CP28" s="325"/>
      <c r="CQ28" s="326">
        <v>967.67933525504895</v>
      </c>
      <c r="CR28" s="325"/>
      <c r="CS28" s="325"/>
      <c r="CT28" s="325"/>
      <c r="CV28" s="325"/>
      <c r="CW28" s="326">
        <v>987.03292196015002</v>
      </c>
      <c r="CX28" s="325"/>
      <c r="CY28" s="325"/>
      <c r="CZ28" s="325"/>
      <c r="DB28" s="325"/>
      <c r="DC28" s="326">
        <v>1006.7735803993531</v>
      </c>
      <c r="DD28" s="325"/>
      <c r="DE28" s="325"/>
      <c r="DF28" s="325"/>
      <c r="DH28" s="325"/>
      <c r="DI28" s="326">
        <v>1026.9090520073401</v>
      </c>
      <c r="DJ28" s="325"/>
      <c r="DK28" s="325"/>
      <c r="DL28" s="325"/>
      <c r="DN28" s="325"/>
      <c r="DO28" s="326">
        <v>1047.4472330474869</v>
      </c>
      <c r="DP28" s="325"/>
      <c r="DQ28" s="325"/>
      <c r="DR28" s="325"/>
      <c r="DT28" s="325"/>
      <c r="DU28" s="326">
        <v>1068.3961777084367</v>
      </c>
      <c r="DV28" s="325"/>
      <c r="DW28" s="325"/>
      <c r="DX28" s="325"/>
      <c r="DZ28" s="325"/>
      <c r="EA28" s="326">
        <v>1089.7641012626054</v>
      </c>
      <c r="EB28" s="325"/>
      <c r="EC28" s="325"/>
      <c r="ED28" s="325"/>
      <c r="EF28" s="325"/>
      <c r="EG28" s="326">
        <v>1111.5593832878576</v>
      </c>
      <c r="EH28" s="325"/>
      <c r="EI28" s="325"/>
      <c r="EJ28" s="325"/>
      <c r="EL28" s="325"/>
      <c r="EM28" s="326">
        <v>1133.7905709536144</v>
      </c>
      <c r="EN28" s="325"/>
      <c r="EO28" s="325"/>
      <c r="EP28" s="325"/>
      <c r="ER28" s="325"/>
      <c r="ES28" s="326">
        <v>1156.4663823726869</v>
      </c>
      <c r="ET28" s="325"/>
      <c r="EU28" s="325"/>
      <c r="EV28" s="325"/>
    </row>
    <row r="29" spans="1:152" x14ac:dyDescent="0.25">
      <c r="B29" t="s">
        <v>122</v>
      </c>
      <c r="D29" s="15">
        <v>191090526.31578964</v>
      </c>
      <c r="J29" s="15">
        <v>267526736.84210545</v>
      </c>
      <c r="P29" s="15">
        <v>382181052.63157928</v>
      </c>
      <c r="V29" s="15">
        <v>382181052.63157928</v>
      </c>
      <c r="AB29" s="15">
        <v>382181052.63157928</v>
      </c>
      <c r="AH29" s="15">
        <v>382181052.63157928</v>
      </c>
      <c r="AN29" s="15">
        <v>382181052.63157928</v>
      </c>
      <c r="AT29" s="15">
        <v>382181052.63157928</v>
      </c>
      <c r="AZ29" s="15">
        <v>382181052.63157928</v>
      </c>
      <c r="BF29" s="15">
        <v>382181052.63157928</v>
      </c>
      <c r="BL29" s="15">
        <v>382181052.63157928</v>
      </c>
      <c r="BR29" s="15">
        <v>382181052.63157928</v>
      </c>
      <c r="BX29" s="15">
        <v>382181052.63157928</v>
      </c>
      <c r="CD29" s="15">
        <v>382181052.63157928</v>
      </c>
      <c r="CJ29" s="15">
        <v>382181052.63157928</v>
      </c>
      <c r="CP29" s="15">
        <v>382181052.63157928</v>
      </c>
      <c r="CV29" s="15">
        <v>382181052.63157928</v>
      </c>
      <c r="DB29" s="15">
        <v>382181052.63157928</v>
      </c>
      <c r="DH29" s="15">
        <v>382181052.63157928</v>
      </c>
      <c r="DN29" s="15">
        <v>382181052.63157928</v>
      </c>
      <c r="DT29" s="15">
        <v>382181052.63157928</v>
      </c>
      <c r="DZ29" s="15">
        <v>382181052.63157928</v>
      </c>
      <c r="EF29" s="15">
        <v>382181052.63157928</v>
      </c>
      <c r="EL29" s="15">
        <v>382181052.63157928</v>
      </c>
      <c r="ER29" s="15">
        <v>382181052.63157928</v>
      </c>
    </row>
    <row r="30" spans="1:152" x14ac:dyDescent="0.25">
      <c r="E30" s="15"/>
    </row>
    <row r="31" spans="1:152" x14ac:dyDescent="0.25">
      <c r="B31" t="s">
        <v>631</v>
      </c>
      <c r="E31" s="64">
        <v>426.27109671176527</v>
      </c>
      <c r="K31" s="64">
        <v>320.90040481069195</v>
      </c>
      <c r="Q31" s="64">
        <v>247.69748435157999</v>
      </c>
      <c r="W31" s="64">
        <v>252.92657791585142</v>
      </c>
      <c r="AC31" s="64">
        <v>258.39781111800869</v>
      </c>
      <c r="AI31" s="64">
        <v>264.12174573671967</v>
      </c>
      <c r="AO31" s="64">
        <v>270.10934802332804</v>
      </c>
      <c r="AU31" s="64">
        <v>276.37199903618529</v>
      </c>
      <c r="BA31" s="64">
        <v>282.92150470055765</v>
      </c>
      <c r="BG31" s="64">
        <v>289.77010551709037</v>
      </c>
      <c r="BM31" s="64">
        <v>296.93048583290698</v>
      </c>
      <c r="BS31" s="64">
        <v>304.41578257964824</v>
      </c>
      <c r="BY31" s="64">
        <v>312.23959337207117</v>
      </c>
      <c r="CE31" s="64">
        <v>320.41598384912714</v>
      </c>
      <c r="CK31" s="64">
        <v>328.95949412664902</v>
      </c>
      <c r="CQ31" s="64">
        <v>287.67857361922159</v>
      </c>
      <c r="CW31" s="64">
        <v>297.00186765651011</v>
      </c>
      <c r="DC31" s="64">
        <v>306.73879675371586</v>
      </c>
      <c r="DI31" s="64">
        <v>316.90584029247873</v>
      </c>
      <c r="DO31" s="64">
        <v>327.5199654338125</v>
      </c>
      <c r="DU31" s="64">
        <v>338.5986246118963</v>
      </c>
      <c r="EA31" s="64">
        <v>350.15975075094241</v>
      </c>
      <c r="EG31" s="64">
        <v>362.22174991916336</v>
      </c>
      <c r="EM31" s="64">
        <v>374.80349110579579</v>
      </c>
      <c r="ES31" s="64">
        <v>387.92429277656049</v>
      </c>
    </row>
    <row r="32" spans="1:152" x14ac:dyDescent="0.25">
      <c r="B32" t="s">
        <v>677</v>
      </c>
      <c r="E32" s="651">
        <v>842.85500873561205</v>
      </c>
      <c r="K32" s="651">
        <v>737.48431683453873</v>
      </c>
      <c r="Q32" s="651">
        <v>672.61307461590366</v>
      </c>
      <c r="W32" s="651">
        <v>686.34047998546157</v>
      </c>
      <c r="AC32" s="651">
        <v>700.47999122901115</v>
      </c>
      <c r="AI32" s="651">
        <v>715.04556944994215</v>
      </c>
      <c r="AO32" s="651">
        <v>730.05164821081507</v>
      </c>
      <c r="AU32" s="651">
        <v>745.51314522742189</v>
      </c>
      <c r="BA32" s="651">
        <v>761.44547381561904</v>
      </c>
      <c r="BG32" s="651">
        <v>777.86455401445289</v>
      </c>
      <c r="BM32" s="651">
        <v>794.78682330021672</v>
      </c>
      <c r="BS32" s="651">
        <v>812.22924679630421</v>
      </c>
      <c r="BY32" s="651">
        <v>830.20932687306026</v>
      </c>
      <c r="CE32" s="651">
        <v>848.74511202013616</v>
      </c>
      <c r="CK32" s="651">
        <v>867.85520486107794</v>
      </c>
      <c r="CQ32" s="651">
        <v>837.35219856833942</v>
      </c>
      <c r="CW32" s="651">
        <v>857.66896510461004</v>
      </c>
      <c r="DC32" s="651">
        <v>878.61923615077785</v>
      </c>
      <c r="DI32" s="651">
        <v>900.22388847748209</v>
      </c>
      <c r="DO32" s="651">
        <v>922.50437458251577</v>
      </c>
      <c r="DU32" s="651">
        <v>945.48272194357367</v>
      </c>
      <c r="EA32" s="651">
        <v>969.18153002925339</v>
      </c>
      <c r="EG32" s="651">
        <v>993.62396478304038</v>
      </c>
      <c r="EM32" s="651">
        <v>1018.8337502669505</v>
      </c>
      <c r="ES32" s="651">
        <v>1044.8351571209382</v>
      </c>
    </row>
    <row r="33" spans="5:149" x14ac:dyDescent="0.25">
      <c r="K33" s="324"/>
      <c r="Q33" s="324"/>
      <c r="W33" s="324"/>
      <c r="AC33" s="324"/>
      <c r="AI33" s="324"/>
      <c r="AO33" s="324"/>
      <c r="AU33" s="324"/>
      <c r="BA33" s="324"/>
      <c r="BM33" s="324"/>
      <c r="BS33" s="324"/>
      <c r="BY33" s="324"/>
      <c r="CE33" s="324"/>
      <c r="CK33" s="324"/>
      <c r="CQ33" s="324"/>
      <c r="CW33" s="324"/>
      <c r="DC33" s="324"/>
      <c r="DI33" s="324"/>
      <c r="DO33" s="324"/>
      <c r="DU33" s="324"/>
      <c r="EA33" s="324"/>
      <c r="EG33" s="324"/>
      <c r="EM33" s="324"/>
      <c r="ES33" s="324"/>
    </row>
    <row r="34" spans="5:149" x14ac:dyDescent="0.25">
      <c r="ES34" s="324"/>
    </row>
    <row r="35" spans="5:149" x14ac:dyDescent="0.25">
      <c r="K35" s="324"/>
      <c r="Q35" s="324"/>
      <c r="W35" s="324"/>
      <c r="AC35" s="324"/>
      <c r="AI35" s="324"/>
      <c r="AO35" s="324"/>
      <c r="AU35" s="324"/>
      <c r="BA35" s="324"/>
      <c r="BG35" s="324"/>
      <c r="BM35" s="324"/>
      <c r="BS35" s="324"/>
      <c r="BY35" s="324"/>
      <c r="CE35" s="324"/>
      <c r="CK35" s="324"/>
      <c r="CQ35" s="324"/>
      <c r="CW35" s="324"/>
      <c r="DC35" s="324"/>
      <c r="DI35" s="324"/>
      <c r="DO35" s="324"/>
      <c r="DU35" s="324"/>
      <c r="EA35" s="324"/>
      <c r="EG35" s="324"/>
      <c r="EM35" s="324"/>
      <c r="ES35" s="324"/>
    </row>
    <row r="37" spans="5:149" x14ac:dyDescent="0.25">
      <c r="E37" s="15"/>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42E-DB37-45B2-A028-051727AFFE53}">
  <sheetPr>
    <tabColor theme="0" tint="-0.249977111117893"/>
  </sheetPr>
  <dimension ref="B1:L31"/>
  <sheetViews>
    <sheetView showGridLines="0" zoomScaleNormal="100" workbookViewId="0">
      <selection activeCell="Q68" sqref="Q68"/>
    </sheetView>
  </sheetViews>
  <sheetFormatPr defaultRowHeight="15" x14ac:dyDescent="0.25"/>
  <cols>
    <col min="2" max="2" width="26.5" bestFit="1" customWidth="1"/>
    <col min="3" max="3" width="0.375" customWidth="1"/>
    <col min="4" max="4" width="12.5" bestFit="1" customWidth="1"/>
    <col min="5" max="5" width="8.25" customWidth="1"/>
    <col min="6" max="6" width="0.375" customWidth="1"/>
    <col min="7" max="7" width="15.625" customWidth="1"/>
    <col min="9" max="9" width="0.375" customWidth="1"/>
    <col min="12" max="12" width="41.125" bestFit="1" customWidth="1"/>
  </cols>
  <sheetData>
    <row r="1" spans="2:12" s="1" customFormat="1" ht="17.25" x14ac:dyDescent="0.3">
      <c r="B1" s="22" t="s">
        <v>683</v>
      </c>
      <c r="G1" s="1" t="s">
        <v>698</v>
      </c>
    </row>
    <row r="2" spans="2:12" s="1" customFormat="1" x14ac:dyDescent="0.25">
      <c r="D2" s="1095" t="s">
        <v>690</v>
      </c>
      <c r="E2" s="1095"/>
      <c r="G2" s="1096" t="s">
        <v>691</v>
      </c>
      <c r="H2" s="1096"/>
      <c r="J2" s="1096" t="s">
        <v>699</v>
      </c>
      <c r="K2" s="1096"/>
      <c r="L2" s="1096"/>
    </row>
    <row r="3" spans="2:12" x14ac:dyDescent="0.25">
      <c r="B3" s="1" t="s">
        <v>687</v>
      </c>
      <c r="C3" s="1"/>
      <c r="D3" s="671" t="s">
        <v>684</v>
      </c>
      <c r="E3" s="672" t="s">
        <v>71</v>
      </c>
      <c r="F3" s="1"/>
      <c r="G3" s="673" t="s">
        <v>684</v>
      </c>
      <c r="H3" s="674" t="s">
        <v>71</v>
      </c>
      <c r="I3" s="1"/>
      <c r="J3" s="675" t="s">
        <v>688</v>
      </c>
      <c r="K3" s="674" t="s">
        <v>633</v>
      </c>
      <c r="L3" s="674" t="s">
        <v>37</v>
      </c>
    </row>
    <row r="4" spans="2:12" x14ac:dyDescent="0.25">
      <c r="B4" s="659" t="s">
        <v>147</v>
      </c>
      <c r="D4" s="676">
        <f>'1st Quote'!Q4</f>
        <v>72.413322977260648</v>
      </c>
      <c r="E4" s="667">
        <f>IFERROR(D4/D$19,0)</f>
        <v>0.26544398342449504</v>
      </c>
      <c r="G4" s="676">
        <f>'2nd Quote'!Q4</f>
        <v>48.275548651507108</v>
      </c>
      <c r="H4" s="667">
        <f>IFERROR(G4/G$19,0)</f>
        <v>0.19489721011047956</v>
      </c>
      <c r="J4" s="676">
        <f>G4-D4</f>
        <v>-24.13777432575354</v>
      </c>
      <c r="K4" s="680">
        <f>IFERROR(J4/D4,0)</f>
        <v>-0.3333333333333332</v>
      </c>
      <c r="L4" s="676" t="s">
        <v>715</v>
      </c>
    </row>
    <row r="5" spans="2:12" x14ac:dyDescent="0.25">
      <c r="B5" s="660" t="s">
        <v>149</v>
      </c>
      <c r="D5" s="677">
        <f>'1st Quote'!Q5</f>
        <v>26.611896194143288</v>
      </c>
      <c r="E5" s="668">
        <f t="shared" ref="E5:E19" si="0">IFERROR(D5/D$19,0)</f>
        <v>9.7550663908501936E-2</v>
      </c>
      <c r="G5" s="677">
        <f>'2nd Quote'!Q5</f>
        <v>26.611896194143288</v>
      </c>
      <c r="H5" s="668">
        <f t="shared" ref="H5:H19" si="1">IFERROR(G5/G$19,0)</f>
        <v>0.10743708707340184</v>
      </c>
      <c r="J5" s="677">
        <f t="shared" ref="J5:J19" si="2">G5-D5</f>
        <v>0</v>
      </c>
      <c r="K5" s="681">
        <f t="shared" ref="K5:K18" si="3">IFERROR(J5/D5,0)</f>
        <v>0</v>
      </c>
      <c r="L5" s="677"/>
    </row>
    <row r="6" spans="2:12" x14ac:dyDescent="0.25">
      <c r="B6" s="660" t="s">
        <v>150</v>
      </c>
      <c r="D6" s="677">
        <f>'1st Quote'!Q6</f>
        <v>26.99092741935484</v>
      </c>
      <c r="E6" s="668">
        <f t="shared" si="0"/>
        <v>9.8940070638172589E-2</v>
      </c>
      <c r="G6" s="677">
        <f>'2nd Quote'!Q6</f>
        <v>26.99092741935484</v>
      </c>
      <c r="H6" s="668">
        <f t="shared" si="1"/>
        <v>0.1089673053806397</v>
      </c>
      <c r="J6" s="677">
        <f t="shared" si="2"/>
        <v>0</v>
      </c>
      <c r="K6" s="681">
        <f t="shared" si="3"/>
        <v>0</v>
      </c>
      <c r="L6" s="677"/>
    </row>
    <row r="7" spans="2:12" x14ac:dyDescent="0.25">
      <c r="B7" s="660" t="s">
        <v>151</v>
      </c>
      <c r="D7" s="677">
        <f>'1st Quote'!Q7</f>
        <v>2.7001338577472214</v>
      </c>
      <c r="E7" s="668">
        <f t="shared" si="0"/>
        <v>9.8978234599845869E-3</v>
      </c>
      <c r="G7" s="677">
        <f>'2nd Quote'!Q7</f>
        <v>2.7001338577472214</v>
      </c>
      <c r="H7" s="668">
        <f t="shared" si="1"/>
        <v>1.0900933712813454E-2</v>
      </c>
      <c r="J7" s="677">
        <f t="shared" si="2"/>
        <v>0</v>
      </c>
      <c r="K7" s="681">
        <f t="shared" si="3"/>
        <v>0</v>
      </c>
      <c r="L7" s="677"/>
    </row>
    <row r="8" spans="2:12" x14ac:dyDescent="0.25">
      <c r="B8" s="660" t="s">
        <v>152</v>
      </c>
      <c r="D8" s="677">
        <f>'1st Quote'!Q8</f>
        <v>13.815684905473285</v>
      </c>
      <c r="E8" s="668">
        <f t="shared" si="0"/>
        <v>5.064386337025447E-2</v>
      </c>
      <c r="G8" s="677">
        <f>'2nd Quote'!Q8</f>
        <v>13.815684905473285</v>
      </c>
      <c r="H8" s="668">
        <f t="shared" si="1"/>
        <v>5.5776444163895517E-2</v>
      </c>
      <c r="J8" s="677">
        <f t="shared" si="2"/>
        <v>0</v>
      </c>
      <c r="K8" s="681">
        <f t="shared" si="3"/>
        <v>0</v>
      </c>
      <c r="L8" s="677"/>
    </row>
    <row r="9" spans="2:12" x14ac:dyDescent="0.25">
      <c r="B9" s="660" t="s">
        <v>153</v>
      </c>
      <c r="D9" s="677">
        <f>'1st Quote'!Q9</f>
        <v>12.862500000000001</v>
      </c>
      <c r="E9" s="668">
        <f t="shared" si="0"/>
        <v>4.7149793662551898E-2</v>
      </c>
      <c r="G9" s="677">
        <f>'2nd Quote'!Q9</f>
        <v>12.862500000000001</v>
      </c>
      <c r="H9" s="668">
        <f t="shared" si="1"/>
        <v>5.19282625484523E-2</v>
      </c>
      <c r="J9" s="677">
        <f t="shared" si="2"/>
        <v>0</v>
      </c>
      <c r="K9" s="681">
        <f t="shared" si="3"/>
        <v>0</v>
      </c>
      <c r="L9" s="677"/>
    </row>
    <row r="10" spans="2:12" x14ac:dyDescent="0.25">
      <c r="B10" s="660" t="s">
        <v>154</v>
      </c>
      <c r="D10" s="677">
        <f>'1st Quote'!Q10</f>
        <v>14</v>
      </c>
      <c r="E10" s="668">
        <f t="shared" si="0"/>
        <v>5.1319503306178932E-2</v>
      </c>
      <c r="G10" s="677">
        <f>'2nd Quote'!Q10</f>
        <v>14</v>
      </c>
      <c r="H10" s="668">
        <f t="shared" si="1"/>
        <v>5.6520557875866448E-2</v>
      </c>
      <c r="J10" s="677">
        <f t="shared" si="2"/>
        <v>0</v>
      </c>
      <c r="K10" s="681">
        <f t="shared" si="3"/>
        <v>0</v>
      </c>
      <c r="L10" s="677"/>
    </row>
    <row r="11" spans="2:12" x14ac:dyDescent="0.25">
      <c r="B11" s="660" t="s">
        <v>155</v>
      </c>
      <c r="D11" s="677">
        <f>'1st Quote'!Q11</f>
        <v>15.699365415124259</v>
      </c>
      <c r="E11" s="668">
        <f t="shared" si="0"/>
        <v>5.7548831094741473E-2</v>
      </c>
      <c r="G11" s="677">
        <f>'2nd Quote'!Q11</f>
        <v>15.699365415124259</v>
      </c>
      <c r="H11" s="668">
        <f t="shared" si="1"/>
        <v>6.3381206539993337E-2</v>
      </c>
      <c r="J11" s="677">
        <f t="shared" si="2"/>
        <v>0</v>
      </c>
      <c r="K11" s="681">
        <f>IFERROR(J11/D11,0)</f>
        <v>0</v>
      </c>
      <c r="L11" s="677"/>
    </row>
    <row r="12" spans="2:12" x14ac:dyDescent="0.25">
      <c r="B12" s="660" t="s">
        <v>132</v>
      </c>
      <c r="D12" s="677">
        <f>'1st Quote'!Q12</f>
        <v>0</v>
      </c>
      <c r="E12" s="668">
        <f t="shared" si="0"/>
        <v>0</v>
      </c>
      <c r="G12" s="677">
        <f>'2nd Quote'!Q12</f>
        <v>0</v>
      </c>
      <c r="H12" s="668">
        <f t="shared" si="1"/>
        <v>0</v>
      </c>
      <c r="J12" s="677">
        <f t="shared" si="2"/>
        <v>0</v>
      </c>
      <c r="K12" s="681">
        <f t="shared" si="3"/>
        <v>0</v>
      </c>
      <c r="L12" s="677"/>
    </row>
    <row r="13" spans="2:12" x14ac:dyDescent="0.25">
      <c r="B13" s="660" t="s">
        <v>355</v>
      </c>
      <c r="D13" s="677">
        <f>'1st Quote'!Q13</f>
        <v>6.9234201480697983</v>
      </c>
      <c r="E13" s="668">
        <f t="shared" si="0"/>
        <v>2.537903451278099E-2</v>
      </c>
      <c r="G13" s="677">
        <f>'2nd Quote'!Q13</f>
        <v>6.9234201480697983</v>
      </c>
      <c r="H13" s="668">
        <f t="shared" si="1"/>
        <v>2.7951112084137062E-2</v>
      </c>
      <c r="J13" s="677">
        <f t="shared" si="2"/>
        <v>0</v>
      </c>
      <c r="K13" s="681">
        <f t="shared" si="3"/>
        <v>0</v>
      </c>
      <c r="L13" s="677"/>
    </row>
    <row r="14" spans="2:12" x14ac:dyDescent="0.25">
      <c r="B14" s="660" t="s">
        <v>533</v>
      </c>
      <c r="D14" s="677">
        <f>'1st Quote'!Q14</f>
        <v>2.0770260444209394</v>
      </c>
      <c r="E14" s="668">
        <f t="shared" si="0"/>
        <v>7.613710353834297E-3</v>
      </c>
      <c r="G14" s="677">
        <f>'2nd Quote'!Q14</f>
        <v>2.0770260444209394</v>
      </c>
      <c r="H14" s="668">
        <f t="shared" si="1"/>
        <v>8.3853336252411176E-3</v>
      </c>
      <c r="J14" s="677">
        <f t="shared" si="2"/>
        <v>0</v>
      </c>
      <c r="K14" s="681">
        <f t="shared" si="3"/>
        <v>0</v>
      </c>
      <c r="L14" s="677"/>
    </row>
    <row r="15" spans="2:12" x14ac:dyDescent="0.25">
      <c r="B15" s="660" t="s">
        <v>523</v>
      </c>
      <c r="D15" s="677">
        <f>'1st Quote'!Q15</f>
        <v>2.2332347303014259</v>
      </c>
      <c r="E15" s="668">
        <f t="shared" si="0"/>
        <v>8.186321223226975E-3</v>
      </c>
      <c r="G15" s="677">
        <f>'2nd Quote'!Q15</f>
        <v>2.2332347303014259</v>
      </c>
      <c r="H15" s="668">
        <f t="shared" si="1"/>
        <v>9.0159766303140529E-3</v>
      </c>
      <c r="J15" s="677">
        <f t="shared" si="2"/>
        <v>0</v>
      </c>
      <c r="K15" s="681">
        <f t="shared" si="3"/>
        <v>0</v>
      </c>
      <c r="L15" s="677"/>
    </row>
    <row r="16" spans="2:12" x14ac:dyDescent="0.25">
      <c r="B16" s="660" t="s">
        <v>534</v>
      </c>
      <c r="D16" s="677">
        <f>'1st Quote'!Q16</f>
        <v>7.2931004676758286</v>
      </c>
      <c r="E16" s="668">
        <f t="shared" si="0"/>
        <v>2.6734163825941772E-2</v>
      </c>
      <c r="G16" s="677">
        <f>'2nd Quote'!Q16</f>
        <v>6.3275894946456859</v>
      </c>
      <c r="H16" s="668">
        <f t="shared" si="1"/>
        <v>2.5545634874774716E-2</v>
      </c>
      <c r="J16" s="677">
        <f t="shared" si="2"/>
        <v>-0.96551097303014277</v>
      </c>
      <c r="K16" s="681">
        <f t="shared" si="3"/>
        <v>-0.13238690147070367</v>
      </c>
      <c r="L16" s="677" t="s">
        <v>716</v>
      </c>
    </row>
    <row r="17" spans="2:12" x14ac:dyDescent="0.25">
      <c r="B17" s="660" t="s">
        <v>144</v>
      </c>
      <c r="D17" s="677">
        <f>'1st Quote'!Q17</f>
        <v>61.382444765490177</v>
      </c>
      <c r="E17" s="668">
        <f t="shared" si="0"/>
        <v>0.22500832693456563</v>
      </c>
      <c r="G17" s="677">
        <f>'2nd Quote'!Q17</f>
        <v>61.382444765490177</v>
      </c>
      <c r="H17" s="668">
        <f t="shared" si="1"/>
        <v>0.24781214442357594</v>
      </c>
      <c r="J17" s="677">
        <f t="shared" si="2"/>
        <v>0</v>
      </c>
      <c r="K17" s="681">
        <f t="shared" si="3"/>
        <v>0</v>
      </c>
      <c r="L17" s="677"/>
    </row>
    <row r="18" spans="2:12" ht="15.75" thickBot="1" x14ac:dyDescent="0.3">
      <c r="B18" s="661" t="s">
        <v>156</v>
      </c>
      <c r="D18" s="678">
        <f>'1st Quote'!Q18</f>
        <v>7.79771272530202</v>
      </c>
      <c r="E18" s="669">
        <f t="shared" si="0"/>
        <v>2.8583910284769327E-2</v>
      </c>
      <c r="G18" s="678">
        <f>'2nd Quote'!Q18</f>
        <v>7.7977127253020191</v>
      </c>
      <c r="H18" s="669">
        <f t="shared" si="1"/>
        <v>3.1480790956415219E-2</v>
      </c>
      <c r="J18" s="678">
        <f t="shared" si="2"/>
        <v>0</v>
      </c>
      <c r="K18" s="682">
        <f t="shared" si="3"/>
        <v>0</v>
      </c>
      <c r="L18" s="678"/>
    </row>
    <row r="19" spans="2:12" ht="15.75" thickBot="1" x14ac:dyDescent="0.3">
      <c r="B19" s="416" t="s">
        <v>631</v>
      </c>
      <c r="C19" s="1"/>
      <c r="D19" s="679">
        <f>SUM(D4:D18)</f>
        <v>272.80076965036375</v>
      </c>
      <c r="E19" s="670">
        <f t="shared" si="0"/>
        <v>1</v>
      </c>
      <c r="F19" s="1"/>
      <c r="G19" s="679">
        <f>SUM(G4:G18)</f>
        <v>247.69748435157999</v>
      </c>
      <c r="H19" s="670">
        <f t="shared" si="1"/>
        <v>1</v>
      </c>
      <c r="I19" s="1"/>
      <c r="J19" s="679">
        <f t="shared" si="2"/>
        <v>-25.10328529878376</v>
      </c>
      <c r="K19" s="683">
        <f>IFERROR(J19/D19,0)</f>
        <v>-9.2020580920491868E-2</v>
      </c>
      <c r="L19" s="679"/>
    </row>
    <row r="20" spans="2:12" x14ac:dyDescent="0.25">
      <c r="D20" s="95"/>
      <c r="E20" s="684"/>
    </row>
    <row r="23" spans="2:12" x14ac:dyDescent="0.25">
      <c r="B23" t="s">
        <v>725</v>
      </c>
      <c r="G23" s="15">
        <v>1200000</v>
      </c>
    </row>
    <row r="24" spans="2:12" x14ac:dyDescent="0.25">
      <c r="B24" t="s">
        <v>411</v>
      </c>
      <c r="G24" s="15">
        <v>25000</v>
      </c>
    </row>
    <row r="25" spans="2:12" x14ac:dyDescent="0.25">
      <c r="B25" t="s">
        <v>726</v>
      </c>
      <c r="G25" s="15">
        <f>G23*G24</f>
        <v>30000000000</v>
      </c>
    </row>
    <row r="26" spans="2:12" x14ac:dyDescent="0.25">
      <c r="B26" t="s">
        <v>727</v>
      </c>
      <c r="G26" s="15">
        <v>382181052.63157922</v>
      </c>
    </row>
    <row r="27" spans="2:12" x14ac:dyDescent="0.25">
      <c r="B27" t="s">
        <v>728</v>
      </c>
      <c r="G27" s="15">
        <f>G25/G26</f>
        <v>78.496827075621312</v>
      </c>
    </row>
    <row r="29" spans="2:12" x14ac:dyDescent="0.25">
      <c r="B29" t="s">
        <v>729</v>
      </c>
      <c r="G29" s="15">
        <v>719</v>
      </c>
    </row>
    <row r="30" spans="2:12" x14ac:dyDescent="0.25">
      <c r="G30" s="15">
        <f>G29-G27</f>
        <v>640.50317292437865</v>
      </c>
    </row>
    <row r="31" spans="2:12" x14ac:dyDescent="0.25">
      <c r="G31" t="e" vm="1">
        <v>#VALUE!</v>
      </c>
    </row>
  </sheetData>
  <mergeCells count="3">
    <mergeCell ref="D2:E2"/>
    <mergeCell ref="G2:H2"/>
    <mergeCell ref="J2:L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F82F-0190-455D-AE2A-7C7E4B38E925}">
  <sheetPr>
    <tabColor rgb="FF002060"/>
  </sheetPr>
  <dimension ref="A1"/>
  <sheetViews>
    <sheetView workbookViewId="0">
      <selection activeCell="Q68" sqref="Q68"/>
    </sheetView>
  </sheetViews>
  <sheetFormatPr defaultRowHeight="15" x14ac:dyDescent="0.2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3276-0585-47C9-A040-760A3D758FA2}">
  <dimension ref="A2:M57"/>
  <sheetViews>
    <sheetView showGridLines="0" zoomScale="85" zoomScaleNormal="85" workbookViewId="0">
      <pane ySplit="5" topLeftCell="A6" activePane="bottomLeft" state="frozen"/>
      <selection activeCell="Q68" sqref="Q68"/>
      <selection pane="bottomLeft" activeCell="Q68" sqref="Q68"/>
    </sheetView>
  </sheetViews>
  <sheetFormatPr defaultRowHeight="15" outlineLevelRow="1" x14ac:dyDescent="0.25"/>
  <cols>
    <col min="1" max="1" width="5.75" bestFit="1" customWidth="1"/>
    <col min="2" max="2" width="38.25" bestFit="1" customWidth="1"/>
    <col min="3" max="3" width="11.5" customWidth="1"/>
    <col min="4" max="4" width="16.25" customWidth="1"/>
    <col min="5" max="5" width="0.75" customWidth="1"/>
    <col min="6" max="6" width="16.25" customWidth="1"/>
    <col min="7" max="7" width="24.5" customWidth="1"/>
    <col min="8" max="8" width="0.75" customWidth="1"/>
    <col min="9" max="9" width="16.25" customWidth="1"/>
    <col min="10" max="10" width="24.5" customWidth="1"/>
    <col min="11" max="11" width="0.75" customWidth="1"/>
    <col min="12" max="12" width="16.25" customWidth="1"/>
    <col min="13" max="13" width="24.5" customWidth="1"/>
  </cols>
  <sheetData>
    <row r="2" spans="1:13" s="286" customFormat="1" ht="32.25" customHeight="1" x14ac:dyDescent="0.3">
      <c r="A2" s="1098" t="s">
        <v>2</v>
      </c>
      <c r="B2" s="1098" t="s">
        <v>29</v>
      </c>
      <c r="C2" s="1099" t="s">
        <v>38</v>
      </c>
      <c r="D2" s="1099" t="s">
        <v>36</v>
      </c>
      <c r="F2" s="608" t="s">
        <v>660</v>
      </c>
      <c r="G2" s="608"/>
      <c r="I2" s="608" t="s">
        <v>661</v>
      </c>
      <c r="J2" s="608"/>
      <c r="L2" s="608" t="s">
        <v>662</v>
      </c>
      <c r="M2" s="608"/>
    </row>
    <row r="3" spans="1:13" s="286" customFormat="1" ht="17.25" x14ac:dyDescent="0.3">
      <c r="A3" s="1098"/>
      <c r="B3" s="1098"/>
      <c r="C3" s="1099"/>
      <c r="D3" s="1099"/>
      <c r="F3" s="607" t="s">
        <v>39</v>
      </c>
      <c r="G3" s="607" t="s">
        <v>28</v>
      </c>
      <c r="I3" s="607" t="s">
        <v>39</v>
      </c>
      <c r="J3" s="607" t="s">
        <v>28</v>
      </c>
      <c r="L3" s="607" t="s">
        <v>39</v>
      </c>
      <c r="M3" s="607" t="s">
        <v>28</v>
      </c>
    </row>
    <row r="4" spans="1:13" x14ac:dyDescent="0.25">
      <c r="A4" s="1098"/>
      <c r="B4" s="1098"/>
      <c r="C4" s="609" t="s">
        <v>657</v>
      </c>
      <c r="D4" s="609" t="s">
        <v>363</v>
      </c>
      <c r="F4" s="609" t="s">
        <v>658</v>
      </c>
      <c r="G4" s="609" t="s">
        <v>658</v>
      </c>
      <c r="I4" s="609" t="s">
        <v>658</v>
      </c>
      <c r="J4" s="609" t="s">
        <v>658</v>
      </c>
      <c r="L4" s="609" t="s">
        <v>658</v>
      </c>
      <c r="M4" s="609" t="s">
        <v>658</v>
      </c>
    </row>
    <row r="5" spans="1:13" x14ac:dyDescent="0.25">
      <c r="A5" s="19"/>
      <c r="B5" s="16"/>
      <c r="C5" s="16"/>
      <c r="D5" s="16"/>
      <c r="F5" s="16"/>
      <c r="G5" s="16"/>
      <c r="I5" s="16"/>
      <c r="J5" s="16"/>
      <c r="L5" s="16"/>
      <c r="M5" s="16"/>
    </row>
    <row r="6" spans="1:13" ht="17.25" x14ac:dyDescent="0.3">
      <c r="A6" s="21">
        <v>1</v>
      </c>
      <c r="B6" s="22" t="s">
        <v>31</v>
      </c>
      <c r="C6" s="22"/>
      <c r="D6" s="139"/>
      <c r="F6" s="22"/>
      <c r="G6" s="28">
        <f>G8+G16</f>
        <v>273557500000</v>
      </c>
      <c r="I6" s="22"/>
      <c r="J6" s="28">
        <f>J8+J16</f>
        <v>0</v>
      </c>
      <c r="L6" s="22"/>
      <c r="M6" s="28">
        <f>M8+M16</f>
        <v>0</v>
      </c>
    </row>
    <row r="7" spans="1:13" ht="5.25" customHeight="1" x14ac:dyDescent="0.25">
      <c r="A7" s="19"/>
      <c r="B7" s="16"/>
      <c r="C7" s="16"/>
      <c r="D7" s="29"/>
      <c r="F7" s="16"/>
      <c r="G7" s="29"/>
      <c r="I7" s="16"/>
      <c r="J7" s="29"/>
      <c r="L7" s="16"/>
      <c r="M7" s="29"/>
    </row>
    <row r="8" spans="1:13" x14ac:dyDescent="0.25">
      <c r="A8" s="37" t="s">
        <v>56</v>
      </c>
      <c r="B8" s="230" t="s">
        <v>30</v>
      </c>
      <c r="C8" s="26"/>
      <c r="D8" s="140"/>
      <c r="F8" s="26"/>
      <c r="G8" s="30">
        <f>SUM(G9:G14)</f>
        <v>236912500000</v>
      </c>
      <c r="I8" s="26"/>
      <c r="J8" s="30">
        <f>SUM(J9:J14)</f>
        <v>0</v>
      </c>
      <c r="L8" s="26"/>
      <c r="M8" s="30">
        <f>SUM(M9:M14)</f>
        <v>0</v>
      </c>
    </row>
    <row r="9" spans="1:13" outlineLevel="1" x14ac:dyDescent="0.25">
      <c r="A9" s="20" t="s">
        <v>215</v>
      </c>
      <c r="B9" s="67" t="s">
        <v>27</v>
      </c>
      <c r="C9" s="18">
        <v>1</v>
      </c>
      <c r="D9" s="15">
        <v>10</v>
      </c>
      <c r="F9" s="27">
        <v>123250000000</v>
      </c>
      <c r="G9" s="15">
        <f>$C9*F9</f>
        <v>123250000000</v>
      </c>
      <c r="I9" s="27"/>
      <c r="J9" s="15">
        <f>$C9*I9</f>
        <v>0</v>
      </c>
      <c r="L9" s="27"/>
      <c r="M9" s="15">
        <f>$C9*L9</f>
        <v>0</v>
      </c>
    </row>
    <row r="10" spans="1:13" outlineLevel="1" x14ac:dyDescent="0.25">
      <c r="A10" s="20" t="s">
        <v>216</v>
      </c>
      <c r="B10" s="67" t="s">
        <v>204</v>
      </c>
      <c r="C10" s="18">
        <v>1</v>
      </c>
      <c r="D10" s="15">
        <v>10</v>
      </c>
      <c r="F10" s="27">
        <v>64690317522.540192</v>
      </c>
      <c r="G10" s="15">
        <f t="shared" ref="G10:G14" si="0">$C10*F10</f>
        <v>64690317522.540192</v>
      </c>
      <c r="I10" s="27"/>
      <c r="J10" s="15">
        <f t="shared" ref="J10:J14" si="1">$C10*I10</f>
        <v>0</v>
      </c>
      <c r="L10" s="27"/>
      <c r="M10" s="15">
        <f t="shared" ref="M10:M14" si="2">$C10*L10</f>
        <v>0</v>
      </c>
    </row>
    <row r="11" spans="1:13" outlineLevel="1" x14ac:dyDescent="0.25">
      <c r="A11" s="20" t="s">
        <v>217</v>
      </c>
      <c r="B11" s="67" t="s">
        <v>205</v>
      </c>
      <c r="C11" s="18">
        <v>1</v>
      </c>
      <c r="D11" s="15">
        <v>10</v>
      </c>
      <c r="F11" s="27">
        <f>47050000000*(1-0.196393571148569)</f>
        <v>37809682477.459824</v>
      </c>
      <c r="G11" s="606">
        <f t="shared" si="0"/>
        <v>37809682477.459824</v>
      </c>
      <c r="I11" s="27"/>
      <c r="J11" s="606">
        <f t="shared" si="1"/>
        <v>0</v>
      </c>
      <c r="L11" s="27"/>
      <c r="M11" s="606">
        <f t="shared" si="2"/>
        <v>0</v>
      </c>
    </row>
    <row r="12" spans="1:13" outlineLevel="1" x14ac:dyDescent="0.25">
      <c r="A12" s="20" t="s">
        <v>218</v>
      </c>
      <c r="B12" s="67" t="s">
        <v>166</v>
      </c>
      <c r="C12" s="18">
        <v>1</v>
      </c>
      <c r="D12" s="15">
        <v>10</v>
      </c>
      <c r="F12" s="27">
        <v>2500000000</v>
      </c>
      <c r="G12" s="15">
        <f t="shared" si="0"/>
        <v>2500000000</v>
      </c>
      <c r="I12" s="27"/>
      <c r="J12" s="15">
        <f t="shared" si="1"/>
        <v>0</v>
      </c>
      <c r="L12" s="27"/>
      <c r="M12" s="15">
        <f t="shared" si="2"/>
        <v>0</v>
      </c>
    </row>
    <row r="13" spans="1:13" outlineLevel="1" x14ac:dyDescent="0.25">
      <c r="A13" s="20" t="s">
        <v>219</v>
      </c>
      <c r="B13" s="67" t="s">
        <v>35</v>
      </c>
      <c r="C13" s="18">
        <v>1</v>
      </c>
      <c r="D13" s="15">
        <v>10</v>
      </c>
      <c r="F13" s="27">
        <v>8250000000</v>
      </c>
      <c r="G13" s="15">
        <f t="shared" si="0"/>
        <v>8250000000</v>
      </c>
      <c r="I13" s="27"/>
      <c r="J13" s="15">
        <f t="shared" si="1"/>
        <v>0</v>
      </c>
      <c r="L13" s="27"/>
      <c r="M13" s="15">
        <f t="shared" si="2"/>
        <v>0</v>
      </c>
    </row>
    <row r="14" spans="1:13" outlineLevel="1" x14ac:dyDescent="0.25">
      <c r="A14" s="20" t="s">
        <v>601</v>
      </c>
      <c r="B14" s="67" t="s">
        <v>602</v>
      </c>
      <c r="C14" s="18">
        <v>1</v>
      </c>
      <c r="D14" s="15">
        <v>10</v>
      </c>
      <c r="F14" s="27">
        <v>412500000</v>
      </c>
      <c r="G14" s="15">
        <f t="shared" si="0"/>
        <v>412500000</v>
      </c>
      <c r="I14" s="27"/>
      <c r="J14" s="15">
        <f t="shared" si="1"/>
        <v>0</v>
      </c>
      <c r="L14" s="27"/>
      <c r="M14" s="15">
        <f t="shared" si="2"/>
        <v>0</v>
      </c>
    </row>
    <row r="15" spans="1:13" x14ac:dyDescent="0.25">
      <c r="A15" s="19"/>
      <c r="B15" s="16"/>
      <c r="C15" s="16"/>
      <c r="D15" s="29"/>
      <c r="F15" s="29"/>
      <c r="G15" s="29"/>
      <c r="I15" s="29"/>
      <c r="J15" s="29"/>
      <c r="L15" s="29"/>
      <c r="M15" s="29"/>
    </row>
    <row r="16" spans="1:13" x14ac:dyDescent="0.25">
      <c r="A16" s="37" t="s">
        <v>57</v>
      </c>
      <c r="B16" s="230" t="s">
        <v>32</v>
      </c>
      <c r="C16" s="26"/>
      <c r="D16" s="140"/>
      <c r="F16" s="30"/>
      <c r="G16" s="30">
        <f>SUM(G17:G29)</f>
        <v>36645000000</v>
      </c>
      <c r="I16" s="30"/>
      <c r="J16" s="30">
        <f>SUM(J17:J29)</f>
        <v>0</v>
      </c>
      <c r="L16" s="30"/>
      <c r="M16" s="30">
        <f>SUM(M17:M29)</f>
        <v>0</v>
      </c>
    </row>
    <row r="17" spans="1:13" outlineLevel="1" x14ac:dyDescent="0.25">
      <c r="A17" s="20" t="s">
        <v>220</v>
      </c>
      <c r="B17" s="67" t="s">
        <v>210</v>
      </c>
      <c r="C17" s="18">
        <v>1</v>
      </c>
      <c r="D17" s="15">
        <v>10</v>
      </c>
      <c r="F17" s="27">
        <v>7500000000</v>
      </c>
      <c r="G17" s="15">
        <f t="shared" ref="G17:G29" si="3">$C17*F17</f>
        <v>7500000000</v>
      </c>
      <c r="I17" s="27"/>
      <c r="J17" s="15">
        <f t="shared" ref="J17:J29" si="4">$C17*I17</f>
        <v>0</v>
      </c>
      <c r="L17" s="27"/>
      <c r="M17" s="15">
        <f t="shared" ref="M17:M29" si="5">$C17*L17</f>
        <v>0</v>
      </c>
    </row>
    <row r="18" spans="1:13" outlineLevel="1" x14ac:dyDescent="0.25">
      <c r="A18" s="20" t="s">
        <v>221</v>
      </c>
      <c r="B18" s="67" t="s">
        <v>212</v>
      </c>
      <c r="C18" s="18">
        <v>1</v>
      </c>
      <c r="D18" s="15">
        <v>10</v>
      </c>
      <c r="F18" s="27">
        <v>7500000000</v>
      </c>
      <c r="G18" s="15">
        <f t="shared" si="3"/>
        <v>7500000000</v>
      </c>
      <c r="I18" s="27"/>
      <c r="J18" s="15">
        <f t="shared" si="4"/>
        <v>0</v>
      </c>
      <c r="L18" s="27"/>
      <c r="M18" s="15">
        <f t="shared" si="5"/>
        <v>0</v>
      </c>
    </row>
    <row r="19" spans="1:13" outlineLevel="1" x14ac:dyDescent="0.25">
      <c r="A19" s="20" t="s">
        <v>222</v>
      </c>
      <c r="B19" s="67" t="s">
        <v>208</v>
      </c>
      <c r="C19" s="18">
        <v>1</v>
      </c>
      <c r="D19" s="15">
        <v>10</v>
      </c>
      <c r="F19" s="27">
        <v>3750000000</v>
      </c>
      <c r="G19" s="15">
        <f t="shared" si="3"/>
        <v>3750000000</v>
      </c>
      <c r="I19" s="27"/>
      <c r="J19" s="15">
        <f t="shared" si="4"/>
        <v>0</v>
      </c>
      <c r="L19" s="27"/>
      <c r="M19" s="15">
        <f t="shared" si="5"/>
        <v>0</v>
      </c>
    </row>
    <row r="20" spans="1:13" outlineLevel="1" x14ac:dyDescent="0.25">
      <c r="A20" s="20" t="s">
        <v>223</v>
      </c>
      <c r="B20" s="67" t="s">
        <v>33</v>
      </c>
      <c r="C20" s="18">
        <v>1</v>
      </c>
      <c r="D20" s="15">
        <v>10</v>
      </c>
      <c r="F20" s="27">
        <v>3125000000</v>
      </c>
      <c r="G20" s="15">
        <f t="shared" si="3"/>
        <v>3125000000</v>
      </c>
      <c r="I20" s="27"/>
      <c r="J20" s="15">
        <f t="shared" si="4"/>
        <v>0</v>
      </c>
      <c r="L20" s="27"/>
      <c r="M20" s="15">
        <f t="shared" si="5"/>
        <v>0</v>
      </c>
    </row>
    <row r="21" spans="1:13" outlineLevel="1" x14ac:dyDescent="0.25">
      <c r="A21" s="20" t="s">
        <v>214</v>
      </c>
      <c r="B21" s="67" t="s">
        <v>209</v>
      </c>
      <c r="C21" s="18">
        <v>1</v>
      </c>
      <c r="D21" s="15">
        <v>10</v>
      </c>
      <c r="F21" s="27">
        <v>2500000000</v>
      </c>
      <c r="G21" s="15">
        <f t="shared" si="3"/>
        <v>2500000000</v>
      </c>
      <c r="I21" s="27"/>
      <c r="J21" s="15">
        <f t="shared" si="4"/>
        <v>0</v>
      </c>
      <c r="L21" s="27"/>
      <c r="M21" s="15">
        <f t="shared" si="5"/>
        <v>0</v>
      </c>
    </row>
    <row r="22" spans="1:13" outlineLevel="1" x14ac:dyDescent="0.25">
      <c r="A22" s="20" t="s">
        <v>364</v>
      </c>
      <c r="B22" s="67" t="s">
        <v>211</v>
      </c>
      <c r="C22" s="18">
        <v>1</v>
      </c>
      <c r="D22" s="15">
        <v>10</v>
      </c>
      <c r="F22" s="27">
        <v>2500000000</v>
      </c>
      <c r="G22" s="15">
        <f t="shared" si="3"/>
        <v>2500000000</v>
      </c>
      <c r="I22" s="27"/>
      <c r="J22" s="15">
        <f t="shared" si="4"/>
        <v>0</v>
      </c>
      <c r="L22" s="27"/>
      <c r="M22" s="15">
        <f t="shared" si="5"/>
        <v>0</v>
      </c>
    </row>
    <row r="23" spans="1:13" outlineLevel="1" x14ac:dyDescent="0.25">
      <c r="A23" s="20" t="s">
        <v>372</v>
      </c>
      <c r="B23" s="67" t="s">
        <v>213</v>
      </c>
      <c r="C23" s="18">
        <v>1</v>
      </c>
      <c r="D23" s="15">
        <v>10</v>
      </c>
      <c r="F23" s="27">
        <v>2500000000</v>
      </c>
      <c r="G23" s="15">
        <f t="shared" si="3"/>
        <v>2500000000</v>
      </c>
      <c r="I23" s="27"/>
      <c r="J23" s="15">
        <f t="shared" si="4"/>
        <v>0</v>
      </c>
      <c r="L23" s="27"/>
      <c r="M23" s="15">
        <f t="shared" si="5"/>
        <v>0</v>
      </c>
    </row>
    <row r="24" spans="1:13" outlineLevel="1" x14ac:dyDescent="0.25">
      <c r="A24" s="20" t="s">
        <v>373</v>
      </c>
      <c r="B24" s="67" t="s">
        <v>366</v>
      </c>
      <c r="C24" s="18">
        <v>1</v>
      </c>
      <c r="D24" s="15">
        <v>10</v>
      </c>
      <c r="F24" s="27">
        <v>2000000000</v>
      </c>
      <c r="G24" s="15">
        <f t="shared" si="3"/>
        <v>2000000000</v>
      </c>
      <c r="I24" s="27"/>
      <c r="J24" s="15">
        <f t="shared" si="4"/>
        <v>0</v>
      </c>
      <c r="L24" s="27"/>
      <c r="M24" s="15">
        <f t="shared" si="5"/>
        <v>0</v>
      </c>
    </row>
    <row r="25" spans="1:13" outlineLevel="1" x14ac:dyDescent="0.25">
      <c r="A25" s="20" t="s">
        <v>413</v>
      </c>
      <c r="B25" s="67" t="s">
        <v>365</v>
      </c>
      <c r="C25" s="18">
        <v>1</v>
      </c>
      <c r="D25" s="15">
        <v>10</v>
      </c>
      <c r="F25" s="27">
        <v>2000000000</v>
      </c>
      <c r="G25" s="15">
        <f t="shared" si="3"/>
        <v>2000000000</v>
      </c>
      <c r="I25" s="27"/>
      <c r="J25" s="15">
        <f t="shared" si="4"/>
        <v>0</v>
      </c>
      <c r="L25" s="27"/>
      <c r="M25" s="15">
        <f t="shared" si="5"/>
        <v>0</v>
      </c>
    </row>
    <row r="26" spans="1:13" outlineLevel="1" x14ac:dyDescent="0.25">
      <c r="A26" s="20" t="s">
        <v>414</v>
      </c>
      <c r="B26" s="67" t="s">
        <v>34</v>
      </c>
      <c r="C26" s="18">
        <v>1</v>
      </c>
      <c r="D26" s="15">
        <v>10</v>
      </c>
      <c r="F26" s="27">
        <v>1300000000</v>
      </c>
      <c r="G26" s="15">
        <f t="shared" si="3"/>
        <v>1300000000</v>
      </c>
      <c r="I26" s="27"/>
      <c r="J26" s="15">
        <f t="shared" si="4"/>
        <v>0</v>
      </c>
      <c r="L26" s="27"/>
      <c r="M26" s="15">
        <f t="shared" si="5"/>
        <v>0</v>
      </c>
    </row>
    <row r="27" spans="1:13" outlineLevel="1" x14ac:dyDescent="0.25">
      <c r="A27" s="20" t="s">
        <v>415</v>
      </c>
      <c r="B27" s="67" t="s">
        <v>206</v>
      </c>
      <c r="C27" s="18">
        <v>1</v>
      </c>
      <c r="D27" s="15">
        <v>10</v>
      </c>
      <c r="F27" s="27">
        <v>1200000000</v>
      </c>
      <c r="G27" s="15">
        <f t="shared" si="3"/>
        <v>1200000000</v>
      </c>
      <c r="I27" s="27"/>
      <c r="J27" s="15">
        <f t="shared" si="4"/>
        <v>0</v>
      </c>
      <c r="L27" s="27"/>
      <c r="M27" s="15">
        <f t="shared" si="5"/>
        <v>0</v>
      </c>
    </row>
    <row r="28" spans="1:13" outlineLevel="1" x14ac:dyDescent="0.25">
      <c r="A28" s="20" t="s">
        <v>416</v>
      </c>
      <c r="B28" s="67" t="s">
        <v>207</v>
      </c>
      <c r="C28" s="18">
        <v>1</v>
      </c>
      <c r="D28" s="15">
        <v>10</v>
      </c>
      <c r="F28" s="27">
        <v>750000000</v>
      </c>
      <c r="G28" s="15">
        <f t="shared" si="3"/>
        <v>750000000</v>
      </c>
      <c r="I28" s="27"/>
      <c r="J28" s="15">
        <f t="shared" si="4"/>
        <v>0</v>
      </c>
      <c r="L28" s="27"/>
      <c r="M28" s="15">
        <f t="shared" si="5"/>
        <v>0</v>
      </c>
    </row>
    <row r="29" spans="1:13" outlineLevel="1" x14ac:dyDescent="0.25">
      <c r="A29" s="20" t="s">
        <v>417</v>
      </c>
      <c r="B29" s="67" t="s">
        <v>294</v>
      </c>
      <c r="C29" s="18">
        <v>1</v>
      </c>
      <c r="D29" s="15">
        <v>10</v>
      </c>
      <c r="F29" s="27">
        <v>20000000</v>
      </c>
      <c r="G29" s="15">
        <f t="shared" si="3"/>
        <v>20000000</v>
      </c>
      <c r="I29" s="27"/>
      <c r="J29" s="15">
        <f t="shared" si="4"/>
        <v>0</v>
      </c>
      <c r="L29" s="27"/>
      <c r="M29" s="15">
        <f t="shared" si="5"/>
        <v>0</v>
      </c>
    </row>
    <row r="30" spans="1:13" x14ac:dyDescent="0.25">
      <c r="D30" s="15"/>
      <c r="F30" s="15"/>
      <c r="G30" s="15"/>
      <c r="I30" s="15"/>
      <c r="J30" s="15"/>
      <c r="L30" s="15"/>
      <c r="M30" s="15"/>
    </row>
    <row r="31" spans="1:13" ht="17.25" x14ac:dyDescent="0.3">
      <c r="A31" s="38" t="s">
        <v>42</v>
      </c>
      <c r="B31" s="22" t="s">
        <v>322</v>
      </c>
      <c r="C31" s="44">
        <v>2000</v>
      </c>
      <c r="D31" s="139"/>
      <c r="F31" s="28"/>
      <c r="G31" s="28">
        <f>SUM(G32:G33)</f>
        <v>150000000000</v>
      </c>
      <c r="I31" s="28"/>
      <c r="J31" s="28">
        <f>SUM(J32:J33)</f>
        <v>150000000000</v>
      </c>
      <c r="L31" s="28"/>
      <c r="M31" s="28">
        <f>SUM(M32:M33)</f>
        <v>150000000000</v>
      </c>
    </row>
    <row r="32" spans="1:13" outlineLevel="1" x14ac:dyDescent="0.25">
      <c r="A32" s="72" t="s">
        <v>241</v>
      </c>
      <c r="B32" s="67" t="s">
        <v>67</v>
      </c>
      <c r="C32" s="27">
        <v>1900</v>
      </c>
      <c r="D32" s="15">
        <v>25</v>
      </c>
      <c r="F32" s="27">
        <v>75000000</v>
      </c>
      <c r="G32" s="15">
        <f t="shared" ref="G32:G33" si="6">$C32*F32</f>
        <v>142500000000</v>
      </c>
      <c r="I32" s="27">
        <v>75000000</v>
      </c>
      <c r="J32" s="15">
        <f t="shared" ref="J32:J33" si="7">$C32*I32</f>
        <v>142500000000</v>
      </c>
      <c r="L32" s="27">
        <v>75000000</v>
      </c>
      <c r="M32" s="15">
        <f t="shared" ref="M32:M33" si="8">$C32*L32</f>
        <v>142500000000</v>
      </c>
    </row>
    <row r="33" spans="1:13" outlineLevel="1" x14ac:dyDescent="0.25">
      <c r="A33" s="72" t="s">
        <v>242</v>
      </c>
      <c r="B33" s="67" t="s">
        <v>68</v>
      </c>
      <c r="C33" s="27">
        <v>100</v>
      </c>
      <c r="D33" s="15">
        <v>25</v>
      </c>
      <c r="F33" s="27">
        <v>75000000</v>
      </c>
      <c r="G33" s="15">
        <f t="shared" si="6"/>
        <v>7500000000</v>
      </c>
      <c r="I33" s="27">
        <v>75000000</v>
      </c>
      <c r="J33" s="15">
        <f t="shared" si="7"/>
        <v>7500000000</v>
      </c>
      <c r="L33" s="27">
        <v>75000000</v>
      </c>
      <c r="M33" s="15">
        <f t="shared" si="8"/>
        <v>7500000000</v>
      </c>
    </row>
    <row r="35" spans="1:13" ht="17.25" x14ac:dyDescent="0.3">
      <c r="A35" s="38" t="s">
        <v>47</v>
      </c>
      <c r="B35" s="22" t="s">
        <v>65</v>
      </c>
      <c r="C35" s="28"/>
      <c r="D35" s="139"/>
      <c r="F35" s="28"/>
      <c r="G35" s="28">
        <f>SUM(G36:G54)</f>
        <v>15625000000</v>
      </c>
      <c r="I35" s="28"/>
      <c r="J35" s="28">
        <f>SUM(J36:J54)</f>
        <v>0</v>
      </c>
      <c r="L35" s="28"/>
      <c r="M35" s="28">
        <f>SUM(M36:M54)</f>
        <v>25000000</v>
      </c>
    </row>
    <row r="36" spans="1:13" outlineLevel="1" x14ac:dyDescent="0.25">
      <c r="A36" s="72" t="s">
        <v>243</v>
      </c>
      <c r="B36" s="67" t="s">
        <v>295</v>
      </c>
      <c r="C36" s="27">
        <v>1</v>
      </c>
      <c r="D36" s="15">
        <v>10</v>
      </c>
      <c r="F36" s="27">
        <v>5000000000</v>
      </c>
      <c r="G36" s="15">
        <f t="shared" ref="G36:G54" si="9">$C36*F36</f>
        <v>5000000000</v>
      </c>
      <c r="I36" s="27"/>
      <c r="J36" s="15">
        <f t="shared" ref="J36:J54" si="10">$C36*I36</f>
        <v>0</v>
      </c>
      <c r="L36" s="27"/>
      <c r="M36" s="15">
        <f t="shared" ref="M36:M54" si="11">$C36*L36</f>
        <v>0</v>
      </c>
    </row>
    <row r="37" spans="1:13" outlineLevel="1" x14ac:dyDescent="0.25">
      <c r="A37" s="72" t="s">
        <v>244</v>
      </c>
      <c r="B37" s="67" t="s">
        <v>224</v>
      </c>
      <c r="C37" s="27">
        <v>1</v>
      </c>
      <c r="D37" s="15">
        <v>10</v>
      </c>
      <c r="F37" s="27">
        <v>5000000000</v>
      </c>
      <c r="G37" s="15">
        <f t="shared" si="9"/>
        <v>5000000000</v>
      </c>
      <c r="I37" s="27"/>
      <c r="J37" s="15">
        <f t="shared" si="10"/>
        <v>0</v>
      </c>
      <c r="L37" s="27"/>
      <c r="M37" s="15">
        <f t="shared" si="11"/>
        <v>0</v>
      </c>
    </row>
    <row r="38" spans="1:13" outlineLevel="1" x14ac:dyDescent="0.25">
      <c r="A38" s="72" t="s">
        <v>245</v>
      </c>
      <c r="B38" s="67" t="s">
        <v>225</v>
      </c>
      <c r="C38" s="27">
        <v>1</v>
      </c>
      <c r="D38" s="15">
        <v>10</v>
      </c>
      <c r="F38" s="27">
        <v>2925000000</v>
      </c>
      <c r="G38" s="15">
        <f t="shared" si="9"/>
        <v>2925000000</v>
      </c>
      <c r="I38" s="27"/>
      <c r="J38" s="15">
        <f t="shared" si="10"/>
        <v>0</v>
      </c>
      <c r="L38" s="27"/>
      <c r="M38" s="15">
        <f t="shared" si="11"/>
        <v>0</v>
      </c>
    </row>
    <row r="39" spans="1:13" outlineLevel="1" x14ac:dyDescent="0.25">
      <c r="A39" s="72" t="s">
        <v>246</v>
      </c>
      <c r="B39" s="67" t="s">
        <v>230</v>
      </c>
      <c r="C39" s="27">
        <v>1</v>
      </c>
      <c r="D39" s="15">
        <v>10</v>
      </c>
      <c r="F39" s="27">
        <v>625000000</v>
      </c>
      <c r="G39" s="15">
        <f t="shared" si="9"/>
        <v>625000000</v>
      </c>
      <c r="I39" s="27"/>
      <c r="J39" s="15">
        <f t="shared" si="10"/>
        <v>0</v>
      </c>
      <c r="L39" s="27"/>
      <c r="M39" s="15">
        <f t="shared" si="11"/>
        <v>0</v>
      </c>
    </row>
    <row r="40" spans="1:13" outlineLevel="1" x14ac:dyDescent="0.25">
      <c r="A40" s="72" t="s">
        <v>247</v>
      </c>
      <c r="B40" s="67" t="s">
        <v>236</v>
      </c>
      <c r="C40" s="27">
        <v>1</v>
      </c>
      <c r="D40" s="15">
        <v>10</v>
      </c>
      <c r="F40" s="27">
        <v>425000000</v>
      </c>
      <c r="G40" s="15">
        <f t="shared" si="9"/>
        <v>425000000</v>
      </c>
      <c r="I40" s="27"/>
      <c r="J40" s="15">
        <f t="shared" si="10"/>
        <v>0</v>
      </c>
      <c r="L40" s="27"/>
      <c r="M40" s="15">
        <f t="shared" si="11"/>
        <v>0</v>
      </c>
    </row>
    <row r="41" spans="1:13" outlineLevel="1" x14ac:dyDescent="0.25">
      <c r="A41" s="72" t="s">
        <v>248</v>
      </c>
      <c r="B41" s="67" t="s">
        <v>228</v>
      </c>
      <c r="C41" s="27">
        <v>1</v>
      </c>
      <c r="D41" s="15">
        <v>10</v>
      </c>
      <c r="F41" s="27">
        <v>250000000</v>
      </c>
      <c r="G41" s="15">
        <f t="shared" si="9"/>
        <v>250000000</v>
      </c>
      <c r="I41" s="27"/>
      <c r="J41" s="15">
        <f t="shared" si="10"/>
        <v>0</v>
      </c>
      <c r="L41" s="27"/>
      <c r="M41" s="15">
        <f t="shared" si="11"/>
        <v>0</v>
      </c>
    </row>
    <row r="42" spans="1:13" outlineLevel="1" x14ac:dyDescent="0.25">
      <c r="A42" s="72" t="s">
        <v>249</v>
      </c>
      <c r="B42" s="67" t="s">
        <v>231</v>
      </c>
      <c r="C42" s="27">
        <v>1</v>
      </c>
      <c r="D42" s="15">
        <v>10</v>
      </c>
      <c r="F42" s="27">
        <v>137500000</v>
      </c>
      <c r="G42" s="15">
        <f t="shared" si="9"/>
        <v>137500000</v>
      </c>
      <c r="I42" s="27"/>
      <c r="J42" s="15">
        <f t="shared" si="10"/>
        <v>0</v>
      </c>
      <c r="L42" s="27"/>
      <c r="M42" s="15">
        <f t="shared" si="11"/>
        <v>0</v>
      </c>
    </row>
    <row r="43" spans="1:13" outlineLevel="1" x14ac:dyDescent="0.25">
      <c r="A43" s="72" t="s">
        <v>250</v>
      </c>
      <c r="B43" s="67" t="s">
        <v>227</v>
      </c>
      <c r="C43" s="27">
        <v>1</v>
      </c>
      <c r="D43" s="15">
        <v>10</v>
      </c>
      <c r="F43" s="27">
        <v>125000000</v>
      </c>
      <c r="G43" s="15">
        <f t="shared" si="9"/>
        <v>125000000</v>
      </c>
      <c r="I43" s="27"/>
      <c r="J43" s="15">
        <f t="shared" si="10"/>
        <v>0</v>
      </c>
      <c r="L43" s="27"/>
      <c r="M43" s="15">
        <f t="shared" si="11"/>
        <v>0</v>
      </c>
    </row>
    <row r="44" spans="1:13" outlineLevel="1" x14ac:dyDescent="0.25">
      <c r="A44" s="72" t="s">
        <v>251</v>
      </c>
      <c r="B44" s="67" t="s">
        <v>549</v>
      </c>
      <c r="C44" s="27">
        <v>1</v>
      </c>
      <c r="D44" s="15">
        <v>10</v>
      </c>
      <c r="F44" s="27">
        <v>125000000</v>
      </c>
      <c r="G44" s="15">
        <f t="shared" si="9"/>
        <v>125000000</v>
      </c>
      <c r="I44" s="27"/>
      <c r="J44" s="15">
        <f t="shared" si="10"/>
        <v>0</v>
      </c>
      <c r="L44" s="27"/>
      <c r="M44" s="15">
        <f t="shared" si="11"/>
        <v>0</v>
      </c>
    </row>
    <row r="45" spans="1:13" outlineLevel="1" x14ac:dyDescent="0.25">
      <c r="A45" s="72" t="s">
        <v>252</v>
      </c>
      <c r="B45" s="67" t="s">
        <v>232</v>
      </c>
      <c r="C45" s="27">
        <v>1</v>
      </c>
      <c r="D45" s="15">
        <v>10</v>
      </c>
      <c r="F45" s="27">
        <v>125000000</v>
      </c>
      <c r="G45" s="15">
        <f t="shared" si="9"/>
        <v>125000000</v>
      </c>
      <c r="I45" s="27"/>
      <c r="J45" s="15">
        <f t="shared" si="10"/>
        <v>0</v>
      </c>
      <c r="L45" s="27"/>
      <c r="M45" s="15">
        <f t="shared" si="11"/>
        <v>0</v>
      </c>
    </row>
    <row r="46" spans="1:13" outlineLevel="1" x14ac:dyDescent="0.25">
      <c r="A46" s="72" t="s">
        <v>253</v>
      </c>
      <c r="B46" s="67" t="s">
        <v>233</v>
      </c>
      <c r="C46" s="27">
        <v>1</v>
      </c>
      <c r="D46" s="15">
        <v>10</v>
      </c>
      <c r="F46" s="27">
        <v>125000000</v>
      </c>
      <c r="G46" s="15">
        <f t="shared" si="9"/>
        <v>125000000</v>
      </c>
      <c r="I46" s="27"/>
      <c r="J46" s="15">
        <f t="shared" si="10"/>
        <v>0</v>
      </c>
      <c r="L46" s="27"/>
      <c r="M46" s="15">
        <f t="shared" si="11"/>
        <v>0</v>
      </c>
    </row>
    <row r="47" spans="1:13" outlineLevel="1" x14ac:dyDescent="0.25">
      <c r="A47" s="72" t="s">
        <v>254</v>
      </c>
      <c r="B47" s="67" t="s">
        <v>235</v>
      </c>
      <c r="C47" s="27">
        <v>1</v>
      </c>
      <c r="D47" s="15">
        <v>10</v>
      </c>
      <c r="F47" s="27">
        <v>125000000</v>
      </c>
      <c r="G47" s="15">
        <f t="shared" si="9"/>
        <v>125000000</v>
      </c>
      <c r="I47" s="27"/>
      <c r="J47" s="15">
        <f t="shared" si="10"/>
        <v>0</v>
      </c>
      <c r="L47" s="27"/>
      <c r="M47" s="15">
        <f t="shared" si="11"/>
        <v>0</v>
      </c>
    </row>
    <row r="48" spans="1:13" outlineLevel="1" x14ac:dyDescent="0.25">
      <c r="A48" s="72" t="s">
        <v>255</v>
      </c>
      <c r="B48" s="67" t="s">
        <v>237</v>
      </c>
      <c r="C48" s="27">
        <v>1</v>
      </c>
      <c r="D48" s="15">
        <v>10</v>
      </c>
      <c r="F48" s="27">
        <v>125000000</v>
      </c>
      <c r="G48" s="15">
        <f t="shared" si="9"/>
        <v>125000000</v>
      </c>
      <c r="I48" s="27"/>
      <c r="J48" s="15">
        <f t="shared" si="10"/>
        <v>0</v>
      </c>
      <c r="L48" s="27"/>
      <c r="M48" s="15">
        <f t="shared" si="11"/>
        <v>0</v>
      </c>
    </row>
    <row r="49" spans="1:13" outlineLevel="1" x14ac:dyDescent="0.25">
      <c r="A49" s="72" t="s">
        <v>256</v>
      </c>
      <c r="B49" s="67" t="s">
        <v>238</v>
      </c>
      <c r="C49" s="27">
        <v>1</v>
      </c>
      <c r="D49" s="15">
        <v>10</v>
      </c>
      <c r="F49" s="27">
        <v>125000000</v>
      </c>
      <c r="G49" s="15">
        <f t="shared" si="9"/>
        <v>125000000</v>
      </c>
      <c r="I49" s="27"/>
      <c r="J49" s="15">
        <f t="shared" si="10"/>
        <v>0</v>
      </c>
      <c r="L49" s="27"/>
      <c r="M49" s="15">
        <f t="shared" si="11"/>
        <v>0</v>
      </c>
    </row>
    <row r="50" spans="1:13" outlineLevel="1" x14ac:dyDescent="0.25">
      <c r="A50" s="72" t="s">
        <v>257</v>
      </c>
      <c r="B50" s="67" t="s">
        <v>239</v>
      </c>
      <c r="C50" s="27">
        <v>1</v>
      </c>
      <c r="D50" s="15">
        <v>10</v>
      </c>
      <c r="F50" s="27">
        <v>125000000</v>
      </c>
      <c r="G50" s="15">
        <f t="shared" si="9"/>
        <v>125000000</v>
      </c>
      <c r="I50" s="27"/>
      <c r="J50" s="15">
        <f t="shared" si="10"/>
        <v>0</v>
      </c>
      <c r="L50" s="27"/>
      <c r="M50" s="15">
        <f t="shared" si="11"/>
        <v>0</v>
      </c>
    </row>
    <row r="51" spans="1:13" outlineLevel="1" x14ac:dyDescent="0.25">
      <c r="A51" s="72" t="s">
        <v>258</v>
      </c>
      <c r="B51" s="67" t="s">
        <v>240</v>
      </c>
      <c r="C51" s="27">
        <v>1</v>
      </c>
      <c r="D51" s="15">
        <v>10</v>
      </c>
      <c r="F51" s="27">
        <v>125000000</v>
      </c>
      <c r="G51" s="15">
        <f t="shared" si="9"/>
        <v>125000000</v>
      </c>
      <c r="I51" s="27"/>
      <c r="J51" s="15">
        <f t="shared" si="10"/>
        <v>0</v>
      </c>
      <c r="L51" s="27"/>
      <c r="M51" s="15">
        <f t="shared" si="11"/>
        <v>0</v>
      </c>
    </row>
    <row r="52" spans="1:13" outlineLevel="1" x14ac:dyDescent="0.25">
      <c r="A52" s="72" t="s">
        <v>259</v>
      </c>
      <c r="B52" s="67" t="s">
        <v>229</v>
      </c>
      <c r="C52" s="27">
        <v>1</v>
      </c>
      <c r="D52" s="15">
        <v>10</v>
      </c>
      <c r="F52" s="27">
        <v>62500000</v>
      </c>
      <c r="G52" s="15">
        <f t="shared" si="9"/>
        <v>62500000</v>
      </c>
      <c r="I52" s="27"/>
      <c r="J52" s="15">
        <f t="shared" si="10"/>
        <v>0</v>
      </c>
      <c r="L52" s="27"/>
      <c r="M52" s="15">
        <f t="shared" si="11"/>
        <v>0</v>
      </c>
    </row>
    <row r="53" spans="1:13" outlineLevel="1" x14ac:dyDescent="0.25">
      <c r="A53" s="72" t="s">
        <v>260</v>
      </c>
      <c r="B53" s="67" t="s">
        <v>226</v>
      </c>
      <c r="C53" s="27">
        <v>1</v>
      </c>
      <c r="D53" s="15">
        <v>10</v>
      </c>
      <c r="F53" s="27">
        <v>50000000</v>
      </c>
      <c r="G53" s="15">
        <f t="shared" si="9"/>
        <v>50000000</v>
      </c>
      <c r="I53" s="27"/>
      <c r="J53" s="15">
        <f t="shared" si="10"/>
        <v>0</v>
      </c>
      <c r="L53" s="27"/>
      <c r="M53" s="15">
        <f t="shared" si="11"/>
        <v>0</v>
      </c>
    </row>
    <row r="54" spans="1:13" outlineLevel="1" x14ac:dyDescent="0.25">
      <c r="A54" s="72" t="s">
        <v>261</v>
      </c>
      <c r="B54" s="67" t="s">
        <v>234</v>
      </c>
      <c r="C54" s="27">
        <v>1</v>
      </c>
      <c r="D54" s="15">
        <v>10</v>
      </c>
      <c r="F54" s="27">
        <v>25000000</v>
      </c>
      <c r="G54" s="15">
        <f t="shared" si="9"/>
        <v>25000000</v>
      </c>
      <c r="I54" s="27"/>
      <c r="J54" s="15">
        <f t="shared" si="10"/>
        <v>0</v>
      </c>
      <c r="L54" s="27">
        <v>25000000</v>
      </c>
      <c r="M54" s="15">
        <f t="shared" si="11"/>
        <v>25000000</v>
      </c>
    </row>
    <row r="55" spans="1:13" ht="15.75" thickBot="1" x14ac:dyDescent="0.3"/>
    <row r="56" spans="1:13" s="16" customFormat="1" ht="18" thickBot="1" x14ac:dyDescent="0.3">
      <c r="A56" s="1097" t="s">
        <v>659</v>
      </c>
      <c r="B56" s="1097"/>
      <c r="C56" s="1097"/>
      <c r="D56" s="1097"/>
      <c r="F56" s="42"/>
      <c r="G56" s="43">
        <f>G6+G31+G35</f>
        <v>439182500000</v>
      </c>
      <c r="I56" s="42"/>
      <c r="J56" s="43">
        <f>J6+J31+J35</f>
        <v>150000000000</v>
      </c>
      <c r="L56" s="42"/>
      <c r="M56" s="43">
        <f>M6+M31+M35</f>
        <v>150025000000</v>
      </c>
    </row>
    <row r="57" spans="1:13" x14ac:dyDescent="0.25">
      <c r="G57" s="15"/>
      <c r="J57" s="15"/>
      <c r="M57" s="15"/>
    </row>
  </sheetData>
  <mergeCells count="5">
    <mergeCell ref="A56:D56"/>
    <mergeCell ref="A2:A4"/>
    <mergeCell ref="B2:B4"/>
    <mergeCell ref="C2:C3"/>
    <mergeCell ref="D2:D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19690-DA25-45C8-8845-DC2D566D71C6}">
  <dimension ref="A3:M29"/>
  <sheetViews>
    <sheetView showGridLines="0" zoomScale="130" zoomScaleNormal="130" workbookViewId="0">
      <selection activeCell="Q68" sqref="Q68"/>
    </sheetView>
  </sheetViews>
  <sheetFormatPr defaultRowHeight="15" x14ac:dyDescent="0.25"/>
  <cols>
    <col min="1" max="5" width="17.75" customWidth="1"/>
    <col min="6" max="6" width="11.25" customWidth="1"/>
    <col min="7" max="7" width="19.5" bestFit="1" customWidth="1"/>
    <col min="8" max="8" width="18.125" bestFit="1" customWidth="1"/>
    <col min="9" max="9" width="11.25" customWidth="1"/>
    <col min="10" max="10" width="14.75" bestFit="1" customWidth="1"/>
    <col min="11" max="11" width="17.5" bestFit="1" customWidth="1"/>
    <col min="12" max="13" width="13.25" bestFit="1" customWidth="1"/>
  </cols>
  <sheetData>
    <row r="3" spans="1:13" ht="15.75" thickBot="1" x14ac:dyDescent="0.3">
      <c r="A3" s="1102" t="s">
        <v>262</v>
      </c>
      <c r="B3" s="1102"/>
      <c r="C3" s="73"/>
      <c r="D3" s="120">
        <f>D6/C6</f>
        <v>26.5</v>
      </c>
      <c r="E3" s="656"/>
    </row>
    <row r="4" spans="1:13" ht="15.75" thickBot="1" x14ac:dyDescent="0.3">
      <c r="A4" s="74" t="s">
        <v>263</v>
      </c>
      <c r="B4" s="75"/>
      <c r="C4" s="75"/>
      <c r="D4" s="75"/>
      <c r="E4" s="76"/>
    </row>
    <row r="5" spans="1:13" ht="15.75" thickBot="1" x14ac:dyDescent="0.3">
      <c r="A5" s="77" t="s">
        <v>187</v>
      </c>
      <c r="B5" s="78" t="s">
        <v>264</v>
      </c>
      <c r="C5" s="79" t="s">
        <v>265</v>
      </c>
      <c r="D5" s="79" t="s">
        <v>266</v>
      </c>
      <c r="E5" s="78" t="s">
        <v>267</v>
      </c>
    </row>
    <row r="6" spans="1:13" x14ac:dyDescent="0.25">
      <c r="A6" s="80">
        <v>128</v>
      </c>
      <c r="B6" s="80">
        <v>9</v>
      </c>
      <c r="C6" s="93">
        <f>60*60*24/B6*A6</f>
        <v>1228800</v>
      </c>
      <c r="D6" s="93">
        <v>32563200</v>
      </c>
      <c r="E6" s="93">
        <v>488</v>
      </c>
      <c r="F6" s="93">
        <v>450</v>
      </c>
      <c r="G6" s="15">
        <f>F6/E9</f>
        <v>2000</v>
      </c>
      <c r="H6" s="15">
        <f>G6*C9</f>
        <v>2640</v>
      </c>
      <c r="J6" s="64"/>
      <c r="K6" s="64"/>
      <c r="M6" s="71"/>
    </row>
    <row r="7" spans="1:13" ht="15.75" thickBot="1" x14ac:dyDescent="0.3">
      <c r="A7" s="73"/>
      <c r="B7" s="73"/>
      <c r="C7" s="73"/>
      <c r="D7" s="73"/>
      <c r="E7" s="73"/>
    </row>
    <row r="8" spans="1:13" ht="15.75" thickBot="1" x14ac:dyDescent="0.3">
      <c r="A8" s="73"/>
      <c r="B8" s="73"/>
      <c r="C8" s="81" t="s">
        <v>268</v>
      </c>
      <c r="D8" s="82" t="s">
        <v>269</v>
      </c>
      <c r="E8" s="83" t="s">
        <v>270</v>
      </c>
    </row>
    <row r="9" spans="1:13" x14ac:dyDescent="0.25">
      <c r="A9" s="73"/>
      <c r="B9" s="73"/>
      <c r="C9" s="80">
        <v>1.32</v>
      </c>
      <c r="D9" s="93">
        <v>15000</v>
      </c>
      <c r="E9" s="94">
        <f>D9*0.015/10^3</f>
        <v>0.22500000000000001</v>
      </c>
      <c r="G9" s="15"/>
    </row>
    <row r="10" spans="1:13" ht="15.75" thickBot="1" x14ac:dyDescent="0.3">
      <c r="A10" s="73"/>
      <c r="B10" s="73"/>
      <c r="C10" s="73"/>
      <c r="D10" s="73"/>
      <c r="E10" s="73"/>
      <c r="J10" t="s">
        <v>285</v>
      </c>
      <c r="K10" t="s">
        <v>598</v>
      </c>
    </row>
    <row r="11" spans="1:13" ht="15.75" thickBot="1" x14ac:dyDescent="0.3">
      <c r="A11" s="1103" t="s">
        <v>271</v>
      </c>
      <c r="B11" s="1104"/>
      <c r="C11" s="84"/>
      <c r="D11" s="85">
        <v>82</v>
      </c>
      <c r="E11" s="86" t="s">
        <v>272</v>
      </c>
      <c r="F11" s="15"/>
      <c r="G11" s="438" t="s">
        <v>682</v>
      </c>
      <c r="H11" s="438" t="s">
        <v>681</v>
      </c>
      <c r="I11" s="15"/>
    </row>
    <row r="12" spans="1:13" ht="15.75" thickBot="1" x14ac:dyDescent="0.3">
      <c r="A12" s="1100" t="s">
        <v>273</v>
      </c>
      <c r="B12" s="1101"/>
      <c r="C12" s="88"/>
      <c r="D12" s="121">
        <v>7500</v>
      </c>
      <c r="E12" s="90" t="s">
        <v>63</v>
      </c>
      <c r="G12" s="657">
        <f>D12/(D11*C9)</f>
        <v>69.290465631929038</v>
      </c>
      <c r="H12" s="658">
        <f>30/G12</f>
        <v>0.43296000000000007</v>
      </c>
      <c r="J12">
        <v>210</v>
      </c>
      <c r="K12" s="15">
        <f>J12/C9</f>
        <v>159.09090909090909</v>
      </c>
    </row>
    <row r="13" spans="1:13" ht="15.75" thickBot="1" x14ac:dyDescent="0.3">
      <c r="A13" s="87" t="s">
        <v>274</v>
      </c>
      <c r="B13" s="91"/>
      <c r="C13" s="88"/>
      <c r="D13" s="89">
        <v>50</v>
      </c>
      <c r="E13" s="90" t="s">
        <v>275</v>
      </c>
    </row>
    <row r="14" spans="1:13" ht="15.75" thickBot="1" x14ac:dyDescent="0.3">
      <c r="A14" s="73"/>
      <c r="B14" s="73"/>
      <c r="C14" s="73"/>
      <c r="D14" s="73"/>
      <c r="E14" s="73"/>
    </row>
    <row r="15" spans="1:13" ht="30.75" thickBot="1" x14ac:dyDescent="0.3">
      <c r="A15" s="73"/>
      <c r="B15" s="73"/>
      <c r="C15" s="73"/>
      <c r="D15" s="92" t="s">
        <v>276</v>
      </c>
      <c r="E15" s="83" t="s">
        <v>277</v>
      </c>
    </row>
    <row r="16" spans="1:13" ht="15.75" thickBot="1" x14ac:dyDescent="0.3">
      <c r="A16" s="1103" t="s">
        <v>278</v>
      </c>
      <c r="B16" s="1104"/>
      <c r="C16" s="75"/>
      <c r="D16" s="89">
        <v>3</v>
      </c>
      <c r="E16" s="89">
        <v>9</v>
      </c>
    </row>
    <row r="17" spans="1:5" ht="15.75" thickBot="1" x14ac:dyDescent="0.3">
      <c r="A17" s="87" t="s">
        <v>279</v>
      </c>
      <c r="B17" s="91"/>
      <c r="C17" s="91"/>
      <c r="D17" s="89">
        <v>2</v>
      </c>
      <c r="E17" s="89">
        <v>6</v>
      </c>
    </row>
    <row r="18" spans="1:5" ht="15.75" thickBot="1" x14ac:dyDescent="0.3">
      <c r="A18" s="87" t="s">
        <v>280</v>
      </c>
      <c r="B18" s="91"/>
      <c r="C18" s="91"/>
      <c r="D18" s="89">
        <v>1</v>
      </c>
      <c r="E18" s="89">
        <v>3</v>
      </c>
    </row>
    <row r="19" spans="1:5" ht="15.75" thickBot="1" x14ac:dyDescent="0.3">
      <c r="A19" s="1100" t="s">
        <v>281</v>
      </c>
      <c r="B19" s="1101"/>
      <c r="C19" s="91"/>
      <c r="D19" s="89">
        <v>1.5</v>
      </c>
      <c r="E19" s="89">
        <v>4.5</v>
      </c>
    </row>
    <row r="20" spans="1:5" ht="15.75" thickBot="1" x14ac:dyDescent="0.3">
      <c r="A20" s="1100" t="s">
        <v>282</v>
      </c>
      <c r="B20" s="1101"/>
      <c r="C20" s="91"/>
      <c r="D20" s="89">
        <v>1</v>
      </c>
      <c r="E20" s="89">
        <v>3</v>
      </c>
    </row>
    <row r="23" spans="1:5" x14ac:dyDescent="0.25">
      <c r="C23" s="439" t="s">
        <v>600</v>
      </c>
      <c r="D23" s="439" t="s">
        <v>599</v>
      </c>
    </row>
    <row r="24" spans="1:5" x14ac:dyDescent="0.25">
      <c r="C24" s="15">
        <v>1000</v>
      </c>
      <c r="D24" s="70">
        <f>C24/D$11</f>
        <v>12.195121951219512</v>
      </c>
    </row>
    <row r="25" spans="1:5" x14ac:dyDescent="0.25">
      <c r="C25" s="64">
        <f>C24+500</f>
        <v>1500</v>
      </c>
      <c r="D25" s="70">
        <f t="shared" ref="D25:D29" si="0">C25/D$11</f>
        <v>18.292682926829269</v>
      </c>
    </row>
    <row r="26" spans="1:5" x14ac:dyDescent="0.25">
      <c r="C26" s="64">
        <f t="shared" ref="C26:C29" si="1">C25+500</f>
        <v>2000</v>
      </c>
      <c r="D26" s="70">
        <f t="shared" si="0"/>
        <v>24.390243902439025</v>
      </c>
    </row>
    <row r="27" spans="1:5" x14ac:dyDescent="0.25">
      <c r="C27" s="64">
        <f t="shared" si="1"/>
        <v>2500</v>
      </c>
      <c r="D27" s="70">
        <f t="shared" si="0"/>
        <v>30.487804878048781</v>
      </c>
    </row>
    <row r="28" spans="1:5" x14ac:dyDescent="0.25">
      <c r="C28" s="64">
        <f t="shared" si="1"/>
        <v>3000</v>
      </c>
      <c r="D28" s="70">
        <f t="shared" si="0"/>
        <v>36.585365853658537</v>
      </c>
    </row>
    <row r="29" spans="1:5" x14ac:dyDescent="0.25">
      <c r="C29" s="64">
        <f t="shared" si="1"/>
        <v>3500</v>
      </c>
      <c r="D29" s="70">
        <f t="shared" si="0"/>
        <v>42.68292682926829</v>
      </c>
    </row>
  </sheetData>
  <mergeCells count="6">
    <mergeCell ref="A20:B20"/>
    <mergeCell ref="A3:B3"/>
    <mergeCell ref="A11:B11"/>
    <mergeCell ref="A12:B12"/>
    <mergeCell ref="A16:B16"/>
    <mergeCell ref="A19:B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7B56-596F-49FF-B238-784D5EFD24A7}">
  <sheetPr>
    <tabColor rgb="FF002060"/>
  </sheetPr>
  <dimension ref="A1"/>
  <sheetViews>
    <sheetView workbookViewId="0">
      <selection activeCell="I22" sqref="I22"/>
    </sheetView>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A67F-371D-459F-BE78-40E388A131DA}">
  <dimension ref="A1:F23"/>
  <sheetViews>
    <sheetView zoomScale="115" zoomScaleNormal="115" workbookViewId="0">
      <selection activeCell="Q68" sqref="Q68"/>
    </sheetView>
  </sheetViews>
  <sheetFormatPr defaultRowHeight="15" x14ac:dyDescent="0.25"/>
  <cols>
    <col min="2" max="2" width="55.75" customWidth="1"/>
    <col min="6" max="6" width="12.375" bestFit="1" customWidth="1"/>
  </cols>
  <sheetData>
    <row r="1" spans="1:6" ht="24" x14ac:dyDescent="0.4">
      <c r="B1" s="2" t="s">
        <v>3</v>
      </c>
    </row>
    <row r="3" spans="1:6" x14ac:dyDescent="0.25">
      <c r="A3" s="3" t="s">
        <v>2</v>
      </c>
      <c r="B3" s="3" t="s">
        <v>4</v>
      </c>
    </row>
    <row r="4" spans="1:6" ht="129.75" customHeight="1" x14ac:dyDescent="0.25">
      <c r="A4" s="4">
        <v>1</v>
      </c>
      <c r="B4" s="5" t="s">
        <v>5</v>
      </c>
      <c r="C4" t="s">
        <v>6</v>
      </c>
    </row>
    <row r="5" spans="1:6" ht="27.6" customHeight="1" x14ac:dyDescent="0.25">
      <c r="A5" s="6">
        <v>2</v>
      </c>
      <c r="B5" s="7" t="s">
        <v>7</v>
      </c>
    </row>
    <row r="6" spans="1:6" ht="69" customHeight="1" x14ac:dyDescent="0.25">
      <c r="A6" s="6">
        <v>3</v>
      </c>
      <c r="B6" s="8" t="s">
        <v>343</v>
      </c>
      <c r="D6" t="s">
        <v>8</v>
      </c>
    </row>
    <row r="7" spans="1:6" ht="30" x14ac:dyDescent="0.25">
      <c r="A7" s="9">
        <v>4</v>
      </c>
      <c r="B7" s="10" t="s">
        <v>9</v>
      </c>
    </row>
    <row r="8" spans="1:6" x14ac:dyDescent="0.25">
      <c r="B8" s="11" t="s">
        <v>10</v>
      </c>
      <c r="F8" s="15">
        <f>360000000*0.015</f>
        <v>5400000</v>
      </c>
    </row>
    <row r="9" spans="1:6" x14ac:dyDescent="0.25">
      <c r="B9" s="12" t="s">
        <v>11</v>
      </c>
      <c r="C9" t="s">
        <v>12</v>
      </c>
    </row>
    <row r="10" spans="1:6" x14ac:dyDescent="0.25">
      <c r="B10" t="s">
        <v>13</v>
      </c>
      <c r="C10" t="s">
        <v>14</v>
      </c>
    </row>
    <row r="11" spans="1:6" x14ac:dyDescent="0.25">
      <c r="B11" s="13" t="s">
        <v>15</v>
      </c>
    </row>
    <row r="12" spans="1:6" x14ac:dyDescent="0.25">
      <c r="B12" s="13" t="s">
        <v>16</v>
      </c>
    </row>
    <row r="13" spans="1:6" x14ac:dyDescent="0.25">
      <c r="B13" s="14" t="s">
        <v>17</v>
      </c>
    </row>
    <row r="14" spans="1:6" x14ac:dyDescent="0.25">
      <c r="B14" s="13" t="s">
        <v>18</v>
      </c>
    </row>
    <row r="15" spans="1:6" x14ac:dyDescent="0.25">
      <c r="B15" s="13" t="s">
        <v>19</v>
      </c>
    </row>
    <row r="17" spans="2:2" x14ac:dyDescent="0.25">
      <c r="B17" s="13" t="s">
        <v>20</v>
      </c>
    </row>
    <row r="18" spans="2:2" x14ac:dyDescent="0.25">
      <c r="B18" s="13" t="s">
        <v>21</v>
      </c>
    </row>
    <row r="19" spans="2:2" x14ac:dyDescent="0.25">
      <c r="B19" s="13" t="s">
        <v>22</v>
      </c>
    </row>
    <row r="20" spans="2:2" x14ac:dyDescent="0.25">
      <c r="B20" s="13" t="s">
        <v>23</v>
      </c>
    </row>
    <row r="21" spans="2:2" x14ac:dyDescent="0.25">
      <c r="B21" s="13" t="s">
        <v>24</v>
      </c>
    </row>
    <row r="22" spans="2:2" x14ac:dyDescent="0.25">
      <c r="B22" s="13" t="s">
        <v>25</v>
      </c>
    </row>
    <row r="23" spans="2:2" x14ac:dyDescent="0.25">
      <c r="B23" s="13" t="s">
        <v>26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B45F-DE1C-49AD-BC85-4F3DC0E4BF38}">
  <dimension ref="K28"/>
  <sheetViews>
    <sheetView topLeftCell="A11" zoomScale="115" zoomScaleNormal="115" workbookViewId="0">
      <selection activeCell="Q68" sqref="Q68"/>
    </sheetView>
  </sheetViews>
  <sheetFormatPr defaultRowHeight="15" x14ac:dyDescent="0.25"/>
  <sheetData>
    <row r="28" spans="11:11" x14ac:dyDescent="0.25">
      <c r="K28" t="s">
        <v>77</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407D-B826-44AC-99DD-8E8E8FED4E59}">
  <dimension ref="A1:AI37"/>
  <sheetViews>
    <sheetView showGridLines="0" zoomScaleNormal="100" workbookViewId="0">
      <pane xSplit="4" ySplit="4" topLeftCell="Y5" activePane="bottomRight" state="frozen"/>
      <selection activeCell="Q68" sqref="Q68"/>
      <selection pane="topRight" activeCell="Q68" sqref="Q68"/>
      <selection pane="bottomLeft" activeCell="Q68" sqref="Q68"/>
      <selection pane="bottomRight" activeCell="Q68" sqref="Q68"/>
    </sheetView>
  </sheetViews>
  <sheetFormatPr defaultRowHeight="15" x14ac:dyDescent="0.25"/>
  <cols>
    <col min="2" max="2" width="14.5" customWidth="1"/>
    <col min="3" max="3" width="5.75" customWidth="1"/>
    <col min="4" max="4" width="1" customWidth="1"/>
    <col min="5" max="30" width="17.5" bestFit="1" customWidth="1"/>
    <col min="31" max="31" width="17.125" bestFit="1" customWidth="1"/>
    <col min="32" max="35" width="16.375" bestFit="1" customWidth="1"/>
  </cols>
  <sheetData>
    <row r="1" spans="1:35" x14ac:dyDescent="0.25">
      <c r="B1" s="350" t="str">
        <f>MD!A7</f>
        <v>VND</v>
      </c>
    </row>
    <row r="3" spans="1:35" x14ac:dyDescent="0.25">
      <c r="E3" s="343">
        <v>0</v>
      </c>
      <c r="F3" s="343">
        <v>1</v>
      </c>
      <c r="G3" s="343">
        <v>2</v>
      </c>
      <c r="H3" s="343">
        <v>3</v>
      </c>
      <c r="I3" s="343">
        <v>4</v>
      </c>
      <c r="J3" s="343">
        <v>5</v>
      </c>
      <c r="K3" s="343">
        <v>6</v>
      </c>
      <c r="L3" s="343">
        <v>7</v>
      </c>
      <c r="M3" s="343">
        <v>8</v>
      </c>
      <c r="N3" s="343">
        <v>9</v>
      </c>
      <c r="O3" s="343">
        <v>10</v>
      </c>
      <c r="P3" s="343">
        <v>11</v>
      </c>
      <c r="Q3" s="343">
        <v>12</v>
      </c>
      <c r="R3" s="343">
        <v>13</v>
      </c>
      <c r="S3" s="343">
        <v>14</v>
      </c>
      <c r="T3" s="343">
        <v>15</v>
      </c>
      <c r="U3" s="343">
        <v>16</v>
      </c>
      <c r="V3" s="343">
        <v>17</v>
      </c>
      <c r="W3" s="343">
        <v>18</v>
      </c>
      <c r="X3" s="343">
        <v>19</v>
      </c>
      <c r="Y3" s="343">
        <v>20</v>
      </c>
      <c r="Z3" s="343">
        <v>21</v>
      </c>
      <c r="AA3" s="343">
        <v>22</v>
      </c>
      <c r="AB3" s="343">
        <v>23</v>
      </c>
      <c r="AC3" s="343">
        <v>24</v>
      </c>
      <c r="AD3" s="343">
        <v>25</v>
      </c>
      <c r="AE3" s="343">
        <v>26</v>
      </c>
      <c r="AF3" s="343">
        <v>27</v>
      </c>
      <c r="AG3" s="343">
        <v>28</v>
      </c>
      <c r="AH3" s="343">
        <v>29</v>
      </c>
      <c r="AI3" s="343">
        <v>30</v>
      </c>
    </row>
    <row r="4" spans="1:35" ht="2.65" customHeight="1" x14ac:dyDescent="0.25"/>
    <row r="5" spans="1:35" x14ac:dyDescent="0.25">
      <c r="A5" t="s">
        <v>404</v>
      </c>
      <c r="B5" t="s">
        <v>540</v>
      </c>
      <c r="C5" t="str">
        <f>$B$1</f>
        <v>VND</v>
      </c>
      <c r="E5" s="15">
        <f>SUMIFS('W1'!$G$60:$AI$60,'W1'!$G$7:$AI$7,"giá trị đầu tư",'W1'!$G$6:$AI$6,$A5)*SUMIFS('Cover Page'!$H$21:$W$21,'Cover Page'!$H$5:$W$5,$A5)</f>
        <v>210524860000</v>
      </c>
      <c r="F5" s="15">
        <f>E8</f>
        <v>210524860000</v>
      </c>
      <c r="G5" s="64">
        <f>F8</f>
        <v>208296158882.9198</v>
      </c>
      <c r="H5" s="64">
        <f t="shared" ref="H5:AI5" si="0">G8</f>
        <v>205911448687.64398</v>
      </c>
      <c r="I5" s="64">
        <f t="shared" si="0"/>
        <v>203359808778.69885</v>
      </c>
      <c r="J5" s="64">
        <f t="shared" si="0"/>
        <v>200629554076.12756</v>
      </c>
      <c r="K5" s="64">
        <f t="shared" si="0"/>
        <v>197708181544.37628</v>
      </c>
      <c r="L5" s="64">
        <f t="shared" si="0"/>
        <v>194582312935.40244</v>
      </c>
      <c r="M5" s="64">
        <f t="shared" si="0"/>
        <v>191237633523.80042</v>
      </c>
      <c r="N5" s="64">
        <f t="shared" si="0"/>
        <v>187658826553.38623</v>
      </c>
      <c r="O5" s="64">
        <f t="shared" si="0"/>
        <v>183829503095.04306</v>
      </c>
      <c r="P5" s="64">
        <f t="shared" si="0"/>
        <v>179732126994.61588</v>
      </c>
      <c r="Q5" s="64">
        <f t="shared" si="0"/>
        <v>175347934567.15878</v>
      </c>
      <c r="R5" s="64">
        <f t="shared" si="0"/>
        <v>170656848669.77969</v>
      </c>
      <c r="S5" s="64">
        <f t="shared" si="0"/>
        <v>165637386759.58408</v>
      </c>
      <c r="T5" s="64">
        <f t="shared" si="0"/>
        <v>160266562515.67477</v>
      </c>
      <c r="U5" s="64">
        <f t="shared" si="0"/>
        <v>154519780574.6918</v>
      </c>
      <c r="V5" s="64">
        <f t="shared" si="0"/>
        <v>148370723897.84003</v>
      </c>
      <c r="W5" s="64">
        <f t="shared" si="0"/>
        <v>141791233253.60864</v>
      </c>
      <c r="X5" s="64">
        <f t="shared" si="0"/>
        <v>134751178264.28104</v>
      </c>
      <c r="Y5" s="64">
        <f t="shared" si="0"/>
        <v>127218319425.7005</v>
      </c>
      <c r="Z5" s="64">
        <f t="shared" si="0"/>
        <v>119158160468.41934</v>
      </c>
      <c r="AA5" s="64">
        <f t="shared" si="0"/>
        <v>110533790384.12849</v>
      </c>
      <c r="AB5" s="64">
        <f t="shared" si="0"/>
        <v>101305714393.93729</v>
      </c>
      <c r="AC5" s="64">
        <f t="shared" si="0"/>
        <v>91431673084.432693</v>
      </c>
      <c r="AD5" s="64">
        <f t="shared" si="0"/>
        <v>80866448883.262787</v>
      </c>
      <c r="AE5" s="64">
        <f t="shared" si="0"/>
        <v>69561658988.010986</v>
      </c>
      <c r="AF5" s="64">
        <f t="shared" si="0"/>
        <v>57465533800.09156</v>
      </c>
      <c r="AG5" s="64">
        <f t="shared" si="0"/>
        <v>44522679849.017776</v>
      </c>
      <c r="AH5" s="64">
        <f t="shared" si="0"/>
        <v>30673826121.368828</v>
      </c>
      <c r="AI5" s="64">
        <f t="shared" si="0"/>
        <v>15855552632.784452</v>
      </c>
    </row>
    <row r="6" spans="1:35" s="142" customFormat="1" x14ac:dyDescent="0.25">
      <c r="A6" s="142" t="s">
        <v>404</v>
      </c>
      <c r="B6" s="142" t="s">
        <v>542</v>
      </c>
      <c r="C6" s="142" t="str">
        <f t="shared" ref="C6:C33" si="1">$B$1</f>
        <v>VND</v>
      </c>
      <c r="E6" s="143"/>
      <c r="F6" s="143">
        <f>E8*$E9</f>
        <v>14736740200.000002</v>
      </c>
      <c r="G6" s="143">
        <f t="shared" ref="G6:AI6" si="2">F8*$E9</f>
        <v>14580731121.804388</v>
      </c>
      <c r="H6" s="143">
        <f t="shared" si="2"/>
        <v>14413801408.13508</v>
      </c>
      <c r="I6" s="143">
        <f t="shared" si="2"/>
        <v>14235186614.508921</v>
      </c>
      <c r="J6" s="143">
        <f t="shared" si="2"/>
        <v>14044068785.32893</v>
      </c>
      <c r="K6" s="143">
        <f t="shared" si="2"/>
        <v>13839572708.10634</v>
      </c>
      <c r="L6" s="143">
        <f t="shared" si="2"/>
        <v>13620761905.478172</v>
      </c>
      <c r="M6" s="143">
        <f t="shared" si="2"/>
        <v>13386634346.666031</v>
      </c>
      <c r="N6" s="143">
        <f t="shared" si="2"/>
        <v>13136117858.737038</v>
      </c>
      <c r="O6" s="143">
        <f t="shared" si="2"/>
        <v>12868065216.653015</v>
      </c>
      <c r="P6" s="143">
        <f t="shared" si="2"/>
        <v>12581248889.623112</v>
      </c>
      <c r="Q6" s="143">
        <f t="shared" si="2"/>
        <v>12274355419.701117</v>
      </c>
      <c r="R6" s="143">
        <f t="shared" si="2"/>
        <v>11945979406.884581</v>
      </c>
      <c r="S6" s="143">
        <f t="shared" si="2"/>
        <v>11594617073.170887</v>
      </c>
      <c r="T6" s="143">
        <f t="shared" si="2"/>
        <v>11218659376.097235</v>
      </c>
      <c r="U6" s="143">
        <f t="shared" si="2"/>
        <v>10816384640.228428</v>
      </c>
      <c r="V6" s="143">
        <f t="shared" si="2"/>
        <v>10385950672.848803</v>
      </c>
      <c r="W6" s="143">
        <f t="shared" si="2"/>
        <v>9925386327.7526054</v>
      </c>
      <c r="X6" s="143">
        <f t="shared" si="2"/>
        <v>9432582478.4996738</v>
      </c>
      <c r="Y6" s="143">
        <f t="shared" si="2"/>
        <v>8905282359.799036</v>
      </c>
      <c r="Z6" s="143">
        <f t="shared" si="2"/>
        <v>8341071232.7893543</v>
      </c>
      <c r="AA6" s="143">
        <f t="shared" si="2"/>
        <v>7737365326.8889952</v>
      </c>
      <c r="AB6" s="143">
        <f t="shared" si="2"/>
        <v>7091400007.5756111</v>
      </c>
      <c r="AC6" s="143">
        <f t="shared" si="2"/>
        <v>6400217115.9102888</v>
      </c>
      <c r="AD6" s="143">
        <f t="shared" si="2"/>
        <v>5660651421.8283958</v>
      </c>
      <c r="AE6" s="143">
        <f t="shared" si="2"/>
        <v>4869316129.1607695</v>
      </c>
      <c r="AF6" s="143">
        <f t="shared" si="2"/>
        <v>4022587366.0064096</v>
      </c>
      <c r="AG6" s="143">
        <f t="shared" si="2"/>
        <v>3116587589.4312449</v>
      </c>
      <c r="AH6" s="143">
        <f t="shared" si="2"/>
        <v>2147167828.4958181</v>
      </c>
      <c r="AI6" s="143">
        <f t="shared" si="2"/>
        <v>1109888684.2949119</v>
      </c>
    </row>
    <row r="7" spans="1:35" x14ac:dyDescent="0.25">
      <c r="A7" t="s">
        <v>404</v>
      </c>
      <c r="B7" t="s">
        <v>539</v>
      </c>
      <c r="C7" t="str">
        <f t="shared" si="1"/>
        <v>VND</v>
      </c>
      <c r="F7" s="15">
        <f>PMT(E9,30,E5)</f>
        <v>-16965441317.080194</v>
      </c>
      <c r="G7" s="15">
        <f>F7</f>
        <v>-16965441317.080194</v>
      </c>
      <c r="H7" s="15">
        <f t="shared" ref="H7:AI7" si="3">G7</f>
        <v>-16965441317.080194</v>
      </c>
      <c r="I7" s="15">
        <f t="shared" si="3"/>
        <v>-16965441317.080194</v>
      </c>
      <c r="J7" s="15">
        <f t="shared" si="3"/>
        <v>-16965441317.080194</v>
      </c>
      <c r="K7" s="15">
        <f t="shared" si="3"/>
        <v>-16965441317.080194</v>
      </c>
      <c r="L7" s="15">
        <f t="shared" si="3"/>
        <v>-16965441317.080194</v>
      </c>
      <c r="M7" s="15">
        <f t="shared" si="3"/>
        <v>-16965441317.080194</v>
      </c>
      <c r="N7" s="15">
        <f t="shared" si="3"/>
        <v>-16965441317.080194</v>
      </c>
      <c r="O7" s="15">
        <f t="shared" si="3"/>
        <v>-16965441317.080194</v>
      </c>
      <c r="P7" s="15">
        <f t="shared" si="3"/>
        <v>-16965441317.080194</v>
      </c>
      <c r="Q7" s="15">
        <f t="shared" si="3"/>
        <v>-16965441317.080194</v>
      </c>
      <c r="R7" s="15">
        <f t="shared" si="3"/>
        <v>-16965441317.080194</v>
      </c>
      <c r="S7" s="15">
        <f t="shared" si="3"/>
        <v>-16965441317.080194</v>
      </c>
      <c r="T7" s="15">
        <f t="shared" si="3"/>
        <v>-16965441317.080194</v>
      </c>
      <c r="U7" s="15">
        <f t="shared" si="3"/>
        <v>-16965441317.080194</v>
      </c>
      <c r="V7" s="15">
        <f t="shared" si="3"/>
        <v>-16965441317.080194</v>
      </c>
      <c r="W7" s="15">
        <f t="shared" si="3"/>
        <v>-16965441317.080194</v>
      </c>
      <c r="X7" s="15">
        <f t="shared" si="3"/>
        <v>-16965441317.080194</v>
      </c>
      <c r="Y7" s="15">
        <f t="shared" si="3"/>
        <v>-16965441317.080194</v>
      </c>
      <c r="Z7" s="15">
        <f t="shared" si="3"/>
        <v>-16965441317.080194</v>
      </c>
      <c r="AA7" s="15">
        <f t="shared" si="3"/>
        <v>-16965441317.080194</v>
      </c>
      <c r="AB7" s="15">
        <f t="shared" si="3"/>
        <v>-16965441317.080194</v>
      </c>
      <c r="AC7" s="15">
        <f t="shared" si="3"/>
        <v>-16965441317.080194</v>
      </c>
      <c r="AD7" s="15">
        <f t="shared" si="3"/>
        <v>-16965441317.080194</v>
      </c>
      <c r="AE7" s="15">
        <f t="shared" si="3"/>
        <v>-16965441317.080194</v>
      </c>
      <c r="AF7" s="15">
        <f t="shared" si="3"/>
        <v>-16965441317.080194</v>
      </c>
      <c r="AG7" s="15">
        <f t="shared" si="3"/>
        <v>-16965441317.080194</v>
      </c>
      <c r="AH7" s="15">
        <f t="shared" si="3"/>
        <v>-16965441317.080194</v>
      </c>
      <c r="AI7" s="15">
        <f t="shared" si="3"/>
        <v>-16965441317.080194</v>
      </c>
    </row>
    <row r="8" spans="1:35" s="1" customFormat="1" x14ac:dyDescent="0.25">
      <c r="A8" s="1" t="s">
        <v>404</v>
      </c>
      <c r="B8" s="1" t="s">
        <v>541</v>
      </c>
      <c r="C8" s="1" t="str">
        <f t="shared" si="1"/>
        <v>VND</v>
      </c>
      <c r="E8" s="344">
        <f>E5+E7</f>
        <v>210524860000</v>
      </c>
      <c r="F8" s="344">
        <f>SUM(F5:F7)</f>
        <v>208296158882.9198</v>
      </c>
      <c r="G8" s="344">
        <f t="shared" ref="G8:AI8" si="4">SUM(G5:G7)</f>
        <v>205911448687.64398</v>
      </c>
      <c r="H8" s="344">
        <f t="shared" si="4"/>
        <v>203359808778.69885</v>
      </c>
      <c r="I8" s="344">
        <f t="shared" si="4"/>
        <v>200629554076.12756</v>
      </c>
      <c r="J8" s="344">
        <f t="shared" si="4"/>
        <v>197708181544.37628</v>
      </c>
      <c r="K8" s="344">
        <f t="shared" si="4"/>
        <v>194582312935.40244</v>
      </c>
      <c r="L8" s="344">
        <f t="shared" si="4"/>
        <v>191237633523.80042</v>
      </c>
      <c r="M8" s="344">
        <f t="shared" si="4"/>
        <v>187658826553.38623</v>
      </c>
      <c r="N8" s="344">
        <f t="shared" si="4"/>
        <v>183829503095.04306</v>
      </c>
      <c r="O8" s="344">
        <f t="shared" si="4"/>
        <v>179732126994.61588</v>
      </c>
      <c r="P8" s="344">
        <f t="shared" si="4"/>
        <v>175347934567.15878</v>
      </c>
      <c r="Q8" s="344">
        <f t="shared" si="4"/>
        <v>170656848669.77969</v>
      </c>
      <c r="R8" s="344">
        <f t="shared" si="4"/>
        <v>165637386759.58408</v>
      </c>
      <c r="S8" s="344">
        <f t="shared" si="4"/>
        <v>160266562515.67477</v>
      </c>
      <c r="T8" s="344">
        <f t="shared" si="4"/>
        <v>154519780574.6918</v>
      </c>
      <c r="U8" s="344">
        <f t="shared" si="4"/>
        <v>148370723897.84003</v>
      </c>
      <c r="V8" s="344">
        <f t="shared" si="4"/>
        <v>141791233253.60864</v>
      </c>
      <c r="W8" s="344">
        <f t="shared" si="4"/>
        <v>134751178264.28104</v>
      </c>
      <c r="X8" s="344">
        <f t="shared" si="4"/>
        <v>127218319425.7005</v>
      </c>
      <c r="Y8" s="344">
        <f t="shared" si="4"/>
        <v>119158160468.41934</v>
      </c>
      <c r="Z8" s="344">
        <f t="shared" si="4"/>
        <v>110533790384.12849</v>
      </c>
      <c r="AA8" s="344">
        <f t="shared" si="4"/>
        <v>101305714393.93729</v>
      </c>
      <c r="AB8" s="344">
        <f t="shared" si="4"/>
        <v>91431673084.432693</v>
      </c>
      <c r="AC8" s="344">
        <f t="shared" si="4"/>
        <v>80866448883.262787</v>
      </c>
      <c r="AD8" s="344">
        <f t="shared" si="4"/>
        <v>69561658988.010986</v>
      </c>
      <c r="AE8" s="344">
        <f t="shared" si="4"/>
        <v>57465533800.09156</v>
      </c>
      <c r="AF8" s="344">
        <f t="shared" si="4"/>
        <v>44522679849.017776</v>
      </c>
      <c r="AG8" s="344">
        <f t="shared" si="4"/>
        <v>30673826121.368828</v>
      </c>
      <c r="AH8" s="344">
        <f t="shared" si="4"/>
        <v>15855552632.784452</v>
      </c>
      <c r="AI8" s="344">
        <f t="shared" si="4"/>
        <v>-8.296966552734375E-4</v>
      </c>
    </row>
    <row r="9" spans="1:35" x14ac:dyDescent="0.25">
      <c r="A9" t="s">
        <v>404</v>
      </c>
      <c r="B9" t="s">
        <v>543</v>
      </c>
      <c r="E9" s="95">
        <f>SUMIFS('Cover Page'!$H$19:$W$19,'Cover Page'!$H$5:$W$5,$A9)</f>
        <v>7.0000000000000007E-2</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row>
    <row r="10" spans="1:35" x14ac:dyDescent="0.25">
      <c r="A10" s="127" t="s">
        <v>405</v>
      </c>
      <c r="B10" s="127" t="s">
        <v>540</v>
      </c>
      <c r="C10" s="127" t="str">
        <f t="shared" si="1"/>
        <v>VND</v>
      </c>
      <c r="D10" s="127"/>
      <c r="E10" s="211">
        <f>SUMIFS('W1'!$G$60:$AI$60,'W1'!$G$7:$AI$7,"giá trị đầu tư",'W1'!$G$6:$AI$6,$A10)*SUMIFS('Cover Page'!$H$21:$W$21,'Cover Page'!$H$5:$W$5,$A10)</f>
        <v>340489800000</v>
      </c>
      <c r="F10" s="211">
        <f>E13</f>
        <v>340489800000</v>
      </c>
      <c r="G10" s="345">
        <f>F13</f>
        <v>337484148971.45435</v>
      </c>
      <c r="H10" s="345">
        <f t="shared" ref="H10" si="5">G13</f>
        <v>334238045860.62506</v>
      </c>
      <c r="I10" s="345">
        <f t="shared" ref="I10" si="6">H13</f>
        <v>330732254500.92944</v>
      </c>
      <c r="J10" s="345">
        <f t="shared" ref="J10" si="7">I13</f>
        <v>326945999832.45813</v>
      </c>
      <c r="K10" s="345">
        <f t="shared" ref="K10" si="8">J13</f>
        <v>322856844790.50916</v>
      </c>
      <c r="L10" s="345">
        <f t="shared" ref="L10" si="9">K13</f>
        <v>318440557345.20422</v>
      </c>
      <c r="M10" s="345">
        <f t="shared" ref="M10" si="10">L13</f>
        <v>313670966904.2749</v>
      </c>
      <c r="N10" s="345">
        <f t="shared" ref="N10" si="11">M13</f>
        <v>308519809228.07123</v>
      </c>
      <c r="O10" s="345">
        <f t="shared" ref="O10" si="12">N13</f>
        <v>302956558937.77124</v>
      </c>
      <c r="P10" s="345">
        <f t="shared" ref="P10" si="13">O13</f>
        <v>296948248624.24731</v>
      </c>
      <c r="Q10" s="345">
        <f t="shared" ref="Q10" si="14">P13</f>
        <v>290459273485.64142</v>
      </c>
      <c r="R10" s="345">
        <f t="shared" ref="R10" si="15">Q13</f>
        <v>283451180335.94708</v>
      </c>
      <c r="S10" s="345">
        <f t="shared" ref="S10" si="16">R13</f>
        <v>275882439734.27722</v>
      </c>
      <c r="T10" s="345">
        <f t="shared" ref="T10" si="17">S13</f>
        <v>267708199884.47375</v>
      </c>
      <c r="U10" s="345">
        <f t="shared" ref="U10" si="18">T13</f>
        <v>258880020846.68597</v>
      </c>
      <c r="V10" s="345">
        <f t="shared" ref="V10" si="19">U13</f>
        <v>249345587485.87518</v>
      </c>
      <c r="W10" s="345">
        <f t="shared" ref="W10" si="20">V13</f>
        <v>239048399456.19955</v>
      </c>
      <c r="X10" s="345">
        <f t="shared" ref="X10" si="21">W13</f>
        <v>227927436384.14987</v>
      </c>
      <c r="Y10" s="345">
        <f t="shared" ref="Y10" si="22">X13</f>
        <v>215916796266.33621</v>
      </c>
      <c r="Z10" s="345">
        <f t="shared" ref="Z10" si="23">Y13</f>
        <v>202945304939.09744</v>
      </c>
      <c r="AA10" s="345">
        <f t="shared" ref="AA10" si="24">Z13</f>
        <v>188936094305.6796</v>
      </c>
      <c r="AB10" s="345">
        <f t="shared" ref="AB10" si="25">AA13</f>
        <v>173806146821.58832</v>
      </c>
      <c r="AC10" s="345">
        <f t="shared" ref="AC10" si="26">AB13</f>
        <v>157465803538.76971</v>
      </c>
      <c r="AD10" s="345">
        <f t="shared" ref="AD10" si="27">AC13</f>
        <v>139818232793.32562</v>
      </c>
      <c r="AE10" s="345">
        <f t="shared" ref="AE10" si="28">AD13</f>
        <v>120758856388.24602</v>
      </c>
      <c r="AF10" s="345">
        <f t="shared" ref="AF10" si="29">AE13</f>
        <v>100174729870.76003</v>
      </c>
      <c r="AG10" s="345">
        <f t="shared" ref="AG10" si="30">AF13</f>
        <v>77943873231.875153</v>
      </c>
      <c r="AH10" s="345">
        <f t="shared" ref="AH10" si="31">AG13</f>
        <v>53934548061.879501</v>
      </c>
      <c r="AI10" s="345">
        <f t="shared" ref="AI10" si="32">AH13</f>
        <v>28004476878.284199</v>
      </c>
    </row>
    <row r="11" spans="1:35" s="142" customFormat="1" x14ac:dyDescent="0.25">
      <c r="A11" s="348" t="s">
        <v>405</v>
      </c>
      <c r="B11" s="348" t="s">
        <v>542</v>
      </c>
      <c r="C11" s="348" t="str">
        <f t="shared" si="1"/>
        <v>VND</v>
      </c>
      <c r="D11" s="348"/>
      <c r="E11" s="349"/>
      <c r="F11" s="349">
        <f>E13*$E14</f>
        <v>27239184000</v>
      </c>
      <c r="G11" s="349">
        <f t="shared" ref="G11" si="33">F13*$E14</f>
        <v>26998731917.716347</v>
      </c>
      <c r="H11" s="349">
        <f t="shared" ref="H11" si="34">G13*$E14</f>
        <v>26739043668.850006</v>
      </c>
      <c r="I11" s="349">
        <f t="shared" ref="I11" si="35">H13*$E14</f>
        <v>26458580360.074356</v>
      </c>
      <c r="J11" s="349">
        <f t="shared" ref="J11" si="36">I13*$E14</f>
        <v>26155679986.596649</v>
      </c>
      <c r="K11" s="349">
        <f t="shared" ref="K11" si="37">J13*$E14</f>
        <v>25828547583.240734</v>
      </c>
      <c r="L11" s="349">
        <f t="shared" ref="L11" si="38">K13*$E14</f>
        <v>25475244587.616337</v>
      </c>
      <c r="M11" s="349">
        <f t="shared" ref="M11" si="39">L13*$E14</f>
        <v>25093677352.341991</v>
      </c>
      <c r="N11" s="349">
        <f t="shared" ref="N11" si="40">M13*$E14</f>
        <v>24681584738.245697</v>
      </c>
      <c r="O11" s="349">
        <f t="shared" ref="O11" si="41">N13*$E14</f>
        <v>24236524715.021698</v>
      </c>
      <c r="P11" s="349">
        <f t="shared" ref="P11" si="42">O13*$E14</f>
        <v>23755859889.939785</v>
      </c>
      <c r="Q11" s="349">
        <f t="shared" ref="Q11" si="43">P13*$E14</f>
        <v>23236741878.851315</v>
      </c>
      <c r="R11" s="349">
        <f t="shared" ref="R11" si="44">Q13*$E14</f>
        <v>22676094426.875767</v>
      </c>
      <c r="S11" s="349">
        <f t="shared" ref="S11" si="45">R13*$E14</f>
        <v>22070595178.74218</v>
      </c>
      <c r="T11" s="349">
        <f t="shared" ref="T11" si="46">S13*$E14</f>
        <v>21416655990.7579</v>
      </c>
      <c r="U11" s="349">
        <f t="shared" ref="U11" si="47">T13*$E14</f>
        <v>20710401667.734879</v>
      </c>
      <c r="V11" s="349">
        <f t="shared" ref="V11" si="48">U13*$E14</f>
        <v>19947646998.870014</v>
      </c>
      <c r="W11" s="349">
        <f t="shared" ref="W11" si="49">V13*$E14</f>
        <v>19123871956.495964</v>
      </c>
      <c r="X11" s="349">
        <f t="shared" ref="X11" si="50">W13*$E14</f>
        <v>18234194910.731991</v>
      </c>
      <c r="Y11" s="349">
        <f t="shared" ref="Y11" si="51">X13*$E14</f>
        <v>17273343701.306896</v>
      </c>
      <c r="Z11" s="349">
        <f t="shared" ref="Z11" si="52">Y13*$E14</f>
        <v>16235624395.127796</v>
      </c>
      <c r="AA11" s="349">
        <f t="shared" ref="AA11" si="53">Z13*$E14</f>
        <v>15114887544.454369</v>
      </c>
      <c r="AB11" s="349">
        <f t="shared" ref="AB11" si="54">AA13*$E14</f>
        <v>13904491745.727066</v>
      </c>
      <c r="AC11" s="349">
        <f t="shared" ref="AC11" si="55">AB13*$E14</f>
        <v>12597264283.101578</v>
      </c>
      <c r="AD11" s="349">
        <f t="shared" ref="AD11" si="56">AC13*$E14</f>
        <v>11185458623.466049</v>
      </c>
      <c r="AE11" s="349">
        <f t="shared" ref="AE11" si="57">AD13*$E14</f>
        <v>9660708511.0596809</v>
      </c>
      <c r="AF11" s="349">
        <f t="shared" ref="AF11" si="58">AE13*$E14</f>
        <v>8013978389.6608019</v>
      </c>
      <c r="AG11" s="349">
        <f t="shared" ref="AG11" si="59">AF13*$E14</f>
        <v>6235509858.5500126</v>
      </c>
      <c r="AH11" s="349">
        <f t="shared" ref="AH11" si="60">AG13*$E14</f>
        <v>4314763844.9503603</v>
      </c>
      <c r="AI11" s="349">
        <f t="shared" ref="AI11" si="61">AH13*$E14</f>
        <v>2240358150.2627358</v>
      </c>
    </row>
    <row r="12" spans="1:35" x14ac:dyDescent="0.25">
      <c r="A12" s="127" t="s">
        <v>405</v>
      </c>
      <c r="B12" s="127" t="s">
        <v>539</v>
      </c>
      <c r="C12" s="127" t="str">
        <f t="shared" si="1"/>
        <v>VND</v>
      </c>
      <c r="D12" s="127"/>
      <c r="E12" s="127"/>
      <c r="F12" s="211">
        <f>PMT(E14,30,E10)</f>
        <v>-30244835028.545666</v>
      </c>
      <c r="G12" s="211">
        <f>F12</f>
        <v>-30244835028.545666</v>
      </c>
      <c r="H12" s="211">
        <f t="shared" ref="H12" si="62">G12</f>
        <v>-30244835028.545666</v>
      </c>
      <c r="I12" s="211">
        <f t="shared" ref="I12" si="63">H12</f>
        <v>-30244835028.545666</v>
      </c>
      <c r="J12" s="211">
        <f t="shared" ref="J12" si="64">I12</f>
        <v>-30244835028.545666</v>
      </c>
      <c r="K12" s="211">
        <f t="shared" ref="K12" si="65">J12</f>
        <v>-30244835028.545666</v>
      </c>
      <c r="L12" s="211">
        <f t="shared" ref="L12" si="66">K12</f>
        <v>-30244835028.545666</v>
      </c>
      <c r="M12" s="211">
        <f t="shared" ref="M12" si="67">L12</f>
        <v>-30244835028.545666</v>
      </c>
      <c r="N12" s="211">
        <f t="shared" ref="N12" si="68">M12</f>
        <v>-30244835028.545666</v>
      </c>
      <c r="O12" s="211">
        <f t="shared" ref="O12" si="69">N12</f>
        <v>-30244835028.545666</v>
      </c>
      <c r="P12" s="211">
        <f t="shared" ref="P12" si="70">O12</f>
        <v>-30244835028.545666</v>
      </c>
      <c r="Q12" s="211">
        <f t="shared" ref="Q12" si="71">P12</f>
        <v>-30244835028.545666</v>
      </c>
      <c r="R12" s="211">
        <f t="shared" ref="R12" si="72">Q12</f>
        <v>-30244835028.545666</v>
      </c>
      <c r="S12" s="211">
        <f t="shared" ref="S12" si="73">R12</f>
        <v>-30244835028.545666</v>
      </c>
      <c r="T12" s="211">
        <f t="shared" ref="T12" si="74">S12</f>
        <v>-30244835028.545666</v>
      </c>
      <c r="U12" s="211">
        <f t="shared" ref="U12" si="75">T12</f>
        <v>-30244835028.545666</v>
      </c>
      <c r="V12" s="211">
        <f t="shared" ref="V12" si="76">U12</f>
        <v>-30244835028.545666</v>
      </c>
      <c r="W12" s="211">
        <f t="shared" ref="W12" si="77">V12</f>
        <v>-30244835028.545666</v>
      </c>
      <c r="X12" s="211">
        <f t="shared" ref="X12" si="78">W12</f>
        <v>-30244835028.545666</v>
      </c>
      <c r="Y12" s="211">
        <f t="shared" ref="Y12" si="79">X12</f>
        <v>-30244835028.545666</v>
      </c>
      <c r="Z12" s="211">
        <f t="shared" ref="Z12" si="80">Y12</f>
        <v>-30244835028.545666</v>
      </c>
      <c r="AA12" s="211">
        <f t="shared" ref="AA12" si="81">Z12</f>
        <v>-30244835028.545666</v>
      </c>
      <c r="AB12" s="211">
        <f t="shared" ref="AB12" si="82">AA12</f>
        <v>-30244835028.545666</v>
      </c>
      <c r="AC12" s="211">
        <f t="shared" ref="AC12" si="83">AB12</f>
        <v>-30244835028.545666</v>
      </c>
      <c r="AD12" s="211">
        <f t="shared" ref="AD12" si="84">AC12</f>
        <v>-30244835028.545666</v>
      </c>
      <c r="AE12" s="211">
        <f t="shared" ref="AE12" si="85">AD12</f>
        <v>-30244835028.545666</v>
      </c>
      <c r="AF12" s="211">
        <f t="shared" ref="AF12" si="86">AE12</f>
        <v>-30244835028.545666</v>
      </c>
      <c r="AG12" s="211">
        <f t="shared" ref="AG12" si="87">AF12</f>
        <v>-30244835028.545666</v>
      </c>
      <c r="AH12" s="211">
        <f t="shared" ref="AH12" si="88">AG12</f>
        <v>-30244835028.545666</v>
      </c>
      <c r="AI12" s="211">
        <f t="shared" ref="AI12" si="89">AH12</f>
        <v>-30244835028.545666</v>
      </c>
    </row>
    <row r="13" spans="1:35" s="1" customFormat="1" x14ac:dyDescent="0.25">
      <c r="A13" s="48" t="s">
        <v>405</v>
      </c>
      <c r="B13" s="48" t="s">
        <v>541</v>
      </c>
      <c r="C13" s="48" t="str">
        <f t="shared" si="1"/>
        <v>VND</v>
      </c>
      <c r="D13" s="48"/>
      <c r="E13" s="346">
        <f>E10+E12</f>
        <v>340489800000</v>
      </c>
      <c r="F13" s="346">
        <f>SUM(F10:F12)</f>
        <v>337484148971.45435</v>
      </c>
      <c r="G13" s="346">
        <f t="shared" ref="G13:AI13" si="90">SUM(G10:G12)</f>
        <v>334238045860.62506</v>
      </c>
      <c r="H13" s="346">
        <f t="shared" si="90"/>
        <v>330732254500.92944</v>
      </c>
      <c r="I13" s="346">
        <f t="shared" si="90"/>
        <v>326945999832.45813</v>
      </c>
      <c r="J13" s="346">
        <f t="shared" si="90"/>
        <v>322856844790.50916</v>
      </c>
      <c r="K13" s="346">
        <f t="shared" si="90"/>
        <v>318440557345.20422</v>
      </c>
      <c r="L13" s="346">
        <f t="shared" si="90"/>
        <v>313670966904.2749</v>
      </c>
      <c r="M13" s="346">
        <f t="shared" si="90"/>
        <v>308519809228.07123</v>
      </c>
      <c r="N13" s="346">
        <f t="shared" si="90"/>
        <v>302956558937.77124</v>
      </c>
      <c r="O13" s="346">
        <f t="shared" si="90"/>
        <v>296948248624.24731</v>
      </c>
      <c r="P13" s="346">
        <f t="shared" si="90"/>
        <v>290459273485.64142</v>
      </c>
      <c r="Q13" s="346">
        <f t="shared" si="90"/>
        <v>283451180335.94708</v>
      </c>
      <c r="R13" s="346">
        <f t="shared" si="90"/>
        <v>275882439734.27722</v>
      </c>
      <c r="S13" s="346">
        <f t="shared" si="90"/>
        <v>267708199884.47375</v>
      </c>
      <c r="T13" s="346">
        <f t="shared" si="90"/>
        <v>258880020846.68597</v>
      </c>
      <c r="U13" s="346">
        <f t="shared" si="90"/>
        <v>249345587485.87518</v>
      </c>
      <c r="V13" s="346">
        <f t="shared" si="90"/>
        <v>239048399456.19955</v>
      </c>
      <c r="W13" s="346">
        <f t="shared" si="90"/>
        <v>227927436384.14987</v>
      </c>
      <c r="X13" s="346">
        <f t="shared" si="90"/>
        <v>215916796266.33621</v>
      </c>
      <c r="Y13" s="346">
        <f t="shared" si="90"/>
        <v>202945304939.09744</v>
      </c>
      <c r="Z13" s="346">
        <f t="shared" si="90"/>
        <v>188936094305.6796</v>
      </c>
      <c r="AA13" s="346">
        <f t="shared" si="90"/>
        <v>173806146821.58832</v>
      </c>
      <c r="AB13" s="346">
        <f t="shared" si="90"/>
        <v>157465803538.76971</v>
      </c>
      <c r="AC13" s="346">
        <f t="shared" si="90"/>
        <v>139818232793.32562</v>
      </c>
      <c r="AD13" s="346">
        <f t="shared" si="90"/>
        <v>120758856388.24602</v>
      </c>
      <c r="AE13" s="346">
        <f t="shared" si="90"/>
        <v>100174729870.76003</v>
      </c>
      <c r="AF13" s="346">
        <f t="shared" si="90"/>
        <v>77943873231.875153</v>
      </c>
      <c r="AG13" s="346">
        <f t="shared" si="90"/>
        <v>53934548061.879501</v>
      </c>
      <c r="AH13" s="346">
        <f t="shared" si="90"/>
        <v>28004476878.284199</v>
      </c>
      <c r="AI13" s="346">
        <f t="shared" si="90"/>
        <v>1.270294189453125E-3</v>
      </c>
    </row>
    <row r="14" spans="1:35" x14ac:dyDescent="0.25">
      <c r="A14" s="127" t="s">
        <v>405</v>
      </c>
      <c r="B14" s="127" t="s">
        <v>543</v>
      </c>
      <c r="C14" s="127"/>
      <c r="D14" s="127"/>
      <c r="E14" s="347">
        <f>SUMIFS('Cover Page'!$H$19:$W$19,'Cover Page'!$H$5:$W$5,$A14)</f>
        <v>0.08</v>
      </c>
      <c r="F14" s="345"/>
      <c r="G14" s="345"/>
      <c r="H14" s="345"/>
      <c r="I14" s="345"/>
      <c r="J14" s="345"/>
      <c r="K14" s="345"/>
      <c r="L14" s="345"/>
      <c r="M14" s="345"/>
      <c r="N14" s="345"/>
      <c r="O14" s="345"/>
      <c r="P14" s="345"/>
      <c r="Q14" s="345"/>
      <c r="R14" s="345"/>
      <c r="S14" s="345"/>
      <c r="T14" s="345"/>
      <c r="U14" s="345"/>
      <c r="V14" s="345"/>
      <c r="W14" s="345"/>
      <c r="X14" s="345"/>
      <c r="Y14" s="345"/>
      <c r="Z14" s="345"/>
      <c r="AA14" s="345"/>
      <c r="AB14" s="345"/>
      <c r="AC14" s="345"/>
      <c r="AD14" s="345"/>
      <c r="AE14" s="345"/>
      <c r="AF14" s="345"/>
      <c r="AG14" s="345"/>
      <c r="AH14" s="345"/>
      <c r="AI14" s="345"/>
    </row>
    <row r="15" spans="1:35" x14ac:dyDescent="0.25">
      <c r="A15" t="s">
        <v>407</v>
      </c>
      <c r="B15" t="s">
        <v>540</v>
      </c>
      <c r="C15" t="str">
        <f t="shared" si="1"/>
        <v>VND</v>
      </c>
      <c r="E15" s="244">
        <f>SUMIFS('W1'!$G$60:$AI$60,'W1'!$G$7:$AI$7,"giá trị đầu tư",'W1'!$G$6:$AI$6,$A15)*SUMIFS('Cover Page'!$H$21:$W$21,'Cover Page'!$H$5:$W$5,$A15)</f>
        <v>340489800000</v>
      </c>
      <c r="F15" s="244">
        <f>E18</f>
        <v>340489800000</v>
      </c>
      <c r="G15" s="64">
        <f>F18</f>
        <v>337484148971.45435</v>
      </c>
      <c r="H15" s="64">
        <f t="shared" ref="H15" si="91">G18</f>
        <v>334238045860.62506</v>
      </c>
      <c r="I15" s="64">
        <f t="shared" ref="I15" si="92">H18</f>
        <v>330732254500.92944</v>
      </c>
      <c r="J15" s="64">
        <f t="shared" ref="J15" si="93">I18</f>
        <v>326945999832.45813</v>
      </c>
      <c r="K15" s="64">
        <f t="shared" ref="K15" si="94">J18</f>
        <v>322856844790.50916</v>
      </c>
      <c r="L15" s="64">
        <f t="shared" ref="L15" si="95">K18</f>
        <v>318440557345.20422</v>
      </c>
      <c r="M15" s="64">
        <f t="shared" ref="M15" si="96">L18</f>
        <v>313670966904.2749</v>
      </c>
      <c r="N15" s="64">
        <f t="shared" ref="N15" si="97">M18</f>
        <v>308519809228.07123</v>
      </c>
      <c r="O15" s="64">
        <f t="shared" ref="O15" si="98">N18</f>
        <v>302956558937.77124</v>
      </c>
      <c r="P15" s="64">
        <f t="shared" ref="P15" si="99">O18</f>
        <v>296948248624.24731</v>
      </c>
      <c r="Q15" s="64">
        <f t="shared" ref="Q15" si="100">P18</f>
        <v>290459273485.64142</v>
      </c>
      <c r="R15" s="64">
        <f t="shared" ref="R15" si="101">Q18</f>
        <v>283451180335.94708</v>
      </c>
      <c r="S15" s="64">
        <f t="shared" ref="S15" si="102">R18</f>
        <v>275882439734.27722</v>
      </c>
      <c r="T15" s="64">
        <f t="shared" ref="T15" si="103">S18</f>
        <v>267708199884.47375</v>
      </c>
      <c r="U15" s="64">
        <f t="shared" ref="U15" si="104">T18</f>
        <v>258880020846.68597</v>
      </c>
      <c r="V15" s="64">
        <f t="shared" ref="V15" si="105">U18</f>
        <v>249345587485.87518</v>
      </c>
      <c r="W15" s="64">
        <f t="shared" ref="W15" si="106">V18</f>
        <v>239048399456.19955</v>
      </c>
      <c r="X15" s="64">
        <f t="shared" ref="X15" si="107">W18</f>
        <v>227927436384.14987</v>
      </c>
      <c r="Y15" s="64">
        <f t="shared" ref="Y15" si="108">X18</f>
        <v>215916796266.33621</v>
      </c>
      <c r="Z15" s="64">
        <f t="shared" ref="Z15" si="109">Y18</f>
        <v>202945304939.09744</v>
      </c>
      <c r="AA15" s="64">
        <f t="shared" ref="AA15" si="110">Z18</f>
        <v>188936094305.6796</v>
      </c>
      <c r="AB15" s="64">
        <f t="shared" ref="AB15" si="111">AA18</f>
        <v>173806146821.58832</v>
      </c>
      <c r="AC15" s="64">
        <f t="shared" ref="AC15" si="112">AB18</f>
        <v>157465803538.76971</v>
      </c>
      <c r="AD15" s="64">
        <f t="shared" ref="AD15" si="113">AC18</f>
        <v>139818232793.32562</v>
      </c>
      <c r="AE15" s="64">
        <f t="shared" ref="AE15" si="114">AD18</f>
        <v>120758856388.24602</v>
      </c>
      <c r="AF15" s="64">
        <f t="shared" ref="AF15" si="115">AE18</f>
        <v>100174729870.76003</v>
      </c>
      <c r="AG15" s="64">
        <f t="shared" ref="AG15" si="116">AF18</f>
        <v>77943873231.875153</v>
      </c>
      <c r="AH15" s="64">
        <f t="shared" ref="AH15" si="117">AG18</f>
        <v>53934548061.879501</v>
      </c>
      <c r="AI15" s="64">
        <f t="shared" ref="AI15" si="118">AH18</f>
        <v>28004476878.284199</v>
      </c>
    </row>
    <row r="16" spans="1:35" x14ac:dyDescent="0.25">
      <c r="A16" s="142" t="s">
        <v>407</v>
      </c>
      <c r="B16" s="142" t="s">
        <v>542</v>
      </c>
      <c r="C16" s="142" t="str">
        <f t="shared" si="1"/>
        <v>VND</v>
      </c>
      <c r="D16" s="142"/>
      <c r="E16" s="119"/>
      <c r="F16" s="119">
        <f>E18*$E19</f>
        <v>27239184000</v>
      </c>
      <c r="G16" s="119">
        <f t="shared" ref="G16" si="119">F18*$E19</f>
        <v>26998731917.716347</v>
      </c>
      <c r="H16" s="119">
        <f t="shared" ref="H16" si="120">G18*$E19</f>
        <v>26739043668.850006</v>
      </c>
      <c r="I16" s="119">
        <f t="shared" ref="I16" si="121">H18*$E19</f>
        <v>26458580360.074356</v>
      </c>
      <c r="J16" s="119">
        <f t="shared" ref="J16" si="122">I18*$E19</f>
        <v>26155679986.596649</v>
      </c>
      <c r="K16" s="119">
        <f t="shared" ref="K16" si="123">J18*$E19</f>
        <v>25828547583.240734</v>
      </c>
      <c r="L16" s="119">
        <f t="shared" ref="L16" si="124">K18*$E19</f>
        <v>25475244587.616337</v>
      </c>
      <c r="M16" s="119">
        <f t="shared" ref="M16" si="125">L18*$E19</f>
        <v>25093677352.341991</v>
      </c>
      <c r="N16" s="119">
        <f t="shared" ref="N16" si="126">M18*$E19</f>
        <v>24681584738.245697</v>
      </c>
      <c r="O16" s="119">
        <f t="shared" ref="O16" si="127">N18*$E19</f>
        <v>24236524715.021698</v>
      </c>
      <c r="P16" s="119">
        <f t="shared" ref="P16" si="128">O18*$E19</f>
        <v>23755859889.939785</v>
      </c>
      <c r="Q16" s="119">
        <f t="shared" ref="Q16" si="129">P18*$E19</f>
        <v>23236741878.851315</v>
      </c>
      <c r="R16" s="119">
        <f t="shared" ref="R16" si="130">Q18*$E19</f>
        <v>22676094426.875767</v>
      </c>
      <c r="S16" s="119">
        <f t="shared" ref="S16" si="131">R18*$E19</f>
        <v>22070595178.74218</v>
      </c>
      <c r="T16" s="119">
        <f t="shared" ref="T16" si="132">S18*$E19</f>
        <v>21416655990.7579</v>
      </c>
      <c r="U16" s="119">
        <f t="shared" ref="U16" si="133">T18*$E19</f>
        <v>20710401667.734879</v>
      </c>
      <c r="V16" s="119">
        <f t="shared" ref="V16" si="134">U18*$E19</f>
        <v>19947646998.870014</v>
      </c>
      <c r="W16" s="119">
        <f t="shared" ref="W16" si="135">V18*$E19</f>
        <v>19123871956.495964</v>
      </c>
      <c r="X16" s="119">
        <f t="shared" ref="X16" si="136">W18*$E19</f>
        <v>18234194910.731991</v>
      </c>
      <c r="Y16" s="119">
        <f t="shared" ref="Y16" si="137">X18*$E19</f>
        <v>17273343701.306896</v>
      </c>
      <c r="Z16" s="119">
        <f t="shared" ref="Z16" si="138">Y18*$E19</f>
        <v>16235624395.127796</v>
      </c>
      <c r="AA16" s="119">
        <f t="shared" ref="AA16" si="139">Z18*$E19</f>
        <v>15114887544.454369</v>
      </c>
      <c r="AB16" s="119">
        <f t="shared" ref="AB16" si="140">AA18*$E19</f>
        <v>13904491745.727066</v>
      </c>
      <c r="AC16" s="119">
        <f t="shared" ref="AC16" si="141">AB18*$E19</f>
        <v>12597264283.101578</v>
      </c>
      <c r="AD16" s="119">
        <f t="shared" ref="AD16" si="142">AC18*$E19</f>
        <v>11185458623.466049</v>
      </c>
      <c r="AE16" s="119">
        <f t="shared" ref="AE16" si="143">AD18*$E19</f>
        <v>9660708511.0596809</v>
      </c>
      <c r="AF16" s="119">
        <f t="shared" ref="AF16" si="144">AE18*$E19</f>
        <v>8013978389.6608019</v>
      </c>
      <c r="AG16" s="119">
        <f t="shared" ref="AG16" si="145">AF18*$E19</f>
        <v>6235509858.5500126</v>
      </c>
      <c r="AH16" s="119">
        <f t="shared" ref="AH16" si="146">AG18*$E19</f>
        <v>4314763844.9503603</v>
      </c>
      <c r="AI16" s="119">
        <f t="shared" ref="AI16" si="147">AH18*$E19</f>
        <v>2240358150.2627358</v>
      </c>
    </row>
    <row r="17" spans="1:35" x14ac:dyDescent="0.25">
      <c r="A17" t="s">
        <v>407</v>
      </c>
      <c r="B17" t="s">
        <v>539</v>
      </c>
      <c r="C17" t="str">
        <f t="shared" si="1"/>
        <v>VND</v>
      </c>
      <c r="F17" s="244">
        <f>PMT(E19,30,E15)</f>
        <v>-30244835028.545666</v>
      </c>
      <c r="G17" s="244">
        <f>F17</f>
        <v>-30244835028.545666</v>
      </c>
      <c r="H17" s="244">
        <f t="shared" ref="H17" si="148">G17</f>
        <v>-30244835028.545666</v>
      </c>
      <c r="I17" s="244">
        <f t="shared" ref="I17" si="149">H17</f>
        <v>-30244835028.545666</v>
      </c>
      <c r="J17" s="244">
        <f t="shared" ref="J17" si="150">I17</f>
        <v>-30244835028.545666</v>
      </c>
      <c r="K17" s="244">
        <f t="shared" ref="K17" si="151">J17</f>
        <v>-30244835028.545666</v>
      </c>
      <c r="L17" s="244">
        <f t="shared" ref="L17" si="152">K17</f>
        <v>-30244835028.545666</v>
      </c>
      <c r="M17" s="244">
        <f t="shared" ref="M17" si="153">L17</f>
        <v>-30244835028.545666</v>
      </c>
      <c r="N17" s="244">
        <f t="shared" ref="N17" si="154">M17</f>
        <v>-30244835028.545666</v>
      </c>
      <c r="O17" s="244">
        <f t="shared" ref="O17" si="155">N17</f>
        <v>-30244835028.545666</v>
      </c>
      <c r="P17" s="244">
        <f t="shared" ref="P17" si="156">O17</f>
        <v>-30244835028.545666</v>
      </c>
      <c r="Q17" s="244">
        <f t="shared" ref="Q17" si="157">P17</f>
        <v>-30244835028.545666</v>
      </c>
      <c r="R17" s="244">
        <f t="shared" ref="R17" si="158">Q17</f>
        <v>-30244835028.545666</v>
      </c>
      <c r="S17" s="244">
        <f t="shared" ref="S17" si="159">R17</f>
        <v>-30244835028.545666</v>
      </c>
      <c r="T17" s="244">
        <f t="shared" ref="T17" si="160">S17</f>
        <v>-30244835028.545666</v>
      </c>
      <c r="U17" s="244">
        <f t="shared" ref="U17" si="161">T17</f>
        <v>-30244835028.545666</v>
      </c>
      <c r="V17" s="244">
        <f t="shared" ref="V17" si="162">U17</f>
        <v>-30244835028.545666</v>
      </c>
      <c r="W17" s="244">
        <f t="shared" ref="W17" si="163">V17</f>
        <v>-30244835028.545666</v>
      </c>
      <c r="X17" s="244">
        <f t="shared" ref="X17" si="164">W17</f>
        <v>-30244835028.545666</v>
      </c>
      <c r="Y17" s="244">
        <f t="shared" ref="Y17" si="165">X17</f>
        <v>-30244835028.545666</v>
      </c>
      <c r="Z17" s="244">
        <f t="shared" ref="Z17" si="166">Y17</f>
        <v>-30244835028.545666</v>
      </c>
      <c r="AA17" s="244">
        <f t="shared" ref="AA17" si="167">Z17</f>
        <v>-30244835028.545666</v>
      </c>
      <c r="AB17" s="244">
        <f t="shared" ref="AB17" si="168">AA17</f>
        <v>-30244835028.545666</v>
      </c>
      <c r="AC17" s="244">
        <f t="shared" ref="AC17" si="169">AB17</f>
        <v>-30244835028.545666</v>
      </c>
      <c r="AD17" s="244">
        <f t="shared" ref="AD17" si="170">AC17</f>
        <v>-30244835028.545666</v>
      </c>
      <c r="AE17" s="244">
        <f t="shared" ref="AE17" si="171">AD17</f>
        <v>-30244835028.545666</v>
      </c>
      <c r="AF17" s="244">
        <f t="shared" ref="AF17" si="172">AE17</f>
        <v>-30244835028.545666</v>
      </c>
      <c r="AG17" s="244">
        <f t="shared" ref="AG17" si="173">AF17</f>
        <v>-30244835028.545666</v>
      </c>
      <c r="AH17" s="244">
        <f t="shared" ref="AH17" si="174">AG17</f>
        <v>-30244835028.545666</v>
      </c>
      <c r="AI17" s="244">
        <f t="shared" ref="AI17" si="175">AH17</f>
        <v>-30244835028.545666</v>
      </c>
    </row>
    <row r="18" spans="1:35" x14ac:dyDescent="0.25">
      <c r="A18" s="1" t="s">
        <v>407</v>
      </c>
      <c r="B18" s="1" t="s">
        <v>541</v>
      </c>
      <c r="C18" s="1" t="str">
        <f t="shared" si="1"/>
        <v>VND</v>
      </c>
      <c r="D18" s="1"/>
      <c r="E18" s="344">
        <f>E15+E17</f>
        <v>340489800000</v>
      </c>
      <c r="F18" s="344">
        <f>SUM(F15:F17)</f>
        <v>337484148971.45435</v>
      </c>
      <c r="G18" s="344">
        <f t="shared" ref="G18:AI18" si="176">SUM(G15:G17)</f>
        <v>334238045860.62506</v>
      </c>
      <c r="H18" s="344">
        <f t="shared" si="176"/>
        <v>330732254500.92944</v>
      </c>
      <c r="I18" s="344">
        <f t="shared" si="176"/>
        <v>326945999832.45813</v>
      </c>
      <c r="J18" s="344">
        <f t="shared" si="176"/>
        <v>322856844790.50916</v>
      </c>
      <c r="K18" s="344">
        <f t="shared" si="176"/>
        <v>318440557345.20422</v>
      </c>
      <c r="L18" s="344">
        <f t="shared" si="176"/>
        <v>313670966904.2749</v>
      </c>
      <c r="M18" s="344">
        <f t="shared" si="176"/>
        <v>308519809228.07123</v>
      </c>
      <c r="N18" s="344">
        <f t="shared" si="176"/>
        <v>302956558937.77124</v>
      </c>
      <c r="O18" s="344">
        <f t="shared" si="176"/>
        <v>296948248624.24731</v>
      </c>
      <c r="P18" s="344">
        <f t="shared" si="176"/>
        <v>290459273485.64142</v>
      </c>
      <c r="Q18" s="344">
        <f t="shared" si="176"/>
        <v>283451180335.94708</v>
      </c>
      <c r="R18" s="344">
        <f t="shared" si="176"/>
        <v>275882439734.27722</v>
      </c>
      <c r="S18" s="344">
        <f t="shared" si="176"/>
        <v>267708199884.47375</v>
      </c>
      <c r="T18" s="344">
        <f t="shared" si="176"/>
        <v>258880020846.68597</v>
      </c>
      <c r="U18" s="344">
        <f t="shared" si="176"/>
        <v>249345587485.87518</v>
      </c>
      <c r="V18" s="344">
        <f t="shared" si="176"/>
        <v>239048399456.19955</v>
      </c>
      <c r="W18" s="344">
        <f t="shared" si="176"/>
        <v>227927436384.14987</v>
      </c>
      <c r="X18" s="344">
        <f t="shared" si="176"/>
        <v>215916796266.33621</v>
      </c>
      <c r="Y18" s="344">
        <f t="shared" si="176"/>
        <v>202945304939.09744</v>
      </c>
      <c r="Z18" s="344">
        <f t="shared" si="176"/>
        <v>188936094305.6796</v>
      </c>
      <c r="AA18" s="344">
        <f t="shared" si="176"/>
        <v>173806146821.58832</v>
      </c>
      <c r="AB18" s="344">
        <f t="shared" si="176"/>
        <v>157465803538.76971</v>
      </c>
      <c r="AC18" s="344">
        <f t="shared" si="176"/>
        <v>139818232793.32562</v>
      </c>
      <c r="AD18" s="344">
        <f t="shared" si="176"/>
        <v>120758856388.24602</v>
      </c>
      <c r="AE18" s="344">
        <f t="shared" si="176"/>
        <v>100174729870.76003</v>
      </c>
      <c r="AF18" s="344">
        <f t="shared" si="176"/>
        <v>77943873231.875153</v>
      </c>
      <c r="AG18" s="344">
        <f t="shared" si="176"/>
        <v>53934548061.879501</v>
      </c>
      <c r="AH18" s="344">
        <f t="shared" si="176"/>
        <v>28004476878.284199</v>
      </c>
      <c r="AI18" s="344">
        <f t="shared" si="176"/>
        <v>1.270294189453125E-3</v>
      </c>
    </row>
    <row r="19" spans="1:35" x14ac:dyDescent="0.25">
      <c r="A19" t="s">
        <v>407</v>
      </c>
      <c r="B19" t="s">
        <v>543</v>
      </c>
      <c r="E19" s="95">
        <f>SUMIFS('Cover Page'!$H$19:$W$19,'Cover Page'!$H$5:$W$5,$A19)</f>
        <v>0.08</v>
      </c>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344"/>
      <c r="AE19" s="344"/>
      <c r="AF19" s="344"/>
      <c r="AG19" s="344"/>
      <c r="AH19" s="344"/>
      <c r="AI19" s="344"/>
    </row>
    <row r="20" spans="1:35" x14ac:dyDescent="0.25">
      <c r="A20" s="127" t="s">
        <v>692</v>
      </c>
      <c r="B20" s="127" t="s">
        <v>540</v>
      </c>
      <c r="C20" s="127" t="str">
        <f t="shared" si="1"/>
        <v>VND</v>
      </c>
      <c r="D20" s="127"/>
      <c r="E20" s="211">
        <f>SUMIFS('W1'!$G$60:$AI$60,'W1'!$G$7:$AI$7,"giá trị đầu tư",'W1'!$G$6:$AI$6,$A20)*SUMIFS('Cover Page'!$H$21:$W$21,'Cover Page'!$H$5:$W$5,$A20)</f>
        <v>315524860000</v>
      </c>
      <c r="F20" s="211">
        <f>E23</f>
        <v>315524860000</v>
      </c>
      <c r="G20" s="345">
        <f>F23</f>
        <v>312184586514.25311</v>
      </c>
      <c r="H20" s="345">
        <f t="shared" ref="H20" si="177">G23</f>
        <v>308610493884.50397</v>
      </c>
      <c r="I20" s="345">
        <f t="shared" ref="I20" si="178">H23</f>
        <v>304786214770.67236</v>
      </c>
      <c r="J20" s="345">
        <f t="shared" ref="J20" si="179">I23</f>
        <v>300694236118.87256</v>
      </c>
      <c r="K20" s="345">
        <f t="shared" ref="K20" si="180">J23</f>
        <v>296315818961.44678</v>
      </c>
      <c r="L20" s="345">
        <f t="shared" ref="L20" si="181">K23</f>
        <v>291630912603.00116</v>
      </c>
      <c r="M20" s="345">
        <f t="shared" ref="M20" si="182">L23</f>
        <v>286618062799.46436</v>
      </c>
      <c r="N20" s="345">
        <f t="shared" ref="N20" si="183">M23</f>
        <v>281254313509.67999</v>
      </c>
      <c r="O20" s="345">
        <f t="shared" ref="O20" si="184">N23</f>
        <v>275515101769.61072</v>
      </c>
      <c r="P20" s="345">
        <f t="shared" ref="P20" si="185">O23</f>
        <v>269374145207.7366</v>
      </c>
      <c r="Q20" s="345">
        <f t="shared" ref="Q20" si="186">P23</f>
        <v>262803321686.53134</v>
      </c>
      <c r="R20" s="345">
        <f t="shared" ref="R20" si="187">Q23</f>
        <v>255772540518.84171</v>
      </c>
      <c r="S20" s="345">
        <f t="shared" ref="S20" si="188">R23</f>
        <v>248249604669.41376</v>
      </c>
      <c r="T20" s="345">
        <f t="shared" ref="T20" si="189">S23</f>
        <v>240200063310.52585</v>
      </c>
      <c r="U20" s="345">
        <f t="shared" ref="U20" si="190">T23</f>
        <v>231587054056.51581</v>
      </c>
      <c r="V20" s="345">
        <f t="shared" ref="V20" si="191">U23</f>
        <v>222371134154.72507</v>
      </c>
      <c r="W20" s="345">
        <f t="shared" ref="W20" si="192">V23</f>
        <v>212510099859.80896</v>
      </c>
      <c r="X20" s="345">
        <f t="shared" ref="X20" si="193">W23</f>
        <v>201958793164.24872</v>
      </c>
      <c r="Y20" s="345">
        <f t="shared" ref="Y20" si="194">X23</f>
        <v>190668894999.99927</v>
      </c>
      <c r="Z20" s="345">
        <f t="shared" ref="Z20" si="195">Y23</f>
        <v>178588703964.25235</v>
      </c>
      <c r="AA20" s="345">
        <f t="shared" ref="AA20" si="196">Z23</f>
        <v>165662899556.00314</v>
      </c>
      <c r="AB20" s="345">
        <f t="shared" ref="AB20" si="197">AA23</f>
        <v>151832288839.17651</v>
      </c>
      <c r="AC20" s="345">
        <f t="shared" ref="AC20" si="198">AB23</f>
        <v>137033535372.17201</v>
      </c>
      <c r="AD20" s="345">
        <f t="shared" ref="AD20" si="199">AC23</f>
        <v>121198869162.47719</v>
      </c>
      <c r="AE20" s="345">
        <f t="shared" ref="AE20" si="200">AD23</f>
        <v>104255776318.10371</v>
      </c>
      <c r="AF20" s="345">
        <f t="shared" ref="AF20" si="201">AE23</f>
        <v>86126666974.6241</v>
      </c>
      <c r="AG20" s="345">
        <f t="shared" ref="AG20" si="202">AF23</f>
        <v>66728519977.100922</v>
      </c>
      <c r="AH20" s="345">
        <f t="shared" ref="AH20" si="203">AG23</f>
        <v>45972502689.751114</v>
      </c>
      <c r="AI20" s="345">
        <f t="shared" ref="AI20" si="204">AH23</f>
        <v>23763564192.286823</v>
      </c>
    </row>
    <row r="21" spans="1:35" x14ac:dyDescent="0.25">
      <c r="A21" s="348" t="s">
        <v>692</v>
      </c>
      <c r="B21" s="348" t="s">
        <v>542</v>
      </c>
      <c r="C21" s="348" t="str">
        <f t="shared" si="1"/>
        <v>VND</v>
      </c>
      <c r="D21" s="348"/>
      <c r="E21" s="349"/>
      <c r="F21" s="349">
        <f>E23*$E24</f>
        <v>22086740200.000004</v>
      </c>
      <c r="G21" s="349">
        <f t="shared" ref="G21" si="205">F23*$E24</f>
        <v>21852921055.997719</v>
      </c>
      <c r="H21" s="349">
        <f t="shared" ref="H21" si="206">G23*$E24</f>
        <v>21602734571.915279</v>
      </c>
      <c r="I21" s="349">
        <f t="shared" ref="I21" si="207">H23*$E24</f>
        <v>21335035033.947067</v>
      </c>
      <c r="J21" s="349">
        <f t="shared" ref="J21" si="208">I23*$E24</f>
        <v>21048596528.321079</v>
      </c>
      <c r="K21" s="349">
        <f t="shared" ref="K21" si="209">J23*$E24</f>
        <v>20742107327.301277</v>
      </c>
      <c r="L21" s="349">
        <f t="shared" ref="L21" si="210">K23*$E24</f>
        <v>20414163882.210083</v>
      </c>
      <c r="M21" s="349">
        <f t="shared" ref="M21" si="211">L23*$E24</f>
        <v>20063264395.962505</v>
      </c>
      <c r="N21" s="349">
        <f t="shared" ref="N21" si="212">M23*$E24</f>
        <v>19687801945.677601</v>
      </c>
      <c r="O21" s="349">
        <f t="shared" ref="O21" si="213">N23*$E24</f>
        <v>19286057123.872753</v>
      </c>
      <c r="P21" s="349">
        <f t="shared" ref="P21" si="214">O23*$E24</f>
        <v>18856190164.541565</v>
      </c>
      <c r="Q21" s="349">
        <f t="shared" ref="Q21" si="215">P23*$E24</f>
        <v>18396232518.057194</v>
      </c>
      <c r="R21" s="349">
        <f t="shared" ref="R21" si="216">Q23*$E24</f>
        <v>17904077836.31892</v>
      </c>
      <c r="S21" s="349">
        <f t="shared" ref="S21" si="217">R23*$E24</f>
        <v>17377472326.858963</v>
      </c>
      <c r="T21" s="349">
        <f t="shared" ref="T21" si="218">S23*$E24</f>
        <v>16814004431.736811</v>
      </c>
      <c r="U21" s="349">
        <f t="shared" ref="U21" si="219">T23*$E24</f>
        <v>16211093783.956108</v>
      </c>
      <c r="V21" s="349">
        <f t="shared" ref="V21" si="220">U23*$E24</f>
        <v>15565979390.830755</v>
      </c>
      <c r="W21" s="349">
        <f t="shared" ref="W21" si="221">V23*$E24</f>
        <v>14875706990.186628</v>
      </c>
      <c r="X21" s="349">
        <f t="shared" ref="X21" si="222">W23*$E24</f>
        <v>14137115521.497412</v>
      </c>
      <c r="Y21" s="349">
        <f t="shared" ref="Y21" si="223">X23*$E24</f>
        <v>13346822649.99995</v>
      </c>
      <c r="Z21" s="349">
        <f t="shared" ref="Z21" si="224">Y23*$E24</f>
        <v>12501209277.497665</v>
      </c>
      <c r="AA21" s="349">
        <f t="shared" ref="AA21" si="225">Z23*$E24</f>
        <v>11596402968.920221</v>
      </c>
      <c r="AB21" s="349">
        <f t="shared" ref="AB21" si="226">AA23*$E24</f>
        <v>10628260218.742357</v>
      </c>
      <c r="AC21" s="349">
        <f t="shared" ref="AC21" si="227">AB23*$E24</f>
        <v>9592347476.052042</v>
      </c>
      <c r="AD21" s="349">
        <f t="shared" ref="AD21" si="228">AC23*$E24</f>
        <v>8483920841.3734035</v>
      </c>
      <c r="AE21" s="349">
        <f t="shared" ref="AE21" si="229">AD23*$E24</f>
        <v>7297904342.2672606</v>
      </c>
      <c r="AF21" s="349">
        <f t="shared" ref="AF21" si="230">AE23*$E24</f>
        <v>6028866688.2236872</v>
      </c>
      <c r="AG21" s="349">
        <f t="shared" ref="AG21" si="231">AF23*$E24</f>
        <v>4670996398.3970652</v>
      </c>
      <c r="AH21" s="349">
        <f t="shared" ref="AH21" si="232">AG23*$E24</f>
        <v>3218075188.2825785</v>
      </c>
      <c r="AI21" s="349">
        <f t="shared" ref="AI21" si="233">AH23*$E24</f>
        <v>1663449493.4600778</v>
      </c>
    </row>
    <row r="22" spans="1:35" x14ac:dyDescent="0.25">
      <c r="A22" s="127" t="s">
        <v>692</v>
      </c>
      <c r="B22" s="127" t="s">
        <v>539</v>
      </c>
      <c r="C22" s="127" t="str">
        <f t="shared" si="1"/>
        <v>VND</v>
      </c>
      <c r="D22" s="127"/>
      <c r="E22" s="127"/>
      <c r="F22" s="211">
        <f>PMT(E24,30,E20)</f>
        <v>-25427013685.746868</v>
      </c>
      <c r="G22" s="211">
        <f>F22</f>
        <v>-25427013685.746868</v>
      </c>
      <c r="H22" s="211">
        <f t="shared" ref="H22" si="234">G22</f>
        <v>-25427013685.746868</v>
      </c>
      <c r="I22" s="211">
        <f t="shared" ref="I22" si="235">H22</f>
        <v>-25427013685.746868</v>
      </c>
      <c r="J22" s="211">
        <f t="shared" ref="J22" si="236">I22</f>
        <v>-25427013685.746868</v>
      </c>
      <c r="K22" s="211">
        <f t="shared" ref="K22" si="237">J22</f>
        <v>-25427013685.746868</v>
      </c>
      <c r="L22" s="211">
        <f t="shared" ref="L22" si="238">K22</f>
        <v>-25427013685.746868</v>
      </c>
      <c r="M22" s="211">
        <f t="shared" ref="M22" si="239">L22</f>
        <v>-25427013685.746868</v>
      </c>
      <c r="N22" s="211">
        <f t="shared" ref="N22" si="240">M22</f>
        <v>-25427013685.746868</v>
      </c>
      <c r="O22" s="211">
        <f t="shared" ref="O22" si="241">N22</f>
        <v>-25427013685.746868</v>
      </c>
      <c r="P22" s="211">
        <f t="shared" ref="P22" si="242">O22</f>
        <v>-25427013685.746868</v>
      </c>
      <c r="Q22" s="211">
        <f t="shared" ref="Q22" si="243">P22</f>
        <v>-25427013685.746868</v>
      </c>
      <c r="R22" s="211">
        <f t="shared" ref="R22" si="244">Q22</f>
        <v>-25427013685.746868</v>
      </c>
      <c r="S22" s="211">
        <f t="shared" ref="S22" si="245">R22</f>
        <v>-25427013685.746868</v>
      </c>
      <c r="T22" s="211">
        <f t="shared" ref="T22" si="246">S22</f>
        <v>-25427013685.746868</v>
      </c>
      <c r="U22" s="211">
        <f t="shared" ref="U22" si="247">T22</f>
        <v>-25427013685.746868</v>
      </c>
      <c r="V22" s="211">
        <f t="shared" ref="V22" si="248">U22</f>
        <v>-25427013685.746868</v>
      </c>
      <c r="W22" s="211">
        <f t="shared" ref="W22" si="249">V22</f>
        <v>-25427013685.746868</v>
      </c>
      <c r="X22" s="211">
        <f t="shared" ref="X22" si="250">W22</f>
        <v>-25427013685.746868</v>
      </c>
      <c r="Y22" s="211">
        <f t="shared" ref="Y22" si="251">X22</f>
        <v>-25427013685.746868</v>
      </c>
      <c r="Z22" s="211">
        <f t="shared" ref="Z22" si="252">Y22</f>
        <v>-25427013685.746868</v>
      </c>
      <c r="AA22" s="211">
        <f t="shared" ref="AA22" si="253">Z22</f>
        <v>-25427013685.746868</v>
      </c>
      <c r="AB22" s="211">
        <f t="shared" ref="AB22" si="254">AA22</f>
        <v>-25427013685.746868</v>
      </c>
      <c r="AC22" s="211">
        <f t="shared" ref="AC22" si="255">AB22</f>
        <v>-25427013685.746868</v>
      </c>
      <c r="AD22" s="211">
        <f t="shared" ref="AD22" si="256">AC22</f>
        <v>-25427013685.746868</v>
      </c>
      <c r="AE22" s="211">
        <f t="shared" ref="AE22" si="257">AD22</f>
        <v>-25427013685.746868</v>
      </c>
      <c r="AF22" s="211">
        <f t="shared" ref="AF22" si="258">AE22</f>
        <v>-25427013685.746868</v>
      </c>
      <c r="AG22" s="211">
        <f t="shared" ref="AG22" si="259">AF22</f>
        <v>-25427013685.746868</v>
      </c>
      <c r="AH22" s="211">
        <f t="shared" ref="AH22" si="260">AG22</f>
        <v>-25427013685.746868</v>
      </c>
      <c r="AI22" s="211">
        <f t="shared" ref="AI22" si="261">AH22</f>
        <v>-25427013685.746868</v>
      </c>
    </row>
    <row r="23" spans="1:35" x14ac:dyDescent="0.25">
      <c r="A23" s="48" t="s">
        <v>692</v>
      </c>
      <c r="B23" s="48" t="s">
        <v>541</v>
      </c>
      <c r="C23" s="48" t="str">
        <f t="shared" si="1"/>
        <v>VND</v>
      </c>
      <c r="D23" s="48"/>
      <c r="E23" s="346">
        <f>E20+E22</f>
        <v>315524860000</v>
      </c>
      <c r="F23" s="346">
        <f>SUM(F20:F22)</f>
        <v>312184586514.25311</v>
      </c>
      <c r="G23" s="346">
        <f t="shared" ref="G23:AI23" si="262">SUM(G20:G22)</f>
        <v>308610493884.50397</v>
      </c>
      <c r="H23" s="346">
        <f t="shared" si="262"/>
        <v>304786214770.67236</v>
      </c>
      <c r="I23" s="346">
        <f t="shared" si="262"/>
        <v>300694236118.87256</v>
      </c>
      <c r="J23" s="346">
        <f t="shared" si="262"/>
        <v>296315818961.44678</v>
      </c>
      <c r="K23" s="346">
        <f t="shared" si="262"/>
        <v>291630912603.00116</v>
      </c>
      <c r="L23" s="346">
        <f t="shared" si="262"/>
        <v>286618062799.46436</v>
      </c>
      <c r="M23" s="346">
        <f t="shared" si="262"/>
        <v>281254313509.67999</v>
      </c>
      <c r="N23" s="346">
        <f t="shared" si="262"/>
        <v>275515101769.61072</v>
      </c>
      <c r="O23" s="346">
        <f t="shared" si="262"/>
        <v>269374145207.7366</v>
      </c>
      <c r="P23" s="346">
        <f t="shared" si="262"/>
        <v>262803321686.53134</v>
      </c>
      <c r="Q23" s="346">
        <f t="shared" si="262"/>
        <v>255772540518.84171</v>
      </c>
      <c r="R23" s="346">
        <f t="shared" si="262"/>
        <v>248249604669.41376</v>
      </c>
      <c r="S23" s="346">
        <f t="shared" si="262"/>
        <v>240200063310.52585</v>
      </c>
      <c r="T23" s="346">
        <f t="shared" si="262"/>
        <v>231587054056.51581</v>
      </c>
      <c r="U23" s="346">
        <f t="shared" si="262"/>
        <v>222371134154.72507</v>
      </c>
      <c r="V23" s="346">
        <f t="shared" si="262"/>
        <v>212510099859.80896</v>
      </c>
      <c r="W23" s="346">
        <f t="shared" si="262"/>
        <v>201958793164.24872</v>
      </c>
      <c r="X23" s="346">
        <f t="shared" si="262"/>
        <v>190668894999.99927</v>
      </c>
      <c r="Y23" s="346">
        <f t="shared" si="262"/>
        <v>178588703964.25235</v>
      </c>
      <c r="Z23" s="346">
        <f t="shared" si="262"/>
        <v>165662899556.00314</v>
      </c>
      <c r="AA23" s="346">
        <f t="shared" si="262"/>
        <v>151832288839.17651</v>
      </c>
      <c r="AB23" s="346">
        <f t="shared" si="262"/>
        <v>137033535372.17201</v>
      </c>
      <c r="AC23" s="346">
        <f t="shared" si="262"/>
        <v>121198869162.47719</v>
      </c>
      <c r="AD23" s="346">
        <f t="shared" si="262"/>
        <v>104255776318.10371</v>
      </c>
      <c r="AE23" s="346">
        <f t="shared" si="262"/>
        <v>86126666974.6241</v>
      </c>
      <c r="AF23" s="346">
        <f t="shared" si="262"/>
        <v>66728519977.100922</v>
      </c>
      <c r="AG23" s="346">
        <f t="shared" si="262"/>
        <v>45972502689.751114</v>
      </c>
      <c r="AH23" s="346">
        <f t="shared" si="262"/>
        <v>23763564192.286823</v>
      </c>
      <c r="AI23" s="346">
        <f t="shared" si="262"/>
        <v>3.4332275390625E-5</v>
      </c>
    </row>
    <row r="24" spans="1:35" x14ac:dyDescent="0.25">
      <c r="A24" s="127" t="s">
        <v>692</v>
      </c>
      <c r="B24" s="127" t="s">
        <v>543</v>
      </c>
      <c r="C24" s="127"/>
      <c r="D24" s="127"/>
      <c r="E24" s="347">
        <f>SUMIFS('Cover Page'!$H$19:$W$19,'Cover Page'!$H$5:$W$5,$A24)</f>
        <v>7.0000000000000007E-2</v>
      </c>
      <c r="F24" s="345"/>
      <c r="G24" s="345"/>
      <c r="H24" s="345"/>
      <c r="I24" s="345"/>
      <c r="J24" s="345"/>
      <c r="K24" s="345"/>
      <c r="L24" s="345"/>
      <c r="M24" s="345"/>
      <c r="N24" s="345"/>
      <c r="O24" s="345"/>
      <c r="P24" s="345"/>
      <c r="Q24" s="345"/>
      <c r="R24" s="345"/>
      <c r="S24" s="345"/>
      <c r="T24" s="345"/>
      <c r="U24" s="345"/>
      <c r="V24" s="345"/>
      <c r="W24" s="345"/>
      <c r="X24" s="345"/>
      <c r="Y24" s="345"/>
      <c r="Z24" s="345"/>
      <c r="AA24" s="345"/>
      <c r="AB24" s="345"/>
      <c r="AC24" s="345"/>
      <c r="AD24" s="345"/>
      <c r="AE24" s="345"/>
      <c r="AF24" s="345"/>
      <c r="AG24" s="345"/>
      <c r="AH24" s="345"/>
      <c r="AI24" s="345"/>
    </row>
    <row r="25" spans="1:35" x14ac:dyDescent="0.25">
      <c r="A25" t="s">
        <v>693</v>
      </c>
      <c r="B25" t="s">
        <v>540</v>
      </c>
      <c r="C25" t="str">
        <f t="shared" si="1"/>
        <v>VND</v>
      </c>
      <c r="E25" s="244">
        <f>SUMIFS('W1'!$G$60:$AI$60,'W1'!$G$7:$AI$7,"giá trị đầu tư",'W1'!$G$6:$AI$6,$A25)*SUMIFS('Cover Page'!$H$21:$W$21,'Cover Page'!$H$5:$W$5,$A25)</f>
        <v>325493000000</v>
      </c>
      <c r="F25" s="244">
        <f>E28</f>
        <v>325493000000</v>
      </c>
      <c r="G25" s="64">
        <f>F28</f>
        <v>322619732224.47656</v>
      </c>
      <c r="H25" s="64">
        <f t="shared" ref="H25" si="263">G28</f>
        <v>319516603026.91125</v>
      </c>
      <c r="I25" s="64">
        <f t="shared" ref="I25" si="264">H28</f>
        <v>316165223493.54071</v>
      </c>
      <c r="J25" s="64">
        <f t="shared" ref="J25" si="265">I28</f>
        <v>312545733597.50055</v>
      </c>
      <c r="K25" s="64">
        <f t="shared" ref="K25" si="266">J28</f>
        <v>308636684509.77716</v>
      </c>
      <c r="L25" s="64">
        <f t="shared" ref="L25" si="267">K28</f>
        <v>304414911495.03589</v>
      </c>
      <c r="M25" s="64">
        <f t="shared" ref="M25" si="268">L28</f>
        <v>299855396639.1153</v>
      </c>
      <c r="N25" s="64">
        <f t="shared" ref="N25" si="269">M28</f>
        <v>294931120594.72107</v>
      </c>
      <c r="O25" s="64">
        <f t="shared" ref="O25" si="270">N28</f>
        <v>289612902466.77533</v>
      </c>
      <c r="P25" s="64">
        <f t="shared" ref="P25" si="271">O28</f>
        <v>283869226888.59393</v>
      </c>
      <c r="Q25" s="64">
        <f t="shared" ref="Q25" si="272">P28</f>
        <v>277666057264.15802</v>
      </c>
      <c r="R25" s="64">
        <f t="shared" ref="R25" si="273">Q28</f>
        <v>270966634069.76724</v>
      </c>
      <c r="S25" s="64">
        <f t="shared" ref="S25" si="274">R28</f>
        <v>263731257019.82523</v>
      </c>
      <c r="T25" s="64">
        <f t="shared" ref="T25" si="275">S28</f>
        <v>255917049805.88785</v>
      </c>
      <c r="U25" s="64">
        <f t="shared" ref="U25" si="276">T28</f>
        <v>247477706014.83548</v>
      </c>
      <c r="V25" s="64">
        <f t="shared" ref="V25" si="277">U28</f>
        <v>238363214720.4989</v>
      </c>
      <c r="W25" s="64">
        <f t="shared" ref="W25" si="278">V28</f>
        <v>228519564122.61542</v>
      </c>
      <c r="X25" s="64">
        <f t="shared" ref="X25" si="279">W28</f>
        <v>217888421476.90125</v>
      </c>
      <c r="Y25" s="64">
        <f t="shared" ref="Y25" si="280">X28</f>
        <v>206406787419.52994</v>
      </c>
      <c r="Z25" s="64">
        <f t="shared" ref="Z25" si="281">Y28</f>
        <v>194006622637.56894</v>
      </c>
      <c r="AA25" s="64">
        <f t="shared" ref="AA25" si="282">Z28</f>
        <v>180614444673.05106</v>
      </c>
      <c r="AB25" s="64">
        <f t="shared" ref="AB25" si="283">AA28</f>
        <v>166150892471.37173</v>
      </c>
      <c r="AC25" s="64">
        <f t="shared" ref="AC25" si="284">AB28</f>
        <v>150530256093.55807</v>
      </c>
      <c r="AD25" s="64">
        <f t="shared" ref="AD25" si="285">AC28</f>
        <v>133659968805.5193</v>
      </c>
      <c r="AE25" s="64">
        <f t="shared" ref="AE25" si="286">AD28</f>
        <v>115440058534.43742</v>
      </c>
      <c r="AF25" s="64">
        <f t="shared" ref="AF25" si="287">AE28</f>
        <v>95762555441.668991</v>
      </c>
      <c r="AG25" s="64">
        <f t="shared" ref="AG25" si="288">AF28</f>
        <v>74510852101.47908</v>
      </c>
      <c r="AH25" s="64">
        <f t="shared" ref="AH25" si="289">AG28</f>
        <v>51559012494.07399</v>
      </c>
      <c r="AI25" s="64">
        <f t="shared" ref="AI25" si="290">AH28</f>
        <v>26771025718.076488</v>
      </c>
    </row>
    <row r="26" spans="1:35" x14ac:dyDescent="0.25">
      <c r="A26" s="142" t="s">
        <v>693</v>
      </c>
      <c r="B26" s="142" t="s">
        <v>542</v>
      </c>
      <c r="C26" s="142" t="str">
        <f t="shared" si="1"/>
        <v>VND</v>
      </c>
      <c r="D26" s="142"/>
      <c r="E26" s="119"/>
      <c r="F26" s="119">
        <f>E28*$E29</f>
        <v>26039440000</v>
      </c>
      <c r="G26" s="119">
        <f t="shared" ref="G26" si="291">F28*$E29</f>
        <v>25809578577.958126</v>
      </c>
      <c r="H26" s="119">
        <f t="shared" ref="H26" si="292">G28*$E29</f>
        <v>25561328242.152901</v>
      </c>
      <c r="I26" s="119">
        <f t="shared" ref="I26" si="293">H28*$E29</f>
        <v>25293217879.483257</v>
      </c>
      <c r="J26" s="119">
        <f t="shared" ref="J26" si="294">I28*$E29</f>
        <v>25003658687.800045</v>
      </c>
      <c r="K26" s="119">
        <f t="shared" ref="K26" si="295">J28*$E29</f>
        <v>24690934760.782173</v>
      </c>
      <c r="L26" s="119">
        <f t="shared" ref="L26" si="296">K28*$E29</f>
        <v>24353192919.602871</v>
      </c>
      <c r="M26" s="119">
        <f t="shared" ref="M26" si="297">L28*$E29</f>
        <v>23988431731.129223</v>
      </c>
      <c r="N26" s="119">
        <f t="shared" ref="N26" si="298">M28*$E29</f>
        <v>23594489647.577686</v>
      </c>
      <c r="O26" s="119">
        <f t="shared" ref="O26" si="299">N28*$E29</f>
        <v>23169032197.342026</v>
      </c>
      <c r="P26" s="119">
        <f t="shared" ref="P26" si="300">O28*$E29</f>
        <v>22709538151.087517</v>
      </c>
      <c r="Q26" s="119">
        <f t="shared" ref="Q26" si="301">P28*$E29</f>
        <v>22213284581.132641</v>
      </c>
      <c r="R26" s="119">
        <f t="shared" ref="R26" si="302">Q28*$E29</f>
        <v>21677330725.581379</v>
      </c>
      <c r="S26" s="119">
        <f t="shared" ref="S26" si="303">R28*$E29</f>
        <v>21098500561.586018</v>
      </c>
      <c r="T26" s="119">
        <f t="shared" ref="T26" si="304">S28*$E29</f>
        <v>20473363984.471027</v>
      </c>
      <c r="U26" s="119">
        <f t="shared" ref="U26" si="305">T28*$E29</f>
        <v>19798216481.18684</v>
      </c>
      <c r="V26" s="119">
        <f t="shared" ref="V26" si="306">U28*$E29</f>
        <v>19069057177.639912</v>
      </c>
      <c r="W26" s="119">
        <f t="shared" ref="W26" si="307">V28*$E29</f>
        <v>18281565129.809235</v>
      </c>
      <c r="X26" s="119">
        <f t="shared" ref="X26" si="308">W28*$E29</f>
        <v>17431073718.1521</v>
      </c>
      <c r="Y26" s="119">
        <f t="shared" ref="Y26" si="309">X28*$E29</f>
        <v>16512542993.562395</v>
      </c>
      <c r="Z26" s="119">
        <f t="shared" ref="Z26" si="310">Y28*$E29</f>
        <v>15520529811.005516</v>
      </c>
      <c r="AA26" s="119">
        <f t="shared" ref="AA26" si="311">Z28*$E29</f>
        <v>14449155573.844086</v>
      </c>
      <c r="AB26" s="119">
        <f t="shared" ref="AB26" si="312">AA28*$E29</f>
        <v>13292071397.70974</v>
      </c>
      <c r="AC26" s="119">
        <f t="shared" ref="AC26" si="313">AB28*$E29</f>
        <v>12042420487.484646</v>
      </c>
      <c r="AD26" s="119">
        <f t="shared" ref="AD26" si="314">AC28*$E29</f>
        <v>10692797504.441544</v>
      </c>
      <c r="AE26" s="119">
        <f t="shared" ref="AE26" si="315">AD28*$E29</f>
        <v>9235204682.7549934</v>
      </c>
      <c r="AF26" s="119">
        <f t="shared" ref="AF26" si="316">AE28*$E29</f>
        <v>7661004435.333519</v>
      </c>
      <c r="AG26" s="119">
        <f t="shared" ref="AG26" si="317">AF28*$E29</f>
        <v>5960868168.1183262</v>
      </c>
      <c r="AH26" s="119">
        <f t="shared" ref="AH26" si="318">AG28*$E29</f>
        <v>4124720999.5259194</v>
      </c>
      <c r="AI26" s="119">
        <f t="shared" ref="AI26" si="319">AH28*$E29</f>
        <v>2141682057.4461191</v>
      </c>
    </row>
    <row r="27" spans="1:35" x14ac:dyDescent="0.25">
      <c r="A27" t="s">
        <v>693</v>
      </c>
      <c r="B27" t="s">
        <v>539</v>
      </c>
      <c r="C27" t="str">
        <f t="shared" si="1"/>
        <v>VND</v>
      </c>
      <c r="F27" s="244">
        <f>PMT(E29,30,E25)</f>
        <v>-28912707775.523418</v>
      </c>
      <c r="G27" s="244">
        <f>F27</f>
        <v>-28912707775.523418</v>
      </c>
      <c r="H27" s="244">
        <f t="shared" ref="H27" si="320">G27</f>
        <v>-28912707775.523418</v>
      </c>
      <c r="I27" s="244">
        <f t="shared" ref="I27" si="321">H27</f>
        <v>-28912707775.523418</v>
      </c>
      <c r="J27" s="244">
        <f t="shared" ref="J27" si="322">I27</f>
        <v>-28912707775.523418</v>
      </c>
      <c r="K27" s="244">
        <f t="shared" ref="K27" si="323">J27</f>
        <v>-28912707775.523418</v>
      </c>
      <c r="L27" s="244">
        <f t="shared" ref="L27" si="324">K27</f>
        <v>-28912707775.523418</v>
      </c>
      <c r="M27" s="244">
        <f t="shared" ref="M27" si="325">L27</f>
        <v>-28912707775.523418</v>
      </c>
      <c r="N27" s="244">
        <f t="shared" ref="N27" si="326">M27</f>
        <v>-28912707775.523418</v>
      </c>
      <c r="O27" s="244">
        <f t="shared" ref="O27" si="327">N27</f>
        <v>-28912707775.523418</v>
      </c>
      <c r="P27" s="244">
        <f t="shared" ref="P27" si="328">O27</f>
        <v>-28912707775.523418</v>
      </c>
      <c r="Q27" s="244">
        <f t="shared" ref="Q27" si="329">P27</f>
        <v>-28912707775.523418</v>
      </c>
      <c r="R27" s="244">
        <f t="shared" ref="R27" si="330">Q27</f>
        <v>-28912707775.523418</v>
      </c>
      <c r="S27" s="244">
        <f t="shared" ref="S27" si="331">R27</f>
        <v>-28912707775.523418</v>
      </c>
      <c r="T27" s="244">
        <f t="shared" ref="T27" si="332">S27</f>
        <v>-28912707775.523418</v>
      </c>
      <c r="U27" s="244">
        <f t="shared" ref="U27" si="333">T27</f>
        <v>-28912707775.523418</v>
      </c>
      <c r="V27" s="244">
        <f t="shared" ref="V27" si="334">U27</f>
        <v>-28912707775.523418</v>
      </c>
      <c r="W27" s="244">
        <f t="shared" ref="W27" si="335">V27</f>
        <v>-28912707775.523418</v>
      </c>
      <c r="X27" s="244">
        <f t="shared" ref="X27" si="336">W27</f>
        <v>-28912707775.523418</v>
      </c>
      <c r="Y27" s="244">
        <f t="shared" ref="Y27" si="337">X27</f>
        <v>-28912707775.523418</v>
      </c>
      <c r="Z27" s="244">
        <f t="shared" ref="Z27" si="338">Y27</f>
        <v>-28912707775.523418</v>
      </c>
      <c r="AA27" s="244">
        <f t="shared" ref="AA27" si="339">Z27</f>
        <v>-28912707775.523418</v>
      </c>
      <c r="AB27" s="244">
        <f t="shared" ref="AB27" si="340">AA27</f>
        <v>-28912707775.523418</v>
      </c>
      <c r="AC27" s="244">
        <f t="shared" ref="AC27" si="341">AB27</f>
        <v>-28912707775.523418</v>
      </c>
      <c r="AD27" s="244">
        <f t="shared" ref="AD27" si="342">AC27</f>
        <v>-28912707775.523418</v>
      </c>
      <c r="AE27" s="244">
        <f t="shared" ref="AE27" si="343">AD27</f>
        <v>-28912707775.523418</v>
      </c>
      <c r="AF27" s="244">
        <f t="shared" ref="AF27" si="344">AE27</f>
        <v>-28912707775.523418</v>
      </c>
      <c r="AG27" s="244">
        <f t="shared" ref="AG27" si="345">AF27</f>
        <v>-28912707775.523418</v>
      </c>
      <c r="AH27" s="244">
        <f t="shared" ref="AH27" si="346">AG27</f>
        <v>-28912707775.523418</v>
      </c>
      <c r="AI27" s="244">
        <f t="shared" ref="AI27" si="347">AH27</f>
        <v>-28912707775.523418</v>
      </c>
    </row>
    <row r="28" spans="1:35" x14ac:dyDescent="0.25">
      <c r="A28" s="1" t="s">
        <v>693</v>
      </c>
      <c r="B28" s="1" t="s">
        <v>541</v>
      </c>
      <c r="C28" s="1" t="str">
        <f t="shared" si="1"/>
        <v>VND</v>
      </c>
      <c r="D28" s="1"/>
      <c r="E28" s="344">
        <f>E25+E27</f>
        <v>325493000000</v>
      </c>
      <c r="F28" s="344">
        <f>SUM(F25:F27)</f>
        <v>322619732224.47656</v>
      </c>
      <c r="G28" s="344">
        <f t="shared" ref="G28:AI28" si="348">SUM(G25:G27)</f>
        <v>319516603026.91125</v>
      </c>
      <c r="H28" s="344">
        <f t="shared" si="348"/>
        <v>316165223493.54071</v>
      </c>
      <c r="I28" s="344">
        <f t="shared" si="348"/>
        <v>312545733597.50055</v>
      </c>
      <c r="J28" s="344">
        <f t="shared" si="348"/>
        <v>308636684509.77716</v>
      </c>
      <c r="K28" s="344">
        <f t="shared" si="348"/>
        <v>304414911495.03589</v>
      </c>
      <c r="L28" s="344">
        <f t="shared" si="348"/>
        <v>299855396639.1153</v>
      </c>
      <c r="M28" s="344">
        <f t="shared" si="348"/>
        <v>294931120594.72107</v>
      </c>
      <c r="N28" s="344">
        <f t="shared" si="348"/>
        <v>289612902466.77533</v>
      </c>
      <c r="O28" s="344">
        <f t="shared" si="348"/>
        <v>283869226888.59393</v>
      </c>
      <c r="P28" s="344">
        <f t="shared" si="348"/>
        <v>277666057264.15802</v>
      </c>
      <c r="Q28" s="344">
        <f t="shared" si="348"/>
        <v>270966634069.76724</v>
      </c>
      <c r="R28" s="344">
        <f t="shared" si="348"/>
        <v>263731257019.82523</v>
      </c>
      <c r="S28" s="344">
        <f t="shared" si="348"/>
        <v>255917049805.88785</v>
      </c>
      <c r="T28" s="344">
        <f t="shared" si="348"/>
        <v>247477706014.83548</v>
      </c>
      <c r="U28" s="344">
        <f t="shared" si="348"/>
        <v>238363214720.4989</v>
      </c>
      <c r="V28" s="344">
        <f t="shared" si="348"/>
        <v>228519564122.61542</v>
      </c>
      <c r="W28" s="344">
        <f t="shared" si="348"/>
        <v>217888421476.90125</v>
      </c>
      <c r="X28" s="344">
        <f t="shared" si="348"/>
        <v>206406787419.52994</v>
      </c>
      <c r="Y28" s="344">
        <f t="shared" si="348"/>
        <v>194006622637.56894</v>
      </c>
      <c r="Z28" s="344">
        <f t="shared" si="348"/>
        <v>180614444673.05106</v>
      </c>
      <c r="AA28" s="344">
        <f t="shared" si="348"/>
        <v>166150892471.37173</v>
      </c>
      <c r="AB28" s="344">
        <f t="shared" si="348"/>
        <v>150530256093.55807</v>
      </c>
      <c r="AC28" s="344">
        <f t="shared" si="348"/>
        <v>133659968805.5193</v>
      </c>
      <c r="AD28" s="344">
        <f t="shared" si="348"/>
        <v>115440058534.43742</v>
      </c>
      <c r="AE28" s="344">
        <f t="shared" si="348"/>
        <v>95762555441.668991</v>
      </c>
      <c r="AF28" s="344">
        <f t="shared" si="348"/>
        <v>74510852101.47908</v>
      </c>
      <c r="AG28" s="344">
        <f t="shared" si="348"/>
        <v>51559012494.07399</v>
      </c>
      <c r="AH28" s="344">
        <f t="shared" si="348"/>
        <v>26771025718.076488</v>
      </c>
      <c r="AI28" s="344">
        <f t="shared" si="348"/>
        <v>-8.12530517578125E-4</v>
      </c>
    </row>
    <row r="29" spans="1:35" x14ac:dyDescent="0.25">
      <c r="A29" t="s">
        <v>693</v>
      </c>
      <c r="B29" t="s">
        <v>543</v>
      </c>
      <c r="E29" s="95">
        <f>SUMIFS('Cover Page'!$H$19:$W$19,'Cover Page'!$H$5:$W$5,$A29)</f>
        <v>0.08</v>
      </c>
      <c r="F29" s="344"/>
      <c r="G29" s="344"/>
      <c r="H29" s="344"/>
      <c r="I29" s="344"/>
      <c r="J29" s="344"/>
      <c r="K29" s="344"/>
      <c r="L29" s="344"/>
      <c r="M29" s="344"/>
      <c r="N29" s="344"/>
      <c r="O29" s="344"/>
      <c r="P29" s="344"/>
      <c r="Q29" s="344"/>
      <c r="R29" s="344"/>
      <c r="S29" s="344"/>
      <c r="T29" s="344"/>
      <c r="U29" s="344"/>
      <c r="V29" s="344"/>
      <c r="W29" s="344"/>
      <c r="X29" s="344"/>
      <c r="Y29" s="344"/>
      <c r="Z29" s="344"/>
      <c r="AA29" s="344"/>
      <c r="AB29" s="344"/>
      <c r="AC29" s="344"/>
      <c r="AD29" s="344"/>
      <c r="AE29" s="344"/>
      <c r="AF29" s="344"/>
      <c r="AG29" s="344"/>
      <c r="AH29" s="344"/>
      <c r="AI29" s="344"/>
    </row>
    <row r="30" spans="1:35" x14ac:dyDescent="0.25">
      <c r="A30" s="127" t="s">
        <v>694</v>
      </c>
      <c r="B30" s="127" t="s">
        <v>540</v>
      </c>
      <c r="C30" s="127" t="str">
        <f t="shared" si="1"/>
        <v>VND</v>
      </c>
      <c r="D30" s="127"/>
      <c r="E30" s="211">
        <f>SUMIFS('W1'!$G$60:$AI$60,'W1'!$G$7:$AI$7,"giá trị đầu tư",'W1'!$G$6:$AI$6,$A30)*SUMIFS('Cover Page'!$H$21:$W$21,'Cover Page'!$H$5:$W$5,$A30)</f>
        <v>220493000000</v>
      </c>
      <c r="F30" s="211">
        <f>E33</f>
        <v>220493000000</v>
      </c>
      <c r="G30" s="345">
        <f>F33</f>
        <v>218546612730.14017</v>
      </c>
      <c r="H30" s="345">
        <f t="shared" ref="H30" si="349">G33</f>
        <v>216444514478.69156</v>
      </c>
      <c r="I30" s="345">
        <f t="shared" ref="I30" si="350">H33</f>
        <v>214174248367.12704</v>
      </c>
      <c r="J30" s="345">
        <f t="shared" ref="J30" si="351">I33</f>
        <v>211722360966.63739</v>
      </c>
      <c r="K30" s="345">
        <f t="shared" ref="K30" si="352">J33</f>
        <v>209074322574.10855</v>
      </c>
      <c r="L30" s="345">
        <f t="shared" ref="L30" si="353">K33</f>
        <v>206214441110.1774</v>
      </c>
      <c r="M30" s="345">
        <f t="shared" ref="M30" si="354">L33</f>
        <v>203125769129.13174</v>
      </c>
      <c r="N30" s="345">
        <f t="shared" ref="N30" si="355">M33</f>
        <v>199790003389.60245</v>
      </c>
      <c r="O30" s="345">
        <f t="shared" ref="O30" si="356">N33</f>
        <v>196187376390.9108</v>
      </c>
      <c r="P30" s="345">
        <f t="shared" ref="P30" si="357">O33</f>
        <v>192296539232.32382</v>
      </c>
      <c r="Q30" s="345">
        <f t="shared" ref="Q30" si="358">P33</f>
        <v>188094435101.0499</v>
      </c>
      <c r="R30" s="345">
        <f t="shared" ref="R30" si="359">Q33</f>
        <v>183556162639.27405</v>
      </c>
      <c r="S30" s="345">
        <f t="shared" ref="S30" si="360">R33</f>
        <v>178654828380.55615</v>
      </c>
      <c r="T30" s="345">
        <f t="shared" ref="T30" si="361">S33</f>
        <v>173361387381.14081</v>
      </c>
      <c r="U30" s="345">
        <f t="shared" ref="U30" si="362">T33</f>
        <v>167644471101.77225</v>
      </c>
      <c r="V30" s="345">
        <f t="shared" ref="V30" si="363">U33</f>
        <v>161470201520.0542</v>
      </c>
      <c r="W30" s="345">
        <f t="shared" ref="W30" si="364">V33</f>
        <v>154801990371.79871</v>
      </c>
      <c r="X30" s="345">
        <f t="shared" ref="X30" si="365">W33</f>
        <v>147600322331.68277</v>
      </c>
      <c r="Y30" s="345">
        <f t="shared" ref="Y30" si="366">X33</f>
        <v>139822520848.35757</v>
      </c>
      <c r="Z30" s="345">
        <f t="shared" ref="Z30" si="367">Y33</f>
        <v>131422495246.36636</v>
      </c>
      <c r="AA30" s="345">
        <f t="shared" ref="AA30" si="368">Z33</f>
        <v>122350467596.21585</v>
      </c>
      <c r="AB30" s="345">
        <f t="shared" ref="AB30" si="369">AA33</f>
        <v>112552677734.05328</v>
      </c>
      <c r="AC30" s="345">
        <f t="shared" ref="AC30" si="370">AB33</f>
        <v>101971064682.91771</v>
      </c>
      <c r="AD30" s="345">
        <f t="shared" ref="AD30" si="371">AC33</f>
        <v>90542922587.691299</v>
      </c>
      <c r="AE30" s="345">
        <f t="shared" ref="AE30" si="372">AD33</f>
        <v>78200529124.846771</v>
      </c>
      <c r="AF30" s="345">
        <f t="shared" ref="AF30" si="373">AE33</f>
        <v>64870744184.974686</v>
      </c>
      <c r="AG30" s="345">
        <f t="shared" ref="AG30" si="374">AF33</f>
        <v>50474576449.912827</v>
      </c>
      <c r="AH30" s="345">
        <f t="shared" ref="AH30" si="375">AG33</f>
        <v>34926715296.046021</v>
      </c>
      <c r="AI30" s="345">
        <f t="shared" ref="AI30" si="376">AH33</f>
        <v>18135025249.869877</v>
      </c>
    </row>
    <row r="31" spans="1:35" x14ac:dyDescent="0.25">
      <c r="A31" s="348" t="s">
        <v>694</v>
      </c>
      <c r="B31" s="348" t="s">
        <v>542</v>
      </c>
      <c r="C31" s="348" t="str">
        <f t="shared" si="1"/>
        <v>VND</v>
      </c>
      <c r="D31" s="348"/>
      <c r="E31" s="349"/>
      <c r="F31" s="349">
        <f>E33*$E34</f>
        <v>17639440000</v>
      </c>
      <c r="G31" s="349">
        <f t="shared" ref="G31" si="377">F33*$E34</f>
        <v>17483729018.411213</v>
      </c>
      <c r="H31" s="349">
        <f t="shared" ref="H31" si="378">G33*$E34</f>
        <v>17315561158.295326</v>
      </c>
      <c r="I31" s="349">
        <f t="shared" ref="I31" si="379">H33*$E34</f>
        <v>17133939869.370165</v>
      </c>
      <c r="J31" s="349">
        <f t="shared" ref="J31" si="380">I33*$E34</f>
        <v>16937788877.330992</v>
      </c>
      <c r="K31" s="349">
        <f t="shared" ref="K31" si="381">J33*$E34</f>
        <v>16725945805.928684</v>
      </c>
      <c r="L31" s="349">
        <f t="shared" ref="L31" si="382">K33*$E34</f>
        <v>16497155288.814192</v>
      </c>
      <c r="M31" s="349">
        <f t="shared" ref="M31" si="383">L33*$E34</f>
        <v>16250061530.33054</v>
      </c>
      <c r="N31" s="349">
        <f t="shared" ref="N31" si="384">M33*$E34</f>
        <v>15983200271.168196</v>
      </c>
      <c r="O31" s="349">
        <f t="shared" ref="O31" si="385">N33*$E34</f>
        <v>15694990111.272863</v>
      </c>
      <c r="P31" s="349">
        <f t="shared" ref="P31" si="386">O33*$E34</f>
        <v>15383723138.585907</v>
      </c>
      <c r="Q31" s="349">
        <f t="shared" ref="Q31" si="387">P33*$E34</f>
        <v>15047554808.083992</v>
      </c>
      <c r="R31" s="349">
        <f t="shared" ref="R31" si="388">Q33*$E34</f>
        <v>14684493011.141924</v>
      </c>
      <c r="S31" s="349">
        <f t="shared" ref="S31" si="389">R33*$E34</f>
        <v>14292386270.444492</v>
      </c>
      <c r="T31" s="349">
        <f t="shared" ref="T31" si="390">S33*$E34</f>
        <v>13868910990.491264</v>
      </c>
      <c r="U31" s="349">
        <f t="shared" ref="U31" si="391">T33*$E34</f>
        <v>13411557688.141781</v>
      </c>
      <c r="V31" s="349">
        <f t="shared" ref="V31" si="392">U33*$E34</f>
        <v>12917616121.604336</v>
      </c>
      <c r="W31" s="349">
        <f t="shared" ref="W31" si="393">V33*$E34</f>
        <v>12384159229.743896</v>
      </c>
      <c r="X31" s="349">
        <f t="shared" ref="X31" si="394">W33*$E34</f>
        <v>11808025786.534622</v>
      </c>
      <c r="Y31" s="349">
        <f t="shared" ref="Y31" si="395">X33*$E34</f>
        <v>11185801667.868607</v>
      </c>
      <c r="Z31" s="349">
        <f t="shared" ref="Z31" si="396">Y33*$E34</f>
        <v>10513799619.709309</v>
      </c>
      <c r="AA31" s="349">
        <f t="shared" ref="AA31" si="397">Z33*$E34</f>
        <v>9788037407.6972675</v>
      </c>
      <c r="AB31" s="349">
        <f t="shared" ref="AB31" si="398">AA33*$E34</f>
        <v>9004214218.7242622</v>
      </c>
      <c r="AC31" s="349">
        <f t="shared" ref="AC31" si="399">AB33*$E34</f>
        <v>8157685174.6334171</v>
      </c>
      <c r="AD31" s="349">
        <f t="shared" ref="AD31" si="400">AC33*$E34</f>
        <v>7243433807.0153046</v>
      </c>
      <c r="AE31" s="349">
        <f t="shared" ref="AE31" si="401">AD33*$E34</f>
        <v>6256042329.9877415</v>
      </c>
      <c r="AF31" s="349">
        <f t="shared" ref="AF31" si="402">AE33*$E34</f>
        <v>5189659534.7979746</v>
      </c>
      <c r="AG31" s="349">
        <f t="shared" ref="AG31" si="403">AF33*$E34</f>
        <v>4037966115.9930263</v>
      </c>
      <c r="AH31" s="349">
        <f t="shared" ref="AH31" si="404">AG33*$E34</f>
        <v>2794137223.6836815</v>
      </c>
      <c r="AI31" s="349">
        <f t="shared" ref="AI31" si="405">AH33*$E34</f>
        <v>1450802019.9895902</v>
      </c>
    </row>
    <row r="32" spans="1:35" x14ac:dyDescent="0.25">
      <c r="A32" s="127" t="s">
        <v>694</v>
      </c>
      <c r="B32" s="127" t="s">
        <v>539</v>
      </c>
      <c r="C32" s="127" t="str">
        <f t="shared" si="1"/>
        <v>VND</v>
      </c>
      <c r="D32" s="127"/>
      <c r="E32" s="127"/>
      <c r="F32" s="211">
        <f>PMT(E34,30,E30)</f>
        <v>-19585827269.859829</v>
      </c>
      <c r="G32" s="211">
        <f>F32</f>
        <v>-19585827269.859829</v>
      </c>
      <c r="H32" s="211">
        <f t="shared" ref="H32" si="406">G32</f>
        <v>-19585827269.859829</v>
      </c>
      <c r="I32" s="211">
        <f t="shared" ref="I32" si="407">H32</f>
        <v>-19585827269.859829</v>
      </c>
      <c r="J32" s="211">
        <f t="shared" ref="J32" si="408">I32</f>
        <v>-19585827269.859829</v>
      </c>
      <c r="K32" s="211">
        <f t="shared" ref="K32" si="409">J32</f>
        <v>-19585827269.859829</v>
      </c>
      <c r="L32" s="211">
        <f t="shared" ref="L32" si="410">K32</f>
        <v>-19585827269.859829</v>
      </c>
      <c r="M32" s="211">
        <f t="shared" ref="M32" si="411">L32</f>
        <v>-19585827269.859829</v>
      </c>
      <c r="N32" s="211">
        <f t="shared" ref="N32" si="412">M32</f>
        <v>-19585827269.859829</v>
      </c>
      <c r="O32" s="211">
        <f t="shared" ref="O32" si="413">N32</f>
        <v>-19585827269.859829</v>
      </c>
      <c r="P32" s="211">
        <f t="shared" ref="P32" si="414">O32</f>
        <v>-19585827269.859829</v>
      </c>
      <c r="Q32" s="211">
        <f t="shared" ref="Q32" si="415">P32</f>
        <v>-19585827269.859829</v>
      </c>
      <c r="R32" s="211">
        <f t="shared" ref="R32" si="416">Q32</f>
        <v>-19585827269.859829</v>
      </c>
      <c r="S32" s="211">
        <f t="shared" ref="S32" si="417">R32</f>
        <v>-19585827269.859829</v>
      </c>
      <c r="T32" s="211">
        <f t="shared" ref="T32" si="418">S32</f>
        <v>-19585827269.859829</v>
      </c>
      <c r="U32" s="211">
        <f t="shared" ref="U32" si="419">T32</f>
        <v>-19585827269.859829</v>
      </c>
      <c r="V32" s="211">
        <f t="shared" ref="V32" si="420">U32</f>
        <v>-19585827269.859829</v>
      </c>
      <c r="W32" s="211">
        <f t="shared" ref="W32" si="421">V32</f>
        <v>-19585827269.859829</v>
      </c>
      <c r="X32" s="211">
        <f t="shared" ref="X32" si="422">W32</f>
        <v>-19585827269.859829</v>
      </c>
      <c r="Y32" s="211">
        <f t="shared" ref="Y32" si="423">X32</f>
        <v>-19585827269.859829</v>
      </c>
      <c r="Z32" s="211">
        <f t="shared" ref="Z32" si="424">Y32</f>
        <v>-19585827269.859829</v>
      </c>
      <c r="AA32" s="211">
        <f t="shared" ref="AA32" si="425">Z32</f>
        <v>-19585827269.859829</v>
      </c>
      <c r="AB32" s="211">
        <f t="shared" ref="AB32" si="426">AA32</f>
        <v>-19585827269.859829</v>
      </c>
      <c r="AC32" s="211">
        <f t="shared" ref="AC32" si="427">AB32</f>
        <v>-19585827269.859829</v>
      </c>
      <c r="AD32" s="211">
        <f t="shared" ref="AD32" si="428">AC32</f>
        <v>-19585827269.859829</v>
      </c>
      <c r="AE32" s="211">
        <f t="shared" ref="AE32" si="429">AD32</f>
        <v>-19585827269.859829</v>
      </c>
      <c r="AF32" s="211">
        <f t="shared" ref="AF32" si="430">AE32</f>
        <v>-19585827269.859829</v>
      </c>
      <c r="AG32" s="211">
        <f t="shared" ref="AG32" si="431">AF32</f>
        <v>-19585827269.859829</v>
      </c>
      <c r="AH32" s="211">
        <f t="shared" ref="AH32" si="432">AG32</f>
        <v>-19585827269.859829</v>
      </c>
      <c r="AI32" s="211">
        <f t="shared" ref="AI32" si="433">AH32</f>
        <v>-19585827269.859829</v>
      </c>
    </row>
    <row r="33" spans="1:35" x14ac:dyDescent="0.25">
      <c r="A33" s="48" t="s">
        <v>694</v>
      </c>
      <c r="B33" s="48" t="s">
        <v>541</v>
      </c>
      <c r="C33" s="48" t="str">
        <f t="shared" si="1"/>
        <v>VND</v>
      </c>
      <c r="D33" s="48"/>
      <c r="E33" s="346">
        <f>E30+E32</f>
        <v>220493000000</v>
      </c>
      <c r="F33" s="346">
        <f>SUM(F30:F32)</f>
        <v>218546612730.14017</v>
      </c>
      <c r="G33" s="346">
        <f t="shared" ref="G33:AI33" si="434">SUM(G30:G32)</f>
        <v>216444514478.69156</v>
      </c>
      <c r="H33" s="346">
        <f t="shared" si="434"/>
        <v>214174248367.12704</v>
      </c>
      <c r="I33" s="346">
        <f t="shared" si="434"/>
        <v>211722360966.63739</v>
      </c>
      <c r="J33" s="346">
        <f t="shared" si="434"/>
        <v>209074322574.10855</v>
      </c>
      <c r="K33" s="346">
        <f t="shared" si="434"/>
        <v>206214441110.1774</v>
      </c>
      <c r="L33" s="346">
        <f t="shared" si="434"/>
        <v>203125769129.13174</v>
      </c>
      <c r="M33" s="346">
        <f t="shared" si="434"/>
        <v>199790003389.60245</v>
      </c>
      <c r="N33" s="346">
        <f t="shared" si="434"/>
        <v>196187376390.9108</v>
      </c>
      <c r="O33" s="346">
        <f t="shared" si="434"/>
        <v>192296539232.32382</v>
      </c>
      <c r="P33" s="346">
        <f t="shared" si="434"/>
        <v>188094435101.0499</v>
      </c>
      <c r="Q33" s="346">
        <f t="shared" si="434"/>
        <v>183556162639.27405</v>
      </c>
      <c r="R33" s="346">
        <f t="shared" si="434"/>
        <v>178654828380.55615</v>
      </c>
      <c r="S33" s="346">
        <f t="shared" si="434"/>
        <v>173361387381.14081</v>
      </c>
      <c r="T33" s="346">
        <f t="shared" si="434"/>
        <v>167644471101.77225</v>
      </c>
      <c r="U33" s="346">
        <f t="shared" si="434"/>
        <v>161470201520.0542</v>
      </c>
      <c r="V33" s="346">
        <f t="shared" si="434"/>
        <v>154801990371.79871</v>
      </c>
      <c r="W33" s="346">
        <f t="shared" si="434"/>
        <v>147600322331.68277</v>
      </c>
      <c r="X33" s="346">
        <f t="shared" si="434"/>
        <v>139822520848.35757</v>
      </c>
      <c r="Y33" s="346">
        <f t="shared" si="434"/>
        <v>131422495246.36636</v>
      </c>
      <c r="Z33" s="346">
        <f t="shared" si="434"/>
        <v>122350467596.21585</v>
      </c>
      <c r="AA33" s="346">
        <f t="shared" si="434"/>
        <v>112552677734.05328</v>
      </c>
      <c r="AB33" s="346">
        <f t="shared" si="434"/>
        <v>101971064682.91771</v>
      </c>
      <c r="AC33" s="346">
        <f t="shared" si="434"/>
        <v>90542922587.691299</v>
      </c>
      <c r="AD33" s="346">
        <f t="shared" si="434"/>
        <v>78200529124.846771</v>
      </c>
      <c r="AE33" s="346">
        <f t="shared" si="434"/>
        <v>64870744184.974686</v>
      </c>
      <c r="AF33" s="346">
        <f t="shared" si="434"/>
        <v>50474576449.912827</v>
      </c>
      <c r="AG33" s="346">
        <f t="shared" si="434"/>
        <v>34926715296.046021</v>
      </c>
      <c r="AH33" s="346">
        <f t="shared" si="434"/>
        <v>18135025249.869877</v>
      </c>
      <c r="AI33" s="346">
        <f t="shared" si="434"/>
        <v>-3.62396240234375E-4</v>
      </c>
    </row>
    <row r="34" spans="1:35" x14ac:dyDescent="0.25">
      <c r="A34" s="127" t="s">
        <v>694</v>
      </c>
      <c r="B34" s="127" t="s">
        <v>543</v>
      </c>
      <c r="C34" s="127"/>
      <c r="D34" s="127"/>
      <c r="E34" s="347">
        <f>SUMIFS('Cover Page'!$H$19:$W$19,'Cover Page'!$H$5:$W$5,$A34)</f>
        <v>0.08</v>
      </c>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c r="AE34" s="345"/>
      <c r="AF34" s="345"/>
      <c r="AG34" s="345"/>
      <c r="AH34" s="345"/>
      <c r="AI34" s="345"/>
    </row>
    <row r="37" spans="1:35" x14ac:dyDescent="0.25">
      <c r="E37"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39C1-684B-4E1E-9E16-2C73C91DEF79}">
  <dimension ref="A1"/>
  <sheetViews>
    <sheetView showGridLines="0" workbookViewId="0">
      <selection activeCell="C32" sqref="C32"/>
    </sheetView>
  </sheetViews>
  <sheetFormatPr defaultRowHeight="15" x14ac:dyDescent="0.25"/>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5476-76D4-4EF3-AB52-02F3A20ECAA5}">
  <dimension ref="A1:E5"/>
  <sheetViews>
    <sheetView showGridLines="0" zoomScale="205" zoomScaleNormal="205" workbookViewId="0">
      <pane xSplit="3" ySplit="1" topLeftCell="D2" activePane="bottomRight" state="frozen"/>
      <selection activeCell="C32" sqref="C32"/>
      <selection pane="topRight" activeCell="C32" sqref="C32"/>
      <selection pane="bottomLeft" activeCell="C32" sqref="C32"/>
      <selection pane="bottomRight" activeCell="C32" sqref="C32"/>
    </sheetView>
  </sheetViews>
  <sheetFormatPr defaultRowHeight="15" x14ac:dyDescent="0.25"/>
  <cols>
    <col min="1" max="1" width="9.75" customWidth="1"/>
    <col min="2" max="2" width="9.75" style="20" customWidth="1"/>
    <col min="3" max="3" width="10.625" customWidth="1"/>
    <col min="4" max="4" width="14.875" customWidth="1"/>
    <col min="5" max="5" width="15.25" customWidth="1"/>
    <col min="6" max="6" width="11.625" customWidth="1"/>
  </cols>
  <sheetData>
    <row r="1" spans="1:5" x14ac:dyDescent="0.25">
      <c r="B1" s="871" t="s">
        <v>2</v>
      </c>
      <c r="C1" s="870" t="s">
        <v>744</v>
      </c>
      <c r="D1" s="871" t="s">
        <v>742</v>
      </c>
      <c r="E1" s="871" t="s">
        <v>743</v>
      </c>
    </row>
    <row r="2" spans="1:5" s="872" customFormat="1" ht="12.75" customHeight="1" x14ac:dyDescent="0.25">
      <c r="B2" s="873"/>
      <c r="D2" s="873" t="s">
        <v>745</v>
      </c>
      <c r="E2" s="873" t="s">
        <v>745</v>
      </c>
    </row>
    <row r="3" spans="1:5" x14ac:dyDescent="0.25">
      <c r="B3" s="874">
        <v>1</v>
      </c>
      <c r="C3" s="875" t="s">
        <v>740</v>
      </c>
      <c r="D3" s="874">
        <v>715</v>
      </c>
      <c r="E3" s="874">
        <v>728</v>
      </c>
    </row>
    <row r="4" spans="1:5" x14ac:dyDescent="0.25">
      <c r="A4" s="869">
        <v>45948</v>
      </c>
      <c r="B4" s="876">
        <v>2</v>
      </c>
      <c r="C4" s="877" t="s">
        <v>720</v>
      </c>
      <c r="D4" s="876"/>
      <c r="E4" s="876">
        <v>739</v>
      </c>
    </row>
    <row r="5" spans="1:5" x14ac:dyDescent="0.25">
      <c r="A5" s="869">
        <v>45714</v>
      </c>
      <c r="B5" s="876">
        <v>3</v>
      </c>
      <c r="C5" s="877" t="s">
        <v>721</v>
      </c>
      <c r="D5" s="876"/>
      <c r="E5" s="876">
        <v>719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A98D3-A713-4961-A1E3-98F915F77D84}">
  <dimension ref="A1:E27"/>
  <sheetViews>
    <sheetView showGridLines="0" zoomScale="250" zoomScaleNormal="250" workbookViewId="0">
      <selection activeCell="N27" sqref="N27"/>
    </sheetView>
  </sheetViews>
  <sheetFormatPr defaultRowHeight="15" zeroHeight="1" x14ac:dyDescent="0.25"/>
  <cols>
    <col min="1" max="1" width="12" bestFit="1" customWidth="1"/>
    <col min="3" max="3" width="14.375" customWidth="1"/>
  </cols>
  <sheetData>
    <row r="1" spans="1:5" x14ac:dyDescent="0.25"/>
    <row r="2" spans="1:5" x14ac:dyDescent="0.25">
      <c r="A2" t="s">
        <v>456</v>
      </c>
      <c r="C2" s="1" t="s">
        <v>632</v>
      </c>
    </row>
    <row r="3" spans="1:5" x14ac:dyDescent="0.25">
      <c r="A3" t="s">
        <v>380</v>
      </c>
    </row>
    <row r="4" spans="1:5" x14ac:dyDescent="0.25">
      <c r="A4" t="s">
        <v>129</v>
      </c>
      <c r="E4" s="127" t="s">
        <v>552</v>
      </c>
    </row>
    <row r="5" spans="1:5" x14ac:dyDescent="0.25">
      <c r="E5" s="357" t="s">
        <v>553</v>
      </c>
    </row>
    <row r="6" spans="1:5" x14ac:dyDescent="0.25">
      <c r="A6" s="264" t="s">
        <v>457</v>
      </c>
    </row>
    <row r="7" spans="1:5" x14ac:dyDescent="0.25">
      <c r="A7" s="265" t="s">
        <v>129</v>
      </c>
    </row>
    <row r="8" spans="1:5" x14ac:dyDescent="0.25">
      <c r="A8" s="265" t="s">
        <v>458</v>
      </c>
    </row>
    <row r="9" spans="1:5" x14ac:dyDescent="0.25"/>
    <row r="10" spans="1:5" x14ac:dyDescent="0.25"/>
    <row r="11" spans="1:5" x14ac:dyDescent="0.25"/>
    <row r="12" spans="1:5" x14ac:dyDescent="0.25"/>
    <row r="13" spans="1:5" x14ac:dyDescent="0.25"/>
    <row r="14" spans="1:5" x14ac:dyDescent="0.25"/>
    <row r="15" spans="1:5" x14ac:dyDescent="0.25"/>
    <row r="16" spans="1:5" s="340" customFormat="1" ht="15.75" thickBot="1" x14ac:dyDescent="0.3"/>
    <row r="18" spans="1:3" hidden="1" x14ac:dyDescent="0.25">
      <c r="A18" s="401" t="s">
        <v>577</v>
      </c>
    </row>
    <row r="20" spans="1:3" hidden="1" x14ac:dyDescent="0.25">
      <c r="A20" s="321" t="s">
        <v>578</v>
      </c>
      <c r="B20" s="402">
        <v>1</v>
      </c>
      <c r="C20" t="s">
        <v>579</v>
      </c>
    </row>
    <row r="22" spans="1:3" hidden="1" x14ac:dyDescent="0.25">
      <c r="A22" s="403" t="s">
        <v>580</v>
      </c>
    </row>
    <row r="23" spans="1:3" hidden="1" x14ac:dyDescent="0.25">
      <c r="A23" t="s">
        <v>367</v>
      </c>
      <c r="B23" s="15">
        <f>'W4'!AE15</f>
        <v>674.19380259454363</v>
      </c>
    </row>
    <row r="25" spans="1:3" hidden="1" x14ac:dyDescent="0.25">
      <c r="A25" s="211"/>
      <c r="B25" s="211">
        <f>B23</f>
        <v>674.19380259454363</v>
      </c>
    </row>
    <row r="26" spans="1:3" hidden="1" x14ac:dyDescent="0.25">
      <c r="A26" s="211">
        <v>0</v>
      </c>
      <c r="B26" s="211">
        <f t="dataTable" ref="B26:B27" dt2D="0" dtr="0" r1="B20"/>
        <v>674.19380259454363</v>
      </c>
    </row>
    <row r="27" spans="1:3" hidden="1" x14ac:dyDescent="0.25">
      <c r="A27" s="211">
        <v>1</v>
      </c>
      <c r="B27" s="211">
        <v>674.19380259454363</v>
      </c>
    </row>
  </sheetData>
  <pageMargins left="0.7" right="0.7" top="0.75" bottom="0.75" header="0.3" footer="0.3"/>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B5FD-39E8-48FF-A129-E77437C2AAC0}">
  <dimension ref="A1:F8"/>
  <sheetViews>
    <sheetView showGridLines="0" zoomScale="250" zoomScaleNormal="250" workbookViewId="0">
      <selection activeCell="Q68" sqref="Q68"/>
    </sheetView>
  </sheetViews>
  <sheetFormatPr defaultRowHeight="15" x14ac:dyDescent="0.25"/>
  <cols>
    <col min="1" max="1" width="14.75" bestFit="1" customWidth="1"/>
    <col min="2" max="2" width="11.75" bestFit="1" customWidth="1"/>
    <col min="3" max="3" width="9.375" bestFit="1" customWidth="1"/>
    <col min="4" max="4" width="9.375" customWidth="1"/>
    <col min="5" max="5" width="25.125" bestFit="1" customWidth="1"/>
    <col min="8" max="8" width="14.75" bestFit="1" customWidth="1"/>
    <col min="9" max="9" width="11.75" bestFit="1" customWidth="1"/>
  </cols>
  <sheetData>
    <row r="1" spans="1:6" s="1" customFormat="1" x14ac:dyDescent="0.25">
      <c r="A1" s="414" t="s">
        <v>594</v>
      </c>
      <c r="B1" s="415" t="s">
        <v>587</v>
      </c>
      <c r="C1" s="415" t="s">
        <v>588</v>
      </c>
      <c r="D1" s="419" t="s">
        <v>595</v>
      </c>
    </row>
    <row r="2" spans="1:6" x14ac:dyDescent="0.25">
      <c r="A2" t="s">
        <v>303</v>
      </c>
      <c r="B2" s="263">
        <v>18.76024964847619</v>
      </c>
      <c r="C2" s="263">
        <v>22.765439927017031</v>
      </c>
      <c r="D2" s="263">
        <f>C2-B2</f>
        <v>4.0051902785408409</v>
      </c>
      <c r="E2" t="s">
        <v>589</v>
      </c>
      <c r="F2" s="70"/>
    </row>
    <row r="3" spans="1:6" x14ac:dyDescent="0.25">
      <c r="A3" t="s">
        <v>190</v>
      </c>
      <c r="B3" s="263">
        <v>92.16188524590163</v>
      </c>
      <c r="C3" s="263">
        <v>89.336577868852387</v>
      </c>
      <c r="D3" s="263"/>
      <c r="E3" t="s">
        <v>590</v>
      </c>
    </row>
    <row r="4" spans="1:6" x14ac:dyDescent="0.25">
      <c r="A4" t="s">
        <v>304</v>
      </c>
      <c r="B4" s="263">
        <v>52.855738313122238</v>
      </c>
      <c r="C4" s="263">
        <v>59.642448123382181</v>
      </c>
      <c r="D4" s="263"/>
      <c r="E4" t="s">
        <v>591</v>
      </c>
    </row>
    <row r="5" spans="1:6" x14ac:dyDescent="0.25">
      <c r="A5" t="s">
        <v>305</v>
      </c>
      <c r="B5" s="263">
        <v>26.198630136986303</v>
      </c>
      <c r="C5" s="263">
        <v>28.331003289473681</v>
      </c>
      <c r="D5" s="263"/>
      <c r="E5" t="s">
        <v>591</v>
      </c>
    </row>
    <row r="6" spans="1:6" x14ac:dyDescent="0.25">
      <c r="A6" t="s">
        <v>181</v>
      </c>
      <c r="B6" s="263">
        <v>61.754674292490357</v>
      </c>
      <c r="C6" s="263">
        <v>55.727520840597982</v>
      </c>
      <c r="D6" s="263"/>
      <c r="E6" t="s">
        <v>592</v>
      </c>
    </row>
    <row r="7" spans="1:6" ht="15.75" thickBot="1" x14ac:dyDescent="0.3">
      <c r="A7" t="s">
        <v>307</v>
      </c>
      <c r="B7" s="263">
        <v>11.666666666666666</v>
      </c>
      <c r="C7" s="263">
        <v>12.25</v>
      </c>
      <c r="D7" s="263"/>
      <c r="E7" t="s">
        <v>591</v>
      </c>
    </row>
    <row r="8" spans="1:6" ht="15.75" thickBot="1" x14ac:dyDescent="0.3">
      <c r="A8" s="416" t="s">
        <v>593</v>
      </c>
      <c r="B8" s="417">
        <f>SUM(B2:B7)</f>
        <v>263.39784430364341</v>
      </c>
      <c r="C8" s="417">
        <f>SUM(C2:C7)</f>
        <v>268.05299004932323</v>
      </c>
      <c r="D8" s="418"/>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EAB9-83E5-4B7F-9E06-F45A2F9082F1}">
  <dimension ref="A1"/>
  <sheetViews>
    <sheetView showGridLines="0" topLeftCell="A11" zoomScale="235" zoomScaleNormal="235" workbookViewId="0">
      <selection activeCell="I22" sqref="I2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21</vt:i4>
      </vt:variant>
    </vt:vector>
  </HeadingPairs>
  <TitlesOfParts>
    <vt:vector size="56" baseType="lpstr">
      <vt:lpstr>Timeline</vt:lpstr>
      <vt:lpstr>&gt;&gt;PowerPoint</vt:lpstr>
      <vt:lpstr>Trình bày giả định</vt:lpstr>
      <vt:lpstr>W1-Trình bày</vt:lpstr>
      <vt:lpstr>USD.Tấn</vt:lpstr>
      <vt:lpstr>VND.Phôi</vt:lpstr>
      <vt:lpstr>Sheet3</vt:lpstr>
      <vt:lpstr>Sheet4</vt:lpstr>
      <vt:lpstr>||</vt:lpstr>
      <vt:lpstr>Summary-cũ</vt:lpstr>
      <vt:lpstr>Summary</vt:lpstr>
      <vt:lpstr>Cover Page</vt:lpstr>
      <vt:lpstr>W1</vt:lpstr>
      <vt:lpstr>W2</vt:lpstr>
      <vt:lpstr>W3</vt:lpstr>
      <vt:lpstr>W4</vt:lpstr>
      <vt:lpstr>W5</vt:lpstr>
      <vt:lpstr>W6 - Operating cost</vt:lpstr>
      <vt:lpstr>W6 - Preform cost</vt:lpstr>
      <vt:lpstr>W6 - Early Termination</vt:lpstr>
      <vt:lpstr>1st Quote</vt:lpstr>
      <vt:lpstr>2nd Quote</vt:lpstr>
      <vt:lpstr>So sánh</vt:lpstr>
      <vt:lpstr>&gt;A. Vũ</vt:lpstr>
      <vt:lpstr>CAPEX</vt:lpstr>
      <vt:lpstr>SX</vt:lpstr>
      <vt:lpstr>&gt;Chị Tâm</vt:lpstr>
      <vt:lpstr>Thông tin</vt:lpstr>
      <vt:lpstr>Sơ đồ</vt:lpstr>
      <vt:lpstr>Lãi vay</vt:lpstr>
      <vt:lpstr>Dylan-Note</vt:lpstr>
      <vt:lpstr>Milestone</vt:lpstr>
      <vt:lpstr>MD</vt:lpstr>
      <vt:lpstr>Sheet1</vt:lpstr>
      <vt:lpstr>Họp Hảo</vt:lpstr>
      <vt:lpstr>Capacity</vt:lpstr>
      <vt:lpstr>Currency</vt:lpstr>
      <vt:lpstr>EXR</vt:lpstr>
      <vt:lpstr>Inflation</vt:lpstr>
      <vt:lpstr>Opt1_WACC</vt:lpstr>
      <vt:lpstr>Opt2_CAPEX</vt:lpstr>
      <vt:lpstr>Opt2_CPSX</vt:lpstr>
      <vt:lpstr>Opt2_EXW</vt:lpstr>
      <vt:lpstr>Opt2_WACC</vt:lpstr>
      <vt:lpstr>Opt3_CAPEX</vt:lpstr>
      <vt:lpstr>Opt3_CPSX</vt:lpstr>
      <vt:lpstr>Opt3_WACC</vt:lpstr>
      <vt:lpstr>Opt4_CAPEX</vt:lpstr>
      <vt:lpstr>Opt4_CPSX</vt:lpstr>
      <vt:lpstr>Opt5_CAPEX</vt:lpstr>
      <vt:lpstr>Opt5_CPSX</vt:lpstr>
      <vt:lpstr>Opt6_CAPEX</vt:lpstr>
      <vt:lpstr>Opt6_CPSX</vt:lpstr>
      <vt:lpstr>PHOI_KG</vt:lpstr>
      <vt:lpstr>Tax_rate</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dcterms:created xsi:type="dcterms:W3CDTF">2024-09-16T07:51:55Z</dcterms:created>
  <dcterms:modified xsi:type="dcterms:W3CDTF">2025-12-24T07:29:01Z</dcterms:modified>
</cp:coreProperties>
</file>