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golfur\Documents\GitHub\Alor-test-env\"/>
    </mc:Choice>
  </mc:AlternateContent>
  <xr:revisionPtr revIDLastSave="0" documentId="13_ncr:1_{44B220F7-D986-42A9-BCEA-6B986379F1C5}" xr6:coauthVersionLast="47" xr6:coauthVersionMax="47" xr10:uidLastSave="{00000000-0000-0000-0000-000000000000}"/>
  <bookViews>
    <workbookView xWindow="14070" yWindow="0" windowWidth="14730" windowHeight="15600" activeTab="2" xr2:uid="{6716975B-B3BC-4E2F-A103-B6B34F0E8088}"/>
  </bookViews>
  <sheets>
    <sheet name=" Constants and Presupposition" sheetId="1" r:id="rId1"/>
    <sheet name="q1" sheetId="7" r:id="rId2"/>
    <sheet name="q2" sheetId="4" r:id="rId3"/>
    <sheet name="q5" sheetId="6" r:id="rId4"/>
    <sheet name="diesel prices" sheetId="2" r:id="rId5"/>
    <sheet name="inflation" sheetId="3" r:id="rId6"/>
  </sheets>
  <definedNames>
    <definedName name="solver_adj" localSheetId="5" hidden="1">inflation!$Y$103</definedName>
    <definedName name="solver_cvg" localSheetId="5" hidden="1">0.0001</definedName>
    <definedName name="solver_drv" localSheetId="5" hidden="1">1</definedName>
    <definedName name="solver_eng" localSheetId="5" hidden="1">1</definedName>
    <definedName name="solver_est" localSheetId="5" hidden="1">1</definedName>
    <definedName name="solver_itr" localSheetId="5" hidden="1">2147483647</definedName>
    <definedName name="solver_lhs2" localSheetId="5" hidden="1">inflation!$AY$108</definedName>
    <definedName name="solver_mip" localSheetId="5" hidden="1">2147483647</definedName>
    <definedName name="solver_mni" localSheetId="5" hidden="1">30</definedName>
    <definedName name="solver_mrt" localSheetId="5" hidden="1">0.075</definedName>
    <definedName name="solver_msl" localSheetId="5" hidden="1">2</definedName>
    <definedName name="solver_neg" localSheetId="5" hidden="1">1</definedName>
    <definedName name="solver_nod" localSheetId="5" hidden="1">2147483647</definedName>
    <definedName name="solver_num" localSheetId="5" hidden="1">0</definedName>
    <definedName name="solver_nwt" localSheetId="5" hidden="1">1</definedName>
    <definedName name="solver_opt" localSheetId="5" hidden="1">inflation!$AY$105</definedName>
    <definedName name="solver_pre" localSheetId="5" hidden="1">0.000001</definedName>
    <definedName name="solver_rbv" localSheetId="5" hidden="1">1</definedName>
    <definedName name="solver_rel2" localSheetId="5" hidden="1">2</definedName>
    <definedName name="solver_rhs2" localSheetId="5" hidden="1">inflation!$AY$111</definedName>
    <definedName name="solver_rlx" localSheetId="5" hidden="1">2</definedName>
    <definedName name="solver_rsd" localSheetId="5" hidden="1">0</definedName>
    <definedName name="solver_scl" localSheetId="5" hidden="1">1</definedName>
    <definedName name="solver_sho" localSheetId="5" hidden="1">2</definedName>
    <definedName name="solver_ssz" localSheetId="5" hidden="1">100</definedName>
    <definedName name="solver_tim" localSheetId="5" hidden="1">2147483647</definedName>
    <definedName name="solver_tol" localSheetId="5" hidden="1">0.01</definedName>
    <definedName name="solver_typ" localSheetId="5" hidden="1">3</definedName>
    <definedName name="solver_val" localSheetId="5" hidden="1">0</definedName>
    <definedName name="solver_ver" localSheetId="5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3" l="1"/>
  <c r="U19" i="1"/>
  <c r="U16" i="1"/>
  <c r="V14" i="1"/>
  <c r="V6" i="1"/>
  <c r="L18" i="1"/>
  <c r="F2" i="1"/>
  <c r="P119" i="3"/>
  <c r="Q119" i="3" s="1"/>
  <c r="R119" i="3" s="1"/>
  <c r="S119" i="3" s="1"/>
  <c r="T119" i="3" s="1"/>
  <c r="U119" i="3" s="1"/>
  <c r="V119" i="3" s="1"/>
  <c r="W119" i="3" s="1"/>
  <c r="O119" i="3"/>
  <c r="AA113" i="3"/>
  <c r="Z113" i="3" s="1"/>
  <c r="Y113" i="3" s="1"/>
  <c r="X113" i="3" s="1"/>
  <c r="W113" i="3" s="1"/>
  <c r="V113" i="3" s="1"/>
  <c r="U113" i="3" s="1"/>
  <c r="AC113" i="3"/>
  <c r="AD113" i="3" s="1"/>
  <c r="AE113" i="3" s="1"/>
  <c r="AF113" i="3" s="1"/>
  <c r="AG113" i="3" s="1"/>
  <c r="AH113" i="3" s="1"/>
  <c r="AI113" i="3" s="1"/>
  <c r="AJ113" i="3" s="1"/>
  <c r="AK113" i="3" s="1"/>
  <c r="AL113" i="3" s="1"/>
  <c r="AM113" i="3" s="1"/>
  <c r="AN113" i="3" s="1"/>
  <c r="AO113" i="3" s="1"/>
  <c r="AP113" i="3" s="1"/>
  <c r="AQ113" i="3" s="1"/>
  <c r="AR113" i="3" s="1"/>
  <c r="AS113" i="3" s="1"/>
  <c r="AT113" i="3" s="1"/>
  <c r="AU113" i="3" s="1"/>
  <c r="AV113" i="3" s="1"/>
  <c r="AW113" i="3" s="1"/>
  <c r="AX113" i="3" s="1"/>
  <c r="AY113" i="3" s="1"/>
  <c r="W111" i="3"/>
  <c r="X110" i="3"/>
  <c r="Y110" i="3" s="1"/>
  <c r="Z110" i="3" s="1"/>
  <c r="AA110" i="3" s="1"/>
  <c r="AB110" i="3" s="1"/>
  <c r="AC110" i="3" s="1"/>
  <c r="AD110" i="3" s="1"/>
  <c r="AE110" i="3" s="1"/>
  <c r="AF110" i="3" s="1"/>
  <c r="AG110" i="3" s="1"/>
  <c r="AH110" i="3" s="1"/>
  <c r="AI110" i="3" s="1"/>
  <c r="AJ110" i="3" s="1"/>
  <c r="AK110" i="3" s="1"/>
  <c r="AL110" i="3" s="1"/>
  <c r="AM110" i="3" s="1"/>
  <c r="AN110" i="3" s="1"/>
  <c r="AO110" i="3" s="1"/>
  <c r="AP110" i="3" s="1"/>
  <c r="AQ110" i="3" s="1"/>
  <c r="AR110" i="3" s="1"/>
  <c r="AS110" i="3" s="1"/>
  <c r="AT110" i="3" s="1"/>
  <c r="AU110" i="3" s="1"/>
  <c r="AV110" i="3" s="1"/>
  <c r="AW110" i="3" s="1"/>
  <c r="AX110" i="3" s="1"/>
  <c r="AY110" i="3" s="1"/>
  <c r="X107" i="3"/>
  <c r="Y107" i="3" s="1"/>
  <c r="Z107" i="3" s="1"/>
  <c r="AA107" i="3" s="1"/>
  <c r="AB107" i="3" s="1"/>
  <c r="AC107" i="3" s="1"/>
  <c r="AD107" i="3" s="1"/>
  <c r="AE107" i="3" s="1"/>
  <c r="AF107" i="3" s="1"/>
  <c r="AG107" i="3" s="1"/>
  <c r="AH107" i="3" s="1"/>
  <c r="AI107" i="3" s="1"/>
  <c r="AJ107" i="3" s="1"/>
  <c r="AK107" i="3" s="1"/>
  <c r="AL107" i="3" s="1"/>
  <c r="AM107" i="3" s="1"/>
  <c r="AN107" i="3" s="1"/>
  <c r="AO107" i="3" s="1"/>
  <c r="AP107" i="3" s="1"/>
  <c r="AQ107" i="3" s="1"/>
  <c r="AR107" i="3" s="1"/>
  <c r="AS107" i="3" s="1"/>
  <c r="AT107" i="3" s="1"/>
  <c r="AU107" i="3" s="1"/>
  <c r="AV107" i="3" s="1"/>
  <c r="AW107" i="3" s="1"/>
  <c r="AX107" i="3" s="1"/>
  <c r="AY107" i="3" s="1"/>
  <c r="X105" i="3"/>
  <c r="W108" i="3" s="1"/>
  <c r="C6" i="3"/>
  <c r="V13" i="1"/>
  <c r="V12" i="1"/>
  <c r="V11" i="1"/>
  <c r="V10" i="1"/>
  <c r="V3" i="1"/>
  <c r="U4" i="1"/>
  <c r="V4" i="1" s="1"/>
  <c r="U5" i="1"/>
  <c r="V5" i="1" s="1"/>
  <c r="U3" i="1"/>
  <c r="C17" i="1"/>
  <c r="C15" i="1"/>
  <c r="D5" i="3"/>
  <c r="D2" i="3"/>
  <c r="E2" i="3" s="1"/>
  <c r="F2" i="3" s="1"/>
  <c r="G2" i="3" s="1"/>
  <c r="H2" i="3" s="1"/>
  <c r="I2" i="3" s="1"/>
  <c r="J2" i="3" s="1"/>
  <c r="K2" i="3" s="1"/>
  <c r="L2" i="3" s="1"/>
  <c r="M2" i="3" s="1"/>
  <c r="N2" i="3" s="1"/>
  <c r="O2" i="3" s="1"/>
  <c r="P2" i="3" s="1"/>
  <c r="Q2" i="3" s="1"/>
  <c r="R2" i="3" s="1"/>
  <c r="S2" i="3" s="1"/>
  <c r="T2" i="3" s="1"/>
  <c r="U2" i="3" s="1"/>
  <c r="V2" i="3" s="1"/>
  <c r="W2" i="3" s="1"/>
  <c r="X2" i="3" s="1"/>
  <c r="Y2" i="3" s="1"/>
  <c r="Z2" i="3" s="1"/>
  <c r="AA2" i="3" s="1"/>
  <c r="AB2" i="3" s="1"/>
  <c r="AC2" i="3" s="1"/>
  <c r="T113" i="3" l="1"/>
  <c r="S113" i="3" s="1"/>
  <c r="R113" i="3" s="1"/>
  <c r="Q113" i="3" s="1"/>
  <c r="P113" i="3" s="1"/>
  <c r="O113" i="3" s="1"/>
  <c r="N113" i="3" s="1"/>
  <c r="M113" i="3" s="1"/>
  <c r="L113" i="3" s="1"/>
  <c r="K113" i="3" s="1"/>
  <c r="J113" i="3" s="1"/>
  <c r="I113" i="3" s="1"/>
  <c r="H113" i="3" s="1"/>
  <c r="G113" i="3" s="1"/>
  <c r="F113" i="3" s="1"/>
  <c r="E113" i="3" s="1"/>
  <c r="D113" i="3" s="1"/>
  <c r="C113" i="3" s="1"/>
  <c r="E12" i="3"/>
  <c r="D6" i="3" s="1"/>
  <c r="E6" i="3" s="1"/>
  <c r="F6" i="3" s="1"/>
  <c r="G6" i="3" s="1"/>
  <c r="H6" i="3" s="1"/>
  <c r="I6" i="3" s="1"/>
  <c r="J6" i="3" s="1"/>
  <c r="K6" i="3" s="1"/>
  <c r="L6" i="3" s="1"/>
  <c r="M6" i="3" s="1"/>
  <c r="N6" i="3" s="1"/>
  <c r="O6" i="3" s="1"/>
  <c r="P6" i="3" s="1"/>
  <c r="Q6" i="3" s="1"/>
  <c r="R6" i="3" s="1"/>
  <c r="S6" i="3" s="1"/>
  <c r="T6" i="3" s="1"/>
  <c r="U6" i="3" s="1"/>
  <c r="V6" i="3" s="1"/>
  <c r="W6" i="3" s="1"/>
  <c r="X6" i="3" s="1"/>
  <c r="Y6" i="3" s="1"/>
  <c r="Z6" i="3" s="1"/>
  <c r="AA6" i="3" s="1"/>
  <c r="AB6" i="3" s="1"/>
  <c r="AC6" i="3" s="1"/>
  <c r="X108" i="3"/>
  <c r="Y108" i="3" s="1"/>
  <c r="Z108" i="3" s="1"/>
  <c r="AA108" i="3" s="1"/>
  <c r="AB108" i="3" s="1"/>
  <c r="AC108" i="3" s="1"/>
  <c r="AD108" i="3" s="1"/>
  <c r="AE108" i="3" s="1"/>
  <c r="AF108" i="3" s="1"/>
  <c r="AG108" i="3" s="1"/>
  <c r="AH108" i="3" s="1"/>
  <c r="AI108" i="3" s="1"/>
  <c r="AJ108" i="3" s="1"/>
  <c r="AK108" i="3" s="1"/>
  <c r="AL108" i="3" s="1"/>
  <c r="AM108" i="3" s="1"/>
  <c r="AN108" i="3" s="1"/>
  <c r="AO108" i="3" s="1"/>
  <c r="AP108" i="3" s="1"/>
  <c r="AQ108" i="3" s="1"/>
  <c r="AR108" i="3" s="1"/>
  <c r="AS108" i="3" s="1"/>
  <c r="AT108" i="3" s="1"/>
  <c r="AU108" i="3" s="1"/>
  <c r="AV108" i="3" s="1"/>
  <c r="AW108" i="3" s="1"/>
  <c r="AX108" i="3" s="1"/>
  <c r="AY108" i="3" s="1"/>
  <c r="X111" i="3"/>
  <c r="Y111" i="3" s="1"/>
  <c r="Z111" i="3" s="1"/>
  <c r="AA111" i="3" s="1"/>
  <c r="AB111" i="3" s="1"/>
  <c r="AC111" i="3" s="1"/>
  <c r="AD111" i="3" s="1"/>
  <c r="AE111" i="3" s="1"/>
  <c r="AF111" i="3" s="1"/>
  <c r="AG111" i="3" s="1"/>
  <c r="AH111" i="3" s="1"/>
  <c r="AI111" i="3" s="1"/>
  <c r="AJ111" i="3" s="1"/>
  <c r="AK111" i="3" s="1"/>
  <c r="AL111" i="3" s="1"/>
  <c r="AM111" i="3" s="1"/>
  <c r="AN111" i="3" s="1"/>
  <c r="AO111" i="3" s="1"/>
  <c r="AP111" i="3" s="1"/>
  <c r="AQ111" i="3" s="1"/>
  <c r="AR111" i="3" s="1"/>
  <c r="AS111" i="3" s="1"/>
  <c r="AT111" i="3" s="1"/>
  <c r="AU111" i="3" s="1"/>
  <c r="AV111" i="3" s="1"/>
  <c r="AW111" i="3" s="1"/>
  <c r="AX111" i="3" s="1"/>
  <c r="E3" i="2"/>
  <c r="AY111" i="3" l="1"/>
  <c r="AY105" i="3" s="1"/>
</calcChain>
</file>

<file path=xl/sharedStrings.xml><?xml version="1.0" encoding="utf-8"?>
<sst xmlns="http://schemas.openxmlformats.org/spreadsheetml/2006/main" count="473" uniqueCount="213">
  <si>
    <t>kr/kwh</t>
  </si>
  <si>
    <t>usd/kwh</t>
  </si>
  <si>
    <t>https://www.orkusalan.is/heimili</t>
  </si>
  <si>
    <t>Orkan</t>
  </si>
  <si>
    <t>Bústaðavegur</t>
  </si>
  <si>
    <t>Dalvegur</t>
  </si>
  <si>
    <t>Reykjavíkurvegur</t>
  </si>
  <si>
    <t>Suðurfell</t>
  </si>
  <si>
    <t>Atlantsolía</t>
  </si>
  <si>
    <t>Kaplakriki</t>
  </si>
  <si>
    <t>Sprengisandur</t>
  </si>
  <si>
    <t>ÓB</t>
  </si>
  <si>
    <t>Arnarsmári</t>
  </si>
  <si>
    <t>Bæjarlind</t>
  </si>
  <si>
    <t>Fjarðarkaup</t>
  </si>
  <si>
    <t>Hamraborg</t>
  </si>
  <si>
    <t>Klöpp</t>
  </si>
  <si>
    <t>N1</t>
  </si>
  <si>
    <t>Norðlingaholt</t>
  </si>
  <si>
    <t>Skógarlind</t>
  </si>
  <si>
    <t>Norðurhella</t>
  </si>
  <si>
    <t>Skemmuvegur</t>
  </si>
  <si>
    <t>Stórihjalli</t>
  </si>
  <si>
    <t>Birkimelur</t>
  </si>
  <si>
    <t>Eiðistorg</t>
  </si>
  <si>
    <t>Fellsmúli</t>
  </si>
  <si>
    <t>Garðabær</t>
  </si>
  <si>
    <t>Gylfaflöt</t>
  </si>
  <si>
    <t>Hraunbær</t>
  </si>
  <si>
    <t>Hæðarsmári</t>
  </si>
  <si>
    <t>Kleppsvegur</t>
  </si>
  <si>
    <t>Klettagarðar</t>
  </si>
  <si>
    <t>Kænan</t>
  </si>
  <si>
    <t>Laugavegur</t>
  </si>
  <si>
    <t>Miklabraut, norður</t>
  </si>
  <si>
    <t>Miklabraut, suður</t>
  </si>
  <si>
    <t>Salavegur</t>
  </si>
  <si>
    <t>Skógarhlíð</t>
  </si>
  <si>
    <t>Smárinn</t>
  </si>
  <si>
    <t>Spöngin</t>
  </si>
  <si>
    <t>Stekkjarbakki</t>
  </si>
  <si>
    <t>Suðurströnd</t>
  </si>
  <si>
    <t>Vatnagarðar</t>
  </si>
  <si>
    <t>Vesturlandsvegur</t>
  </si>
  <si>
    <t>Bíldshöfði</t>
  </si>
  <si>
    <t>Búðarkór</t>
  </si>
  <si>
    <t>Háaleitisbraut</t>
  </si>
  <si>
    <t>Hafnarfjarðarhöfn</t>
  </si>
  <si>
    <t>Kirkjustétt</t>
  </si>
  <si>
    <t>Kjalarnes</t>
  </si>
  <si>
    <t>Knarrarvogur</t>
  </si>
  <si>
    <t>Kópavogsbraut</t>
  </si>
  <si>
    <t>Mosfellsbær</t>
  </si>
  <si>
    <t>Skeifan</t>
  </si>
  <si>
    <t>Skúlagata</t>
  </si>
  <si>
    <t>Starengi</t>
  </si>
  <si>
    <t>Öskjuhlíð</t>
  </si>
  <si>
    <t>Barðastaðir</t>
  </si>
  <si>
    <t>Melabraut, Hafnarfirði</t>
  </si>
  <si>
    <t>Snorrabraut</t>
  </si>
  <si>
    <t>Suðurhella</t>
  </si>
  <si>
    <t>Fossvogur</t>
  </si>
  <si>
    <t>Olís</t>
  </si>
  <si>
    <t>Álfheimar</t>
  </si>
  <si>
    <t>Ánanaust</t>
  </si>
  <si>
    <t>Gullinbrú</t>
  </si>
  <si>
    <t>Mjódd</t>
  </si>
  <si>
    <t>Mosfellsbær, Langitangi</t>
  </si>
  <si>
    <t>Sæbraut</t>
  </si>
  <si>
    <t>Háholt</t>
  </si>
  <si>
    <t>Hringbraut</t>
  </si>
  <si>
    <t>Ártúnshöfði</t>
  </si>
  <si>
    <t>Borgartún</t>
  </si>
  <si>
    <t>Lækjargata - Hafnarfjörður</t>
  </si>
  <si>
    <t>Stóragerði</t>
  </si>
  <si>
    <t>Skógarsel</t>
  </si>
  <si>
    <t>Ægisíða</t>
  </si>
  <si>
    <t>Gagnvegur</t>
  </si>
  <si>
    <t>Ásvellir</t>
  </si>
  <si>
    <t>kr/l</t>
  </si>
  <si>
    <t>usd/l</t>
  </si>
  <si>
    <t>https://www.bensinverd.is/gsmbensin_web.php</t>
  </si>
  <si>
    <t>díselvél</t>
  </si>
  <si>
    <t>https://www.ato.com/3kw-portable-diesel-generator</t>
  </si>
  <si>
    <t>rated AC/output</t>
  </si>
  <si>
    <t>total</t>
  </si>
  <si>
    <t>ár</t>
  </si>
  <si>
    <t>x</t>
  </si>
  <si>
    <t>liter</t>
  </si>
  <si>
    <t>kWh</t>
  </si>
  <si>
    <t>hour</t>
  </si>
  <si>
    <t>kW</t>
  </si>
  <si>
    <t>tank</t>
  </si>
  <si>
    <t>lasts</t>
  </si>
  <si>
    <t>diesel</t>
  </si>
  <si>
    <t>energy price</t>
  </si>
  <si>
    <t>freedom price</t>
  </si>
  <si>
    <t>Average diesel price 25.07.23</t>
  </si>
  <si>
    <t>Generator cost to run</t>
  </si>
  <si>
    <t>generator cost</t>
  </si>
  <si>
    <t>usd</t>
  </si>
  <si>
    <t>constants</t>
  </si>
  <si>
    <r>
      <t>Ingolfur</t>
    </r>
    <r>
      <rPr>
        <sz val="11"/>
        <color theme="1"/>
        <rFont val="Calibri"/>
        <family val="2"/>
        <scheme val="minor"/>
      </rPr>
      <t xml:space="preserve"> will take the lead on answering questions 1., 2. and 5. </t>
    </r>
  </si>
  <si>
    <t xml:space="preserve">Rúnar has suggested that we’ll work with few different scenarios: </t>
  </si>
  <si>
    <t>avg. home</t>
  </si>
  <si>
    <t>5 kWh each day</t>
  </si>
  <si>
    <t>10 kWh each day</t>
  </si>
  <si>
    <t xml:space="preserve">20 kWh each day. </t>
  </si>
  <si>
    <t>With different sizes of wind turbines and solar panels:</t>
  </si>
  <si>
    <t xml:space="preserve">100W, </t>
  </si>
  <si>
    <t xml:space="preserve">250W, </t>
  </si>
  <si>
    <t xml:space="preserve">500W </t>
  </si>
  <si>
    <t>1000W</t>
  </si>
  <si>
    <t>5000W</t>
  </si>
  <si>
    <t>10000W</t>
  </si>
  <si>
    <t xml:space="preserve">1. How much diesel fuel savings can be expected, based on different: sizes of diesel generators, usage, sizes of batteries. </t>
  </si>
  <si>
    <t>2. How much extra oil savings can be expected by adding wind turbines/solar cells?</t>
  </si>
  <si>
    <t>5. How much reduction of CO2 emissions can be expected per year with the al-HES?</t>
  </si>
  <si>
    <t>200W</t>
  </si>
  <si>
    <t>400W</t>
  </si>
  <si>
    <t>800W</t>
  </si>
  <si>
    <t>https://www.netberg.is/vara/190w-solarsellupakki-med-ollu-kominn-a-ferdavagninn-eda-husbilinn/</t>
  </si>
  <si>
    <t>iskr</t>
  </si>
  <si>
    <t>usd/W</t>
  </si>
  <si>
    <t>https://www.netberg.is/vara/380w-solarsellupakki-tvaer-190w-med-mppt-bt-med-asetningu/</t>
  </si>
  <si>
    <t>https://www.netberg.is/vara/760w-solarsellupakki-fjorar-190w-med-mppt-bt-med-asetningu/</t>
  </si>
  <si>
    <t>https://samras.is/products/e160i-600w</t>
  </si>
  <si>
    <t>600W</t>
  </si>
  <si>
    <t>https://www.ecodirect.com/Kestrel-e160i-600W-12VDC-Off-Grid-Wind-Turbine-p/kestrel-e160i-12v.htm</t>
  </si>
  <si>
    <t>PV</t>
  </si>
  <si>
    <t>WIND</t>
  </si>
  <si>
    <t>https://www.australianwindandsolar.com/aws-wind-turbine-packages</t>
  </si>
  <si>
    <t>3300W</t>
  </si>
  <si>
    <t xml:space="preserve">mean inflationary rate : </t>
  </si>
  <si>
    <t>Mean applied</t>
  </si>
  <si>
    <t xml:space="preserve">Actual </t>
  </si>
  <si>
    <t>100*exp(26*x)</t>
  </si>
  <si>
    <t>rfr</t>
  </si>
  <si>
    <t>-</t>
  </si>
  <si>
    <t>spend (L/year)</t>
  </si>
  <si>
    <t>battery (kWh)</t>
  </si>
  <si>
    <t>usage (kWh)</t>
  </si>
  <si>
    <t>assume westfjords, a remote place in iceland</t>
  </si>
  <si>
    <t>assume constant discount rate of 3%</t>
  </si>
  <si>
    <t>assume constant diesel price</t>
  </si>
  <si>
    <t>assume constant energy price</t>
  </si>
  <si>
    <t>assume year to model is 2023</t>
  </si>
  <si>
    <t>Watts</t>
  </si>
  <si>
    <t>watts</t>
  </si>
  <si>
    <t>assuming residential power output behavior with peak month in january</t>
  </si>
  <si>
    <t xml:space="preserve">battery </t>
  </si>
  <si>
    <t xml:space="preserve"> 1,28kWh</t>
  </si>
  <si>
    <t xml:space="preserve">LiFePO4 </t>
  </si>
  <si>
    <t>12,8V/100Ah</t>
  </si>
  <si>
    <t>kr.</t>
  </si>
  <si>
    <t>based on the same generator as alor (3kW)</t>
  </si>
  <si>
    <t>based on a generator twice as powerful as alors (6kW)</t>
  </si>
  <si>
    <t>29*1kWh</t>
  </si>
  <si>
    <t>15*1kWh</t>
  </si>
  <si>
    <t>8*1kWh</t>
  </si>
  <si>
    <t>3*5kWh</t>
  </si>
  <si>
    <t>6*5kWh</t>
  </si>
  <si>
    <t>15*5kWh</t>
  </si>
  <si>
    <t>gen cost $2500</t>
  </si>
  <si>
    <t>gen cost $5000</t>
  </si>
  <si>
    <t>based on a generator four times as powerful as alors (12kW)</t>
  </si>
  <si>
    <t>Seems to be that the fuel savings are entirely dependant on how much battery space you have available, and under what kind of demand those batteries are.</t>
  </si>
  <si>
    <t>The batteries generally pay for themselves within 1 year</t>
  </si>
  <si>
    <t>27*1kWh</t>
  </si>
  <si>
    <t>100W, PV only</t>
  </si>
  <si>
    <t>250W, PV only</t>
  </si>
  <si>
    <t>16*1kWh</t>
  </si>
  <si>
    <t>5*5kWh</t>
  </si>
  <si>
    <t>1000W, turbine only</t>
  </si>
  <si>
    <t>7*5kWh + 4xturb - gen</t>
  </si>
  <si>
    <t>3*5kWh + 2xturb - gen</t>
  </si>
  <si>
    <t>5*5kWh + 1xturb</t>
  </si>
  <si>
    <t>5*1kWh + 2xturb - gen</t>
  </si>
  <si>
    <t>13*1kWh + 3xturb - gen</t>
  </si>
  <si>
    <t>23*1kWh + 6xturb - gen</t>
  </si>
  <si>
    <t>19*1kWh + 1xturb</t>
  </si>
  <si>
    <t>always exactly 1 PV unit</t>
  </si>
  <si>
    <t>5*1kWh + 1xturb - gen</t>
  </si>
  <si>
    <t>5*1kWh + 1xturb</t>
  </si>
  <si>
    <t>battery (1kWh)</t>
  </si>
  <si>
    <t>battery (5kWh)</t>
  </si>
  <si>
    <t>2*5kWh + 1xturb - PV</t>
  </si>
  <si>
    <t>~5000W, mixed system (3000W turb + 2475W PV)</t>
  </si>
  <si>
    <t>3*5kWh + 1xturb</t>
  </si>
  <si>
    <t>8*5kWh + 1xturb</t>
  </si>
  <si>
    <t>6*5kWh + 1xturb -PV</t>
  </si>
  <si>
    <t>1*5kWh + 1xturb</t>
  </si>
  <si>
    <t>5*1kWh + 1xturb - gen - PV</t>
  </si>
  <si>
    <t>7*1kWh + 1xturb - PV</t>
  </si>
  <si>
    <t>15*1kWh + 1xturb - gen - PV</t>
  </si>
  <si>
    <t>All these systems are need batteries to be able to simulate with PV and wind turbines ( turb)</t>
  </si>
  <si>
    <t>Software is UNUSABLE without batteries</t>
  </si>
  <si>
    <t>~10000W, mixed system (5000w turb + 4400W PV)</t>
  </si>
  <si>
    <t>~500W, PV only ( 440W cell)</t>
  </si>
  <si>
    <t>average</t>
  </si>
  <si>
    <t xml:space="preserve">  =</t>
  </si>
  <si>
    <t>ln(315.4668/100)/26</t>
  </si>
  <si>
    <t>setup (1kWh)</t>
  </si>
  <si>
    <t>setup (5kWh)</t>
  </si>
  <si>
    <t>5kWh batteries</t>
  </si>
  <si>
    <t>1kWh batteries</t>
  </si>
  <si>
    <t>2*5kWh + 1*turbines - PV</t>
  </si>
  <si>
    <t>mixed setup ( combined 10000W PV and turbine)</t>
  </si>
  <si>
    <t>7*1kWh + 1*turbines - PV</t>
  </si>
  <si>
    <t>5*1kWh + 1*turbines - generator - PV</t>
  </si>
  <si>
    <t>15*1kWh + 1*turbines - generator - PV</t>
  </si>
  <si>
    <t>1*5kWh + 1*turbines</t>
  </si>
  <si>
    <t>6*5kWh + 1*turbines - PV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</si>
</sst>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;[Red]\-&quot;$&quot;#,##0.00"/>
    <numFmt numFmtId="164" formatCode="0.0000"/>
    <numFmt numFmtId="165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 vertical="center"/>
    </xf>
    <xf numFmtId="10" fontId="0" fillId="0" borderId="0" xfId="0" applyNumberFormat="1" applyAlignment="1">
      <alignment horizontal="center"/>
    </xf>
    <xf numFmtId="10" fontId="0" fillId="0" borderId="0" xfId="1" applyNumberFormat="1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4" fontId="0" fillId="0" borderId="0" xfId="0" applyNumberFormat="1"/>
    <xf numFmtId="0" fontId="2" fillId="0" borderId="0" xfId="0" applyFont="1"/>
    <xf numFmtId="0" fontId="0" fillId="0" borderId="0" xfId="0" applyAlignment="1">
      <alignment horizontal="left" vertical="center" indent="1"/>
    </xf>
    <xf numFmtId="0" fontId="0" fillId="0" borderId="0" xfId="0" applyAlignment="1">
      <alignment horizontal="left" vertical="center" indent="2"/>
    </xf>
    <xf numFmtId="164" fontId="0" fillId="0" borderId="0" xfId="0" applyNumberFormat="1"/>
    <xf numFmtId="164" fontId="0" fillId="2" borderId="0" xfId="0" applyNumberFormat="1" applyFill="1"/>
    <xf numFmtId="165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8" fontId="2" fillId="0" borderId="0" xfId="0" applyNumberFormat="1" applyFont="1" applyAlignment="1">
      <alignment horizontal="center" vertical="center"/>
    </xf>
    <xf numFmtId="0" fontId="0" fillId="3" borderId="0" xfId="0" applyFill="1" applyAlignment="1">
      <alignment horizontal="left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left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3" fillId="5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</cellXfs>
  <cellStyles count="2">
    <cellStyle name="Normal" xfId="0" builtinId="0"/>
    <cellStyle name="Percent" xfId="1" builtinId="5"/>
  </cellStyles>
  <dxfs count="168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5" formatCode="0.0"/>
      <alignment horizontal="center" vertical="center" textRotation="0" wrapText="0" indent="0" justifyLastLine="0" shrinkToFit="0" readingOrder="0"/>
    </dxf>
    <dxf>
      <numFmt numFmtId="165" formatCode="0.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5" formatCode="0.0"/>
      <alignment horizontal="center" vertical="center" textRotation="0" wrapText="0" indent="0" justifyLastLine="0" shrinkToFit="0" readingOrder="0"/>
    </dxf>
    <dxf>
      <numFmt numFmtId="165" formatCode="0.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099443451921451"/>
          <c:y val="6.828854653205757E-2"/>
          <c:w val="0.79011594138967922"/>
          <c:h val="0.73017627234465532"/>
        </c:manualLayout>
      </c:layout>
      <c:lineChart>
        <c:grouping val="standard"/>
        <c:varyColors val="0"/>
        <c:ser>
          <c:idx val="0"/>
          <c:order val="0"/>
          <c:tx>
            <c:v>Verðbolga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inflation!$D$4:$AC$4</c:f>
              <c:numCache>
                <c:formatCode>General</c:formatCode>
                <c:ptCount val="26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</c:numCache>
            </c:numRef>
          </c:cat>
          <c:val>
            <c:numRef>
              <c:f>inflation!$C$2:$AC$2</c:f>
              <c:numCache>
                <c:formatCode>General</c:formatCode>
                <c:ptCount val="27"/>
                <c:pt idx="0">
                  <c:v>100</c:v>
                </c:pt>
                <c:pt idx="1">
                  <c:v>102.02474690663668</c:v>
                </c:pt>
                <c:pt idx="2">
                  <c:v>103.31833520809899</c:v>
                </c:pt>
                <c:pt idx="3">
                  <c:v>109.11136107986502</c:v>
                </c:pt>
                <c:pt idx="4">
                  <c:v>113.66704161979753</c:v>
                </c:pt>
                <c:pt idx="5">
                  <c:v>123.45331833520811</c:v>
                </c:pt>
                <c:pt idx="6">
                  <c:v>125.92800899887516</c:v>
                </c:pt>
                <c:pt idx="7">
                  <c:v>129.35883014623172</c:v>
                </c:pt>
                <c:pt idx="8">
                  <c:v>134.42069741282339</c:v>
                </c:pt>
                <c:pt idx="9">
                  <c:v>139.98875140607424</c:v>
                </c:pt>
                <c:pt idx="10">
                  <c:v>149.71878515185603</c:v>
                </c:pt>
                <c:pt idx="11">
                  <c:v>158.49268841394829</c:v>
                </c:pt>
                <c:pt idx="12">
                  <c:v>184.42069741282339</c:v>
                </c:pt>
                <c:pt idx="13">
                  <c:v>200.33745781777279</c:v>
                </c:pt>
                <c:pt idx="14">
                  <c:v>205.56805399325086</c:v>
                </c:pt>
                <c:pt idx="15">
                  <c:v>216.310461192351</c:v>
                </c:pt>
                <c:pt idx="16">
                  <c:v>226.09673790776154</c:v>
                </c:pt>
                <c:pt idx="17">
                  <c:v>234.36445444319463</c:v>
                </c:pt>
                <c:pt idx="18">
                  <c:v>236.78290213723287</c:v>
                </c:pt>
                <c:pt idx="19">
                  <c:v>241.50731158605177</c:v>
                </c:pt>
                <c:pt idx="20">
                  <c:v>246.56917885264343</c:v>
                </c:pt>
                <c:pt idx="21">
                  <c:v>250.84364454443198</c:v>
                </c:pt>
                <c:pt idx="22">
                  <c:v>258.99887514060742</c:v>
                </c:pt>
                <c:pt idx="23">
                  <c:v>265.9167604049494</c:v>
                </c:pt>
                <c:pt idx="24">
                  <c:v>275.1968503937008</c:v>
                </c:pt>
                <c:pt idx="25">
                  <c:v>288.52643419572553</c:v>
                </c:pt>
                <c:pt idx="26">
                  <c:v>315.46681664791896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76-4D9A-A77A-81F1D550C1AA}"/>
            </c:ext>
          </c:extLst>
        </c:ser>
        <c:ser>
          <c:idx val="1"/>
          <c:order val="1"/>
          <c:tx>
            <c:v>Meðalverðbólga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inflation!$D$4:$AC$4</c:f>
              <c:numCache>
                <c:formatCode>General</c:formatCode>
                <c:ptCount val="26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</c:numCache>
            </c:numRef>
          </c:cat>
          <c:val>
            <c:numRef>
              <c:f>inflation!$C$6:$AC$6</c:f>
              <c:numCache>
                <c:formatCode>General</c:formatCode>
                <c:ptCount val="27"/>
                <c:pt idx="0">
                  <c:v>100</c:v>
                </c:pt>
                <c:pt idx="1">
                  <c:v>104.51786416431477</c:v>
                </c:pt>
                <c:pt idx="2">
                  <c:v>109.23983929470154</c:v>
                </c:pt>
                <c:pt idx="3">
                  <c:v>114.1751468473519</c:v>
                </c:pt>
                <c:pt idx="4">
                  <c:v>119.33342489132217</c:v>
                </c:pt>
                <c:pt idx="5">
                  <c:v>124.72474693053668</c:v>
                </c:pt>
                <c:pt idx="6">
                  <c:v>130.35964157614367</c:v>
                </c:pt>
                <c:pt idx="7">
                  <c:v>136.24911310764145</c:v>
                </c:pt>
                <c:pt idx="8">
                  <c:v>142.40466296292828</c:v>
                </c:pt>
                <c:pt idx="9">
                  <c:v>148.83831219924363</c:v>
                </c:pt>
                <c:pt idx="10">
                  <c:v>155.56262496886418</c:v>
                </c:pt>
                <c:pt idx="11">
                  <c:v>162.59073305539988</c:v>
                </c:pt>
                <c:pt idx="12">
                  <c:v>169.93636151860647</c:v>
                </c:pt>
                <c:pt idx="13">
                  <c:v>177.61385549779598</c:v>
                </c:pt>
                <c:pt idx="14">
                  <c:v>185.63820822618871</c:v>
                </c:pt>
                <c:pt idx="15">
                  <c:v>194.02509031091572</c:v>
                </c:pt>
                <c:pt idx="16">
                  <c:v>202.79088033585194</c:v>
                </c:pt>
                <c:pt idx="17">
                  <c:v>211.95269684704382</c:v>
                </c:pt>
                <c:pt idx="18">
                  <c:v>221.52843178319515</c:v>
                </c:pt>
                <c:pt idx="19">
                  <c:v>231.5367854164966</c:v>
                </c:pt>
                <c:pt idx="20">
                  <c:v>241.99730287203488</c:v>
                </c:pt>
                <c:pt idx="21">
                  <c:v>252.93041229709883</c:v>
                </c:pt>
                <c:pt idx="22">
                  <c:v>264.35746475492306</c:v>
                </c:pt>
                <c:pt idx="23">
                  <c:v>276.30077592077674</c:v>
                </c:pt>
                <c:pt idx="24">
                  <c:v>288.78366966182517</c:v>
                </c:pt>
                <c:pt idx="25">
                  <c:v>301.83052358586991</c:v>
                </c:pt>
                <c:pt idx="26">
                  <c:v>315.46681664791959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76-4D9A-A77A-81F1D550C1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7296911"/>
        <c:axId val="1474805279"/>
      </c:lineChart>
      <c:catAx>
        <c:axId val="1477296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4805279"/>
        <c:crosses val="autoZero"/>
        <c:auto val="1"/>
        <c:lblAlgn val="ctr"/>
        <c:lblOffset val="100"/>
        <c:noMultiLvlLbl val="0"/>
      </c:catAx>
      <c:valAx>
        <c:axId val="1474805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7296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2975709246535266"/>
          <c:y val="0.85241248884293508"/>
          <c:w val="0.74048581506929467"/>
          <c:h val="0.120651484221038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inflation!$C$114:$AY$114</c:f>
              <c:numCache>
                <c:formatCode>General</c:formatCode>
                <c:ptCount val="49"/>
                <c:pt idx="0">
                  <c:v>414.88848385314537</c:v>
                </c:pt>
                <c:pt idx="1">
                  <c:v>428.18833798393609</c:v>
                </c:pt>
                <c:pt idx="2">
                  <c:v>442.0646079990558</c:v>
                </c:pt>
                <c:pt idx="3">
                  <c:v>456.52778088162665</c:v>
                </c:pt>
                <c:pt idx="4">
                  <c:v>471.58465268430979</c:v>
                </c:pt>
                <c:pt idx="5">
                  <c:v>487.23739708954707</c:v>
                </c:pt>
                <c:pt idx="6">
                  <c:v>503.48247337183363</c:v>
                </c:pt>
                <c:pt idx="7">
                  <c:v>520.30935001436399</c:v>
                </c:pt>
                <c:pt idx="8">
                  <c:v>537.69901705123993</c:v>
                </c:pt>
                <c:pt idx="9">
                  <c:v>555.62225663173524</c:v>
                </c:pt>
                <c:pt idx="10">
                  <c:v>574.03763728953652</c:v>
                </c:pt>
                <c:pt idx="11">
                  <c:v>592.88919289726095</c:v>
                </c:pt>
                <c:pt idx="12">
                  <c:v>612.10374223935219</c:v>
                </c:pt>
                <c:pt idx="13">
                  <c:v>631.58779948325162</c:v>
                </c:pt>
                <c:pt idx="14">
                  <c:v>651.22401950167023</c:v>
                </c:pt>
                <c:pt idx="15">
                  <c:v>670.86711492280119</c:v>
                </c:pt>
                <c:pt idx="16">
                  <c:v>690.33917387766746</c:v>
                </c:pt>
                <c:pt idx="17">
                  <c:v>709.42429858311516</c:v>
                </c:pt>
                <c:pt idx="18">
                  <c:v>727.86247504446817</c:v>
                </c:pt>
                <c:pt idx="19">
                  <c:v>745.34257317258721</c:v>
                </c:pt>
                <c:pt idx="20">
                  <c:v>761.49436436364829</c:v>
                </c:pt>
                <c:pt idx="21">
                  <c:v>775.87942995178878</c:v>
                </c:pt>
                <c:pt idx="22">
                  <c:v>787.98081876669426</c:v>
                </c:pt>
                <c:pt idx="23">
                  <c:v>797.19129514730218</c:v>
                </c:pt>
                <c:pt idx="24">
                  <c:v>802.7999999999995</c:v>
                </c:pt>
                <c:pt idx="25">
                  <c:v>803.97732664836008</c:v>
                </c:pt>
                <c:pt idx="26">
                  <c:v>799.75779008550649</c:v>
                </c:pt>
                <c:pt idx="27">
                  <c:v>789.02064257267375</c:v>
                </c:pt>
                <c:pt idx="28">
                  <c:v>770.467960068499</c:v>
                </c:pt>
                <c:pt idx="29">
                  <c:v>742.59989243792438</c:v>
                </c:pt>
                <c:pt idx="30">
                  <c:v>703.68673546512537</c:v>
                </c:pt>
                <c:pt idx="31">
                  <c:v>651.73744403947421</c:v>
                </c:pt>
                <c:pt idx="32">
                  <c:v>584.46416312278734</c:v>
                </c:pt>
                <c:pt idx="33">
                  <c:v>499.24230583035614</c:v>
                </c:pt>
                <c:pt idx="34">
                  <c:v>393.06565571923556</c:v>
                </c:pt>
                <c:pt idx="35">
                  <c:v>262.49591268549011</c:v>
                </c:pt>
                <c:pt idx="36">
                  <c:v>103.60603819169319</c:v>
                </c:pt>
                <c:pt idx="37">
                  <c:v>-88.083314706469537</c:v>
                </c:pt>
                <c:pt idx="38">
                  <c:v>-317.67507852999643</c:v>
                </c:pt>
                <c:pt idx="39">
                  <c:v>-590.97563310875557</c:v>
                </c:pt>
                <c:pt idx="40">
                  <c:v>-914.58422328048073</c:v>
                </c:pt>
                <c:pt idx="41">
                  <c:v>-1295.9930074931053</c:v>
                </c:pt>
                <c:pt idx="42">
                  <c:v>-1743.6989261776307</c:v>
                </c:pt>
                <c:pt idx="43">
                  <c:v>-2267.3287040682062</c:v>
                </c:pt>
                <c:pt idx="44">
                  <c:v>-2877.7784384078896</c:v>
                </c:pt>
                <c:pt idx="45">
                  <c:v>-3587.3693763540741</c:v>
                </c:pt>
                <c:pt idx="46">
                  <c:v>-4410.0216511585895</c:v>
                </c:pt>
                <c:pt idx="47">
                  <c:v>-5361.4479292170035</c:v>
                </c:pt>
                <c:pt idx="48">
                  <c:v>-6459.3691203645903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6C-497C-B9D0-CAFF3670D2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5838367"/>
        <c:axId val="716541071"/>
      </c:lineChart>
      <c:catAx>
        <c:axId val="785838367"/>
        <c:scaling>
          <c:orientation val="minMax"/>
        </c:scaling>
        <c:delete val="0"/>
        <c:axPos val="b"/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541071"/>
        <c:crosses val="autoZero"/>
        <c:auto val="1"/>
        <c:lblAlgn val="ctr"/>
        <c:lblOffset val="100"/>
        <c:noMultiLvlLbl val="0"/>
      </c:catAx>
      <c:valAx>
        <c:axId val="71654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5838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152398</xdr:colOff>
      <xdr:row>7</xdr:row>
      <xdr:rowOff>66674</xdr:rowOff>
    </xdr:from>
    <xdr:to>
      <xdr:col>16</xdr:col>
      <xdr:colOff>133350</xdr:colOff>
      <xdr:row>24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9BA3DD-E05F-4ABF-AFE7-DD6CFEE55E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457200</xdr:colOff>
      <xdr:row>115</xdr:row>
      <xdr:rowOff>4762</xdr:rowOff>
    </xdr:from>
    <xdr:to>
      <xdr:col>9</xdr:col>
      <xdr:colOff>723900</xdr:colOff>
      <xdr:row>129</xdr:row>
      <xdr:rowOff>80962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E64036E-2CB7-A049-D0B8-8ECF0A16BC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8FB1AFDC-DA59-4BFF-AC82-28756351CDD6}" name="Table11" displayName="Table11" ref="S2:V6" totalsRowCount="1" headerRowDxfId="167" dataDxfId="166">
  <autoFilter ref="S2:V5" xr:uid="{8FB1AFDC-DA59-4BFF-AC82-28756351CDD6}"/>
  <tableColumns count="4">
    <tableColumn id="1" xr3:uid="{FC5BE521-8465-4B6E-AD8C-6F929A6B5A70}" name="Watts" dataDxfId="165" totalsRowDxfId="164"/>
    <tableColumn id="2" xr3:uid="{3E37388E-F637-4C53-B2CB-99ECB79CFCEA}" name="iskr" dataDxfId="163" totalsRowDxfId="162"/>
    <tableColumn id="3" xr3:uid="{74155645-9E6C-448F-88AD-A793DEB4207E}" name="usd" dataDxfId="161" totalsRowDxfId="160">
      <calculatedColumnFormula>T3/131.35</calculatedColumnFormula>
    </tableColumn>
    <tableColumn id="4" xr3:uid="{2D190DD4-0424-4930-94F2-577B018BFD6A}" name="usd/W" totalsRowFunction="custom" dataDxfId="159" totalsRowDxfId="158">
      <totalsRowFormula>AVERAGE(Table11[usd/W])</totalsRowFormula>
    </tableColumn>
  </tableColumns>
  <tableStyleInfo name="TableStyleLight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6B0E6524-B18A-49F4-AA01-40D4517DEBB3}" name="Table139" displayName="Table139" ref="G23:I26" totalsRowShown="0" headerRowDxfId="112" dataDxfId="111">
  <autoFilter ref="G23:I26" xr:uid="{6B0E6524-B18A-49F4-AA01-40D4517DEBB3}"/>
  <tableColumns count="3">
    <tableColumn id="1" xr3:uid="{72520B54-342F-4515-A966-7C638A21C463}" name="usage (kWh)" dataDxfId="110"/>
    <tableColumn id="2" xr3:uid="{FD8C8210-42F4-4CA7-9529-EDF4CCD998A4}" name="battery (kWh)" dataDxfId="109"/>
    <tableColumn id="3" xr3:uid="{8F19C7E9-8E5A-4E04-8F5B-E8566C3E3CB4}" name="spend (L/year)" dataDxfId="108"/>
  </tableColumns>
  <tableStyleInfo name="TableStyleLight9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45CC11CF-7712-4177-A45A-25E7A78A97E9}" name="Table1410" displayName="Table1410" ref="K23:M26" totalsRowShown="0" headerRowDxfId="107" dataDxfId="106">
  <autoFilter ref="K23:M26" xr:uid="{45CC11CF-7712-4177-A45A-25E7A78A97E9}"/>
  <tableColumns count="3">
    <tableColumn id="1" xr3:uid="{211686E8-32FE-44BA-99AB-695A0BA44B10}" name="usage (kWh)" dataDxfId="105"/>
    <tableColumn id="2" xr3:uid="{9D5D11BC-65D4-427F-91FC-AD4EF75C6A3E}" name="battery (kWh)" dataDxfId="104"/>
    <tableColumn id="3" xr3:uid="{7600CD46-6EAF-4B26-AC23-2870BBF47DE2}" name="spend (L/year)" dataDxfId="103"/>
  </tableColumns>
  <tableStyleInfo name="TableStyleLight9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1336DF61-34B3-479E-8AC6-B786187B93D9}" name="Table114" displayName="Table114" ref="B10:D13" totalsRowShown="0" headerRowDxfId="102" dataDxfId="101">
  <autoFilter ref="B10:D13" xr:uid="{1336DF61-34B3-479E-8AC6-B786187B93D9}"/>
  <tableColumns count="3">
    <tableColumn id="1" xr3:uid="{05A9D59B-7C44-4E67-8EB0-9AFD951AFB7E}" name="usage (kWh)" dataDxfId="100"/>
    <tableColumn id="2" xr3:uid="{A52EACC8-BE9A-486F-95B0-D918E5A79FA2}" name="battery (kWh)" dataDxfId="99"/>
    <tableColumn id="3" xr3:uid="{20F6A512-F62C-439B-85A0-B20BE368054A}" name="spend (L/year)" dataDxfId="98"/>
  </tableColumns>
  <tableStyleInfo name="TableStyleLight9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903287ED-DC26-43EE-8308-F54DF63108E6}" name="Table1315" displayName="Table1315" ref="B16:D19" totalsRowShown="0" headerRowDxfId="97" dataDxfId="96">
  <autoFilter ref="B16:D19" xr:uid="{903287ED-DC26-43EE-8308-F54DF63108E6}"/>
  <tableColumns count="3">
    <tableColumn id="1" xr3:uid="{002622EF-6F88-4B87-9861-DAF7A5F593BC}" name="usage (kWh)" dataDxfId="95"/>
    <tableColumn id="2" xr3:uid="{AB78E625-17E2-4D2C-BA8F-F71085633110}" name="battery (kWh)" dataDxfId="94"/>
    <tableColumn id="3" xr3:uid="{FE74C7E2-E9EE-45E1-9592-0F0A8B11CB60}" name="spend (L/year)" dataDxfId="93"/>
  </tableColumns>
  <tableStyleInfo name="TableStyleLight9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5B809C15-AB52-4971-A2C6-91862FAB1BB1}" name="Table1416" displayName="Table1416" ref="B22:D25" totalsRowShown="0" headerRowDxfId="92" dataDxfId="91">
  <autoFilter ref="B22:D25" xr:uid="{5B809C15-AB52-4971-A2C6-91862FAB1BB1}"/>
  <tableColumns count="3">
    <tableColumn id="1" xr3:uid="{1A4E04CD-7DF6-430C-842B-26F024CE7DDB}" name="usage (kWh)" dataDxfId="90"/>
    <tableColumn id="2" xr3:uid="{E06C3D0C-ECF0-459A-B4E6-8CF4F98FC89F}" name="battery (kWh)" dataDxfId="89"/>
    <tableColumn id="3" xr3:uid="{B621399B-67FC-45A4-95ED-A1155D7EE03C}" name="spend (L/year)" dataDxfId="88"/>
  </tableColumns>
  <tableStyleInfo name="TableStyleLight9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A2249AEB-34FB-4E46-9F09-19765E25319F}" name="Table141624" displayName="Table141624" ref="B28:D31" totalsRowShown="0" headerRowDxfId="87" dataDxfId="86">
  <autoFilter ref="B28:D31" xr:uid="{A2249AEB-34FB-4E46-9F09-19765E25319F}"/>
  <tableColumns count="3">
    <tableColumn id="1" xr3:uid="{77738879-DFA1-40A1-9EA0-847631EC42AE}" name="usage (kWh)" dataDxfId="85"/>
    <tableColumn id="2" xr3:uid="{95FC2DCD-AA2F-4736-8A2D-ADDB24BD9CAC}" name="battery (kWh)" dataDxfId="84"/>
    <tableColumn id="3" xr3:uid="{828489AE-A503-4AAB-9EDD-948472252EAF}" name="spend (L/year)" dataDxfId="83"/>
  </tableColumns>
  <tableStyleInfo name="TableStyleLight9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2D2B17F1-8045-4801-A1E4-203E6E05389D}" name="Table141625" displayName="Table141625" ref="B34:D37" totalsRowShown="0" headerRowDxfId="82" dataDxfId="81">
  <autoFilter ref="B34:D37" xr:uid="{2D2B17F1-8045-4801-A1E4-203E6E05389D}"/>
  <tableColumns count="3">
    <tableColumn id="1" xr3:uid="{04775794-16A5-4639-B904-471CF6925C6C}" name="usage (kWh)" dataDxfId="80"/>
    <tableColumn id="2" xr3:uid="{67D5A6C9-29BF-42CD-A655-13F1E04F4669}" name="battery (kWh)" dataDxfId="79"/>
    <tableColumn id="3" xr3:uid="{E385FD26-808F-4E44-9467-8C0F4BEC4B1D}" name="spend (L/year)" dataDxfId="78"/>
  </tableColumns>
  <tableStyleInfo name="TableStyleLight9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1B9823C7-203E-43B5-A07F-63E77CEDCBB2}" name="Table141626" displayName="Table141626" ref="B40:D43" totalsRowShown="0" headerRowDxfId="77" dataDxfId="76">
  <autoFilter ref="B40:D43" xr:uid="{1B9823C7-203E-43B5-A07F-63E77CEDCBB2}"/>
  <tableColumns count="3">
    <tableColumn id="1" xr3:uid="{AE419846-645C-4DD5-B21E-502BB2776A07}" name="usage (kWh)" dataDxfId="75"/>
    <tableColumn id="2" xr3:uid="{C4EABFE3-148E-484D-BF10-46D7841B817D}" name="battery (kWh)" dataDxfId="74"/>
    <tableColumn id="3" xr3:uid="{CDAB66EE-ED54-4A0D-8837-BE12532891A2}" name="spend (L/year)" dataDxfId="73"/>
  </tableColumns>
  <tableStyleInfo name="TableStyleLight9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186E09DA-840B-4DFA-8FF9-D68CD67EAD88}" name="Table34" displayName="Table34" ref="G10:H13" totalsRowShown="0" headerRowDxfId="72" dataDxfId="71">
  <autoFilter ref="G10:H13" xr:uid="{186E09DA-840B-4DFA-8FF9-D68CD67EAD88}"/>
  <tableColumns count="2">
    <tableColumn id="1" xr3:uid="{3DAB9D4D-6B53-41F8-935F-2702030078DA}" name="battery (1kWh)" dataDxfId="70"/>
    <tableColumn id="2" xr3:uid="{F8549732-33A8-48DD-93CA-4986E9CA6806}" name="spend (L/year)" dataDxfId="69"/>
  </tableColumns>
  <tableStyleInfo name="TableStyleLight9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30CCCBF7-A9A7-47FA-B5B1-4E15147D3BFE}" name="Table35" displayName="Table35" ref="J10:K13" totalsRowShown="0" headerRowDxfId="68" dataDxfId="67">
  <autoFilter ref="J10:K13" xr:uid="{30CCCBF7-A9A7-47FA-B5B1-4E15147D3BFE}"/>
  <tableColumns count="2">
    <tableColumn id="1" xr3:uid="{F8FF0976-0CE1-41AA-9026-958E8371A6E8}" name="battery (5kWh)" dataDxfId="66"/>
    <tableColumn id="2" xr3:uid="{DDC64AC4-F1BD-4A26-BCFE-D4E6EC0E8626}" name="spend (L/year)" dataDxfId="65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22D432B1-2E97-4268-AE28-7011D267C9EE}" name="Table12" displayName="Table12" ref="S9:V14" totalsRowCount="1" headerRowDxfId="157" dataDxfId="156">
  <autoFilter ref="S9:V13" xr:uid="{22D432B1-2E97-4268-AE28-7011D267C9EE}"/>
  <tableColumns count="4">
    <tableColumn id="1" xr3:uid="{1479354B-279C-4ACF-9C3F-3EC4A0303C13}" name="watts" dataDxfId="155" totalsRowDxfId="154"/>
    <tableColumn id="2" xr3:uid="{246F5AE9-5136-4ED0-864D-D8BE32BA8FDE}" name="iskr" dataDxfId="153" totalsRowDxfId="152"/>
    <tableColumn id="3" xr3:uid="{80C45736-FCCF-41B6-8D09-A9E0A38EB586}" name="usd" dataDxfId="151" totalsRowDxfId="150"/>
    <tableColumn id="4" xr3:uid="{5F7BFB88-BE36-4382-9A26-CAAC46509327}" name="usd/W" totalsRowFunction="custom" dataDxfId="149" totalsRowDxfId="148">
      <totalsRowFormula>AVERAGE(V12:V13,V10)</totalsRowFormula>
    </tableColumn>
  </tableColumns>
  <tableStyleInfo name="TableStyleLight9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91CDAD07-0DA6-4A81-9173-BC6C057E9DBB}" name="Table36" displayName="Table36" ref="G16:H19" totalsRowShown="0" headerRowDxfId="64" dataDxfId="63">
  <autoFilter ref="G16:H19" xr:uid="{91CDAD07-0DA6-4A81-9173-BC6C057E9DBB}"/>
  <tableColumns count="2">
    <tableColumn id="1" xr3:uid="{933BB4DA-34D5-4E0D-B300-04364B1CD0F4}" name="battery (1kWh)" dataDxfId="62"/>
    <tableColumn id="2" xr3:uid="{85BC1C6E-E635-4FA8-B23B-308B7A679CC5}" name="spend (L/year)" dataDxfId="61"/>
  </tableColumns>
  <tableStyleInfo name="TableStyleLight9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9583D76B-EE78-45DF-A908-496C130010A3}" name="Table37" displayName="Table37" ref="J16:K19" totalsRowShown="0" headerRowDxfId="60" dataDxfId="59">
  <autoFilter ref="J16:K19" xr:uid="{9583D76B-EE78-45DF-A908-496C130010A3}"/>
  <tableColumns count="2">
    <tableColumn id="1" xr3:uid="{FB4A8DB8-499E-45CE-87D2-815F062EA3B4}" name="battery (5kWh)" dataDxfId="58"/>
    <tableColumn id="2" xr3:uid="{88871F28-18EB-457E-AD9A-44C14BDDE70D}" name="spend (L/year)" dataDxfId="57"/>
  </tableColumns>
  <tableStyleInfo name="TableStyleLight9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A96C8C8B-E252-44CD-AC06-6522FDE3A2B0}" name="Table38" displayName="Table38" ref="J22:K25" totalsRowShown="0" headerRowDxfId="56" dataDxfId="55">
  <autoFilter ref="J22:K25" xr:uid="{A96C8C8B-E252-44CD-AC06-6522FDE3A2B0}"/>
  <tableColumns count="2">
    <tableColumn id="1" xr3:uid="{005EBA96-C3EC-4626-9525-5255B9EEB86E}" name="battery (5kWh)" dataDxfId="54"/>
    <tableColumn id="2" xr3:uid="{5F8A8F06-08FC-4D86-81DE-D4265EB1204B}" name="spend (L/year)" dataDxfId="53"/>
  </tableColumns>
  <tableStyleInfo name="TableStyleLight9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C64542BE-FC1C-4711-AEEA-011E39F5A909}" name="Table39" displayName="Table39" ref="G22:H25" totalsRowShown="0" headerRowDxfId="52" dataDxfId="51">
  <autoFilter ref="G22:H25" xr:uid="{C64542BE-FC1C-4711-AEEA-011E39F5A909}"/>
  <tableColumns count="2">
    <tableColumn id="1" xr3:uid="{67CE606B-B780-4679-BD3E-AAC4ED1FC98F}" name="battery (1kWh)" dataDxfId="50"/>
    <tableColumn id="2" xr3:uid="{07F73E38-7CD6-4B88-984A-138ADA47AF2C}" name="spend (L/year)" dataDxfId="49"/>
  </tableColumns>
  <tableStyleInfo name="TableStyleLight9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5449A475-F95A-444C-9621-42CD06670867}" name="Table40" displayName="Table40" ref="G28:H31" totalsRowShown="0" headerRowDxfId="48" dataDxfId="47">
  <autoFilter ref="G28:H31" xr:uid="{5449A475-F95A-444C-9621-42CD06670867}"/>
  <tableColumns count="2">
    <tableColumn id="1" xr3:uid="{CD067D51-24A7-4A90-9FA8-C30508B94B1B}" name="battery (1kWh)" dataDxfId="46"/>
    <tableColumn id="2" xr3:uid="{A3F925B3-6651-4536-8F75-2AF13FA984A8}" name="spend (L/year)" dataDxfId="45"/>
  </tableColumns>
  <tableStyleInfo name="TableStyleLight9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DBF5F571-42CC-4804-8500-D556EFF33536}" name="Table41" displayName="Table41" ref="J28:K31" totalsRowShown="0" headerRowDxfId="44" dataDxfId="43">
  <autoFilter ref="J28:K31" xr:uid="{DBF5F571-42CC-4804-8500-D556EFF33536}"/>
  <tableColumns count="2">
    <tableColumn id="1" xr3:uid="{B6AE37FC-FC13-475A-AE1A-0F8780AFF6A1}" name="battery (5kWh)" dataDxfId="42"/>
    <tableColumn id="2" xr3:uid="{8F102F62-E72F-42F5-B6AC-0A33BB90D0B8}" name="spend (L/year)" dataDxfId="41"/>
  </tableColumns>
  <tableStyleInfo name="TableStyleLight9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3D0C92FD-8FD2-4A99-AF99-814F9B4287DC}" name="Table42" displayName="Table42" ref="G34:H37" totalsRowShown="0" headerRowDxfId="40" dataDxfId="39">
  <autoFilter ref="G34:H37" xr:uid="{3D0C92FD-8FD2-4A99-AF99-814F9B4287DC}"/>
  <tableColumns count="2">
    <tableColumn id="1" xr3:uid="{72E8D911-C47D-4041-B4A3-E0E551B8FB38}" name="battery (1kWh)" dataDxfId="38"/>
    <tableColumn id="2" xr3:uid="{448184DA-9C7B-4EFD-921C-8B2C1DC37493}" name="spend (L/year)" dataDxfId="37"/>
  </tableColumns>
  <tableStyleInfo name="TableStyleLight9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" xr:uid="{5BDB2091-A889-461D-BC17-60927B08027E}" name="Table43" displayName="Table43" ref="J34:K37" totalsRowShown="0" headerRowDxfId="36" dataDxfId="35">
  <autoFilter ref="J34:K37" xr:uid="{5BDB2091-A889-461D-BC17-60927B08027E}"/>
  <tableColumns count="2">
    <tableColumn id="1" xr3:uid="{A517AFD8-FF83-45F5-8F81-91E09D7D653B}" name="battery (5kWh)" dataDxfId="34"/>
    <tableColumn id="2" xr3:uid="{0980C4EB-DD3F-4FFF-894A-553BFCA76266}" name="spend (L/year)" dataDxfId="33"/>
  </tableColumns>
  <tableStyleInfo name="TableStyleLight9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" xr:uid="{54CB4B84-1FB1-42AE-84A1-DADCE3AD0126}" name="Table44" displayName="Table44" ref="G40:H43" totalsRowShown="0" headerRowDxfId="32" dataDxfId="31">
  <autoFilter ref="G40:H43" xr:uid="{54CB4B84-1FB1-42AE-84A1-DADCE3AD0126}"/>
  <tableColumns count="2">
    <tableColumn id="1" xr3:uid="{30DBAD57-E1E8-424F-8E77-4D281287FDCB}" name="battery (1kWh)" dataDxfId="30"/>
    <tableColumn id="2" xr3:uid="{6095BAA1-38FE-4443-B9FC-0C21D30631CE}" name="spend (L/year)" dataDxfId="29"/>
  </tableColumns>
  <tableStyleInfo name="TableStyleLight9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" xr:uid="{635B4A52-752D-4F1D-A7A0-3DE7D9CC0CF2}" name="Table45" displayName="Table45" ref="J40:K43" totalsRowShown="0" headerRowDxfId="28" dataDxfId="27">
  <autoFilter ref="J40:K43" xr:uid="{635B4A52-752D-4F1D-A7A0-3DE7D9CC0CF2}"/>
  <tableColumns count="2">
    <tableColumn id="1" xr3:uid="{AB135B3B-94B8-458A-99CE-B2EBB3DB6C2A}" name="battery (5kWh)" dataDxfId="26"/>
    <tableColumn id="2" xr3:uid="{B8ECCBA7-CBFF-4F54-A66D-3DBADFD28F0D}" name="spend (L/year)" dataDxfId="25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6EAEFD6-49AF-40D5-9B90-AC276BCF49C2}" name="Table1" displayName="Table1" ref="C7:E10" totalsRowShown="0" headerRowDxfId="147" dataDxfId="146">
  <autoFilter ref="C7:E10" xr:uid="{36EAEFD6-49AF-40D5-9B90-AC276BCF49C2}"/>
  <tableColumns count="3">
    <tableColumn id="1" xr3:uid="{23747BD7-A89C-4056-8A53-AB5BA6E50620}" name="usage (kWh)" dataDxfId="145"/>
    <tableColumn id="2" xr3:uid="{3C317834-4B3D-4CBD-BE7C-F17B17384423}" name="battery (kWh)" dataDxfId="144"/>
    <tableColumn id="3" xr3:uid="{91C30AB3-CDF8-4FE9-AE4D-BAA7EAC98E88}" name="spend (L/year)" dataDxfId="143"/>
  </tableColumns>
  <tableStyleInfo name="TableStyleLight9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64F881F8-FD27-4D87-A6F5-C1759100B71B}" name="Table10" displayName="Table10" ref="B46:D49" totalsRowShown="0" headerRowDxfId="6" dataDxfId="5">
  <autoFilter ref="B46:D49" xr:uid="{64F881F8-FD27-4D87-A6F5-C1759100B71B}"/>
  <tableColumns count="3">
    <tableColumn id="1" xr3:uid="{C4412BA3-97FC-4F8A-8FBA-95E825B9859F}" name="usage (kWh)" dataDxfId="9"/>
    <tableColumn id="2" xr3:uid="{5569D5E9-DF47-4AD0-B960-634D8FA4851A}" name="setup (1kWh)" dataDxfId="8"/>
    <tableColumn id="3" xr3:uid="{225B05DD-1B8B-4F51-87F8-5850AD6603D5}" name="spend (L/year)" dataDxfId="7"/>
  </tableColumns>
  <tableStyleInfo name="TableStyleLight9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8743A6B8-2CD3-4E0E-B3D5-C1A00FA764D8}" name="Table1017" displayName="Table1017" ref="B50:D53" totalsRowShown="0" headerRowDxfId="4" dataDxfId="3">
  <autoFilter ref="B50:D53" xr:uid="{8743A6B8-2CD3-4E0E-B3D5-C1A00FA764D8}"/>
  <tableColumns count="3">
    <tableColumn id="1" xr3:uid="{3B28E5AF-23A3-4EFD-AEC8-DCA8EA74BB06}" name="usage (kWh)" dataDxfId="2"/>
    <tableColumn id="2" xr3:uid="{8D00CC28-F2B3-45C7-87B9-5F5A46ECC05A}" name="setup (5kWh)" dataDxfId="1"/>
    <tableColumn id="3" xr3:uid="{67E93469-34A9-4F6F-8D3B-1E483A4B3190}" name="spend (L/year)" dataDxfId="0"/>
  </tableColumns>
  <tableStyleInfo name="TableStyleLight9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C7746E4C-5184-437E-B7E9-EBF9F486BA39}" name="Table11420" displayName="Table11420" ref="B10:D13" totalsRowShown="0" headerRowDxfId="24" dataDxfId="23">
  <autoFilter ref="B10:D13" xr:uid="{C7746E4C-5184-437E-B7E9-EBF9F486BA39}"/>
  <tableColumns count="3">
    <tableColumn id="1" xr3:uid="{3AC925A8-3475-478E-8FEE-D18F1981A88D}" name="usage (kWh)" dataDxfId="22"/>
    <tableColumn id="2" xr3:uid="{7B14A8EE-C0ED-4C46-90EB-F29699790BDC}" name="battery (kWh)" dataDxfId="21"/>
    <tableColumn id="3" xr3:uid="{357BD70A-3E31-4280-931A-8944A976BA96}" name="spend (L/year)" dataDxfId="20"/>
  </tableColumns>
  <tableStyleInfo name="TableStyleLight9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2CF0ED33-85F9-4A69-8E92-872459EFAFB6}" name="Table131521" displayName="Table131521" ref="F10:H13" totalsRowShown="0" headerRowDxfId="19" dataDxfId="18">
  <autoFilter ref="F10:H13" xr:uid="{2CF0ED33-85F9-4A69-8E92-872459EFAFB6}"/>
  <tableColumns count="3">
    <tableColumn id="1" xr3:uid="{F2800D6B-5180-4733-8867-74F3F637258F}" name="usage (kWh)" dataDxfId="17"/>
    <tableColumn id="2" xr3:uid="{43FB9465-4308-495E-911F-C3F9D940CF68}" name="battery (kWh)" dataDxfId="16"/>
    <tableColumn id="3" xr3:uid="{FF5C6EFB-A79A-4468-B47D-5A6603C4D5EF}" name="spend (L/year)" dataDxfId="15"/>
  </tableColumns>
  <tableStyleInfo name="TableStyleLight9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A159A2B7-B7EE-43C3-9394-BDCBB865A550}" name="Table141622" displayName="Table141622" ref="J10:L13" totalsRowShown="0" headerRowDxfId="14" dataDxfId="13">
  <autoFilter ref="J10:L13" xr:uid="{A159A2B7-B7EE-43C3-9394-BDCBB865A550}"/>
  <tableColumns count="3">
    <tableColumn id="1" xr3:uid="{EABCBC3C-0BAA-4A6D-8950-D31780DCD6E4}" name="usage (kWh)" dataDxfId="12"/>
    <tableColumn id="2" xr3:uid="{1D4C96C1-38AD-4930-A71A-EF87E8EFDA8D}" name="battery (kWh)" dataDxfId="11"/>
    <tableColumn id="3" xr3:uid="{96EB049A-C5F2-4941-A405-59F9FA7F85CD}" name="spend (L/year)" dataDxfId="10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C008D0E-76C1-4C04-9427-A6A6FF0D1C69}" name="Table13" displayName="Table13" ref="G7:I10" totalsRowShown="0" headerRowDxfId="142" dataDxfId="141">
  <autoFilter ref="G7:I10" xr:uid="{CC008D0E-76C1-4C04-9427-A6A6FF0D1C69}"/>
  <tableColumns count="3">
    <tableColumn id="1" xr3:uid="{3C2CF2F1-E3BC-461C-9917-C3507014B3AB}" name="usage (kWh)" dataDxfId="140"/>
    <tableColumn id="2" xr3:uid="{B77F239E-B397-425A-B36F-21F9BCC26B36}" name="battery (kWh)" dataDxfId="139"/>
    <tableColumn id="3" xr3:uid="{6E14B5CA-D1F4-4D9F-8A63-E637BC5FD77F}" name="spend (L/year)" dataDxfId="138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054FCDC-7593-4FCC-BB54-0B50899C68CF}" name="Table14" displayName="Table14" ref="K7:M10" totalsRowShown="0" headerRowDxfId="137" dataDxfId="136">
  <autoFilter ref="K7:M10" xr:uid="{5054FCDC-7593-4FCC-BB54-0B50899C68CF}"/>
  <tableColumns count="3">
    <tableColumn id="1" xr3:uid="{186E520A-2513-4F98-9801-D8FE6702C6BF}" name="usage (kWh)" dataDxfId="135"/>
    <tableColumn id="2" xr3:uid="{BD4194D0-905A-4E44-A892-8ACA90AC0F6B}" name="battery (kWh)" dataDxfId="134"/>
    <tableColumn id="3" xr3:uid="{BF36667F-F173-42A2-A4AA-26404F8515F7}" name="spend (L/year)" dataDxfId="133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9AF79D7-FD69-4973-8297-75294888BAE0}" name="Table15" displayName="Table15" ref="C15:E18" totalsRowShown="0" headerRowDxfId="132" dataDxfId="131">
  <autoFilter ref="C15:E18" xr:uid="{19AF79D7-FD69-4973-8297-75294888BAE0}"/>
  <tableColumns count="3">
    <tableColumn id="1" xr3:uid="{720F5153-75F1-4E2F-B579-06E180A84065}" name="usage (kWh)" dataDxfId="130"/>
    <tableColumn id="2" xr3:uid="{AE89AE0F-3CEE-4814-A10B-DA2CE83E0D60}" name="battery (kWh)" dataDxfId="129"/>
    <tableColumn id="3" xr3:uid="{360FA650-6276-4A72-BAF6-36624A325683}" name="spend (L/year)" dataDxfId="128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9E90632-CF7A-43D4-BE17-AF0AE8BBD333}" name="Table136" displayName="Table136" ref="G15:I18" totalsRowShown="0" headerRowDxfId="127" dataDxfId="126">
  <autoFilter ref="G15:I18" xr:uid="{79E90632-CF7A-43D4-BE17-AF0AE8BBD333}"/>
  <tableColumns count="3">
    <tableColumn id="1" xr3:uid="{85915FB9-5717-4828-A877-AE1315BC5FAB}" name="usage (kWh)" dataDxfId="125"/>
    <tableColumn id="2" xr3:uid="{4285B1D3-1640-484F-B214-CE2767A05279}" name="battery (kWh)" dataDxfId="124"/>
    <tableColumn id="3" xr3:uid="{64420640-B81E-4BB4-BF30-908A631722F3}" name="spend (L/year)" dataDxfId="123"/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59166F0-AB1A-4F9B-B847-8650DA5C2FA8}" name="Table147" displayName="Table147" ref="K15:M18" totalsRowShown="0" headerRowDxfId="122" dataDxfId="121">
  <autoFilter ref="K15:M18" xr:uid="{259166F0-AB1A-4F9B-B847-8650DA5C2FA8}"/>
  <tableColumns count="3">
    <tableColumn id="1" xr3:uid="{933EE29F-DD05-4072-9ADA-619919DA8215}" name="usage (kWh)" dataDxfId="120"/>
    <tableColumn id="2" xr3:uid="{DDEC3C33-9FFC-48D7-BD40-6689B48F1F64}" name="battery (kWh)" dataDxfId="119"/>
    <tableColumn id="3" xr3:uid="{C6864EA5-51BD-443B-856D-33278E429EB7}" name="spend (L/year)" dataDxfId="118"/>
  </tableColumns>
  <tableStyleInfo name="TableStyleLight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8A73569-32EC-406B-9616-F89F7D94BA1C}" name="Table18" displayName="Table18" ref="C23:E26" totalsRowShown="0" headerRowDxfId="117" dataDxfId="116">
  <autoFilter ref="C23:E26" xr:uid="{98A73569-32EC-406B-9616-F89F7D94BA1C}"/>
  <tableColumns count="3">
    <tableColumn id="1" xr3:uid="{DB40EC78-5B7A-4B54-B9ED-7346881D766B}" name="usage (kWh)" dataDxfId="115"/>
    <tableColumn id="2" xr3:uid="{4F3D7B40-75D3-4C7A-A8A8-846AF08B4B52}" name="battery (kWh)" dataDxfId="114"/>
    <tableColumn id="3" xr3:uid="{34AC4C8D-F868-4932-BB8C-39F6AF8DB6E7}" name="spend (L/year)" dataDxfId="113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0.xml"/><Relationship Id="rId3" Type="http://schemas.openxmlformats.org/officeDocument/2006/relationships/table" Target="../tables/table5.xml"/><Relationship Id="rId7" Type="http://schemas.openxmlformats.org/officeDocument/2006/relationships/table" Target="../tables/table9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Relationship Id="rId6" Type="http://schemas.openxmlformats.org/officeDocument/2006/relationships/table" Target="../tables/table8.xml"/><Relationship Id="rId5" Type="http://schemas.openxmlformats.org/officeDocument/2006/relationships/table" Target="../tables/table7.xml"/><Relationship Id="rId4" Type="http://schemas.openxmlformats.org/officeDocument/2006/relationships/table" Target="../tables/table6.xml"/><Relationship Id="rId9" Type="http://schemas.openxmlformats.org/officeDocument/2006/relationships/table" Target="../tables/table1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9.xml"/><Relationship Id="rId13" Type="http://schemas.openxmlformats.org/officeDocument/2006/relationships/table" Target="../tables/table24.xml"/><Relationship Id="rId18" Type="http://schemas.openxmlformats.org/officeDocument/2006/relationships/table" Target="../tables/table29.xml"/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12" Type="http://schemas.openxmlformats.org/officeDocument/2006/relationships/table" Target="../tables/table23.xml"/><Relationship Id="rId17" Type="http://schemas.openxmlformats.org/officeDocument/2006/relationships/table" Target="../tables/table28.xml"/><Relationship Id="rId2" Type="http://schemas.openxmlformats.org/officeDocument/2006/relationships/table" Target="../tables/table13.xml"/><Relationship Id="rId16" Type="http://schemas.openxmlformats.org/officeDocument/2006/relationships/table" Target="../tables/table27.xml"/><Relationship Id="rId20" Type="http://schemas.openxmlformats.org/officeDocument/2006/relationships/table" Target="../tables/table31.xml"/><Relationship Id="rId1" Type="http://schemas.openxmlformats.org/officeDocument/2006/relationships/table" Target="../tables/table12.xml"/><Relationship Id="rId6" Type="http://schemas.openxmlformats.org/officeDocument/2006/relationships/table" Target="../tables/table17.xml"/><Relationship Id="rId11" Type="http://schemas.openxmlformats.org/officeDocument/2006/relationships/table" Target="../tables/table22.xml"/><Relationship Id="rId5" Type="http://schemas.openxmlformats.org/officeDocument/2006/relationships/table" Target="../tables/table16.xml"/><Relationship Id="rId15" Type="http://schemas.openxmlformats.org/officeDocument/2006/relationships/table" Target="../tables/table26.xml"/><Relationship Id="rId10" Type="http://schemas.openxmlformats.org/officeDocument/2006/relationships/table" Target="../tables/table21.xml"/><Relationship Id="rId19" Type="http://schemas.openxmlformats.org/officeDocument/2006/relationships/table" Target="../tables/table30.xml"/><Relationship Id="rId4" Type="http://schemas.openxmlformats.org/officeDocument/2006/relationships/table" Target="../tables/table15.xml"/><Relationship Id="rId9" Type="http://schemas.openxmlformats.org/officeDocument/2006/relationships/table" Target="../tables/table20.xml"/><Relationship Id="rId14" Type="http://schemas.openxmlformats.org/officeDocument/2006/relationships/table" Target="../tables/table25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4.xml"/><Relationship Id="rId2" Type="http://schemas.openxmlformats.org/officeDocument/2006/relationships/table" Target="../tables/table33.xml"/><Relationship Id="rId1" Type="http://schemas.openxmlformats.org/officeDocument/2006/relationships/table" Target="../tables/table3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B691E-423B-4CEA-97E8-BA406EF07919}">
  <dimension ref="B1:AB30"/>
  <sheetViews>
    <sheetView workbookViewId="0">
      <selection activeCell="S27" sqref="S27"/>
    </sheetView>
  </sheetViews>
  <sheetFormatPr defaultRowHeight="15" x14ac:dyDescent="0.25"/>
  <cols>
    <col min="1" max="1" width="13.5703125" style="3" customWidth="1"/>
    <col min="2" max="2" width="9.140625" style="3"/>
    <col min="3" max="3" width="8.42578125" style="3" customWidth="1"/>
    <col min="4" max="9" width="9.140625" style="3"/>
    <col min="10" max="10" width="10.7109375" style="3" customWidth="1"/>
    <col min="11" max="18" width="9.140625" style="3"/>
    <col min="19" max="19" width="10.85546875" style="3" customWidth="1"/>
    <col min="20" max="20" width="10.5703125" style="3" customWidth="1"/>
    <col min="21" max="21" width="13.42578125" style="3" customWidth="1"/>
    <col min="22" max="22" width="13.140625" style="3" customWidth="1"/>
    <col min="23" max="16384" width="9.140625" style="3"/>
  </cols>
  <sheetData>
    <row r="1" spans="2:28" x14ac:dyDescent="0.25">
      <c r="B1" s="3" t="s">
        <v>101</v>
      </c>
      <c r="S1" s="23" t="s">
        <v>129</v>
      </c>
      <c r="T1" s="23"/>
      <c r="U1" s="23"/>
      <c r="V1" s="23"/>
    </row>
    <row r="2" spans="2:28" x14ac:dyDescent="0.25">
      <c r="F2" s="3">
        <f>C4/C5</f>
        <v>130.85714285714283</v>
      </c>
      <c r="S2" s="3" t="s">
        <v>147</v>
      </c>
      <c r="T2" s="3" t="s">
        <v>122</v>
      </c>
      <c r="U2" s="3" t="s">
        <v>100</v>
      </c>
      <c r="V2" s="3" t="s">
        <v>123</v>
      </c>
    </row>
    <row r="3" spans="2:28" x14ac:dyDescent="0.25">
      <c r="K3" s="11" t="s">
        <v>102</v>
      </c>
      <c r="S3" s="3" t="s">
        <v>118</v>
      </c>
      <c r="T3" s="3">
        <v>117165</v>
      </c>
      <c r="U3" s="17">
        <f>T3/131.35</f>
        <v>892.00609059763997</v>
      </c>
      <c r="V3" s="16">
        <f>U3/200</f>
        <v>4.4600304529881996</v>
      </c>
      <c r="X3" s="4" t="s">
        <v>121</v>
      </c>
    </row>
    <row r="4" spans="2:28" x14ac:dyDescent="0.25">
      <c r="B4" s="5" t="s">
        <v>95</v>
      </c>
      <c r="C4" s="3">
        <v>9.16</v>
      </c>
      <c r="D4" s="3" t="s">
        <v>0</v>
      </c>
      <c r="E4" s="4" t="s">
        <v>2</v>
      </c>
      <c r="K4" s="12" t="s">
        <v>103</v>
      </c>
      <c r="S4" s="3" t="s">
        <v>119</v>
      </c>
      <c r="T4" s="3">
        <v>233343</v>
      </c>
      <c r="U4" s="17">
        <f>T4/131.35</f>
        <v>1776.4979063570613</v>
      </c>
      <c r="V4" s="16">
        <f>U4/400</f>
        <v>4.4412447658926535</v>
      </c>
      <c r="X4" s="4" t="s">
        <v>124</v>
      </c>
    </row>
    <row r="5" spans="2:28" x14ac:dyDescent="0.25">
      <c r="B5" s="5" t="s">
        <v>96</v>
      </c>
      <c r="C5" s="3">
        <v>7.0000000000000007E-2</v>
      </c>
      <c r="D5" s="3" t="s">
        <v>1</v>
      </c>
      <c r="K5" s="13" t="s">
        <v>104</v>
      </c>
      <c r="S5" s="3" t="s">
        <v>120</v>
      </c>
      <c r="T5" s="3">
        <v>398026</v>
      </c>
      <c r="U5" s="17">
        <f>T5/131.35</f>
        <v>3030.2702702702704</v>
      </c>
      <c r="V5" s="16">
        <f>U5/800</f>
        <v>3.7878378378378379</v>
      </c>
      <c r="X5" s="4" t="s">
        <v>125</v>
      </c>
    </row>
    <row r="6" spans="2:28" x14ac:dyDescent="0.25">
      <c r="K6" s="13" t="s">
        <v>105</v>
      </c>
      <c r="U6" s="17"/>
      <c r="V6" s="16">
        <f>AVERAGE(Table11[usd/W])</f>
        <v>4.2297043522395636</v>
      </c>
    </row>
    <row r="7" spans="2:28" x14ac:dyDescent="0.25">
      <c r="C7" s="4" t="s">
        <v>97</v>
      </c>
      <c r="K7" s="13" t="s">
        <v>106</v>
      </c>
    </row>
    <row r="8" spans="2:28" x14ac:dyDescent="0.25">
      <c r="B8" s="3" t="s">
        <v>94</v>
      </c>
      <c r="C8" s="3">
        <v>305.37012987013009</v>
      </c>
      <c r="D8" s="3" t="s">
        <v>79</v>
      </c>
      <c r="E8" s="4" t="s">
        <v>81</v>
      </c>
      <c r="K8" s="13" t="s">
        <v>107</v>
      </c>
      <c r="S8" s="23" t="s">
        <v>130</v>
      </c>
      <c r="T8" s="23"/>
      <c r="U8" s="23"/>
      <c r="V8" s="23"/>
    </row>
    <row r="9" spans="2:28" x14ac:dyDescent="0.25">
      <c r="B9" s="5" t="s">
        <v>96</v>
      </c>
      <c r="C9" s="3">
        <v>2.33</v>
      </c>
      <c r="D9" s="3" t="s">
        <v>80</v>
      </c>
      <c r="K9" s="12" t="s">
        <v>108</v>
      </c>
      <c r="S9" s="3" t="s">
        <v>148</v>
      </c>
      <c r="T9" s="3" t="s">
        <v>122</v>
      </c>
      <c r="U9" s="3" t="s">
        <v>100</v>
      </c>
      <c r="V9" s="3" t="s">
        <v>123</v>
      </c>
    </row>
    <row r="10" spans="2:28" x14ac:dyDescent="0.25">
      <c r="K10" s="13" t="s">
        <v>109</v>
      </c>
      <c r="S10" s="3" t="s">
        <v>127</v>
      </c>
      <c r="T10" s="3" t="s">
        <v>138</v>
      </c>
      <c r="U10" s="18">
        <v>1787.5</v>
      </c>
      <c r="V10" s="16">
        <f>U10/600</f>
        <v>2.9791666666666665</v>
      </c>
      <c r="X10" s="4" t="s">
        <v>126</v>
      </c>
      <c r="AB10" s="4" t="s">
        <v>128</v>
      </c>
    </row>
    <row r="11" spans="2:28" x14ac:dyDescent="0.25">
      <c r="C11" s="3" t="s">
        <v>82</v>
      </c>
      <c r="D11" s="4" t="s">
        <v>83</v>
      </c>
      <c r="K11" s="13" t="s">
        <v>110</v>
      </c>
      <c r="S11" s="3" t="s">
        <v>112</v>
      </c>
      <c r="T11" s="3" t="s">
        <v>138</v>
      </c>
      <c r="U11" s="3">
        <v>11430</v>
      </c>
      <c r="V11" s="16">
        <f>U11/1000</f>
        <v>11.43</v>
      </c>
      <c r="X11" s="4" t="s">
        <v>131</v>
      </c>
    </row>
    <row r="12" spans="2:28" x14ac:dyDescent="0.25">
      <c r="B12" s="3" t="s">
        <v>92</v>
      </c>
      <c r="C12" s="3">
        <v>16</v>
      </c>
      <c r="D12" s="3" t="s">
        <v>88</v>
      </c>
      <c r="K12" s="13" t="s">
        <v>111</v>
      </c>
      <c r="S12" s="3" t="s">
        <v>132</v>
      </c>
      <c r="T12" s="3" t="s">
        <v>138</v>
      </c>
      <c r="U12" s="3">
        <v>16290</v>
      </c>
      <c r="V12" s="16">
        <f>U12/3300</f>
        <v>4.9363636363636365</v>
      </c>
      <c r="X12" s="4" t="s">
        <v>131</v>
      </c>
    </row>
    <row r="13" spans="2:28" x14ac:dyDescent="0.25">
      <c r="B13" s="5" t="s">
        <v>84</v>
      </c>
      <c r="C13" s="3">
        <v>3</v>
      </c>
      <c r="D13" s="3" t="s">
        <v>91</v>
      </c>
      <c r="K13" s="13" t="s">
        <v>112</v>
      </c>
      <c r="S13" s="3" t="s">
        <v>113</v>
      </c>
      <c r="T13" s="3" t="s">
        <v>138</v>
      </c>
      <c r="U13" s="3">
        <v>19200</v>
      </c>
      <c r="V13" s="16">
        <f>19200/5000</f>
        <v>3.84</v>
      </c>
      <c r="X13" s="4" t="s">
        <v>131</v>
      </c>
    </row>
    <row r="14" spans="2:28" x14ac:dyDescent="0.25">
      <c r="B14" s="3" t="s">
        <v>93</v>
      </c>
      <c r="C14" s="3">
        <v>11.8</v>
      </c>
      <c r="D14" s="3" t="s">
        <v>90</v>
      </c>
      <c r="K14" s="13" t="s">
        <v>113</v>
      </c>
      <c r="V14" s="16">
        <f>AVERAGE(V12:V13,V10)</f>
        <v>3.9185101010101011</v>
      </c>
    </row>
    <row r="15" spans="2:28" x14ac:dyDescent="0.25">
      <c r="B15" s="3" t="s">
        <v>85</v>
      </c>
      <c r="C15" s="3">
        <f>3*11.8</f>
        <v>35.400000000000006</v>
      </c>
      <c r="D15" s="3" t="s">
        <v>89</v>
      </c>
      <c r="K15" s="13" t="s">
        <v>114</v>
      </c>
    </row>
    <row r="16" spans="2:28" x14ac:dyDescent="0.25">
      <c r="U16" s="3">
        <f>5000*3.9</f>
        <v>19500</v>
      </c>
    </row>
    <row r="17" spans="2:21" x14ac:dyDescent="0.25">
      <c r="B17" s="5" t="s">
        <v>98</v>
      </c>
      <c r="C17" s="3">
        <f>C9*C12/C15</f>
        <v>1.0531073446327681</v>
      </c>
      <c r="J17" s="3" t="s">
        <v>150</v>
      </c>
      <c r="K17" s="3" t="s">
        <v>151</v>
      </c>
      <c r="L17" s="3">
        <v>85901</v>
      </c>
      <c r="M17" s="3" t="s">
        <v>154</v>
      </c>
    </row>
    <row r="18" spans="2:21" x14ac:dyDescent="0.25">
      <c r="B18" s="5" t="s">
        <v>99</v>
      </c>
      <c r="C18" s="10">
        <v>1567.53</v>
      </c>
      <c r="D18" s="4" t="s">
        <v>100</v>
      </c>
      <c r="J18" s="3" t="s">
        <v>152</v>
      </c>
      <c r="L18" s="3">
        <f>L17/F2</f>
        <v>656.44868995633203</v>
      </c>
      <c r="M18" s="3" t="s">
        <v>100</v>
      </c>
    </row>
    <row r="19" spans="2:21" x14ac:dyDescent="0.25">
      <c r="J19" s="4" t="s">
        <v>153</v>
      </c>
      <c r="U19" s="3">
        <f>4400*4.2</f>
        <v>18480</v>
      </c>
    </row>
    <row r="20" spans="2:21" x14ac:dyDescent="0.25">
      <c r="B20" s="4" t="s">
        <v>142</v>
      </c>
    </row>
    <row r="21" spans="2:21" x14ac:dyDescent="0.25">
      <c r="B21" s="4" t="s">
        <v>143</v>
      </c>
    </row>
    <row r="22" spans="2:21" x14ac:dyDescent="0.25">
      <c r="B22" s="4" t="s">
        <v>144</v>
      </c>
    </row>
    <row r="23" spans="2:21" x14ac:dyDescent="0.25">
      <c r="B23" s="4" t="s">
        <v>145</v>
      </c>
    </row>
    <row r="24" spans="2:21" x14ac:dyDescent="0.25">
      <c r="B24" s="4" t="s">
        <v>146</v>
      </c>
    </row>
    <row r="28" spans="2:21" x14ac:dyDescent="0.25">
      <c r="C28" s="19" t="s">
        <v>115</v>
      </c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</row>
    <row r="29" spans="2:21" x14ac:dyDescent="0.25">
      <c r="C29" s="21" t="s">
        <v>116</v>
      </c>
      <c r="D29" s="22"/>
      <c r="E29" s="22"/>
      <c r="F29" s="22"/>
      <c r="G29" s="22"/>
      <c r="H29" s="22"/>
      <c r="I29" s="22"/>
      <c r="J29" s="22"/>
    </row>
    <row r="30" spans="2:21" x14ac:dyDescent="0.25">
      <c r="C30" t="s">
        <v>117</v>
      </c>
    </row>
  </sheetData>
  <mergeCells count="2">
    <mergeCell ref="S8:V8"/>
    <mergeCell ref="S1:V1"/>
  </mergeCell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A6C0D-076B-4FC4-BD12-AA9BA9F196D8}">
  <dimension ref="B2:M30"/>
  <sheetViews>
    <sheetView topLeftCell="B1" workbookViewId="0">
      <selection activeCell="D33" sqref="D33"/>
    </sheetView>
  </sheetViews>
  <sheetFormatPr defaultRowHeight="15" x14ac:dyDescent="0.25"/>
  <cols>
    <col min="2" max="2" width="15" customWidth="1"/>
    <col min="3" max="3" width="18" customWidth="1"/>
    <col min="4" max="4" width="18.7109375" customWidth="1"/>
    <col min="5" max="5" width="18.140625" customWidth="1"/>
    <col min="7" max="7" width="17.42578125" customWidth="1"/>
    <col min="8" max="8" width="18.140625" customWidth="1"/>
    <col min="9" max="9" width="20.28515625" customWidth="1"/>
    <col min="11" max="11" width="16.7109375" customWidth="1"/>
    <col min="12" max="12" width="19" customWidth="1"/>
    <col min="13" max="13" width="18.5703125" customWidth="1"/>
  </cols>
  <sheetData>
    <row r="2" spans="2:13" x14ac:dyDescent="0.25">
      <c r="B2" s="4" t="s">
        <v>115</v>
      </c>
    </row>
    <row r="4" spans="2:13" x14ac:dyDescent="0.25">
      <c r="C4" t="s">
        <v>149</v>
      </c>
    </row>
    <row r="5" spans="2:13" x14ac:dyDescent="0.25">
      <c r="C5" t="s">
        <v>155</v>
      </c>
    </row>
    <row r="7" spans="2:13" x14ac:dyDescent="0.25">
      <c r="C7" s="2" t="s">
        <v>141</v>
      </c>
      <c r="D7" s="2" t="s">
        <v>140</v>
      </c>
      <c r="E7" s="2" t="s">
        <v>139</v>
      </c>
      <c r="F7" s="2"/>
      <c r="G7" s="2" t="s">
        <v>141</v>
      </c>
      <c r="H7" s="2" t="s">
        <v>140</v>
      </c>
      <c r="I7" s="2" t="s">
        <v>139</v>
      </c>
      <c r="J7" s="2"/>
      <c r="K7" s="2" t="s">
        <v>141</v>
      </c>
      <c r="L7" s="2" t="s">
        <v>140</v>
      </c>
      <c r="M7" s="2" t="s">
        <v>139</v>
      </c>
    </row>
    <row r="8" spans="2:13" x14ac:dyDescent="0.25">
      <c r="C8" s="2">
        <v>5</v>
      </c>
      <c r="D8" s="2" t="s">
        <v>138</v>
      </c>
      <c r="E8" s="2">
        <v>44348</v>
      </c>
      <c r="F8" s="2"/>
      <c r="G8" s="2">
        <v>5</v>
      </c>
      <c r="H8" s="2" t="s">
        <v>159</v>
      </c>
      <c r="I8" s="2">
        <v>1701</v>
      </c>
      <c r="J8" s="2"/>
      <c r="K8" s="2">
        <v>5</v>
      </c>
      <c r="L8" s="2" t="s">
        <v>160</v>
      </c>
      <c r="M8" s="2">
        <v>1595</v>
      </c>
    </row>
    <row r="9" spans="2:13" x14ac:dyDescent="0.25">
      <c r="C9" s="2">
        <v>10</v>
      </c>
      <c r="D9" s="2" t="s">
        <v>138</v>
      </c>
      <c r="E9" s="2">
        <v>44348</v>
      </c>
      <c r="F9" s="2"/>
      <c r="G9" s="2">
        <v>10</v>
      </c>
      <c r="H9" s="2" t="s">
        <v>158</v>
      </c>
      <c r="I9" s="2">
        <v>1797</v>
      </c>
      <c r="J9" s="2"/>
      <c r="K9" s="2">
        <v>10</v>
      </c>
      <c r="L9" s="2" t="s">
        <v>161</v>
      </c>
      <c r="M9" s="2">
        <v>1686</v>
      </c>
    </row>
    <row r="10" spans="2:13" x14ac:dyDescent="0.25">
      <c r="C10" s="2">
        <v>20</v>
      </c>
      <c r="D10" s="2" t="s">
        <v>138</v>
      </c>
      <c r="E10" s="2">
        <v>44348</v>
      </c>
      <c r="F10" s="2"/>
      <c r="G10" s="2">
        <v>20</v>
      </c>
      <c r="H10" s="2" t="s">
        <v>157</v>
      </c>
      <c r="I10" s="2">
        <v>3045</v>
      </c>
      <c r="J10" s="2"/>
      <c r="K10" s="2">
        <v>20</v>
      </c>
      <c r="L10" s="2" t="s">
        <v>162</v>
      </c>
      <c r="M10" s="2">
        <v>2870</v>
      </c>
    </row>
    <row r="11" spans="2:13" x14ac:dyDescent="0.25"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2:13" x14ac:dyDescent="0.25">
      <c r="E12" s="2"/>
      <c r="F12" s="2"/>
      <c r="G12" s="2"/>
      <c r="H12" s="2"/>
      <c r="I12" s="2"/>
      <c r="J12" s="2"/>
      <c r="K12" s="2"/>
      <c r="L12" s="2"/>
      <c r="M12" s="2"/>
    </row>
    <row r="13" spans="2:13" x14ac:dyDescent="0.25">
      <c r="C13" t="s">
        <v>156</v>
      </c>
      <c r="E13" s="2"/>
      <c r="F13" s="2"/>
      <c r="G13" s="2"/>
      <c r="H13" s="2"/>
      <c r="I13" s="2"/>
      <c r="J13" s="2"/>
      <c r="K13" s="2"/>
      <c r="L13" s="2"/>
      <c r="M13" s="2"/>
    </row>
    <row r="14" spans="2:13" x14ac:dyDescent="0.25">
      <c r="C14" s="2" t="s">
        <v>163</v>
      </c>
      <c r="D14" s="2"/>
      <c r="E14" s="2"/>
      <c r="F14" s="2"/>
      <c r="G14" s="2"/>
      <c r="H14" s="2"/>
      <c r="I14" s="2"/>
      <c r="J14" s="2"/>
      <c r="K14" s="2"/>
      <c r="L14" s="2"/>
      <c r="M14" s="2"/>
    </row>
    <row r="15" spans="2:13" x14ac:dyDescent="0.25">
      <c r="C15" s="2" t="s">
        <v>141</v>
      </c>
      <c r="D15" s="2" t="s">
        <v>140</v>
      </c>
      <c r="E15" s="2" t="s">
        <v>139</v>
      </c>
      <c r="F15" s="2"/>
      <c r="G15" s="2" t="s">
        <v>141</v>
      </c>
      <c r="H15" s="2" t="s">
        <v>140</v>
      </c>
      <c r="I15" s="2" t="s">
        <v>139</v>
      </c>
      <c r="J15" s="2"/>
      <c r="K15" s="2" t="s">
        <v>141</v>
      </c>
      <c r="L15" s="2" t="s">
        <v>140</v>
      </c>
      <c r="M15" s="2" t="s">
        <v>139</v>
      </c>
    </row>
    <row r="16" spans="2:13" x14ac:dyDescent="0.25">
      <c r="C16" s="2">
        <v>5</v>
      </c>
      <c r="D16" s="2" t="s">
        <v>138</v>
      </c>
      <c r="E16" s="2">
        <v>44348</v>
      </c>
      <c r="F16" s="2"/>
      <c r="G16" s="2">
        <v>5</v>
      </c>
      <c r="H16" s="2" t="s">
        <v>159</v>
      </c>
      <c r="I16" s="2">
        <v>1701</v>
      </c>
      <c r="J16" s="2"/>
      <c r="K16" s="2">
        <v>5</v>
      </c>
      <c r="L16" s="2" t="s">
        <v>160</v>
      </c>
      <c r="M16" s="2">
        <v>1595</v>
      </c>
    </row>
    <row r="17" spans="3:13" x14ac:dyDescent="0.25">
      <c r="C17" s="2">
        <v>10</v>
      </c>
      <c r="D17" s="2" t="s">
        <v>138</v>
      </c>
      <c r="E17" s="2">
        <v>44348</v>
      </c>
      <c r="F17" s="2"/>
      <c r="G17" s="2">
        <v>10</v>
      </c>
      <c r="H17" s="2" t="s">
        <v>158</v>
      </c>
      <c r="I17" s="2">
        <v>1797</v>
      </c>
      <c r="J17" s="2"/>
      <c r="K17" s="2">
        <v>10</v>
      </c>
      <c r="L17" s="2" t="s">
        <v>161</v>
      </c>
      <c r="M17" s="2">
        <v>1686</v>
      </c>
    </row>
    <row r="18" spans="3:13" x14ac:dyDescent="0.25">
      <c r="C18" s="2">
        <v>20</v>
      </c>
      <c r="D18" s="2" t="s">
        <v>138</v>
      </c>
      <c r="E18" s="2">
        <v>44348</v>
      </c>
      <c r="F18" s="2"/>
      <c r="G18" s="2">
        <v>20</v>
      </c>
      <c r="H18" s="2" t="s">
        <v>157</v>
      </c>
      <c r="I18" s="2">
        <v>3045</v>
      </c>
      <c r="J18" s="2"/>
      <c r="K18" s="2">
        <v>20</v>
      </c>
      <c r="L18" s="2" t="s">
        <v>162</v>
      </c>
      <c r="M18" s="2">
        <v>2871</v>
      </c>
    </row>
    <row r="19" spans="3:13" x14ac:dyDescent="0.25"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</row>
    <row r="20" spans="3:13" x14ac:dyDescent="0.25">
      <c r="E20" s="2"/>
      <c r="F20" s="2"/>
      <c r="G20" s="2"/>
      <c r="H20" s="2"/>
      <c r="I20" s="2"/>
      <c r="J20" s="2"/>
      <c r="K20" s="2"/>
      <c r="L20" s="2"/>
      <c r="M20" s="2"/>
    </row>
    <row r="21" spans="3:13" x14ac:dyDescent="0.25">
      <c r="C21" t="s">
        <v>165</v>
      </c>
      <c r="E21" s="2"/>
      <c r="F21" s="2"/>
      <c r="G21" s="2"/>
      <c r="H21" s="2"/>
      <c r="I21" s="2"/>
      <c r="J21" s="2"/>
      <c r="K21" s="2"/>
      <c r="L21" s="2"/>
      <c r="M21" s="2"/>
    </row>
    <row r="22" spans="3:13" x14ac:dyDescent="0.25">
      <c r="C22" s="2" t="s">
        <v>164</v>
      </c>
      <c r="D22" s="2"/>
      <c r="E22" s="2"/>
      <c r="F22" s="2"/>
      <c r="G22" s="2"/>
      <c r="H22" s="2"/>
      <c r="I22" s="2"/>
      <c r="J22" s="2"/>
      <c r="K22" s="2"/>
      <c r="L22" s="2"/>
      <c r="M22" s="2"/>
    </row>
    <row r="23" spans="3:13" x14ac:dyDescent="0.25">
      <c r="C23" s="2" t="s">
        <v>141</v>
      </c>
      <c r="D23" s="2" t="s">
        <v>140</v>
      </c>
      <c r="E23" s="2" t="s">
        <v>139</v>
      </c>
      <c r="F23" s="2"/>
      <c r="G23" s="2" t="s">
        <v>141</v>
      </c>
      <c r="H23" s="2" t="s">
        <v>140</v>
      </c>
      <c r="I23" s="2" t="s">
        <v>139</v>
      </c>
      <c r="J23" s="2"/>
      <c r="K23" s="2" t="s">
        <v>141</v>
      </c>
      <c r="L23" s="2" t="s">
        <v>140</v>
      </c>
      <c r="M23" s="2" t="s">
        <v>139</v>
      </c>
    </row>
    <row r="24" spans="3:13" x14ac:dyDescent="0.25">
      <c r="C24" s="2">
        <v>5</v>
      </c>
      <c r="D24" s="2" t="s">
        <v>138</v>
      </c>
      <c r="E24" s="2">
        <v>44348</v>
      </c>
      <c r="F24" s="2"/>
      <c r="G24" s="2">
        <v>5</v>
      </c>
      <c r="H24" s="2" t="s">
        <v>159</v>
      </c>
      <c r="I24" s="2">
        <v>1701</v>
      </c>
      <c r="J24" s="2"/>
      <c r="K24" s="2">
        <v>5</v>
      </c>
      <c r="L24" s="2" t="s">
        <v>160</v>
      </c>
      <c r="M24" s="2">
        <v>1595</v>
      </c>
    </row>
    <row r="25" spans="3:13" x14ac:dyDescent="0.25">
      <c r="C25" s="2">
        <v>10</v>
      </c>
      <c r="D25" s="2" t="s">
        <v>138</v>
      </c>
      <c r="E25" s="2">
        <v>44348</v>
      </c>
      <c r="F25" s="2"/>
      <c r="G25" s="2">
        <v>10</v>
      </c>
      <c r="H25" s="2" t="s">
        <v>158</v>
      </c>
      <c r="I25" s="2">
        <v>1797</v>
      </c>
      <c r="J25" s="2"/>
      <c r="K25" s="2">
        <v>10</v>
      </c>
      <c r="L25" s="2" t="s">
        <v>161</v>
      </c>
      <c r="M25" s="2">
        <v>1686</v>
      </c>
    </row>
    <row r="26" spans="3:13" x14ac:dyDescent="0.25">
      <c r="C26" s="2">
        <v>20</v>
      </c>
      <c r="D26" s="2" t="s">
        <v>138</v>
      </c>
      <c r="E26" s="2">
        <v>44348</v>
      </c>
      <c r="F26" s="2"/>
      <c r="G26" s="2">
        <v>20</v>
      </c>
      <c r="H26" s="2" t="s">
        <v>157</v>
      </c>
      <c r="I26" s="2">
        <v>3045</v>
      </c>
      <c r="J26" s="2"/>
      <c r="K26" s="2">
        <v>20</v>
      </c>
      <c r="L26" s="2" t="s">
        <v>162</v>
      </c>
      <c r="M26" s="2">
        <v>2871</v>
      </c>
    </row>
    <row r="27" spans="3:13" x14ac:dyDescent="0.25"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</row>
    <row r="29" spans="3:13" x14ac:dyDescent="0.25">
      <c r="C29" t="s">
        <v>166</v>
      </c>
    </row>
    <row r="30" spans="3:13" x14ac:dyDescent="0.25">
      <c r="C30" t="s">
        <v>167</v>
      </c>
    </row>
  </sheetData>
  <pageMargins left="0.7" right="0.7" top="0.75" bottom="0.75" header="0.3" footer="0.3"/>
  <tableParts count="9">
    <tablePart r:id="rId1"/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8353D-3C8E-4626-A558-929913D53C9B}">
  <dimension ref="B2:K65"/>
  <sheetViews>
    <sheetView tabSelected="1" topLeftCell="A37" workbookViewId="0">
      <selection activeCell="F55" sqref="F55"/>
    </sheetView>
  </sheetViews>
  <sheetFormatPr defaultRowHeight="15" x14ac:dyDescent="0.25"/>
  <cols>
    <col min="2" max="2" width="16.7109375" customWidth="1"/>
    <col min="3" max="3" width="44.85546875" customWidth="1"/>
    <col min="4" max="4" width="18.5703125" bestFit="1" customWidth="1"/>
    <col min="5" max="5" width="11.28515625" customWidth="1"/>
    <col min="6" max="6" width="16.7109375" bestFit="1" customWidth="1"/>
    <col min="7" max="7" width="24.85546875" customWidth="1"/>
    <col min="8" max="8" width="18.5703125" bestFit="1" customWidth="1"/>
    <col min="10" max="10" width="22.42578125" customWidth="1"/>
    <col min="11" max="11" width="18.140625" bestFit="1" customWidth="1"/>
    <col min="12" max="12" width="18.5703125" bestFit="1" customWidth="1"/>
  </cols>
  <sheetData>
    <row r="2" spans="2:11" x14ac:dyDescent="0.25">
      <c r="B2" s="12" t="s">
        <v>108</v>
      </c>
    </row>
    <row r="3" spans="2:11" x14ac:dyDescent="0.25">
      <c r="B3" s="13" t="s">
        <v>109</v>
      </c>
    </row>
    <row r="4" spans="2:11" x14ac:dyDescent="0.25">
      <c r="B4" s="13" t="s">
        <v>110</v>
      </c>
    </row>
    <row r="5" spans="2:11" x14ac:dyDescent="0.25">
      <c r="B5" s="13" t="s">
        <v>111</v>
      </c>
    </row>
    <row r="6" spans="2:11" x14ac:dyDescent="0.25">
      <c r="B6" s="13" t="s">
        <v>112</v>
      </c>
    </row>
    <row r="7" spans="2:11" x14ac:dyDescent="0.25">
      <c r="B7" s="13" t="s">
        <v>113</v>
      </c>
      <c r="E7" t="s">
        <v>195</v>
      </c>
    </row>
    <row r="8" spans="2:11" x14ac:dyDescent="0.25">
      <c r="B8" s="13" t="s">
        <v>114</v>
      </c>
      <c r="E8" t="s">
        <v>196</v>
      </c>
    </row>
    <row r="9" spans="2:11" x14ac:dyDescent="0.25">
      <c r="B9" s="23" t="s">
        <v>169</v>
      </c>
      <c r="C9" s="23"/>
      <c r="D9" s="23"/>
      <c r="E9" s="2"/>
      <c r="F9" s="2"/>
      <c r="G9" s="24" t="s">
        <v>181</v>
      </c>
      <c r="H9" s="24"/>
      <c r="I9" s="24"/>
      <c r="J9" s="24"/>
      <c r="K9" s="24"/>
    </row>
    <row r="10" spans="2:11" x14ac:dyDescent="0.25">
      <c r="B10" s="2" t="s">
        <v>141</v>
      </c>
      <c r="C10" s="2" t="s">
        <v>140</v>
      </c>
      <c r="D10" s="2" t="s">
        <v>139</v>
      </c>
      <c r="G10" s="2" t="s">
        <v>184</v>
      </c>
      <c r="H10" s="2" t="s">
        <v>139</v>
      </c>
      <c r="J10" s="2" t="s">
        <v>185</v>
      </c>
      <c r="K10" s="2" t="s">
        <v>139</v>
      </c>
    </row>
    <row r="11" spans="2:11" x14ac:dyDescent="0.25">
      <c r="B11" s="2">
        <v>5</v>
      </c>
      <c r="C11" s="2" t="s">
        <v>138</v>
      </c>
      <c r="D11" s="2">
        <v>44348</v>
      </c>
      <c r="G11" s="2" t="s">
        <v>159</v>
      </c>
      <c r="H11" s="2">
        <v>1620</v>
      </c>
      <c r="J11" s="2" t="s">
        <v>160</v>
      </c>
      <c r="K11" s="2">
        <v>1519</v>
      </c>
    </row>
    <row r="12" spans="2:11" x14ac:dyDescent="0.25">
      <c r="B12" s="2">
        <v>10</v>
      </c>
      <c r="C12" s="2" t="s">
        <v>138</v>
      </c>
      <c r="D12" s="2">
        <v>44348</v>
      </c>
      <c r="G12" s="2" t="s">
        <v>171</v>
      </c>
      <c r="H12" s="2">
        <v>1752</v>
      </c>
      <c r="J12" s="2" t="s">
        <v>172</v>
      </c>
      <c r="K12" s="2">
        <v>1645</v>
      </c>
    </row>
    <row r="13" spans="2:11" x14ac:dyDescent="0.25">
      <c r="B13" s="2">
        <v>20</v>
      </c>
      <c r="C13" s="2" t="s">
        <v>138</v>
      </c>
      <c r="D13" s="2">
        <v>44348</v>
      </c>
      <c r="G13" s="2" t="s">
        <v>168</v>
      </c>
      <c r="H13" s="2">
        <v>3012</v>
      </c>
      <c r="J13" s="2" t="s">
        <v>162</v>
      </c>
      <c r="K13" s="2">
        <v>2829</v>
      </c>
    </row>
    <row r="15" spans="2:11" x14ac:dyDescent="0.25">
      <c r="B15" s="23" t="s">
        <v>170</v>
      </c>
      <c r="C15" s="23"/>
      <c r="D15" s="23"/>
      <c r="E15" s="2"/>
      <c r="G15" s="24" t="s">
        <v>181</v>
      </c>
      <c r="H15" s="24"/>
      <c r="I15" s="24"/>
      <c r="J15" s="24"/>
      <c r="K15" s="24"/>
    </row>
    <row r="16" spans="2:11" x14ac:dyDescent="0.25">
      <c r="B16" s="2" t="s">
        <v>141</v>
      </c>
      <c r="C16" s="2" t="s">
        <v>140</v>
      </c>
      <c r="D16" s="2" t="s">
        <v>139</v>
      </c>
      <c r="G16" s="2" t="s">
        <v>184</v>
      </c>
      <c r="H16" s="2" t="s">
        <v>139</v>
      </c>
      <c r="J16" s="2" t="s">
        <v>185</v>
      </c>
      <c r="K16" s="2" t="s">
        <v>139</v>
      </c>
    </row>
    <row r="17" spans="2:11" x14ac:dyDescent="0.25">
      <c r="B17" s="2">
        <v>5</v>
      </c>
      <c r="C17" s="2" t="s">
        <v>138</v>
      </c>
      <c r="D17" s="2">
        <v>44348</v>
      </c>
      <c r="G17" s="2" t="s">
        <v>159</v>
      </c>
      <c r="H17" s="2">
        <v>1509</v>
      </c>
      <c r="J17" s="2" t="s">
        <v>160</v>
      </c>
      <c r="K17" s="2">
        <v>1418</v>
      </c>
    </row>
    <row r="18" spans="2:11" x14ac:dyDescent="0.25">
      <c r="B18" s="2">
        <v>10</v>
      </c>
      <c r="C18" s="2" t="s">
        <v>138</v>
      </c>
      <c r="D18" s="2">
        <v>44348</v>
      </c>
      <c r="G18" s="2" t="s">
        <v>171</v>
      </c>
      <c r="H18" s="2">
        <v>1696</v>
      </c>
      <c r="J18" s="2" t="s">
        <v>172</v>
      </c>
      <c r="K18" s="2">
        <v>1590</v>
      </c>
    </row>
    <row r="19" spans="2:11" x14ac:dyDescent="0.25">
      <c r="B19" s="2">
        <v>20</v>
      </c>
      <c r="C19" s="2" t="s">
        <v>138</v>
      </c>
      <c r="D19" s="2">
        <v>44348</v>
      </c>
      <c r="G19" s="2" t="s">
        <v>168</v>
      </c>
      <c r="H19" s="2">
        <v>2964</v>
      </c>
      <c r="J19" s="2" t="s">
        <v>162</v>
      </c>
      <c r="K19" s="2">
        <v>2787</v>
      </c>
    </row>
    <row r="21" spans="2:11" x14ac:dyDescent="0.25">
      <c r="B21" s="23" t="s">
        <v>198</v>
      </c>
      <c r="C21" s="23"/>
      <c r="D21" s="23"/>
      <c r="E21" s="2"/>
      <c r="G21" s="24" t="s">
        <v>181</v>
      </c>
      <c r="H21" s="24"/>
      <c r="I21" s="24"/>
      <c r="J21" s="24"/>
      <c r="K21" s="24"/>
    </row>
    <row r="22" spans="2:11" x14ac:dyDescent="0.25">
      <c r="B22" s="2" t="s">
        <v>141</v>
      </c>
      <c r="C22" s="2" t="s">
        <v>140</v>
      </c>
      <c r="D22" s="2" t="s">
        <v>139</v>
      </c>
      <c r="G22" s="2" t="s">
        <v>184</v>
      </c>
      <c r="H22" s="2" t="s">
        <v>139</v>
      </c>
      <c r="J22" s="2" t="s">
        <v>185</v>
      </c>
      <c r="K22" s="2" t="s">
        <v>139</v>
      </c>
    </row>
    <row r="23" spans="2:11" x14ac:dyDescent="0.25">
      <c r="B23" s="2">
        <v>5</v>
      </c>
      <c r="C23" s="2" t="s">
        <v>138</v>
      </c>
      <c r="D23" s="2">
        <v>44348</v>
      </c>
      <c r="G23" s="2" t="s">
        <v>159</v>
      </c>
      <c r="H23" s="2">
        <v>1407</v>
      </c>
      <c r="J23" s="2" t="s">
        <v>160</v>
      </c>
      <c r="K23" s="2">
        <v>1321</v>
      </c>
    </row>
    <row r="24" spans="2:11" x14ac:dyDescent="0.25">
      <c r="B24" s="2">
        <v>10</v>
      </c>
      <c r="C24" s="2" t="s">
        <v>138</v>
      </c>
      <c r="D24" s="2">
        <v>44348</v>
      </c>
      <c r="G24" s="2" t="s">
        <v>158</v>
      </c>
      <c r="H24" s="2">
        <v>1645</v>
      </c>
      <c r="J24" s="2" t="s">
        <v>161</v>
      </c>
      <c r="K24" s="2">
        <v>1539</v>
      </c>
    </row>
    <row r="25" spans="2:11" x14ac:dyDescent="0.25">
      <c r="B25" s="2">
        <v>20</v>
      </c>
      <c r="C25" s="2" t="s">
        <v>138</v>
      </c>
      <c r="D25" s="2">
        <v>44348</v>
      </c>
      <c r="G25" s="2" t="s">
        <v>168</v>
      </c>
      <c r="H25" s="2">
        <v>2917</v>
      </c>
      <c r="J25" s="2" t="s">
        <v>162</v>
      </c>
      <c r="K25" s="2">
        <v>2743</v>
      </c>
    </row>
    <row r="27" spans="2:11" x14ac:dyDescent="0.25">
      <c r="B27" s="23" t="s">
        <v>173</v>
      </c>
      <c r="C27" s="23"/>
      <c r="D27" s="23"/>
      <c r="E27" s="2"/>
      <c r="F27" s="2"/>
    </row>
    <row r="28" spans="2:11" x14ac:dyDescent="0.25">
      <c r="B28" s="2" t="s">
        <v>141</v>
      </c>
      <c r="C28" s="2" t="s">
        <v>140</v>
      </c>
      <c r="D28" s="2" t="s">
        <v>139</v>
      </c>
      <c r="G28" s="2" t="s">
        <v>184</v>
      </c>
      <c r="H28" s="2" t="s">
        <v>139</v>
      </c>
      <c r="J28" s="2" t="s">
        <v>185</v>
      </c>
      <c r="K28" s="2" t="s">
        <v>139</v>
      </c>
    </row>
    <row r="29" spans="2:11" x14ac:dyDescent="0.25">
      <c r="B29" s="2">
        <v>5</v>
      </c>
      <c r="C29" s="2" t="s">
        <v>138</v>
      </c>
      <c r="D29" s="2">
        <v>44348</v>
      </c>
      <c r="G29" s="2" t="s">
        <v>177</v>
      </c>
      <c r="H29" s="2">
        <v>0</v>
      </c>
      <c r="J29" s="2" t="s">
        <v>176</v>
      </c>
      <c r="K29" s="2">
        <v>35</v>
      </c>
    </row>
    <row r="30" spans="2:11" x14ac:dyDescent="0.25">
      <c r="B30" s="2">
        <v>10</v>
      </c>
      <c r="C30" s="2" t="s">
        <v>138</v>
      </c>
      <c r="D30" s="2">
        <v>44348</v>
      </c>
      <c r="G30" s="2" t="s">
        <v>178</v>
      </c>
      <c r="H30" s="2">
        <v>0</v>
      </c>
      <c r="J30" s="2" t="s">
        <v>175</v>
      </c>
      <c r="K30" s="2">
        <v>0</v>
      </c>
    </row>
    <row r="31" spans="2:11" x14ac:dyDescent="0.25">
      <c r="B31" s="2">
        <v>20</v>
      </c>
      <c r="C31" s="2" t="s">
        <v>138</v>
      </c>
      <c r="D31" s="2">
        <v>44348</v>
      </c>
      <c r="G31" s="2" t="s">
        <v>179</v>
      </c>
      <c r="H31" s="2">
        <v>0</v>
      </c>
      <c r="J31" s="2" t="s">
        <v>174</v>
      </c>
      <c r="K31" s="2">
        <v>0</v>
      </c>
    </row>
    <row r="33" spans="2:11" x14ac:dyDescent="0.25">
      <c r="B33" s="23" t="s">
        <v>187</v>
      </c>
      <c r="C33" s="23"/>
      <c r="D33" s="23"/>
      <c r="E33" s="2"/>
      <c r="F33" s="2"/>
      <c r="G33" s="24" t="s">
        <v>181</v>
      </c>
      <c r="H33" s="24"/>
      <c r="I33" s="24"/>
      <c r="J33" s="24"/>
      <c r="K33" s="24"/>
    </row>
    <row r="34" spans="2:11" x14ac:dyDescent="0.25">
      <c r="B34" s="2" t="s">
        <v>141</v>
      </c>
      <c r="C34" s="2" t="s">
        <v>140</v>
      </c>
      <c r="D34" s="2" t="s">
        <v>139</v>
      </c>
      <c r="G34" s="2" t="s">
        <v>184</v>
      </c>
      <c r="H34" s="2" t="s">
        <v>139</v>
      </c>
      <c r="J34" s="2" t="s">
        <v>185</v>
      </c>
      <c r="K34" s="2" t="s">
        <v>139</v>
      </c>
    </row>
    <row r="35" spans="2:11" x14ac:dyDescent="0.25">
      <c r="B35" s="2">
        <v>5</v>
      </c>
      <c r="C35" s="2" t="s">
        <v>138</v>
      </c>
      <c r="D35" s="2">
        <v>44348</v>
      </c>
      <c r="G35" s="2" t="s">
        <v>183</v>
      </c>
      <c r="H35" s="2">
        <v>10</v>
      </c>
      <c r="J35" s="2" t="s">
        <v>186</v>
      </c>
      <c r="K35" s="2">
        <v>5</v>
      </c>
    </row>
    <row r="36" spans="2:11" x14ac:dyDescent="0.25">
      <c r="B36" s="2">
        <v>10</v>
      </c>
      <c r="C36" s="2" t="s">
        <v>138</v>
      </c>
      <c r="D36" s="2">
        <v>44348</v>
      </c>
      <c r="G36" s="2" t="s">
        <v>182</v>
      </c>
      <c r="H36" s="2">
        <v>0</v>
      </c>
      <c r="J36" s="2" t="s">
        <v>188</v>
      </c>
      <c r="K36" s="2">
        <v>5</v>
      </c>
    </row>
    <row r="37" spans="2:11" x14ac:dyDescent="0.25">
      <c r="B37" s="2">
        <v>20</v>
      </c>
      <c r="C37" s="2" t="s">
        <v>138</v>
      </c>
      <c r="D37" s="2">
        <v>44348</v>
      </c>
      <c r="G37" s="2" t="s">
        <v>180</v>
      </c>
      <c r="H37" s="2">
        <v>208</v>
      </c>
      <c r="J37" s="2" t="s">
        <v>189</v>
      </c>
      <c r="K37" s="2">
        <v>15</v>
      </c>
    </row>
    <row r="39" spans="2:11" x14ac:dyDescent="0.25">
      <c r="B39" s="23" t="s">
        <v>197</v>
      </c>
      <c r="C39" s="23"/>
      <c r="D39" s="23"/>
      <c r="G39" s="24" t="s">
        <v>181</v>
      </c>
      <c r="H39" s="24"/>
      <c r="I39" s="24"/>
      <c r="J39" s="24"/>
      <c r="K39" s="24"/>
    </row>
    <row r="40" spans="2:11" x14ac:dyDescent="0.25">
      <c r="B40" s="2" t="s">
        <v>141</v>
      </c>
      <c r="C40" s="2" t="s">
        <v>140</v>
      </c>
      <c r="D40" s="2" t="s">
        <v>139</v>
      </c>
      <c r="G40" s="2" t="s">
        <v>184</v>
      </c>
      <c r="H40" s="2" t="s">
        <v>139</v>
      </c>
      <c r="J40" s="2" t="s">
        <v>185</v>
      </c>
      <c r="K40" s="2" t="s">
        <v>139</v>
      </c>
    </row>
    <row r="41" spans="2:11" x14ac:dyDescent="0.25">
      <c r="B41" s="2">
        <v>5</v>
      </c>
      <c r="C41" s="2" t="s">
        <v>138</v>
      </c>
      <c r="D41" s="2">
        <v>44348</v>
      </c>
      <c r="G41" s="2" t="s">
        <v>193</v>
      </c>
      <c r="H41" s="2">
        <v>5</v>
      </c>
      <c r="J41" s="2" t="s">
        <v>191</v>
      </c>
      <c r="K41" s="2">
        <v>20</v>
      </c>
    </row>
    <row r="42" spans="2:11" x14ac:dyDescent="0.25">
      <c r="B42" s="2">
        <v>10</v>
      </c>
      <c r="C42" s="2" t="s">
        <v>138</v>
      </c>
      <c r="D42" s="2">
        <v>44348</v>
      </c>
      <c r="G42" s="2" t="s">
        <v>192</v>
      </c>
      <c r="H42" s="2">
        <v>0</v>
      </c>
      <c r="J42" s="2" t="s">
        <v>186</v>
      </c>
      <c r="K42" s="2">
        <v>25</v>
      </c>
    </row>
    <row r="43" spans="2:11" x14ac:dyDescent="0.25">
      <c r="B43" s="2">
        <v>20</v>
      </c>
      <c r="C43" s="2" t="s">
        <v>138</v>
      </c>
      <c r="D43" s="2">
        <v>44348</v>
      </c>
      <c r="G43" s="2" t="s">
        <v>194</v>
      </c>
      <c r="H43" s="2">
        <v>0</v>
      </c>
      <c r="J43" s="2" t="s">
        <v>190</v>
      </c>
      <c r="K43" s="2">
        <v>10</v>
      </c>
    </row>
    <row r="46" spans="2:11" x14ac:dyDescent="0.25">
      <c r="B46" s="3" t="s">
        <v>141</v>
      </c>
      <c r="C46" s="3" t="s">
        <v>202</v>
      </c>
      <c r="D46" s="3" t="s">
        <v>139</v>
      </c>
    </row>
    <row r="47" spans="2:11" x14ac:dyDescent="0.25">
      <c r="B47" s="3">
        <v>5</v>
      </c>
      <c r="C47" s="3" t="s">
        <v>159</v>
      </c>
      <c r="D47" s="3">
        <v>1620</v>
      </c>
    </row>
    <row r="48" spans="2:11" x14ac:dyDescent="0.25">
      <c r="B48" s="3">
        <v>10</v>
      </c>
      <c r="C48" s="3" t="s">
        <v>171</v>
      </c>
      <c r="D48" s="3">
        <v>1752</v>
      </c>
    </row>
    <row r="49" spans="2:4" x14ac:dyDescent="0.25">
      <c r="B49" s="3">
        <v>20</v>
      </c>
      <c r="C49" s="3" t="s">
        <v>168</v>
      </c>
      <c r="D49" s="3">
        <v>3012</v>
      </c>
    </row>
    <row r="50" spans="2:4" x14ac:dyDescent="0.25">
      <c r="B50" s="3" t="s">
        <v>141</v>
      </c>
      <c r="C50" s="3" t="s">
        <v>203</v>
      </c>
      <c r="D50" s="3" t="s">
        <v>139</v>
      </c>
    </row>
    <row r="51" spans="2:4" x14ac:dyDescent="0.25">
      <c r="B51" s="3">
        <v>5</v>
      </c>
      <c r="C51" s="3" t="s">
        <v>160</v>
      </c>
      <c r="D51" s="3">
        <v>1519</v>
      </c>
    </row>
    <row r="52" spans="2:4" x14ac:dyDescent="0.25">
      <c r="B52" s="3">
        <v>10</v>
      </c>
      <c r="C52" s="3" t="s">
        <v>172</v>
      </c>
      <c r="D52" s="3">
        <v>1645</v>
      </c>
    </row>
    <row r="53" spans="2:4" x14ac:dyDescent="0.25">
      <c r="B53" s="3">
        <v>20</v>
      </c>
      <c r="C53" s="3" t="s">
        <v>162</v>
      </c>
      <c r="D53" s="3">
        <v>2829</v>
      </c>
    </row>
    <row r="57" spans="2:4" x14ac:dyDescent="0.25">
      <c r="B57" s="26" t="s">
        <v>141</v>
      </c>
      <c r="C57" s="26" t="s">
        <v>207</v>
      </c>
      <c r="D57" s="26" t="s">
        <v>139</v>
      </c>
    </row>
    <row r="58" spans="2:4" x14ac:dyDescent="0.25">
      <c r="B58" s="25" t="s">
        <v>205</v>
      </c>
      <c r="C58" s="25"/>
      <c r="D58" s="25"/>
    </row>
    <row r="59" spans="2:4" x14ac:dyDescent="0.25">
      <c r="B59" s="3">
        <v>5</v>
      </c>
      <c r="C59" s="3" t="s">
        <v>208</v>
      </c>
      <c r="D59" s="3">
        <v>5</v>
      </c>
    </row>
    <row r="60" spans="2:4" x14ac:dyDescent="0.25">
      <c r="B60" s="3">
        <v>10</v>
      </c>
      <c r="C60" s="3" t="s">
        <v>209</v>
      </c>
      <c r="D60" s="3">
        <v>0</v>
      </c>
    </row>
    <row r="61" spans="2:4" x14ac:dyDescent="0.25">
      <c r="B61" s="3">
        <v>20</v>
      </c>
      <c r="C61" s="3" t="s">
        <v>210</v>
      </c>
      <c r="D61" s="3">
        <v>0</v>
      </c>
    </row>
    <row r="62" spans="2:4" x14ac:dyDescent="0.25">
      <c r="B62" s="25" t="s">
        <v>204</v>
      </c>
      <c r="C62" s="25"/>
      <c r="D62" s="25"/>
    </row>
    <row r="63" spans="2:4" x14ac:dyDescent="0.25">
      <c r="B63" s="3">
        <v>5</v>
      </c>
      <c r="C63" s="3" t="s">
        <v>211</v>
      </c>
      <c r="D63" s="3">
        <v>20</v>
      </c>
    </row>
    <row r="64" spans="2:4" x14ac:dyDescent="0.25">
      <c r="B64" s="3">
        <v>10</v>
      </c>
      <c r="C64" s="3" t="s">
        <v>206</v>
      </c>
      <c r="D64" s="3">
        <v>25</v>
      </c>
    </row>
    <row r="65" spans="2:4" x14ac:dyDescent="0.25">
      <c r="B65" s="3">
        <v>20</v>
      </c>
      <c r="C65" s="3" t="s">
        <v>212</v>
      </c>
      <c r="D65" s="3">
        <v>10</v>
      </c>
    </row>
  </sheetData>
  <mergeCells count="13">
    <mergeCell ref="B62:D62"/>
    <mergeCell ref="B58:D58"/>
    <mergeCell ref="G39:K39"/>
    <mergeCell ref="G21:K21"/>
    <mergeCell ref="G15:K15"/>
    <mergeCell ref="G9:K9"/>
    <mergeCell ref="B9:D9"/>
    <mergeCell ref="B15:D15"/>
    <mergeCell ref="B21:D21"/>
    <mergeCell ref="B27:D27"/>
    <mergeCell ref="B33:D33"/>
    <mergeCell ref="B39:D39"/>
    <mergeCell ref="G33:K33"/>
  </mergeCells>
  <pageMargins left="0.7" right="0.7" top="0.75" bottom="0.75" header="0.3" footer="0.3"/>
  <tableParts count="20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1C319-3636-4518-A333-43791978119A}">
  <dimension ref="B2:L13"/>
  <sheetViews>
    <sheetView workbookViewId="0">
      <selection activeCell="C38" sqref="C38"/>
    </sheetView>
  </sheetViews>
  <sheetFormatPr defaultRowHeight="15" x14ac:dyDescent="0.25"/>
  <cols>
    <col min="2" max="2" width="19.7109375" customWidth="1"/>
    <col min="3" max="3" width="18.140625" bestFit="1" customWidth="1"/>
    <col min="4" max="4" width="18.5703125" bestFit="1" customWidth="1"/>
    <col min="6" max="6" width="16.7109375" bestFit="1" customWidth="1"/>
    <col min="7" max="7" width="18.140625" bestFit="1" customWidth="1"/>
    <col min="8" max="8" width="18.5703125" bestFit="1" customWidth="1"/>
    <col min="10" max="10" width="16.7109375" bestFit="1" customWidth="1"/>
    <col min="11" max="11" width="18.140625" bestFit="1" customWidth="1"/>
    <col min="12" max="12" width="18.5703125" bestFit="1" customWidth="1"/>
  </cols>
  <sheetData>
    <row r="2" spans="2:12" x14ac:dyDescent="0.25">
      <c r="B2" s="12" t="s">
        <v>108</v>
      </c>
    </row>
    <row r="3" spans="2:12" x14ac:dyDescent="0.25">
      <c r="B3" s="13" t="s">
        <v>109</v>
      </c>
    </row>
    <row r="4" spans="2:12" x14ac:dyDescent="0.25">
      <c r="B4" s="13" t="s">
        <v>110</v>
      </c>
    </row>
    <row r="5" spans="2:12" x14ac:dyDescent="0.25">
      <c r="B5" s="13" t="s">
        <v>111</v>
      </c>
    </row>
    <row r="6" spans="2:12" x14ac:dyDescent="0.25">
      <c r="B6" s="13" t="s">
        <v>112</v>
      </c>
    </row>
    <row r="7" spans="2:12" x14ac:dyDescent="0.25">
      <c r="B7" s="13" t="s">
        <v>113</v>
      </c>
    </row>
    <row r="8" spans="2:12" x14ac:dyDescent="0.25">
      <c r="B8" s="13" t="s">
        <v>114</v>
      </c>
    </row>
    <row r="10" spans="2:12" x14ac:dyDescent="0.25">
      <c r="B10" s="2" t="s">
        <v>141</v>
      </c>
      <c r="C10" s="2" t="s">
        <v>140</v>
      </c>
      <c r="D10" s="2" t="s">
        <v>139</v>
      </c>
      <c r="E10" s="2"/>
      <c r="F10" s="2" t="s">
        <v>141</v>
      </c>
      <c r="G10" s="2" t="s">
        <v>140</v>
      </c>
      <c r="H10" s="2" t="s">
        <v>139</v>
      </c>
      <c r="I10" s="2"/>
      <c r="J10" s="2" t="s">
        <v>141</v>
      </c>
      <c r="K10" s="2" t="s">
        <v>140</v>
      </c>
      <c r="L10" s="2" t="s">
        <v>139</v>
      </c>
    </row>
    <row r="11" spans="2:12" x14ac:dyDescent="0.25">
      <c r="B11" s="2">
        <v>5</v>
      </c>
      <c r="C11" s="2" t="s">
        <v>138</v>
      </c>
      <c r="D11" s="2">
        <v>44348</v>
      </c>
      <c r="E11" s="2"/>
      <c r="F11" s="2">
        <v>5</v>
      </c>
      <c r="G11" s="2" t="s">
        <v>159</v>
      </c>
      <c r="H11" s="2">
        <v>1701</v>
      </c>
      <c r="I11" s="2"/>
      <c r="J11" s="2">
        <v>5</v>
      </c>
      <c r="K11" s="2" t="s">
        <v>160</v>
      </c>
      <c r="L11" s="2">
        <v>1595</v>
      </c>
    </row>
    <row r="12" spans="2:12" x14ac:dyDescent="0.25">
      <c r="B12" s="2">
        <v>10</v>
      </c>
      <c r="C12" s="2" t="s">
        <v>138</v>
      </c>
      <c r="D12" s="2">
        <v>44348</v>
      </c>
      <c r="E12" s="2"/>
      <c r="F12" s="2">
        <v>10</v>
      </c>
      <c r="G12" s="2" t="s">
        <v>158</v>
      </c>
      <c r="H12" s="2">
        <v>1797</v>
      </c>
      <c r="I12" s="2"/>
      <c r="J12" s="2">
        <v>10</v>
      </c>
      <c r="K12" s="2" t="s">
        <v>161</v>
      </c>
      <c r="L12" s="2">
        <v>1686</v>
      </c>
    </row>
    <row r="13" spans="2:12" x14ac:dyDescent="0.25">
      <c r="B13" s="2">
        <v>20</v>
      </c>
      <c r="C13" s="2" t="s">
        <v>138</v>
      </c>
      <c r="D13" s="2">
        <v>44348</v>
      </c>
      <c r="E13" s="2"/>
      <c r="F13" s="2">
        <v>20</v>
      </c>
      <c r="G13" s="2" t="s">
        <v>157</v>
      </c>
      <c r="H13" s="2">
        <v>3045</v>
      </c>
      <c r="I13" s="2"/>
      <c r="J13" s="2">
        <v>20</v>
      </c>
      <c r="K13" s="2" t="s">
        <v>162</v>
      </c>
      <c r="L13" s="2">
        <v>2870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DAC04-E29D-46CE-B213-F4B3594270FD}">
  <dimension ref="A1:E77"/>
  <sheetViews>
    <sheetView workbookViewId="0">
      <selection activeCell="G4" sqref="G4"/>
    </sheetView>
  </sheetViews>
  <sheetFormatPr defaultRowHeight="15" x14ac:dyDescent="0.25"/>
  <sheetData>
    <row r="1" spans="1:5" ht="30" x14ac:dyDescent="0.25">
      <c r="A1" s="1" t="s">
        <v>3</v>
      </c>
      <c r="B1" s="1" t="s">
        <v>4</v>
      </c>
      <c r="C1" s="1">
        <v>287.60000000000002</v>
      </c>
    </row>
    <row r="2" spans="1:5" x14ac:dyDescent="0.25">
      <c r="A2" s="1" t="s">
        <v>3</v>
      </c>
      <c r="B2" s="1" t="s">
        <v>5</v>
      </c>
      <c r="C2" s="1">
        <v>287.60000000000002</v>
      </c>
      <c r="E2" t="s">
        <v>199</v>
      </c>
    </row>
    <row r="3" spans="1:5" ht="30" x14ac:dyDescent="0.25">
      <c r="A3" s="1" t="s">
        <v>3</v>
      </c>
      <c r="B3" s="1" t="s">
        <v>6</v>
      </c>
      <c r="C3" s="1">
        <v>287.60000000000002</v>
      </c>
      <c r="E3">
        <f>AVERAGE(C1:C77)</f>
        <v>305.37012987013009</v>
      </c>
    </row>
    <row r="4" spans="1:5" x14ac:dyDescent="0.25">
      <c r="A4" s="1" t="s">
        <v>3</v>
      </c>
      <c r="B4" s="1" t="s">
        <v>7</v>
      </c>
      <c r="C4" s="1">
        <v>287.60000000000002</v>
      </c>
    </row>
    <row r="5" spans="1:5" ht="30" x14ac:dyDescent="0.25">
      <c r="A5" s="1" t="s">
        <v>8</v>
      </c>
      <c r="B5" s="1" t="s">
        <v>9</v>
      </c>
      <c r="C5" s="1">
        <v>287.7</v>
      </c>
    </row>
    <row r="6" spans="1:5" ht="30" x14ac:dyDescent="0.25">
      <c r="A6" s="1" t="s">
        <v>8</v>
      </c>
      <c r="B6" s="1" t="s">
        <v>10</v>
      </c>
      <c r="C6" s="1">
        <v>287.7</v>
      </c>
    </row>
    <row r="7" spans="1:5" ht="30" x14ac:dyDescent="0.25">
      <c r="A7" s="1" t="s">
        <v>11</v>
      </c>
      <c r="B7" s="1" t="s">
        <v>12</v>
      </c>
      <c r="C7" s="1">
        <v>287.7</v>
      </c>
    </row>
    <row r="8" spans="1:5" ht="30" x14ac:dyDescent="0.25">
      <c r="A8" s="1" t="s">
        <v>11</v>
      </c>
      <c r="B8" s="1" t="s">
        <v>13</v>
      </c>
      <c r="C8" s="1">
        <v>287.7</v>
      </c>
    </row>
    <row r="9" spans="1:5" ht="30" x14ac:dyDescent="0.25">
      <c r="A9" s="1" t="s">
        <v>11</v>
      </c>
      <c r="B9" s="1" t="s">
        <v>14</v>
      </c>
      <c r="C9" s="1">
        <v>287.7</v>
      </c>
    </row>
    <row r="10" spans="1:5" ht="30" x14ac:dyDescent="0.25">
      <c r="A10" s="1" t="s">
        <v>11</v>
      </c>
      <c r="B10" s="1" t="s">
        <v>15</v>
      </c>
      <c r="C10" s="1">
        <v>287.7</v>
      </c>
    </row>
    <row r="11" spans="1:5" x14ac:dyDescent="0.25">
      <c r="A11" s="1" t="s">
        <v>11</v>
      </c>
      <c r="B11" s="1" t="s">
        <v>16</v>
      </c>
      <c r="C11" s="1">
        <v>287.7</v>
      </c>
    </row>
    <row r="12" spans="1:5" ht="30" x14ac:dyDescent="0.25">
      <c r="A12" s="1" t="s">
        <v>17</v>
      </c>
      <c r="B12" s="1" t="s">
        <v>18</v>
      </c>
      <c r="C12" s="1">
        <v>287.89999999999998</v>
      </c>
    </row>
    <row r="13" spans="1:5" ht="30" x14ac:dyDescent="0.25">
      <c r="A13" s="1" t="s">
        <v>17</v>
      </c>
      <c r="B13" s="1" t="s">
        <v>6</v>
      </c>
      <c r="C13" s="1">
        <v>287.89999999999998</v>
      </c>
    </row>
    <row r="14" spans="1:5" ht="30" x14ac:dyDescent="0.25">
      <c r="A14" s="1" t="s">
        <v>17</v>
      </c>
      <c r="B14" s="1" t="s">
        <v>19</v>
      </c>
      <c r="C14" s="1">
        <v>287.89999999999998</v>
      </c>
    </row>
    <row r="15" spans="1:5" ht="30" x14ac:dyDescent="0.25">
      <c r="A15" s="1" t="s">
        <v>17</v>
      </c>
      <c r="B15" s="1" t="s">
        <v>20</v>
      </c>
      <c r="C15" s="1">
        <v>287.89999999999998</v>
      </c>
    </row>
    <row r="16" spans="1:5" ht="30" x14ac:dyDescent="0.25">
      <c r="A16" s="1" t="s">
        <v>3</v>
      </c>
      <c r="B16" s="1" t="s">
        <v>21</v>
      </c>
      <c r="C16" s="1">
        <v>306.2</v>
      </c>
    </row>
    <row r="17" spans="1:3" ht="30" x14ac:dyDescent="0.25">
      <c r="A17" s="1" t="s">
        <v>8</v>
      </c>
      <c r="B17" s="1" t="s">
        <v>21</v>
      </c>
      <c r="C17" s="1">
        <v>306.3</v>
      </c>
    </row>
    <row r="18" spans="1:3" ht="30" x14ac:dyDescent="0.25">
      <c r="A18" s="1" t="s">
        <v>17</v>
      </c>
      <c r="B18" s="1" t="s">
        <v>22</v>
      </c>
      <c r="C18" s="1">
        <v>307.2</v>
      </c>
    </row>
    <row r="19" spans="1:3" ht="30" x14ac:dyDescent="0.25">
      <c r="A19" s="1" t="s">
        <v>3</v>
      </c>
      <c r="B19" s="1" t="s">
        <v>23</v>
      </c>
      <c r="C19" s="1">
        <v>309.10000000000002</v>
      </c>
    </row>
    <row r="20" spans="1:3" x14ac:dyDescent="0.25">
      <c r="A20" s="1" t="s">
        <v>3</v>
      </c>
      <c r="B20" s="1" t="s">
        <v>24</v>
      </c>
      <c r="C20" s="1">
        <v>309.10000000000002</v>
      </c>
    </row>
    <row r="21" spans="1:3" x14ac:dyDescent="0.25">
      <c r="A21" s="1" t="s">
        <v>3</v>
      </c>
      <c r="B21" s="1" t="s">
        <v>25</v>
      </c>
      <c r="C21" s="1">
        <v>309.10000000000002</v>
      </c>
    </row>
    <row r="22" spans="1:3" ht="30" x14ac:dyDescent="0.25">
      <c r="A22" s="1" t="s">
        <v>3</v>
      </c>
      <c r="B22" s="1" t="s">
        <v>26</v>
      </c>
      <c r="C22" s="1">
        <v>309.10000000000002</v>
      </c>
    </row>
    <row r="23" spans="1:3" x14ac:dyDescent="0.25">
      <c r="A23" s="1" t="s">
        <v>3</v>
      </c>
      <c r="B23" s="1" t="s">
        <v>27</v>
      </c>
      <c r="C23" s="1">
        <v>309.10000000000002</v>
      </c>
    </row>
    <row r="24" spans="1:3" ht="30" x14ac:dyDescent="0.25">
      <c r="A24" s="1" t="s">
        <v>3</v>
      </c>
      <c r="B24" s="1" t="s">
        <v>28</v>
      </c>
      <c r="C24" s="1">
        <v>309.10000000000002</v>
      </c>
    </row>
    <row r="25" spans="1:3" ht="30" x14ac:dyDescent="0.25">
      <c r="A25" s="1" t="s">
        <v>3</v>
      </c>
      <c r="B25" s="1" t="s">
        <v>29</v>
      </c>
      <c r="C25" s="1">
        <v>309.10000000000002</v>
      </c>
    </row>
    <row r="26" spans="1:3" ht="30" x14ac:dyDescent="0.25">
      <c r="A26" s="1" t="s">
        <v>3</v>
      </c>
      <c r="B26" s="1" t="s">
        <v>30</v>
      </c>
      <c r="C26" s="1">
        <v>309.10000000000002</v>
      </c>
    </row>
    <row r="27" spans="1:3" ht="30" x14ac:dyDescent="0.25">
      <c r="A27" s="1" t="s">
        <v>3</v>
      </c>
      <c r="B27" s="1" t="s">
        <v>31</v>
      </c>
      <c r="C27" s="1">
        <v>309.10000000000002</v>
      </c>
    </row>
    <row r="28" spans="1:3" x14ac:dyDescent="0.25">
      <c r="A28" s="1" t="s">
        <v>3</v>
      </c>
      <c r="B28" s="1" t="s">
        <v>32</v>
      </c>
      <c r="C28" s="1">
        <v>309.10000000000002</v>
      </c>
    </row>
    <row r="29" spans="1:3" ht="30" x14ac:dyDescent="0.25">
      <c r="A29" s="1" t="s">
        <v>3</v>
      </c>
      <c r="B29" s="1" t="s">
        <v>33</v>
      </c>
      <c r="C29" s="1">
        <v>309.10000000000002</v>
      </c>
    </row>
    <row r="30" spans="1:3" ht="45" x14ac:dyDescent="0.25">
      <c r="A30" s="1" t="s">
        <v>3</v>
      </c>
      <c r="B30" s="1" t="s">
        <v>34</v>
      </c>
      <c r="C30" s="1">
        <v>309.10000000000002</v>
      </c>
    </row>
    <row r="31" spans="1:3" ht="30" x14ac:dyDescent="0.25">
      <c r="A31" s="1" t="s">
        <v>3</v>
      </c>
      <c r="B31" s="1" t="s">
        <v>35</v>
      </c>
      <c r="C31" s="1">
        <v>309.10000000000002</v>
      </c>
    </row>
    <row r="32" spans="1:3" ht="30" x14ac:dyDescent="0.25">
      <c r="A32" s="1" t="s">
        <v>3</v>
      </c>
      <c r="B32" s="1" t="s">
        <v>36</v>
      </c>
      <c r="C32" s="1">
        <v>309.10000000000002</v>
      </c>
    </row>
    <row r="33" spans="1:3" ht="30" x14ac:dyDescent="0.25">
      <c r="A33" s="1" t="s">
        <v>3</v>
      </c>
      <c r="B33" s="1" t="s">
        <v>37</v>
      </c>
      <c r="C33" s="1">
        <v>309.10000000000002</v>
      </c>
    </row>
    <row r="34" spans="1:3" x14ac:dyDescent="0.25">
      <c r="A34" s="1" t="s">
        <v>3</v>
      </c>
      <c r="B34" s="1" t="s">
        <v>38</v>
      </c>
      <c r="C34" s="1">
        <v>309.10000000000002</v>
      </c>
    </row>
    <row r="35" spans="1:3" x14ac:dyDescent="0.25">
      <c r="A35" s="1" t="s">
        <v>3</v>
      </c>
      <c r="B35" s="1" t="s">
        <v>39</v>
      </c>
      <c r="C35" s="1">
        <v>309.10000000000002</v>
      </c>
    </row>
    <row r="36" spans="1:3" ht="30" x14ac:dyDescent="0.25">
      <c r="A36" s="1" t="s">
        <v>3</v>
      </c>
      <c r="B36" s="1" t="s">
        <v>40</v>
      </c>
      <c r="C36" s="1">
        <v>309.10000000000002</v>
      </c>
    </row>
    <row r="37" spans="1:3" ht="30" x14ac:dyDescent="0.25">
      <c r="A37" s="1" t="s">
        <v>3</v>
      </c>
      <c r="B37" s="1" t="s">
        <v>41</v>
      </c>
      <c r="C37" s="1">
        <v>309.10000000000002</v>
      </c>
    </row>
    <row r="38" spans="1:3" ht="30" x14ac:dyDescent="0.25">
      <c r="A38" s="1" t="s">
        <v>3</v>
      </c>
      <c r="B38" s="1" t="s">
        <v>42</v>
      </c>
      <c r="C38" s="1">
        <v>309.10000000000002</v>
      </c>
    </row>
    <row r="39" spans="1:3" ht="30" x14ac:dyDescent="0.25">
      <c r="A39" s="1" t="s">
        <v>3</v>
      </c>
      <c r="B39" s="1" t="s">
        <v>43</v>
      </c>
      <c r="C39" s="1">
        <v>309.10000000000002</v>
      </c>
    </row>
    <row r="40" spans="1:3" ht="30" x14ac:dyDescent="0.25">
      <c r="A40" s="1" t="s">
        <v>8</v>
      </c>
      <c r="B40" s="1" t="s">
        <v>44</v>
      </c>
      <c r="C40" s="1">
        <v>309.2</v>
      </c>
    </row>
    <row r="41" spans="1:3" ht="30" x14ac:dyDescent="0.25">
      <c r="A41" s="1" t="s">
        <v>8</v>
      </c>
      <c r="B41" s="1" t="s">
        <v>45</v>
      </c>
      <c r="C41" s="1">
        <v>309.2</v>
      </c>
    </row>
    <row r="42" spans="1:3" ht="30" x14ac:dyDescent="0.25">
      <c r="A42" s="1" t="s">
        <v>8</v>
      </c>
      <c r="B42" s="1" t="s">
        <v>46</v>
      </c>
      <c r="C42" s="1">
        <v>309.2</v>
      </c>
    </row>
    <row r="43" spans="1:3" ht="30" x14ac:dyDescent="0.25">
      <c r="A43" s="1" t="s">
        <v>8</v>
      </c>
      <c r="B43" s="1" t="s">
        <v>47</v>
      </c>
      <c r="C43" s="1">
        <v>309.2</v>
      </c>
    </row>
    <row r="44" spans="1:3" ht="30" x14ac:dyDescent="0.25">
      <c r="A44" s="1" t="s">
        <v>8</v>
      </c>
      <c r="B44" s="1" t="s">
        <v>48</v>
      </c>
      <c r="C44" s="1">
        <v>309.2</v>
      </c>
    </row>
    <row r="45" spans="1:3" ht="30" x14ac:dyDescent="0.25">
      <c r="A45" s="1" t="s">
        <v>8</v>
      </c>
      <c r="B45" s="1" t="s">
        <v>49</v>
      </c>
      <c r="C45" s="1">
        <v>309.2</v>
      </c>
    </row>
    <row r="46" spans="1:3" ht="30" x14ac:dyDescent="0.25">
      <c r="A46" s="1" t="s">
        <v>8</v>
      </c>
      <c r="B46" s="1" t="s">
        <v>50</v>
      </c>
      <c r="C46" s="1">
        <v>309.2</v>
      </c>
    </row>
    <row r="47" spans="1:3" ht="30" x14ac:dyDescent="0.25">
      <c r="A47" s="1" t="s">
        <v>8</v>
      </c>
      <c r="B47" s="1" t="s">
        <v>51</v>
      </c>
      <c r="C47" s="1">
        <v>309.2</v>
      </c>
    </row>
    <row r="48" spans="1:3" ht="30" x14ac:dyDescent="0.25">
      <c r="A48" s="1" t="s">
        <v>8</v>
      </c>
      <c r="B48" s="1" t="s">
        <v>52</v>
      </c>
      <c r="C48" s="1">
        <v>309.2</v>
      </c>
    </row>
    <row r="49" spans="1:3" ht="30" x14ac:dyDescent="0.25">
      <c r="A49" s="1" t="s">
        <v>8</v>
      </c>
      <c r="B49" s="1" t="s">
        <v>53</v>
      </c>
      <c r="C49" s="1">
        <v>309.2</v>
      </c>
    </row>
    <row r="50" spans="1:3" ht="30" x14ac:dyDescent="0.25">
      <c r="A50" s="1" t="s">
        <v>8</v>
      </c>
      <c r="B50" s="1" t="s">
        <v>54</v>
      </c>
      <c r="C50" s="1">
        <v>309.2</v>
      </c>
    </row>
    <row r="51" spans="1:3" ht="30" x14ac:dyDescent="0.25">
      <c r="A51" s="1" t="s">
        <v>8</v>
      </c>
      <c r="B51" s="1" t="s">
        <v>55</v>
      </c>
      <c r="C51" s="1">
        <v>309.2</v>
      </c>
    </row>
    <row r="52" spans="1:3" ht="30" x14ac:dyDescent="0.25">
      <c r="A52" s="1" t="s">
        <v>8</v>
      </c>
      <c r="B52" s="1" t="s">
        <v>56</v>
      </c>
      <c r="C52" s="1">
        <v>309.2</v>
      </c>
    </row>
    <row r="53" spans="1:3" ht="30" x14ac:dyDescent="0.25">
      <c r="A53" s="1" t="s">
        <v>11</v>
      </c>
      <c r="B53" s="1" t="s">
        <v>57</v>
      </c>
      <c r="C53" s="1">
        <v>309.2</v>
      </c>
    </row>
    <row r="54" spans="1:3" ht="30" x14ac:dyDescent="0.25">
      <c r="A54" s="1" t="s">
        <v>11</v>
      </c>
      <c r="B54" s="1" t="s">
        <v>44</v>
      </c>
      <c r="C54" s="1">
        <v>309.2</v>
      </c>
    </row>
    <row r="55" spans="1:3" ht="60" x14ac:dyDescent="0.25">
      <c r="A55" s="1" t="s">
        <v>11</v>
      </c>
      <c r="B55" s="1" t="s">
        <v>58</v>
      </c>
      <c r="C55" s="1">
        <v>309.2</v>
      </c>
    </row>
    <row r="56" spans="1:3" ht="30" x14ac:dyDescent="0.25">
      <c r="A56" s="1" t="s">
        <v>11</v>
      </c>
      <c r="B56" s="1" t="s">
        <v>59</v>
      </c>
      <c r="C56" s="1">
        <v>309.2</v>
      </c>
    </row>
    <row r="57" spans="1:3" ht="30" x14ac:dyDescent="0.25">
      <c r="A57" s="1" t="s">
        <v>11</v>
      </c>
      <c r="B57" s="1" t="s">
        <v>60</v>
      </c>
      <c r="C57" s="1">
        <v>309.2</v>
      </c>
    </row>
    <row r="58" spans="1:3" ht="30" x14ac:dyDescent="0.25">
      <c r="A58" s="1" t="s">
        <v>17</v>
      </c>
      <c r="B58" s="1" t="s">
        <v>61</v>
      </c>
      <c r="C58" s="1">
        <v>309.2</v>
      </c>
    </row>
    <row r="59" spans="1:3" ht="30" x14ac:dyDescent="0.25">
      <c r="A59" s="1" t="s">
        <v>62</v>
      </c>
      <c r="B59" s="1" t="s">
        <v>63</v>
      </c>
      <c r="C59" s="1">
        <v>311.10000000000002</v>
      </c>
    </row>
    <row r="60" spans="1:3" ht="30" x14ac:dyDescent="0.25">
      <c r="A60" s="1" t="s">
        <v>62</v>
      </c>
      <c r="B60" s="1" t="s">
        <v>64</v>
      </c>
      <c r="C60" s="1">
        <v>311.10000000000002</v>
      </c>
    </row>
    <row r="61" spans="1:3" ht="30" x14ac:dyDescent="0.25">
      <c r="A61" s="1" t="s">
        <v>62</v>
      </c>
      <c r="B61" s="1" t="s">
        <v>26</v>
      </c>
      <c r="C61" s="1">
        <v>311.10000000000002</v>
      </c>
    </row>
    <row r="62" spans="1:3" ht="30" x14ac:dyDescent="0.25">
      <c r="A62" s="1" t="s">
        <v>62</v>
      </c>
      <c r="B62" s="1" t="s">
        <v>65</v>
      </c>
      <c r="C62" s="1">
        <v>311.10000000000002</v>
      </c>
    </row>
    <row r="63" spans="1:3" x14ac:dyDescent="0.25">
      <c r="A63" s="1" t="s">
        <v>62</v>
      </c>
      <c r="B63" s="1" t="s">
        <v>66</v>
      </c>
      <c r="C63" s="1">
        <v>311.10000000000002</v>
      </c>
    </row>
    <row r="64" spans="1:3" ht="60" x14ac:dyDescent="0.25">
      <c r="A64" s="1" t="s">
        <v>62</v>
      </c>
      <c r="B64" s="1" t="s">
        <v>67</v>
      </c>
      <c r="C64" s="1">
        <v>311.10000000000002</v>
      </c>
    </row>
    <row r="65" spans="1:3" ht="30" x14ac:dyDescent="0.25">
      <c r="A65" s="1" t="s">
        <v>62</v>
      </c>
      <c r="B65" s="1" t="s">
        <v>18</v>
      </c>
      <c r="C65" s="1">
        <v>311.10000000000002</v>
      </c>
    </row>
    <row r="66" spans="1:3" x14ac:dyDescent="0.25">
      <c r="A66" s="1" t="s">
        <v>62</v>
      </c>
      <c r="B66" s="1" t="s">
        <v>68</v>
      </c>
      <c r="C66" s="1">
        <v>311.10000000000002</v>
      </c>
    </row>
    <row r="67" spans="1:3" x14ac:dyDescent="0.25">
      <c r="A67" s="1" t="s">
        <v>17</v>
      </c>
      <c r="B67" s="1" t="s">
        <v>69</v>
      </c>
      <c r="C67" s="1">
        <v>311.2</v>
      </c>
    </row>
    <row r="68" spans="1:3" ht="30" x14ac:dyDescent="0.25">
      <c r="A68" s="1" t="s">
        <v>17</v>
      </c>
      <c r="B68" s="1" t="s">
        <v>70</v>
      </c>
      <c r="C68" s="1">
        <v>311.2</v>
      </c>
    </row>
    <row r="69" spans="1:3" ht="30" x14ac:dyDescent="0.25">
      <c r="A69" s="1" t="s">
        <v>17</v>
      </c>
      <c r="B69" s="1" t="s">
        <v>71</v>
      </c>
      <c r="C69" s="1">
        <v>311.2</v>
      </c>
    </row>
    <row r="70" spans="1:3" ht="30" x14ac:dyDescent="0.25">
      <c r="A70" s="1" t="s">
        <v>17</v>
      </c>
      <c r="B70" s="1" t="s">
        <v>44</v>
      </c>
      <c r="C70" s="1">
        <v>311.2</v>
      </c>
    </row>
    <row r="71" spans="1:3" ht="30" x14ac:dyDescent="0.25">
      <c r="A71" s="1" t="s">
        <v>17</v>
      </c>
      <c r="B71" s="1" t="s">
        <v>72</v>
      </c>
      <c r="C71" s="1">
        <v>311.2</v>
      </c>
    </row>
    <row r="72" spans="1:3" ht="60" x14ac:dyDescent="0.25">
      <c r="A72" s="1" t="s">
        <v>17</v>
      </c>
      <c r="B72" s="1" t="s">
        <v>73</v>
      </c>
      <c r="C72" s="1">
        <v>311.2</v>
      </c>
    </row>
    <row r="73" spans="1:3" ht="30" x14ac:dyDescent="0.25">
      <c r="A73" s="1" t="s">
        <v>17</v>
      </c>
      <c r="B73" s="1" t="s">
        <v>74</v>
      </c>
      <c r="C73" s="1">
        <v>311.2</v>
      </c>
    </row>
    <row r="74" spans="1:3" ht="30" x14ac:dyDescent="0.25">
      <c r="A74" s="1" t="s">
        <v>17</v>
      </c>
      <c r="B74" s="1" t="s">
        <v>75</v>
      </c>
      <c r="C74" s="1">
        <v>311.2</v>
      </c>
    </row>
    <row r="75" spans="1:3" x14ac:dyDescent="0.25">
      <c r="A75" s="1" t="s">
        <v>17</v>
      </c>
      <c r="B75" s="1" t="s">
        <v>76</v>
      </c>
      <c r="C75" s="1">
        <v>311.2</v>
      </c>
    </row>
    <row r="76" spans="1:3" ht="30" x14ac:dyDescent="0.25">
      <c r="A76" s="1" t="s">
        <v>17</v>
      </c>
      <c r="B76" s="1" t="s">
        <v>77</v>
      </c>
      <c r="C76" s="1">
        <v>311.2</v>
      </c>
    </row>
    <row r="77" spans="1:3" x14ac:dyDescent="0.25">
      <c r="A77" s="1" t="s">
        <v>17</v>
      </c>
      <c r="B77" s="1" t="s">
        <v>78</v>
      </c>
      <c r="C77" s="1">
        <v>311.2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82345-5630-4E6B-A4A5-81A241D70C43}">
  <dimension ref="B2:AY119"/>
  <sheetViews>
    <sheetView workbookViewId="0">
      <selection activeCell="X13" sqref="X13"/>
    </sheetView>
  </sheetViews>
  <sheetFormatPr defaultRowHeight="15" x14ac:dyDescent="0.25"/>
  <cols>
    <col min="4" max="4" width="9.7109375" customWidth="1"/>
    <col min="9" max="9" width="11.42578125" customWidth="1"/>
    <col min="10" max="10" width="10.42578125" customWidth="1"/>
  </cols>
  <sheetData>
    <row r="2" spans="2:29" x14ac:dyDescent="0.25">
      <c r="B2" s="2" t="s">
        <v>135</v>
      </c>
      <c r="C2" s="2">
        <v>100</v>
      </c>
      <c r="D2" s="2">
        <f>100*(1+D3)</f>
        <v>102.02474690663668</v>
      </c>
      <c r="E2" s="2">
        <f>D2*(1+E3)</f>
        <v>103.31833520809899</v>
      </c>
      <c r="F2" s="2">
        <f t="shared" ref="F2:AC2" si="0">E2*(1+F3)</f>
        <v>109.11136107986502</v>
      </c>
      <c r="G2" s="2">
        <f t="shared" si="0"/>
        <v>113.66704161979753</v>
      </c>
      <c r="H2" s="2">
        <f t="shared" si="0"/>
        <v>123.45331833520811</v>
      </c>
      <c r="I2" s="2">
        <f t="shared" si="0"/>
        <v>125.92800899887516</v>
      </c>
      <c r="J2" s="2">
        <f t="shared" si="0"/>
        <v>129.35883014623172</v>
      </c>
      <c r="K2" s="2">
        <f t="shared" si="0"/>
        <v>134.42069741282339</v>
      </c>
      <c r="L2" s="2">
        <f t="shared" si="0"/>
        <v>139.98875140607424</v>
      </c>
      <c r="M2" s="2">
        <f t="shared" si="0"/>
        <v>149.71878515185603</v>
      </c>
      <c r="N2" s="2">
        <f t="shared" si="0"/>
        <v>158.49268841394829</v>
      </c>
      <c r="O2" s="2">
        <f t="shared" si="0"/>
        <v>184.42069741282339</v>
      </c>
      <c r="P2" s="2">
        <f t="shared" si="0"/>
        <v>200.33745781777279</v>
      </c>
      <c r="Q2" s="2">
        <f t="shared" si="0"/>
        <v>205.56805399325086</v>
      </c>
      <c r="R2" s="2">
        <f t="shared" si="0"/>
        <v>216.310461192351</v>
      </c>
      <c r="S2" s="2">
        <f t="shared" si="0"/>
        <v>226.09673790776154</v>
      </c>
      <c r="T2" s="2">
        <f t="shared" si="0"/>
        <v>234.36445444319463</v>
      </c>
      <c r="U2" s="2">
        <f t="shared" si="0"/>
        <v>236.78290213723287</v>
      </c>
      <c r="V2" s="2">
        <f t="shared" si="0"/>
        <v>241.50731158605177</v>
      </c>
      <c r="W2" s="2">
        <f t="shared" si="0"/>
        <v>246.56917885264343</v>
      </c>
      <c r="X2" s="2">
        <f t="shared" si="0"/>
        <v>250.84364454443198</v>
      </c>
      <c r="Y2" s="2">
        <f t="shared" si="0"/>
        <v>258.99887514060742</v>
      </c>
      <c r="Z2" s="2">
        <f t="shared" si="0"/>
        <v>265.9167604049494</v>
      </c>
      <c r="AA2" s="2">
        <f t="shared" si="0"/>
        <v>275.1968503937008</v>
      </c>
      <c r="AB2" s="2">
        <f t="shared" si="0"/>
        <v>288.52643419572553</v>
      </c>
      <c r="AC2" s="2">
        <f t="shared" si="0"/>
        <v>315.46681664791896</v>
      </c>
    </row>
    <row r="3" spans="2:29" x14ac:dyDescent="0.25">
      <c r="B3" s="2"/>
      <c r="C3" s="2"/>
      <c r="D3" s="6">
        <v>2.0247469066366763E-2</v>
      </c>
      <c r="E3" s="6">
        <v>1.2679162072767314E-2</v>
      </c>
      <c r="F3" s="6">
        <v>5.6069678824169911E-2</v>
      </c>
      <c r="G3" s="6">
        <v>4.1752577319587703E-2</v>
      </c>
      <c r="H3" s="6">
        <v>8.6095992083127237E-2</v>
      </c>
      <c r="I3" s="6">
        <v>2.0045558086560389E-2</v>
      </c>
      <c r="J3" s="6">
        <v>2.7244305493523857E-2</v>
      </c>
      <c r="K3" s="6">
        <v>3.9130434782608692E-2</v>
      </c>
      <c r="L3" s="6">
        <v>4.1422594142259461E-2</v>
      </c>
      <c r="M3" s="6">
        <v>6.950582563278429E-2</v>
      </c>
      <c r="N3" s="6">
        <v>5.8602554470323254E-2</v>
      </c>
      <c r="O3" s="6">
        <v>0.16359119943222122</v>
      </c>
      <c r="P3" s="6">
        <v>8.6306800853918952E-2</v>
      </c>
      <c r="Q3" s="6">
        <v>2.6108927568781581E-2</v>
      </c>
      <c r="R3" s="6">
        <v>5.2257181942544584E-2</v>
      </c>
      <c r="S3" s="6">
        <v>4.5241809672386779E-2</v>
      </c>
      <c r="T3" s="6">
        <v>3.656716417910455E-2</v>
      </c>
      <c r="U3" s="6">
        <v>1.0319174466042691E-2</v>
      </c>
      <c r="V3" s="6">
        <v>1.9952494061757697E-2</v>
      </c>
      <c r="W3" s="6">
        <v>2.0959478341872284E-2</v>
      </c>
      <c r="X3" s="6">
        <v>1.7335766423357768E-2</v>
      </c>
      <c r="Y3" s="6">
        <v>3.2511210762331766E-2</v>
      </c>
      <c r="Z3" s="6">
        <v>2.6710097719869763E-2</v>
      </c>
      <c r="AA3" s="6">
        <v>3.4898477157360386E-2</v>
      </c>
      <c r="AB3" s="6">
        <v>4.8436541998773786E-2</v>
      </c>
      <c r="AC3" s="7">
        <v>9.3372319688109107E-2</v>
      </c>
    </row>
    <row r="4" spans="2:29" x14ac:dyDescent="0.25">
      <c r="B4" s="2"/>
      <c r="C4" s="2" t="s">
        <v>86</v>
      </c>
      <c r="D4" s="2">
        <v>1996</v>
      </c>
      <c r="E4" s="2">
        <v>1997</v>
      </c>
      <c r="F4" s="2">
        <v>1998</v>
      </c>
      <c r="G4" s="2">
        <v>1999</v>
      </c>
      <c r="H4" s="2">
        <v>2000</v>
      </c>
      <c r="I4" s="2">
        <v>2001</v>
      </c>
      <c r="J4" s="2">
        <v>2002</v>
      </c>
      <c r="K4" s="2">
        <v>2003</v>
      </c>
      <c r="L4" s="2">
        <v>2004</v>
      </c>
      <c r="M4" s="2">
        <v>2005</v>
      </c>
      <c r="N4" s="2">
        <v>2006</v>
      </c>
      <c r="O4" s="2">
        <v>2007</v>
      </c>
      <c r="P4" s="2">
        <v>2008</v>
      </c>
      <c r="Q4" s="2">
        <v>2009</v>
      </c>
      <c r="R4" s="2">
        <v>2010</v>
      </c>
      <c r="S4" s="2">
        <v>2011</v>
      </c>
      <c r="T4" s="2">
        <v>2012</v>
      </c>
      <c r="U4" s="2">
        <v>2013</v>
      </c>
      <c r="V4" s="2">
        <v>2014</v>
      </c>
      <c r="W4" s="2">
        <v>2015</v>
      </c>
      <c r="X4" s="2">
        <v>2016</v>
      </c>
      <c r="Y4" s="2">
        <v>2017</v>
      </c>
      <c r="Z4" s="2">
        <v>2018</v>
      </c>
      <c r="AA4" s="2">
        <v>2019</v>
      </c>
      <c r="AB4" s="2">
        <v>2020</v>
      </c>
      <c r="AC4" s="2">
        <v>2021</v>
      </c>
    </row>
    <row r="5" spans="2:29" x14ac:dyDescent="0.25">
      <c r="B5" s="2"/>
      <c r="C5" s="2"/>
      <c r="D5" s="2">
        <f>COUNTA(D4:AC4)</f>
        <v>26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</row>
    <row r="6" spans="2:29" x14ac:dyDescent="0.25">
      <c r="B6" s="8" t="s">
        <v>134</v>
      </c>
      <c r="C6" s="2">
        <f>100*EXP($G$13)</f>
        <v>100</v>
      </c>
      <c r="D6" s="2">
        <f>C6*EXP($E$12)</f>
        <v>104.51786416431477</v>
      </c>
      <c r="E6" s="2">
        <f t="shared" ref="E6:AC6" si="1">D6*EXP($E$12)</f>
        <v>109.23983929470154</v>
      </c>
      <c r="F6" s="2">
        <f t="shared" si="1"/>
        <v>114.1751468473519</v>
      </c>
      <c r="G6" s="2">
        <f t="shared" si="1"/>
        <v>119.33342489132217</v>
      </c>
      <c r="H6" s="2">
        <f t="shared" si="1"/>
        <v>124.72474693053668</v>
      </c>
      <c r="I6" s="2">
        <f t="shared" si="1"/>
        <v>130.35964157614367</v>
      </c>
      <c r="J6" s="2">
        <f t="shared" si="1"/>
        <v>136.24911310764145</v>
      </c>
      <c r="K6" s="2">
        <f t="shared" si="1"/>
        <v>142.40466296292828</v>
      </c>
      <c r="L6" s="2">
        <f t="shared" si="1"/>
        <v>148.83831219924363</v>
      </c>
      <c r="M6" s="2">
        <f t="shared" si="1"/>
        <v>155.56262496886418</v>
      </c>
      <c r="N6" s="2">
        <f t="shared" si="1"/>
        <v>162.59073305539988</v>
      </c>
      <c r="O6" s="2">
        <f t="shared" si="1"/>
        <v>169.93636151860647</v>
      </c>
      <c r="P6" s="2">
        <f t="shared" si="1"/>
        <v>177.61385549779598</v>
      </c>
      <c r="Q6" s="2">
        <f t="shared" si="1"/>
        <v>185.63820822618871</v>
      </c>
      <c r="R6" s="2">
        <f t="shared" si="1"/>
        <v>194.02509031091572</v>
      </c>
      <c r="S6" s="2">
        <f t="shared" si="1"/>
        <v>202.79088033585194</v>
      </c>
      <c r="T6" s="2">
        <f t="shared" si="1"/>
        <v>211.95269684704382</v>
      </c>
      <c r="U6" s="2">
        <f t="shared" si="1"/>
        <v>221.52843178319515</v>
      </c>
      <c r="V6" s="2">
        <f t="shared" si="1"/>
        <v>231.5367854164966</v>
      </c>
      <c r="W6" s="2">
        <f t="shared" si="1"/>
        <v>241.99730287203488</v>
      </c>
      <c r="X6" s="2">
        <f t="shared" si="1"/>
        <v>252.93041229709883</v>
      </c>
      <c r="Y6" s="2">
        <f t="shared" si="1"/>
        <v>264.35746475492306</v>
      </c>
      <c r="Z6" s="2">
        <f t="shared" si="1"/>
        <v>276.30077592077674</v>
      </c>
      <c r="AA6" s="2">
        <f t="shared" si="1"/>
        <v>288.78366966182517</v>
      </c>
      <c r="AB6" s="2">
        <f t="shared" si="1"/>
        <v>301.83052358586991</v>
      </c>
      <c r="AC6" s="2">
        <f t="shared" si="1"/>
        <v>315.46681664791959</v>
      </c>
    </row>
    <row r="7" spans="2:29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</row>
    <row r="8" spans="2:29" x14ac:dyDescent="0.25">
      <c r="B8" s="2"/>
      <c r="C8" s="2"/>
      <c r="D8" s="8" t="s">
        <v>136</v>
      </c>
      <c r="E8" s="2" t="s">
        <v>200</v>
      </c>
      <c r="F8" s="2">
        <f>AC2</f>
        <v>315.46681664791896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</row>
    <row r="9" spans="2:29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</row>
    <row r="10" spans="2:29" x14ac:dyDescent="0.25">
      <c r="B10" s="2"/>
      <c r="C10" s="2"/>
      <c r="D10" s="2" t="s">
        <v>87</v>
      </c>
      <c r="E10" s="2" t="s">
        <v>200</v>
      </c>
      <c r="F10" s="9" t="s">
        <v>201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 spans="2:29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</row>
    <row r="12" spans="2:29" x14ac:dyDescent="0.25">
      <c r="B12" s="2"/>
      <c r="C12" s="2"/>
      <c r="D12" s="8" t="s">
        <v>133</v>
      </c>
      <c r="E12" s="6">
        <f>LN(AC2/100)/D5</f>
        <v>4.4187819747480268E-2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spans="2:29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</row>
    <row r="14" spans="2:29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</row>
    <row r="15" spans="2:29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</row>
    <row r="16" spans="2:29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</row>
    <row r="17" spans="2:29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</row>
    <row r="18" spans="2:29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</row>
    <row r="19" spans="2:29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 spans="2:29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 spans="2:29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</row>
    <row r="22" spans="2:29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 spans="2:29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</row>
    <row r="24" spans="2:29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 spans="2:29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 spans="2:29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</row>
    <row r="27" spans="2:29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</row>
    <row r="28" spans="2:29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</row>
    <row r="29" spans="2:29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</row>
    <row r="30" spans="2:29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</row>
    <row r="103" spans="23:51" x14ac:dyDescent="0.25">
      <c r="X103" t="s">
        <v>137</v>
      </c>
      <c r="Y103" s="14">
        <v>6.2815811272536146E-2</v>
      </c>
    </row>
    <row r="105" spans="23:51" x14ac:dyDescent="0.25">
      <c r="X105">
        <f>1555</f>
        <v>1555</v>
      </c>
      <c r="AY105">
        <f>AY108-AY111</f>
        <v>1.4206498053681571E-4</v>
      </c>
    </row>
    <row r="107" spans="23:51" x14ac:dyDescent="0.25">
      <c r="W107">
        <v>1</v>
      </c>
      <c r="X107">
        <f>W107+1</f>
        <v>2</v>
      </c>
      <c r="Y107">
        <f t="shared" ref="Y107:AY107" si="2">X107+1</f>
        <v>3</v>
      </c>
      <c r="Z107">
        <f t="shared" si="2"/>
        <v>4</v>
      </c>
      <c r="AA107">
        <f t="shared" si="2"/>
        <v>5</v>
      </c>
      <c r="AB107">
        <f t="shared" si="2"/>
        <v>6</v>
      </c>
      <c r="AC107">
        <f t="shared" si="2"/>
        <v>7</v>
      </c>
      <c r="AD107">
        <f t="shared" si="2"/>
        <v>8</v>
      </c>
      <c r="AE107">
        <f t="shared" si="2"/>
        <v>9</v>
      </c>
      <c r="AF107">
        <f t="shared" si="2"/>
        <v>10</v>
      </c>
      <c r="AG107">
        <f t="shared" si="2"/>
        <v>11</v>
      </c>
      <c r="AH107">
        <f t="shared" si="2"/>
        <v>12</v>
      </c>
      <c r="AI107">
        <f t="shared" si="2"/>
        <v>13</v>
      </c>
      <c r="AJ107">
        <f t="shared" si="2"/>
        <v>14</v>
      </c>
      <c r="AK107">
        <f t="shared" si="2"/>
        <v>15</v>
      </c>
      <c r="AL107">
        <f t="shared" si="2"/>
        <v>16</v>
      </c>
      <c r="AM107">
        <f t="shared" si="2"/>
        <v>17</v>
      </c>
      <c r="AN107">
        <f t="shared" si="2"/>
        <v>18</v>
      </c>
      <c r="AO107">
        <f t="shared" si="2"/>
        <v>19</v>
      </c>
      <c r="AP107">
        <f t="shared" si="2"/>
        <v>20</v>
      </c>
      <c r="AQ107">
        <f t="shared" si="2"/>
        <v>21</v>
      </c>
      <c r="AR107">
        <f t="shared" si="2"/>
        <v>22</v>
      </c>
      <c r="AS107">
        <f t="shared" si="2"/>
        <v>23</v>
      </c>
      <c r="AT107">
        <f t="shared" si="2"/>
        <v>24</v>
      </c>
      <c r="AU107">
        <f t="shared" si="2"/>
        <v>25</v>
      </c>
      <c r="AV107">
        <f t="shared" si="2"/>
        <v>26</v>
      </c>
      <c r="AW107">
        <f t="shared" si="2"/>
        <v>27</v>
      </c>
      <c r="AX107">
        <f t="shared" si="2"/>
        <v>28</v>
      </c>
      <c r="AY107">
        <f t="shared" si="2"/>
        <v>29</v>
      </c>
    </row>
    <row r="108" spans="23:51" x14ac:dyDescent="0.25">
      <c r="W108">
        <f>$X$105/29</f>
        <v>53.620689655172413</v>
      </c>
      <c r="X108">
        <f t="shared" ref="X108:AY108" si="3">$X$105/29+W108*(1+$Y$103)</f>
        <v>110.60960643202736</v>
      </c>
      <c r="Y108">
        <f t="shared" si="3"/>
        <v>171.1783282497635</v>
      </c>
      <c r="Z108">
        <f t="shared" si="3"/>
        <v>235.55172346622129</v>
      </c>
      <c r="AA108">
        <f t="shared" si="3"/>
        <v>303.9687857275685</v>
      </c>
      <c r="AB108">
        <f t="shared" si="3"/>
        <v>376.68352125974582</v>
      </c>
      <c r="AC108">
        <f t="shared" si="3"/>
        <v>453.96589189584472</v>
      </c>
      <c r="AD108">
        <f t="shared" si="3"/>
        <v>536.102817340515</v>
      </c>
      <c r="AE108">
        <f t="shared" si="3"/>
        <v>623.39924039242408</v>
      </c>
      <c r="AF108">
        <f t="shared" si="3"/>
        <v>716.1792590795294</v>
      </c>
      <c r="AG108">
        <f t="shared" si="3"/>
        <v>814.78732991034633</v>
      </c>
      <c r="AH108">
        <f t="shared" si="3"/>
        <v>919.5895467084207</v>
      </c>
      <c r="AI108">
        <f t="shared" si="3"/>
        <v>1030.9749997778263</v>
      </c>
      <c r="AJ108">
        <f t="shared" si="3"/>
        <v>1149.3572204457455</v>
      </c>
      <c r="AK108">
        <f t="shared" si="3"/>
        <v>1275.1757163451643</v>
      </c>
      <c r="AL108">
        <f t="shared" si="3"/>
        <v>1408.8976031375955</v>
      </c>
      <c r="AM108">
        <f t="shared" si="3"/>
        <v>1551.0193387337874</v>
      </c>
      <c r="AN108">
        <f t="shared" si="3"/>
        <v>1702.0685664509151</v>
      </c>
      <c r="AO108">
        <f t="shared" si="3"/>
        <v>1862.6060739491843</v>
      </c>
      <c r="AP108">
        <f t="shared" si="3"/>
        <v>2033.227875220628</v>
      </c>
      <c r="AQ108">
        <f t="shared" si="3"/>
        <v>2214.5674233597192</v>
      </c>
      <c r="AR108">
        <f t="shared" si="3"/>
        <v>2407.2979623309625</v>
      </c>
      <c r="AS108">
        <f t="shared" si="3"/>
        <v>2612.1350264646776</v>
      </c>
      <c r="AT108">
        <f t="shared" si="3"/>
        <v>2829.8390969606367</v>
      </c>
      <c r="AU108">
        <f t="shared" si="3"/>
        <v>3061.2184252621328</v>
      </c>
      <c r="AV108">
        <f t="shared" si="3"/>
        <v>3307.1320337825814</v>
      </c>
      <c r="AW108">
        <f t="shared" si="3"/>
        <v>3568.4929051251993</v>
      </c>
      <c r="AX108">
        <f t="shared" si="3"/>
        <v>3846.2713716361004</v>
      </c>
      <c r="AY108">
        <f t="shared" si="3"/>
        <v>4141.4987178749243</v>
      </c>
    </row>
    <row r="110" spans="23:51" x14ac:dyDescent="0.25">
      <c r="W110">
        <v>1</v>
      </c>
      <c r="X110">
        <f>W110+1</f>
        <v>2</v>
      </c>
      <c r="Y110">
        <f t="shared" ref="Y110:AY110" si="4">X110+1</f>
        <v>3</v>
      </c>
      <c r="Z110">
        <f t="shared" si="4"/>
        <v>4</v>
      </c>
      <c r="AA110">
        <f t="shared" si="4"/>
        <v>5</v>
      </c>
      <c r="AB110">
        <f t="shared" si="4"/>
        <v>6</v>
      </c>
      <c r="AC110">
        <f t="shared" si="4"/>
        <v>7</v>
      </c>
      <c r="AD110">
        <f t="shared" si="4"/>
        <v>8</v>
      </c>
      <c r="AE110">
        <f t="shared" si="4"/>
        <v>9</v>
      </c>
      <c r="AF110">
        <f t="shared" si="4"/>
        <v>10</v>
      </c>
      <c r="AG110">
        <f t="shared" si="4"/>
        <v>11</v>
      </c>
      <c r="AH110">
        <f t="shared" si="4"/>
        <v>12</v>
      </c>
      <c r="AI110">
        <f t="shared" si="4"/>
        <v>13</v>
      </c>
      <c r="AJ110">
        <f t="shared" si="4"/>
        <v>14</v>
      </c>
      <c r="AK110">
        <f t="shared" si="4"/>
        <v>15</v>
      </c>
      <c r="AL110">
        <f t="shared" si="4"/>
        <v>16</v>
      </c>
      <c r="AM110">
        <f t="shared" si="4"/>
        <v>17</v>
      </c>
      <c r="AN110">
        <f t="shared" si="4"/>
        <v>18</v>
      </c>
      <c r="AO110">
        <f t="shared" si="4"/>
        <v>19</v>
      </c>
      <c r="AP110">
        <f t="shared" si="4"/>
        <v>20</v>
      </c>
      <c r="AQ110">
        <f t="shared" si="4"/>
        <v>21</v>
      </c>
      <c r="AR110">
        <f t="shared" si="4"/>
        <v>22</v>
      </c>
      <c r="AS110">
        <f t="shared" si="4"/>
        <v>23</v>
      </c>
      <c r="AT110">
        <f t="shared" si="4"/>
        <v>24</v>
      </c>
      <c r="AU110">
        <f t="shared" si="4"/>
        <v>25</v>
      </c>
      <c r="AV110">
        <f t="shared" si="4"/>
        <v>26</v>
      </c>
      <c r="AW110">
        <f t="shared" si="4"/>
        <v>27</v>
      </c>
      <c r="AX110">
        <f t="shared" si="4"/>
        <v>28</v>
      </c>
      <c r="AY110">
        <f t="shared" si="4"/>
        <v>29</v>
      </c>
    </row>
    <row r="111" spans="23:51" x14ac:dyDescent="0.25">
      <c r="W111">
        <f>752.2</f>
        <v>752.2</v>
      </c>
      <c r="X111">
        <f t="shared" ref="X111:AY111" si="5">W111*(1+$Y$103)</f>
        <v>799.45005323920168</v>
      </c>
      <c r="Y111">
        <f t="shared" si="5"/>
        <v>849.66815690529427</v>
      </c>
      <c r="Z111">
        <f t="shared" si="5"/>
        <v>903.0407514937408</v>
      </c>
      <c r="AA111">
        <f t="shared" si="5"/>
        <v>959.76598891098081</v>
      </c>
      <c r="AB111">
        <f t="shared" si="5"/>
        <v>1020.054468136212</v>
      </c>
      <c r="AC111">
        <f t="shared" si="5"/>
        <v>1084.1300170943634</v>
      </c>
      <c r="AD111">
        <f t="shared" si="5"/>
        <v>1152.2305236430543</v>
      </c>
      <c r="AE111">
        <f t="shared" si="5"/>
        <v>1224.6088187586718</v>
      </c>
      <c r="AF111">
        <f t="shared" si="5"/>
        <v>1301.5336152004998</v>
      </c>
      <c r="AG111">
        <f t="shared" si="5"/>
        <v>1383.2905051377959</v>
      </c>
      <c r="AH111">
        <f t="shared" si="5"/>
        <v>1470.1830204436228</v>
      </c>
      <c r="AI111">
        <f t="shared" si="5"/>
        <v>1562.5337595918966</v>
      </c>
      <c r="AJ111">
        <f t="shared" si="5"/>
        <v>1660.6855853413874</v>
      </c>
      <c r="AK111">
        <f t="shared" si="5"/>
        <v>1765.0028976532133</v>
      </c>
      <c r="AL111">
        <f t="shared" si="5"/>
        <v>1875.8729865676769</v>
      </c>
      <c r="AM111">
        <f t="shared" si="5"/>
        <v>1993.7074700631608</v>
      </c>
      <c r="AN111">
        <f t="shared" si="5"/>
        <v>2118.9438222352937</v>
      </c>
      <c r="AO111">
        <f t="shared" si="5"/>
        <v>2252.0469974699322</v>
      </c>
      <c r="AP111">
        <f t="shared" si="5"/>
        <v>2393.511156639885</v>
      </c>
      <c r="AQ111">
        <f t="shared" si="5"/>
        <v>2543.8615017340858</v>
      </c>
      <c r="AR111">
        <f t="shared" si="5"/>
        <v>2703.6562257304845</v>
      </c>
      <c r="AS111">
        <f t="shared" si="5"/>
        <v>2873.4885849517877</v>
      </c>
      <c r="AT111">
        <f t="shared" si="5"/>
        <v>3053.989101597906</v>
      </c>
      <c r="AU111">
        <f t="shared" si="5"/>
        <v>3245.8279046322623</v>
      </c>
      <c r="AV111">
        <f t="shared" si="5"/>
        <v>3449.7172177127736</v>
      </c>
      <c r="AW111">
        <f t="shared" si="5"/>
        <v>3666.4140034042375</v>
      </c>
      <c r="AX111">
        <f t="shared" si="5"/>
        <v>3896.7227734890616</v>
      </c>
      <c r="AY111">
        <f t="shared" si="5"/>
        <v>4141.4985758099438</v>
      </c>
    </row>
    <row r="113" spans="3:51" x14ac:dyDescent="0.25">
      <c r="C113" s="14">
        <f t="shared" ref="C113:F113" si="6">D113-0.005</f>
        <v>-0.12000000000000004</v>
      </c>
      <c r="D113" s="14">
        <f t="shared" si="6"/>
        <v>-0.11500000000000003</v>
      </c>
      <c r="E113" s="14">
        <f t="shared" si="6"/>
        <v>-0.11000000000000003</v>
      </c>
      <c r="F113" s="14">
        <f t="shared" si="6"/>
        <v>-0.10500000000000002</v>
      </c>
      <c r="G113" s="14">
        <f t="shared" ref="G113:V113" si="7">H113-0.005</f>
        <v>-0.10000000000000002</v>
      </c>
      <c r="H113" s="14">
        <f t="shared" si="7"/>
        <v>-9.5000000000000015E-2</v>
      </c>
      <c r="I113" s="14">
        <f t="shared" si="7"/>
        <v>-9.0000000000000011E-2</v>
      </c>
      <c r="J113" s="14">
        <f t="shared" si="7"/>
        <v>-8.5000000000000006E-2</v>
      </c>
      <c r="K113" s="14">
        <f t="shared" si="7"/>
        <v>-0.08</v>
      </c>
      <c r="L113" s="14">
        <f t="shared" si="7"/>
        <v>-7.4999999999999997E-2</v>
      </c>
      <c r="M113" s="14">
        <f t="shared" si="7"/>
        <v>-6.9999999999999993E-2</v>
      </c>
      <c r="N113" s="14">
        <f t="shared" si="7"/>
        <v>-6.4999999999999988E-2</v>
      </c>
      <c r="O113" s="14">
        <f t="shared" si="7"/>
        <v>-5.9999999999999991E-2</v>
      </c>
      <c r="P113" s="14">
        <f t="shared" si="7"/>
        <v>-5.4999999999999993E-2</v>
      </c>
      <c r="Q113" s="14">
        <f t="shared" si="7"/>
        <v>-4.9999999999999996E-2</v>
      </c>
      <c r="R113" s="14">
        <f t="shared" si="7"/>
        <v>-4.4999999999999998E-2</v>
      </c>
      <c r="S113" s="14">
        <f t="shared" si="7"/>
        <v>-0.04</v>
      </c>
      <c r="T113" s="14">
        <f t="shared" si="7"/>
        <v>-3.5000000000000003E-2</v>
      </c>
      <c r="U113" s="14">
        <f t="shared" si="7"/>
        <v>-3.0000000000000002E-2</v>
      </c>
      <c r="V113" s="14">
        <f t="shared" si="7"/>
        <v>-2.5000000000000001E-2</v>
      </c>
      <c r="W113" s="14">
        <f t="shared" ref="W113:Z113" si="8">X113-0.005</f>
        <v>-0.02</v>
      </c>
      <c r="X113" s="14">
        <f t="shared" si="8"/>
        <v>-1.4999999999999999E-2</v>
      </c>
      <c r="Y113" s="14">
        <f t="shared" si="8"/>
        <v>-0.01</v>
      </c>
      <c r="Z113" s="14">
        <f t="shared" si="8"/>
        <v>-5.0000000000000001E-3</v>
      </c>
      <c r="AA113" s="14">
        <f>AB113-0.005</f>
        <v>0</v>
      </c>
      <c r="AB113" s="14">
        <v>5.0000000000000001E-3</v>
      </c>
      <c r="AC113" s="14">
        <f t="shared" ref="AC113:AW113" si="9">AB113+0.005</f>
        <v>0.01</v>
      </c>
      <c r="AD113" s="14">
        <f t="shared" si="9"/>
        <v>1.4999999999999999E-2</v>
      </c>
      <c r="AE113" s="14">
        <f t="shared" si="9"/>
        <v>0.02</v>
      </c>
      <c r="AF113" s="14">
        <f t="shared" si="9"/>
        <v>2.5000000000000001E-2</v>
      </c>
      <c r="AG113" s="14">
        <f t="shared" si="9"/>
        <v>3.0000000000000002E-2</v>
      </c>
      <c r="AH113" s="14">
        <f t="shared" si="9"/>
        <v>3.5000000000000003E-2</v>
      </c>
      <c r="AI113" s="14">
        <f t="shared" si="9"/>
        <v>0.04</v>
      </c>
      <c r="AJ113" s="14">
        <f t="shared" si="9"/>
        <v>4.4999999999999998E-2</v>
      </c>
      <c r="AK113" s="14">
        <f t="shared" si="9"/>
        <v>4.9999999999999996E-2</v>
      </c>
      <c r="AL113" s="14">
        <f t="shared" si="9"/>
        <v>5.4999999999999993E-2</v>
      </c>
      <c r="AM113" s="15">
        <f t="shared" si="9"/>
        <v>5.9999999999999991E-2</v>
      </c>
      <c r="AN113" s="15">
        <f t="shared" si="9"/>
        <v>6.4999999999999988E-2</v>
      </c>
      <c r="AO113" s="14">
        <f t="shared" si="9"/>
        <v>6.9999999999999993E-2</v>
      </c>
      <c r="AP113" s="14">
        <f t="shared" si="9"/>
        <v>7.4999999999999997E-2</v>
      </c>
      <c r="AQ113" s="14">
        <f t="shared" si="9"/>
        <v>0.08</v>
      </c>
      <c r="AR113" s="14">
        <f t="shared" si="9"/>
        <v>8.5000000000000006E-2</v>
      </c>
      <c r="AS113" s="14">
        <f t="shared" si="9"/>
        <v>9.0000000000000011E-2</v>
      </c>
      <c r="AT113" s="14">
        <f t="shared" si="9"/>
        <v>9.5000000000000015E-2</v>
      </c>
      <c r="AU113" s="14">
        <f t="shared" si="9"/>
        <v>0.10000000000000002</v>
      </c>
      <c r="AV113" s="14">
        <f t="shared" si="9"/>
        <v>0.10500000000000002</v>
      </c>
      <c r="AW113" s="14">
        <f t="shared" si="9"/>
        <v>0.11000000000000003</v>
      </c>
      <c r="AX113" s="14">
        <f t="shared" ref="AX113:AY113" si="10">AW113+0.005</f>
        <v>0.11500000000000003</v>
      </c>
      <c r="AY113" s="14">
        <f t="shared" si="10"/>
        <v>0.12000000000000004</v>
      </c>
    </row>
    <row r="114" spans="3:51" x14ac:dyDescent="0.25">
      <c r="C114">
        <v>414.88848385314537</v>
      </c>
      <c r="D114">
        <v>428.18833798393609</v>
      </c>
      <c r="E114">
        <v>442.0646079990558</v>
      </c>
      <c r="F114">
        <v>456.52778088162665</v>
      </c>
      <c r="G114">
        <v>471.58465268430979</v>
      </c>
      <c r="H114">
        <v>487.23739708954707</v>
      </c>
      <c r="I114">
        <v>503.48247337183363</v>
      </c>
      <c r="J114">
        <v>520.30935001436399</v>
      </c>
      <c r="K114">
        <v>537.69901705123993</v>
      </c>
      <c r="L114">
        <v>555.62225663173524</v>
      </c>
      <c r="M114">
        <v>574.03763728953652</v>
      </c>
      <c r="N114">
        <v>592.88919289726095</v>
      </c>
      <c r="O114">
        <v>612.10374223935219</v>
      </c>
      <c r="P114">
        <v>631.58779948325162</v>
      </c>
      <c r="Q114">
        <v>651.22401950167023</v>
      </c>
      <c r="R114">
        <v>670.86711492280119</v>
      </c>
      <c r="S114">
        <v>690.33917387766746</v>
      </c>
      <c r="T114">
        <v>709.42429858311516</v>
      </c>
      <c r="U114">
        <v>727.86247504446817</v>
      </c>
      <c r="V114">
        <v>745.34257317258721</v>
      </c>
      <c r="W114">
        <v>761.49436436364829</v>
      </c>
      <c r="X114">
        <v>775.87942995178878</v>
      </c>
      <c r="Y114">
        <v>787.98081876669426</v>
      </c>
      <c r="Z114">
        <v>797.19129514730218</v>
      </c>
      <c r="AA114">
        <v>802.7999999999995</v>
      </c>
      <c r="AB114">
        <v>803.97732664836008</v>
      </c>
      <c r="AC114">
        <v>799.75779008550649</v>
      </c>
      <c r="AD114">
        <v>789.02064257267375</v>
      </c>
      <c r="AE114">
        <v>770.467960068499</v>
      </c>
      <c r="AF114">
        <v>742.59989243792438</v>
      </c>
      <c r="AG114">
        <v>703.68673546512537</v>
      </c>
      <c r="AH114">
        <v>651.73744403947421</v>
      </c>
      <c r="AI114">
        <v>584.46416312278734</v>
      </c>
      <c r="AJ114">
        <v>499.24230583035614</v>
      </c>
      <c r="AK114">
        <v>393.06565571923556</v>
      </c>
      <c r="AL114">
        <v>262.49591268549011</v>
      </c>
      <c r="AM114">
        <v>103.60603819169319</v>
      </c>
      <c r="AN114">
        <v>-88.083314706469537</v>
      </c>
      <c r="AO114">
        <v>-317.67507852999643</v>
      </c>
      <c r="AP114">
        <v>-590.97563310875557</v>
      </c>
      <c r="AQ114">
        <v>-914.58422328048073</v>
      </c>
      <c r="AR114">
        <v>-1295.9930074931053</v>
      </c>
      <c r="AS114">
        <v>-1743.6989261776307</v>
      </c>
      <c r="AT114">
        <v>-2267.3287040682062</v>
      </c>
      <c r="AU114">
        <v>-2877.7784384078896</v>
      </c>
      <c r="AV114">
        <v>-3587.3693763540741</v>
      </c>
      <c r="AW114">
        <v>-4410.0216511585895</v>
      </c>
      <c r="AX114">
        <v>-5361.4479292170035</v>
      </c>
      <c r="AY114">
        <v>-6459.3691203645903</v>
      </c>
    </row>
    <row r="118" spans="3:51" x14ac:dyDescent="0.25">
      <c r="N118" s="14">
        <v>6.2815811272536146E-2</v>
      </c>
      <c r="O118" s="14">
        <v>6.2815811272536146E-2</v>
      </c>
      <c r="P118" s="14">
        <v>6.2815811272536146E-2</v>
      </c>
      <c r="Q118" s="14">
        <v>6.2815811272536146E-2</v>
      </c>
      <c r="R118" s="14">
        <v>6.2815811272536146E-2</v>
      </c>
      <c r="S118" s="14">
        <v>6.2815811272536146E-2</v>
      </c>
      <c r="T118" s="14">
        <v>6.2815811272536146E-2</v>
      </c>
      <c r="U118" s="14">
        <v>6.2815811272536146E-2</v>
      </c>
      <c r="V118" s="14">
        <v>6.2815811272536146E-2</v>
      </c>
      <c r="W118" s="14">
        <v>6.2815811272536104E-2</v>
      </c>
      <c r="X118" s="14"/>
      <c r="Y118" s="14"/>
    </row>
    <row r="119" spans="3:51" x14ac:dyDescent="0.25">
      <c r="N119">
        <v>-7000</v>
      </c>
      <c r="O119">
        <f>N119+1000</f>
        <v>-6000</v>
      </c>
      <c r="P119">
        <f t="shared" ref="P119:W119" si="11">O119+1000</f>
        <v>-5000</v>
      </c>
      <c r="Q119">
        <f t="shared" si="11"/>
        <v>-4000</v>
      </c>
      <c r="R119">
        <f t="shared" si="11"/>
        <v>-3000</v>
      </c>
      <c r="S119">
        <f t="shared" si="11"/>
        <v>-2000</v>
      </c>
      <c r="T119">
        <f t="shared" si="11"/>
        <v>-1000</v>
      </c>
      <c r="U119">
        <f t="shared" si="11"/>
        <v>0</v>
      </c>
      <c r="V119">
        <f t="shared" si="11"/>
        <v>1000</v>
      </c>
      <c r="W119">
        <f t="shared" si="11"/>
        <v>2000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 Constants and Presupposition</vt:lpstr>
      <vt:lpstr>q1</vt:lpstr>
      <vt:lpstr>q2</vt:lpstr>
      <vt:lpstr>q5</vt:lpstr>
      <vt:lpstr>diesel prices</vt:lpstr>
      <vt:lpstr>inflation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Ingolfur</dc:creator>
  <cp:lastModifiedBy>Ingólfur Jóhannsson</cp:lastModifiedBy>
  <dcterms:created xsi:type="dcterms:W3CDTF">2023-07-31T15:23:15Z</dcterms:created>
  <dcterms:modified xsi:type="dcterms:W3CDTF">2023-09-25T20:04:23Z</dcterms:modified>
</cp:coreProperties>
</file>