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corverafontela\Desktop\GW Module 1 Challenge\"/>
    </mc:Choice>
  </mc:AlternateContent>
  <xr:revisionPtr revIDLastSave="0" documentId="8_{CEE5BDC1-3527-476F-BBEB-9BFAD65CD067}" xr6:coauthVersionLast="46" xr6:coauthVersionMax="46" xr10:uidLastSave="{00000000-0000-0000-0000-000000000000}"/>
  <bookViews>
    <workbookView xWindow="-110" yWindow="-110" windowWidth="19420" windowHeight="10420" activeTab="2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Edinburgh Research" sheetId="5" r:id="rId4"/>
    <sheet name="Category Statistics" sheetId="2" r:id="rId5"/>
    <sheet name="Subcategory Statistics" sheetId="3" r:id="rId6"/>
    <sheet name="Outcomes based on Launch Date" sheetId="4" r:id="rId7"/>
  </sheets>
  <definedNames>
    <definedName name="_xlnm._FilterDatabase" localSheetId="0" hidden="1">Kickstarter!$A$1:$U$4117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3" i="11" l="1"/>
  <c r="F2" i="11"/>
  <c r="G7" i="11"/>
  <c r="C7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6" i="11"/>
  <c r="C5" i="11"/>
  <c r="C4" i="11"/>
  <c r="C3" i="11"/>
  <c r="B13" i="11"/>
  <c r="B12" i="11"/>
  <c r="B11" i="11"/>
  <c r="B10" i="11"/>
  <c r="B9" i="11"/>
  <c r="B8" i="11"/>
  <c r="B7" i="11"/>
  <c r="B6" i="11"/>
  <c r="B5" i="11"/>
  <c r="B4" i="11"/>
  <c r="B3" i="11"/>
  <c r="D2" i="11"/>
  <c r="B2" i="11"/>
  <c r="C2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2" i="1"/>
  <c r="E3" i="11" l="1"/>
  <c r="E2" i="11"/>
  <c r="G2" i="11" s="1"/>
  <c r="H3" i="11"/>
  <c r="G3" i="11"/>
  <c r="E6" i="11"/>
  <c r="F6" i="11" s="1"/>
  <c r="F3" i="11"/>
  <c r="E13" i="11"/>
  <c r="E12" i="11"/>
  <c r="E11" i="11"/>
  <c r="E10" i="11"/>
  <c r="E9" i="11"/>
  <c r="H9" i="11" s="1"/>
  <c r="E8" i="11"/>
  <c r="H8" i="11" s="1"/>
  <c r="E7" i="11"/>
  <c r="F7" i="11" s="1"/>
  <c r="H6" i="11"/>
  <c r="E5" i="11"/>
  <c r="H5" i="11" s="1"/>
  <c r="E4" i="11"/>
  <c r="G6" i="11" l="1"/>
  <c r="H2" i="11"/>
  <c r="G13" i="11"/>
  <c r="H13" i="11"/>
  <c r="G12" i="11"/>
  <c r="F12" i="11"/>
  <c r="H12" i="11"/>
  <c r="G11" i="11"/>
  <c r="F11" i="11"/>
  <c r="H11" i="11"/>
  <c r="G10" i="11"/>
  <c r="F10" i="11"/>
  <c r="H10" i="11"/>
  <c r="F9" i="11"/>
  <c r="G9" i="11"/>
  <c r="G8" i="11"/>
  <c r="F8" i="11"/>
  <c r="H7" i="11"/>
  <c r="F5" i="11"/>
  <c r="G5" i="11"/>
  <c r="G4" i="11"/>
  <c r="F4" i="11"/>
  <c r="H4" i="11"/>
</calcChain>
</file>

<file path=xl/sharedStrings.xml><?xml version="1.0" encoding="utf-8"?>
<sst xmlns="http://schemas.openxmlformats.org/spreadsheetml/2006/main" count="33090" uniqueCount="8404">
  <si>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</si>
  <si>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</si>
  <si>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</si>
  <si>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</si>
  <si>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</si>
  <si>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</si>
  <si>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</si>
  <si>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</si>
  <si>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</si>
  <si>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</si>
  <si>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</si>
  <si>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</si>
  <si>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</si>
  <si>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</si>
  <si>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</si>
  <si>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</si>
  <si>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</si>
  <si>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</si>
  <si>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</si>
  <si>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</si>
  <si>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</si>
  <si>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</si>
  <si>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</si>
  <si>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</si>
  <si>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</si>
  <si>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</si>
  <si>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</si>
  <si>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</si>
  <si>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</si>
  <si>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</si>
  <si>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</si>
  <si>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</si>
  <si>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</si>
  <si>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</si>
  <si>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</si>
  <si>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</si>
  <si>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</si>
  <si>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</si>
  <si>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</si>
  <si>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</si>
  <si>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</si>
  <si>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</si>
  <si>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</si>
  <si>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</si>
  <si>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</si>
  <si>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</si>
  <si>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</si>
  <si>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</si>
  <si>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</si>
  <si>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</si>
  <si>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</si>
  <si>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</si>
  <si>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</si>
  <si>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</si>
  <si>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</si>
  <si>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</si>
  <si>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</si>
  <si>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</si>
  <si>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</si>
  <si>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</si>
  <si>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</si>
  <si>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</si>
  <si>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</si>
  <si>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</si>
  <si>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</si>
  <si>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</si>
  <si>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</si>
  <si>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</si>
  <si>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</si>
  <si>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</si>
  <si>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</si>
  <si>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</si>
  <si>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</si>
  <si>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</si>
  <si>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</si>
  <si>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</si>
  <si>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</si>
  <si>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</si>
  <si>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</si>
  <si>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</si>
  <si>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</si>
  <si>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</si>
  <si>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</si>
  <si>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</si>
  <si>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</si>
  <si>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</si>
  <si>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</si>
  <si>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</si>
  <si>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</si>
  <si>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</si>
  <si>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</si>
  <si>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</si>
  <si>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</si>
  <si>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</si>
  <si>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</si>
  <si>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</si>
  <si>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</si>
  <si>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</si>
  <si>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</si>
  <si>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</si>
  <si>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</si>
  <si>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</si>
  <si>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</si>
  <si>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</si>
  <si>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</si>
  <si>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</si>
  <si>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</si>
  <si>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</si>
  <si>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</si>
  <si>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</si>
  <si>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</si>
  <si>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</si>
  <si>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</si>
  <si>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</si>
  <si>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</si>
  <si>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</si>
  <si>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</si>
  <si>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</si>
  <si>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</si>
  <si>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</si>
  <si>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</si>
  <si>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</si>
  <si>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</si>
  <si>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</si>
  <si>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</si>
  <si>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</si>
  <si>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</si>
  <si>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</si>
  <si>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</si>
  <si>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</si>
  <si>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</si>
  <si>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</si>
  <si>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</si>
  <si>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</si>
  <si>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</si>
  <si>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</si>
  <si>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</si>
  <si>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</si>
  <si>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</si>
  <si>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</si>
  <si>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</si>
  <si>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</si>
  <si>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</si>
  <si>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</si>
  <si>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</si>
  <si>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</si>
  <si>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</si>
  <si>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</si>
  <si>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</si>
  <si>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</si>
  <si>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</si>
  <si>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</si>
  <si>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</si>
  <si>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</si>
  <si>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</si>
  <si>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</si>
  <si>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</si>
  <si>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</si>
  <si>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</si>
  <si>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</si>
  <si>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</si>
  <si>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</si>
  <si>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</si>
  <si>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</si>
  <si>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</si>
  <si>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</si>
  <si>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</si>
  <si>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</si>
  <si>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</si>
  <si>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</si>
  <si>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</si>
  <si>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</si>
  <si>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</si>
  <si>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</si>
  <si>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</si>
  <si>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</si>
  <si>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</si>
  <si>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</si>
  <si>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</si>
  <si>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</si>
  <si>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</si>
  <si>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</si>
  <si>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</si>
  <si>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</si>
  <si>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</si>
  <si>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</si>
  <si>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</si>
  <si>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</si>
  <si>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</si>
  <si>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</si>
  <si>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</si>
  <si>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</si>
  <si>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</si>
  <si>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</si>
  <si>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</si>
  <si>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</si>
  <si>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</si>
  <si>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</si>
  <si>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</si>
  <si>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</si>
  <si>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</si>
  <si>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</si>
  <si>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</si>
  <si>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</si>
  <si>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</si>
  <si>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</si>
  <si>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</si>
  <si>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</si>
  <si>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</si>
  <si>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</si>
  <si>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</si>
  <si>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</si>
  <si>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</si>
  <si>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</si>
  <si>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</si>
  <si>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</si>
  <si>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</si>
  <si>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</si>
  <si>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</si>
  <si>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</si>
  <si>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</si>
  <si>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</si>
  <si>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</si>
  <si>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</si>
  <si>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</si>
  <si>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</si>
  <si>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</si>
  <si>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</si>
  <si>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</si>
  <si>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</si>
  <si>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</si>
  <si>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</si>
  <si>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</si>
  <si>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</si>
  <si>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</si>
  <si>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</si>
  <si>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</si>
  <si>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</si>
  <si>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</si>
  <si>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</si>
  <si>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</si>
  <si>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</si>
  <si>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</si>
  <si>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</si>
  <si>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</si>
  <si>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</si>
  <si>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</si>
  <si>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</si>
  <si>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</si>
  <si>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</si>
  <si>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</si>
  <si>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</si>
  <si>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</si>
  <si>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</si>
  <si>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</si>
  <si>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</si>
  <si>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</si>
  <si>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</si>
  <si>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</si>
  <si>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</si>
  <si>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</si>
  <si>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</si>
  <si>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</si>
  <si>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</si>
  <si>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</si>
  <si>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</si>
  <si>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</si>
  <si>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</si>
  <si>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</si>
  <si>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</si>
  <si>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</si>
  <si>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</si>
  <si>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</si>
  <si>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</si>
  <si>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</si>
  <si>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</si>
  <si>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</si>
  <si>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</si>
  <si>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</si>
  <si>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</si>
  <si>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</si>
  <si>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</si>
  <si>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</si>
  <si>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</si>
  <si>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</si>
  <si>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</si>
  <si>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</si>
  <si>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</si>
  <si>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</si>
  <si>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</si>
  <si>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</si>
  <si>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</si>
  <si>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</si>
  <si>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</si>
  <si>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</si>
  <si>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</si>
  <si>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</si>
  <si>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</si>
  <si>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</si>
  <si>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</si>
  <si>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</si>
  <si>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</si>
  <si>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</si>
  <si>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</si>
  <si>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</si>
  <si>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</si>
  <si>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</si>
  <si>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</si>
  <si>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</si>
  <si>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</si>
  <si>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</si>
  <si>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</si>
  <si>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</si>
  <si>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</si>
  <si>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</si>
  <si>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</si>
  <si>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</si>
  <si>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</si>
  <si>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</si>
  <si>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</si>
  <si>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</si>
  <si>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</si>
  <si>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</si>
  <si>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</si>
  <si>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</si>
  <si>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</si>
  <si>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</si>
  <si>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</si>
  <si>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</si>
  <si>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</si>
  <si>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</si>
  <si>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</si>
  <si>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</si>
  <si>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</si>
  <si>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</si>
  <si>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</si>
  <si>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</si>
  <si>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</si>
  <si>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</si>
  <si>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</si>
  <si>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</si>
  <si>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</si>
  <si>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</si>
  <si>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</si>
  <si>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</si>
  <si>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</si>
  <si>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</si>
  <si>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</si>
  <si>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</si>
  <si>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</si>
  <si>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</si>
  <si>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</si>
  <si>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</si>
  <si>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</si>
  <si>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</si>
  <si>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</si>
  <si>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</si>
  <si>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</si>
  <si>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</si>
  <si>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</si>
  <si>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</si>
  <si>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</si>
  <si>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</si>
  <si>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</si>
  <si>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</si>
  <si>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</si>
  <si>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</si>
  <si>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</si>
  <si>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</si>
  <si>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</si>
  <si>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</si>
  <si>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</si>
  <si>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</si>
  <si>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</si>
  <si>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</si>
  <si>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</si>
  <si>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</si>
  <si>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</si>
  <si>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</si>
  <si>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</si>
  <si>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</si>
  <si>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</si>
  <si>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</si>
  <si>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</si>
  <si>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</si>
  <si>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</si>
  <si>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</si>
  <si>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</si>
  <si>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</si>
  <si>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</si>
  <si>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</si>
  <si>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</si>
  <si>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</si>
  <si>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</si>
  <si>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</si>
  <si>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</si>
  <si>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</si>
  <si>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</si>
  <si>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</si>
  <si>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</si>
  <si>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</si>
  <si>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</si>
  <si>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</si>
  <si>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</si>
  <si>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</si>
  <si>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</si>
  <si>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</si>
  <si>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</si>
  <si>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</si>
  <si>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</si>
  <si>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</si>
  <si>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</si>
  <si>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</si>
  <si>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</si>
  <si>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</si>
  <si>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</si>
  <si>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</si>
  <si>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</si>
  <si>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</si>
  <si>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</si>
  <si>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</si>
  <si>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</si>
  <si>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</si>
  <si>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</si>
  <si>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</si>
  <si>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</si>
  <si>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</si>
  <si>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</si>
  <si>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</si>
  <si>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</si>
  <si>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</si>
  <si>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</si>
  <si>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</si>
  <si>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</si>
  <si>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</si>
  <si>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</si>
  <si>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</si>
  <si>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</si>
  <si>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</si>
  <si>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</si>
  <si>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</si>
  <si>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</si>
  <si>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</si>
  <si>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</si>
  <si>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</si>
  <si>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</si>
  <si>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</si>
  <si>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</si>
  <si>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</si>
  <si>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</si>
  <si>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</si>
  <si>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</si>
  <si>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</si>
  <si>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</si>
  <si>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</si>
  <si>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</si>
  <si>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</si>
  <si>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</si>
  <si>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</si>
  <si>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</si>
  <si>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</si>
  <si>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</si>
  <si>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</si>
  <si>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</si>
  <si>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</si>
  <si>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</si>
  <si>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</si>
  <si>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</si>
  <si>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</si>
  <si>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</si>
  <si>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</si>
  <si>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</si>
  <si>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</si>
  <si>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</si>
  <si>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</si>
  <si>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</si>
  <si>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</si>
  <si>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</si>
  <si>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</si>
  <si>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</si>
  <si>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</si>
  <si>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</si>
  <si>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</si>
  <si>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</si>
  <si>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</si>
  <si>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</si>
  <si>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</si>
  <si>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</si>
  <si>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</si>
  <si>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</si>
  <si>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</si>
  <si>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</si>
  <si>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</si>
  <si>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</si>
  <si>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</si>
  <si>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</si>
  <si>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</si>
  <si>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</si>
  <si>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</si>
  <si>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</si>
  <si>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</si>
  <si>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</si>
  <si>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</si>
  <si>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</si>
  <si>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</si>
  <si>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</si>
  <si>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</si>
  <si>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</si>
  <si>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</si>
  <si>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</si>
  <si>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</si>
  <si>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</si>
  <si>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</si>
  <si>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</si>
  <si>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</si>
  <si>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</si>
  <si>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</si>
  <si>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</si>
  <si>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</si>
  <si>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</si>
  <si>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</si>
  <si>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</si>
  <si>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</si>
  <si>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</si>
  <si>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</si>
  <si>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</si>
  <si>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</si>
  <si>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</si>
  <si>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</si>
  <si>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</si>
  <si>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</si>
  <si>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</si>
  <si>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</si>
  <si>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</si>
  <si>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</si>
  <si>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</si>
  <si>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</si>
  <si>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</si>
  <si>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</si>
  <si>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</si>
  <si>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</si>
  <si>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</si>
  <si>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</si>
  <si>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</si>
  <si>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</si>
  <si>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</si>
  <si>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</si>
  <si>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</si>
  <si>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</si>
  <si>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</si>
  <si>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</si>
  <si>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</si>
  <si>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</si>
  <si>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</si>
  <si>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</si>
  <si>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</si>
  <si>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</si>
  <si>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</si>
  <si>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</si>
  <si>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</si>
  <si>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</si>
  <si>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</si>
  <si>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</si>
  <si>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</si>
  <si>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</si>
  <si>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</si>
  <si>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</si>
  <si>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</si>
  <si>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</si>
  <si>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</si>
  <si>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</si>
  <si>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</si>
  <si>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</si>
  <si>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</si>
  <si>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</si>
  <si>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</si>
  <si>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</si>
  <si>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</si>
  <si>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</si>
  <si>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</si>
  <si>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</si>
  <si>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</si>
  <si>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</si>
  <si>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</si>
  <si>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</si>
  <si>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</si>
  <si>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</si>
  <si>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</si>
  <si>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</si>
  <si>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</si>
  <si>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</si>
  <si>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</si>
  <si>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</si>
  <si>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</si>
  <si>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</si>
  <si>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</si>
  <si>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</si>
  <si>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</si>
  <si>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</si>
  <si>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</si>
  <si>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</si>
  <si>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</si>
  <si>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</si>
  <si>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</si>
  <si>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</si>
  <si>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</si>
  <si>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</si>
  <si>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</si>
  <si>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</si>
  <si>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</si>
  <si>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</si>
  <si>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</si>
  <si>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</si>
  <si>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</si>
  <si>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</si>
  <si>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</si>
  <si>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</si>
  <si>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</si>
  <si>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</si>
  <si>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</si>
  <si>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</si>
  <si>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</si>
  <si>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</si>
  <si>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</si>
  <si>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</si>
  <si>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</si>
  <si>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</si>
  <si>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</si>
  <si>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</si>
  <si>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</si>
  <si>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</si>
  <si>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</si>
  <si>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</si>
  <si>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</si>
  <si>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</si>
  <si>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</si>
  <si>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</si>
  <si>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</si>
  <si>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</si>
  <si>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</si>
  <si>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</si>
  <si>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</si>
  <si>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</si>
  <si>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</si>
  <si>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</si>
  <si>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</si>
  <si>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</si>
  <si>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</si>
  <si>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</si>
  <si>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</si>
  <si>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</si>
  <si>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</si>
  <si>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</si>
  <si>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</si>
  <si>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</si>
  <si>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</si>
  <si>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</si>
  <si>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</si>
  <si>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</si>
  <si>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</si>
  <si>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</si>
  <si>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</si>
  <si>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</si>
  <si>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</si>
  <si>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</si>
  <si>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</si>
  <si>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</si>
  <si>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</si>
  <si>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</si>
  <si>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</si>
  <si>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</si>
  <si>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</si>
  <si>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</si>
  <si>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</si>
  <si>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</si>
  <si>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</si>
  <si>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</si>
  <si>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</si>
  <si>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</si>
  <si>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</si>
  <si>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</si>
  <si>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</si>
  <si>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</si>
  <si>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</si>
  <si>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</si>
  <si>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</si>
  <si>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</si>
  <si>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</si>
  <si>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</si>
  <si>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</si>
  <si>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</si>
  <si>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</si>
  <si>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</si>
  <si>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</si>
  <si>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</si>
  <si>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</si>
  <si>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</si>
  <si>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</si>
  <si>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</si>
  <si>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</si>
  <si>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</si>
  <si>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</si>
  <si>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</si>
  <si>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</si>
  <si>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</si>
  <si>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</si>
  <si>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</si>
  <si>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</si>
  <si>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</si>
  <si>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</si>
  <si>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</si>
  <si>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</si>
  <si>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</si>
  <si>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</si>
  <si>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</si>
  <si>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</si>
  <si>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</si>
  <si>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</si>
  <si>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</si>
  <si>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</si>
  <si>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</si>
  <si>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</si>
  <si>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</si>
  <si>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</si>
  <si>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</si>
  <si>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</si>
  <si>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</si>
  <si>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</si>
  <si>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</si>
  <si>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</si>
  <si>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</si>
  <si>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</si>
  <si>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</si>
  <si>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</si>
  <si>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</si>
  <si>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</si>
  <si>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</si>
  <si>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</si>
  <si>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</si>
  <si>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</si>
  <si>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</si>
  <si>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</si>
  <si>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</si>
  <si>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</si>
  <si>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</si>
  <si>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</si>
  <si>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</si>
  <si>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</si>
  <si>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</si>
  <si>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</si>
  <si>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</si>
  <si>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</si>
  <si>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</si>
  <si>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</si>
  <si>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</si>
  <si>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</si>
  <si>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</si>
  <si>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</si>
  <si>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</si>
  <si>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</si>
  <si>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</si>
  <si>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</si>
  <si>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</si>
  <si>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</si>
  <si>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</si>
  <si>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</si>
  <si>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</si>
  <si>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</si>
  <si>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</si>
  <si>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</si>
  <si>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</si>
  <si>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</si>
  <si>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</si>
  <si>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</si>
  <si>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</si>
  <si>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</si>
  <si>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</si>
  <si>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</si>
  <si>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</si>
  <si>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</si>
  <si>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</si>
  <si>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</si>
  <si>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</si>
  <si>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</si>
  <si>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</si>
  <si>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</si>
  <si>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</si>
  <si>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</si>
  <si>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</si>
  <si>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</si>
  <si>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</si>
  <si>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</si>
  <si>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</si>
  <si>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</si>
  <si>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</si>
  <si>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</si>
  <si>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</si>
  <si>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</si>
  <si>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</si>
  <si>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</si>
  <si>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</si>
  <si>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</si>
  <si>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</si>
  <si>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</si>
  <si>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</si>
  <si>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</si>
  <si>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</si>
  <si>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</si>
  <si>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</si>
  <si>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</si>
  <si>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</si>
  <si>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</si>
  <si>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</si>
  <si>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</si>
  <si>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</si>
  <si>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</si>
  <si>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</si>
  <si>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</si>
  <si>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</si>
  <si>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</si>
  <si>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</si>
  <si>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</si>
  <si>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</si>
  <si>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</si>
  <si>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</si>
  <si>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</si>
  <si>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</si>
  <si>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</si>
  <si>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</si>
  <si>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</si>
  <si>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</si>
  <si>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</si>
  <si>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</si>
  <si>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</si>
  <si>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</si>
  <si>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</si>
  <si>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</si>
  <si>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</si>
  <si>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</si>
  <si>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</si>
  <si>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</si>
  <si>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</si>
  <si>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</si>
  <si>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</si>
  <si>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</si>
  <si>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</si>
  <si>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</si>
  <si>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</si>
  <si>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</si>
  <si>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</si>
  <si>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</si>
  <si>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</si>
  <si>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</si>
  <si>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</si>
  <si>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</si>
  <si>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</si>
  <si>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</si>
  <si>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</si>
  <si>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</si>
  <si>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</si>
  <si>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</si>
  <si>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</si>
  <si>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</si>
  <si>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</si>
  <si>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</si>
  <si>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</si>
  <si>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</si>
  <si>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</si>
  <si>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</si>
  <si>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</si>
  <si>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</si>
  <si>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</si>
  <si>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</si>
  <si>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</si>
  <si>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</si>
  <si>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</si>
  <si>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</si>
  <si>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</si>
  <si>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</si>
  <si>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</si>
  <si>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</si>
  <si>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</si>
  <si>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</si>
  <si>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</si>
  <si>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</si>
  <si>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</si>
  <si>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</si>
  <si>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</si>
  <si>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</si>
  <si>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</si>
  <si>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</si>
  <si>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</si>
  <si>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</si>
  <si>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</si>
  <si>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</si>
  <si>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</si>
  <si>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</si>
  <si>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</si>
  <si>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</si>
  <si>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</si>
  <si>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</si>
  <si>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</si>
  <si>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</si>
  <si>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</si>
  <si>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</si>
  <si>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</si>
  <si>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</si>
  <si>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</si>
  <si>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</si>
  <si>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</si>
  <si>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</si>
  <si>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</si>
  <si>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</si>
  <si>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</si>
  <si>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</si>
  <si>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</si>
  <si>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</si>
  <si>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</si>
  <si>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</si>
  <si>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</si>
  <si>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</si>
  <si>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</si>
  <si>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</si>
  <si>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</si>
  <si>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</si>
  <si>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</si>
  <si>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</si>
  <si>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</si>
  <si>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</si>
  <si>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</si>
  <si>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</si>
  <si>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</si>
  <si>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</si>
  <si>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</si>
  <si>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</si>
  <si>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</si>
  <si>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</si>
  <si>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</si>
  <si>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</si>
  <si>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</si>
  <si>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</si>
  <si>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</si>
  <si>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</si>
  <si>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</si>
  <si>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</si>
  <si>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</si>
  <si>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</si>
  <si>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</si>
  <si>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</si>
  <si>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</si>
  <si>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</si>
  <si>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</si>
  <si>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</si>
  <si>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</si>
  <si>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</si>
  <si>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</si>
  <si>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</si>
  <si>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</si>
  <si>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</si>
  <si>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</si>
  <si>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</si>
  <si>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</si>
  <si>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</si>
  <si>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</si>
  <si>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</si>
  <si>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</si>
  <si>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</si>
  <si>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</si>
  <si>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</si>
  <si>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</si>
  <si>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</si>
  <si>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</si>
  <si>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</si>
  <si>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</si>
  <si>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</si>
  <si>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</si>
  <si>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</si>
  <si>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</si>
  <si>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</si>
  <si>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</si>
  <si>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</si>
  <si>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</si>
  <si>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</si>
  <si>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</si>
  <si>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</si>
  <si>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</si>
  <si>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</si>
  <si>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</si>
  <si>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</si>
  <si>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</si>
  <si>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</si>
  <si>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</si>
  <si>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</si>
  <si>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</si>
  <si>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</si>
  <si>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</si>
  <si>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</si>
  <si>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</si>
  <si>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</si>
  <si>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</si>
  <si>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</si>
  <si>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</si>
  <si>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</si>
  <si>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</si>
  <si>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</si>
  <si>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</si>
  <si>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</si>
  <si>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</si>
  <si>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</si>
  <si>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</si>
  <si>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</si>
  <si>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</si>
  <si>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</si>
  <si>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</si>
  <si>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</si>
  <si>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</si>
  <si>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</si>
  <si>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</si>
  <si>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</si>
  <si>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</si>
  <si>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</si>
  <si>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</si>
  <si>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</si>
  <si>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</si>
  <si>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</si>
  <si>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</si>
  <si>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</si>
  <si>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</si>
  <si>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</si>
  <si>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</si>
  <si>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</si>
  <si>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</si>
  <si>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</si>
  <si>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</si>
  <si>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</si>
  <si>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</si>
  <si>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</si>
  <si>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</si>
  <si>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</si>
  <si>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</si>
  <si>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</si>
  <si>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</si>
  <si>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</si>
  <si>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</si>
  <si>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</si>
  <si>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</si>
  <si>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</si>
  <si>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</si>
  <si>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</si>
  <si>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</si>
  <si>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</si>
  <si>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</si>
  <si>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</si>
  <si>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</si>
  <si>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</si>
  <si>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</si>
  <si>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</si>
  <si>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</si>
  <si>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</si>
  <si>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</si>
  <si>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</si>
  <si>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</si>
  <si>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</si>
  <si>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</si>
  <si>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</si>
  <si>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</si>
  <si>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</si>
  <si>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</si>
  <si>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</si>
  <si>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</si>
  <si>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</si>
  <si>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</si>
  <si>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</si>
  <si>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</si>
  <si>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</si>
  <si>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</si>
  <si>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</si>
  <si>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</si>
  <si>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</si>
  <si>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</si>
  <si>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</si>
  <si>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</si>
  <si>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</si>
  <si>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</si>
  <si>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</si>
  <si>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</si>
  <si>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</si>
  <si>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</si>
  <si>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</si>
  <si>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</si>
  <si>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</si>
  <si>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</si>
  <si>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</si>
  <si>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</si>
  <si>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</si>
  <si>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</si>
  <si>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</si>
  <si>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</si>
  <si>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</si>
  <si>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</si>
  <si>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</si>
  <si>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</si>
  <si>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</si>
  <si>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</si>
  <si>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</si>
  <si>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</si>
  <si>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</si>
  <si>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</si>
  <si>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</si>
  <si>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</si>
  <si>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</si>
  <si>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</si>
  <si>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</si>
  <si>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</si>
  <si>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</si>
  <si>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</si>
  <si>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</si>
  <si>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</si>
  <si>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</si>
  <si>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</si>
  <si>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</si>
  <si>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</si>
  <si>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</si>
  <si>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</si>
  <si>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</si>
  <si>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</si>
  <si>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</si>
  <si>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</si>
  <si>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</si>
  <si>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</si>
  <si>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</si>
  <si>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</si>
  <si>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</si>
  <si>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</si>
  <si>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</si>
  <si>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</si>
  <si>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</si>
  <si>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</si>
  <si>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</si>
  <si>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</si>
  <si>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</si>
  <si>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</si>
  <si>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</si>
  <si>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</si>
  <si>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</si>
  <si>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</si>
  <si>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</si>
  <si>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</si>
  <si>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</si>
  <si>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</si>
  <si>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</si>
  <si>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</si>
  <si>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</si>
  <si>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</si>
  <si>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</si>
  <si>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</si>
  <si>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</si>
  <si>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</si>
  <si>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</si>
  <si>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</si>
  <si>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</si>
  <si>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</si>
  <si>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</si>
  <si>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</si>
  <si>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</si>
  <si>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</si>
  <si>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</si>
  <si>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</si>
  <si>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</si>
  <si>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</si>
  <si>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</si>
  <si>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</si>
  <si>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</si>
  <si>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</si>
  <si>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</si>
  <si>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</si>
  <si>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</si>
  <si>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</si>
  <si>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</si>
  <si>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</si>
  <si>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</si>
  <si>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</si>
  <si>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</si>
  <si>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</si>
  <si>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</si>
  <si>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</si>
  <si>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</si>
  <si>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</si>
  <si>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</si>
  <si>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</si>
  <si>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</si>
  <si>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</si>
  <si>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</si>
  <si>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</si>
  <si>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</si>
  <si>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</si>
  <si>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</si>
  <si>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</si>
  <si>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</si>
  <si>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</si>
  <si>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</si>
  <si>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</si>
  <si>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</si>
  <si>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</si>
  <si>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</si>
  <si>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</si>
  <si>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</si>
  <si>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</si>
  <si>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</si>
  <si>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</si>
  <si>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</si>
  <si>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</si>
  <si>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</si>
  <si>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</si>
  <si>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</si>
  <si>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</si>
  <si>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</si>
  <si>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</si>
  <si>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</si>
  <si>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</si>
  <si>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</si>
  <si>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</si>
  <si>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</si>
  <si>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</si>
  <si>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</si>
  <si>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</si>
  <si>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</si>
  <si>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</si>
  <si>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</si>
  <si>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</si>
  <si>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</si>
  <si>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</si>
  <si>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</si>
  <si>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</si>
  <si>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</si>
  <si>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</si>
  <si>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</si>
  <si>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</si>
  <si>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</si>
  <si>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</si>
  <si>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</si>
  <si>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</si>
  <si>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</si>
  <si>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</si>
  <si>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</si>
  <si>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</si>
  <si>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</si>
  <si>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</si>
  <si>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</si>
  <si>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</si>
  <si>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</si>
  <si>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</si>
  <si>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</si>
  <si>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</si>
  <si>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</si>
  <si>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</si>
  <si>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</si>
  <si>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</si>
  <si>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</si>
  <si>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</si>
  <si>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</si>
  <si>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</si>
  <si>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</si>
  <si>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</si>
  <si>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</si>
  <si>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</si>
  <si>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</si>
  <si>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</si>
  <si>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</si>
  <si>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</si>
  <si>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</si>
  <si>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</si>
  <si>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</si>
  <si>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</si>
  <si>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</si>
  <si>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</si>
  <si>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</si>
  <si>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</si>
  <si>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</si>
  <si>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</si>
  <si>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</si>
  <si>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</si>
  <si>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</si>
  <si>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</si>
  <si>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</si>
  <si>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</si>
  <si>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</si>
  <si>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</si>
  <si>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</si>
  <si>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</si>
  <si>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</si>
  <si>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</si>
  <si>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</si>
  <si>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</si>
  <si>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</si>
  <si>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</si>
  <si>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</si>
  <si>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</si>
  <si>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</si>
  <si>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</si>
  <si>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</si>
  <si>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</si>
  <si>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</si>
  <si>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</si>
  <si>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</si>
  <si>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</si>
  <si>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</si>
  <si>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</si>
  <si>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</si>
  <si>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</si>
  <si>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</si>
  <si>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</si>
  <si>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</si>
  <si>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</si>
  <si>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</si>
  <si>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</si>
  <si>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</si>
  <si>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</si>
  <si>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</si>
  <si>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</si>
  <si>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</si>
  <si>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</si>
  <si>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</si>
  <si>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</si>
  <si>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</si>
  <si>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</si>
  <si>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</si>
  <si>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</si>
  <si>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</si>
  <si>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</si>
  <si>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</si>
  <si>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</si>
  <si>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</si>
  <si>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</si>
  <si>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</si>
  <si>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</si>
  <si>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</si>
  <si>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</si>
  <si>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</si>
  <si>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</si>
  <si>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</si>
  <si>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</si>
  <si>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</si>
  <si>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</si>
  <si>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</si>
  <si>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</si>
  <si>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</si>
  <si>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</si>
  <si>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</si>
  <si>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</si>
  <si>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</si>
  <si>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</si>
  <si>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</si>
  <si>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</si>
  <si>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</si>
  <si>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</si>
  <si>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</si>
  <si>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</si>
  <si>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</si>
  <si>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</si>
  <si>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</si>
  <si>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</si>
  <si>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</si>
  <si>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</si>
  <si>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</si>
  <si>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</si>
  <si>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</si>
  <si>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</si>
  <si>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</si>
  <si>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</si>
  <si>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</si>
  <si>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</si>
  <si>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</si>
  <si>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</si>
  <si>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</si>
  <si>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</si>
  <si>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</si>
  <si>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</si>
  <si>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</si>
  <si>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</si>
  <si>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</si>
  <si>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</si>
  <si>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</si>
  <si>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</si>
  <si>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</si>
  <si>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</si>
  <si>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</si>
  <si>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</si>
  <si>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</si>
  <si>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</si>
  <si>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</si>
  <si>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</si>
  <si>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</si>
  <si>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</si>
  <si>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</si>
  <si>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</si>
  <si>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</si>
  <si>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</si>
  <si>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</si>
  <si>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</si>
  <si>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</si>
  <si>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</si>
  <si>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</si>
  <si>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</si>
  <si>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</si>
  <si>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</si>
  <si>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</si>
  <si>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</si>
  <si>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</si>
  <si>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</si>
  <si>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</si>
  <si>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</si>
  <si>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</si>
  <si>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</si>
  <si>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</si>
  <si>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</si>
  <si>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</si>
  <si>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</si>
  <si>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</si>
  <si>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</si>
  <si>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</si>
  <si>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</si>
  <si>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</si>
  <si>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</si>
  <si>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</si>
  <si>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</si>
  <si>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</si>
  <si>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</si>
  <si>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</si>
  <si>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</si>
  <si>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</si>
  <si>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</si>
  <si>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</si>
  <si>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</si>
  <si>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</si>
  <si>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</si>
  <si>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</si>
  <si>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</si>
  <si>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</si>
  <si>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</si>
  <si>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</si>
  <si>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</si>
  <si>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</si>
  <si>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</si>
  <si>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</si>
  <si>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</si>
  <si>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</si>
  <si>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</si>
  <si>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</si>
  <si>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</si>
  <si>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</si>
  <si>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</si>
  <si>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</si>
  <si>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</si>
  <si>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</si>
  <si>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</si>
  <si>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</si>
  <si>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</si>
  <si>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</si>
  <si>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</si>
  <si>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</si>
  <si>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</si>
  <si>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</si>
  <si>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</si>
  <si>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</si>
  <si>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</si>
  <si>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</si>
  <si>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</si>
  <si>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</si>
  <si>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</si>
  <si>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</si>
  <si>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</si>
  <si>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</si>
  <si>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</si>
  <si>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</si>
  <si>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</si>
  <si>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</si>
  <si>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</si>
  <si>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</si>
  <si>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</si>
  <si>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</si>
  <si>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</si>
  <si>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</si>
  <si>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</si>
  <si>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</si>
  <si>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</si>
  <si>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</si>
  <si>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</si>
  <si>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</si>
  <si>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</si>
  <si>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</si>
  <si>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</si>
  <si>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</si>
  <si>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</si>
  <si>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</si>
  <si>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</si>
  <si>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</si>
  <si>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</si>
  <si>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</si>
  <si>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</si>
  <si>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</si>
  <si>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</si>
  <si>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</si>
  <si>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</si>
  <si>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</si>
  <si>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</si>
  <si>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</si>
  <si>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</si>
  <si>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</si>
  <si>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</si>
  <si>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</si>
  <si>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</si>
  <si>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</si>
  <si>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</si>
  <si>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</si>
  <si>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</si>
  <si>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</si>
  <si>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</si>
  <si>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</si>
  <si>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</si>
  <si>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</si>
  <si>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</si>
  <si>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</si>
  <si>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</si>
  <si>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</si>
  <si>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</si>
  <si>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</si>
  <si>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</si>
  <si>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</si>
  <si>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</si>
  <si>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</si>
  <si>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</si>
  <si>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</si>
  <si>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</si>
  <si>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</si>
  <si>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</si>
  <si>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</si>
  <si>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</si>
  <si>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</si>
  <si>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</si>
  <si>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</si>
  <si>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</si>
  <si>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</si>
  <si>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</si>
  <si>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</si>
  <si>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</si>
  <si>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</si>
  <si>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</si>
  <si>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</si>
  <si>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</si>
  <si>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</si>
  <si>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</si>
  <si>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</si>
  <si>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</si>
  <si>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</si>
  <si>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</si>
  <si>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</si>
  <si>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</si>
  <si>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</si>
  <si>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</si>
  <si>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</si>
  <si>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</si>
  <si>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</si>
  <si>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</si>
  <si>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</si>
  <si>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</si>
  <si>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</si>
  <si>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</si>
  <si>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</si>
  <si>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</si>
  <si>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</si>
  <si>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</si>
  <si>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</si>
  <si>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</si>
  <si>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</si>
  <si>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</si>
  <si>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</si>
  <si>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</si>
  <si>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</si>
  <si>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</si>
  <si>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</si>
  <si>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</si>
  <si>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</si>
  <si>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</si>
  <si>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</si>
  <si>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</si>
  <si>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</si>
  <si>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</si>
  <si>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</si>
  <si>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</si>
  <si>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</si>
  <si>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</si>
  <si>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</si>
  <si>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</si>
  <si>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</si>
  <si>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</si>
  <si>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</si>
  <si>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</si>
  <si>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</si>
  <si>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</si>
  <si>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</si>
  <si>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</si>
  <si>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</si>
  <si>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</si>
  <si>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</si>
  <si>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</si>
  <si>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</si>
  <si>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</si>
  <si>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</si>
  <si>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</si>
  <si>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</si>
  <si>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</si>
  <si>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</si>
  <si>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</si>
  <si>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</si>
  <si>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</si>
  <si>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</si>
  <si>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</si>
  <si>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</si>
  <si>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</si>
  <si>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</si>
  <si>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</si>
  <si>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</si>
  <si>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</si>
  <si>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</si>
  <si>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</si>
  <si>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</si>
  <si>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</si>
  <si>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</si>
  <si>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</si>
  <si>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</si>
  <si>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</si>
  <si>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</si>
  <si>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</si>
  <si>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</si>
  <si>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</si>
  <si>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</si>
  <si>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</si>
  <si>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</si>
  <si>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</si>
  <si>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</si>
  <si>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</si>
  <si>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</si>
  <si>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</si>
  <si>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</si>
  <si>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</si>
  <si>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</si>
  <si>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</si>
  <si>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</si>
  <si>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</si>
  <si>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</si>
  <si>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</si>
  <si>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</si>
  <si>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</si>
  <si>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</si>
  <si>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</si>
  <si>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</si>
  <si>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</si>
  <si>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</si>
  <si>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</si>
  <si>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</si>
  <si>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</si>
  <si>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</si>
  <si>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</si>
  <si>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</si>
  <si>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</si>
  <si>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</si>
  <si>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</si>
  <si>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</si>
  <si>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</si>
  <si>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</si>
  <si>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</si>
  <si>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</si>
  <si>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</si>
  <si>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</si>
  <si>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</si>
  <si>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</si>
  <si>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</si>
  <si>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</si>
  <si>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</si>
  <si>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</si>
  <si>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</si>
  <si>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</si>
  <si>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</si>
  <si>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</si>
  <si>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</si>
  <si>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</si>
  <si>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</si>
  <si>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</si>
  <si>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</si>
  <si>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</si>
  <si>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</si>
  <si>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</si>
  <si>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</si>
  <si>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</si>
  <si>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</si>
  <si>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</si>
  <si>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</si>
  <si>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</si>
  <si>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</si>
  <si>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</si>
  <si>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</si>
  <si>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</si>
  <si>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</si>
  <si>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</si>
  <si>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</si>
  <si>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</si>
  <si>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</si>
  <si>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</si>
  <si>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</si>
  <si>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</si>
  <si>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</si>
  <si>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</si>
  <si>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</si>
  <si>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</si>
  <si>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</si>
  <si>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</si>
  <si>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</si>
  <si>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</si>
  <si>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</si>
  <si>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</si>
  <si>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</si>
  <si>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</si>
  <si>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</si>
  <si>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</si>
  <si>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</si>
  <si>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</si>
  <si>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</si>
  <si>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</si>
  <si>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</si>
  <si>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</si>
  <si>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</si>
  <si>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</si>
  <si>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</si>
  <si>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</si>
  <si>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</si>
  <si>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</si>
  <si>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</si>
  <si>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</si>
  <si>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</si>
  <si>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</si>
  <si>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</si>
  <si>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</si>
  <si>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</si>
  <si>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</si>
  <si>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</si>
  <si>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</si>
  <si>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</si>
  <si>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</si>
  <si>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</si>
  <si>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</si>
  <si>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</si>
  <si>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</si>
  <si>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</si>
  <si>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</si>
  <si>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</si>
  <si>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</si>
  <si>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</si>
  <si>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</si>
  <si>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</si>
  <si>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</si>
  <si>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</si>
  <si>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</si>
  <si>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</si>
  <si>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</si>
  <si>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</si>
  <si>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</si>
  <si>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</si>
  <si>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</si>
  <si>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</si>
  <si>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</si>
  <si>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</si>
  <si>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</si>
  <si>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</si>
  <si>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</si>
  <si>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</si>
  <si>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</si>
  <si>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</si>
  <si>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</si>
  <si>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</si>
  <si>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</si>
  <si>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</si>
  <si>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</si>
  <si>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</si>
  <si>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</si>
  <si>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</si>
  <si>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</si>
  <si>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</si>
  <si>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</si>
  <si>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</si>
  <si>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</si>
  <si>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</si>
  <si>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</si>
  <si>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</si>
  <si>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</si>
  <si>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</si>
  <si>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</si>
  <si>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</si>
  <si>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</si>
  <si>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</si>
  <si>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</si>
  <si>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</si>
  <si>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</si>
  <si>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</si>
  <si>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</si>
  <si>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</si>
  <si>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</si>
  <si>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</si>
  <si>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</si>
  <si>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</si>
  <si>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</si>
  <si>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</si>
  <si>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</si>
  <si>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</si>
  <si>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</si>
  <si>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</si>
  <si>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</si>
  <si>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</si>
  <si>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</si>
  <si>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</si>
  <si>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</si>
  <si>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</si>
  <si>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</si>
  <si>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</si>
  <si>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</si>
  <si>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</si>
  <si>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</si>
  <si>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</si>
  <si>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</si>
  <si>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</si>
  <si>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</si>
  <si>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</si>
  <si>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</si>
  <si>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</si>
  <si>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</si>
  <si>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</si>
  <si>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</si>
  <si>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</si>
  <si>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</si>
  <si>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</si>
  <si>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</si>
  <si>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</si>
  <si>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</si>
  <si>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</si>
  <si>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</si>
  <si>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</si>
  <si>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</si>
  <si>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</si>
  <si>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</si>
  <si>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</si>
  <si>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</si>
  <si>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</si>
  <si>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</si>
  <si>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</si>
  <si>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</si>
  <si>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</si>
  <si>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</si>
  <si>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</si>
  <si>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</si>
  <si>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</si>
  <si>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</si>
  <si>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</si>
  <si>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</si>
  <si>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</si>
  <si>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</si>
  <si>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</si>
  <si>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</si>
  <si>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</si>
  <si>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</si>
  <si>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</si>
  <si>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</si>
  <si>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</si>
  <si>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</si>
  <si>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</si>
  <si>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</si>
  <si>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</si>
  <si>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</si>
  <si>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</si>
  <si>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</si>
  <si>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</si>
  <si>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</si>
  <si>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</si>
  <si>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</si>
  <si>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</si>
  <si>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</si>
  <si>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</si>
  <si>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</si>
  <si>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</si>
  <si>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</si>
  <si>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</si>
  <si>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</si>
  <si>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</si>
  <si>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</si>
  <si>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</si>
  <si>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</si>
  <si>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</si>
  <si>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</si>
  <si>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</si>
  <si>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</si>
  <si>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</si>
  <si>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</si>
  <si>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</si>
  <si>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</si>
  <si>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</si>
  <si>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</si>
  <si>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</si>
  <si>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</si>
  <si>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</si>
  <si>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</si>
  <si>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</si>
  <si>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</si>
  <si>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</si>
  <si>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</si>
  <si>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</si>
  <si>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</si>
  <si>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</si>
  <si>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</si>
  <si>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</si>
  <si>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</si>
  <si>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</si>
  <si>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</si>
  <si>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</si>
  <si>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</si>
  <si>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</si>
  <si>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</si>
  <si>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</si>
  <si>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</si>
  <si>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</si>
  <si>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</si>
  <si>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</si>
  <si>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</si>
  <si>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</si>
  <si>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</si>
  <si>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</si>
  <si>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</si>
  <si>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</si>
  <si>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</si>
  <si>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</si>
  <si>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</si>
  <si>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</si>
  <si>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</si>
  <si>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</si>
  <si>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</si>
  <si>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</si>
  <si>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</si>
  <si>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</si>
  <si>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</si>
  <si>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</si>
  <si>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</si>
  <si>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</si>
  <si>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</si>
  <si>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</si>
  <si>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</si>
  <si>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</si>
  <si>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</si>
  <si>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</si>
  <si>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</si>
  <si>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</si>
  <si>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</si>
  <si>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</si>
  <si>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</si>
  <si>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</si>
  <si>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</si>
  <si>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</si>
  <si>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</si>
  <si>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</si>
  <si>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</si>
  <si>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</si>
  <si>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</si>
  <si>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</si>
  <si>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</si>
  <si>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</si>
  <si>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</si>
  <si>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</si>
  <si>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</si>
  <si>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</si>
  <si>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</si>
  <si>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</si>
  <si>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</si>
  <si>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</si>
  <si>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</si>
  <si>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</si>
  <si>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</si>
  <si>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</si>
  <si>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</si>
  <si>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</si>
  <si>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</si>
  <si>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</si>
  <si>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</si>
  <si>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</si>
  <si>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</si>
  <si>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</si>
  <si>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</si>
  <si>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</si>
  <si>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</si>
  <si>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</si>
  <si>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</si>
  <si>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</si>
  <si>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</si>
  <si>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</si>
  <si>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</si>
  <si>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</si>
  <si>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</si>
  <si>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</si>
  <si>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</si>
  <si>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</si>
  <si>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</si>
  <si>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</si>
  <si>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</si>
  <si>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</si>
  <si>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</si>
  <si>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</si>
  <si>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</si>
  <si>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</si>
  <si>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</si>
  <si>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</si>
  <si>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</si>
  <si>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</si>
  <si>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</si>
  <si>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</si>
  <si>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</si>
  <si>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</si>
  <si>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</si>
  <si>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</si>
  <si>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</si>
  <si>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</si>
  <si>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</si>
  <si>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</si>
  <si>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</si>
  <si>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</si>
  <si>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</si>
  <si>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</si>
  <si>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</si>
  <si>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</si>
  <si>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</si>
  <si>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</si>
  <si>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</si>
  <si>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</si>
  <si>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</si>
  <si>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</si>
  <si>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</si>
  <si>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</si>
  <si>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</si>
  <si>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</si>
  <si>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</si>
  <si>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</si>
  <si>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</si>
  <si>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</si>
  <si>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</si>
  <si>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</si>
  <si>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</si>
  <si>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</si>
  <si>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</si>
  <si>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</si>
  <si>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</si>
  <si>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</si>
  <si>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</si>
  <si>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</si>
  <si>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</si>
  <si>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</si>
  <si>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</si>
  <si>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</si>
  <si>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</si>
  <si>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</si>
  <si>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</si>
  <si>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</si>
  <si>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</si>
  <si>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</si>
  <si>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</si>
  <si>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</si>
  <si>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</si>
  <si>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</si>
  <si>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</si>
  <si>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</si>
  <si>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</si>
  <si>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</si>
  <si>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</si>
  <si>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</si>
  <si>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</si>
  <si>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</si>
  <si>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</si>
  <si>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</si>
  <si>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</si>
  <si>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</si>
  <si>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</si>
  <si>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</si>
  <si>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</si>
  <si>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</si>
  <si>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</si>
  <si>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</si>
  <si>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</si>
  <si>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</si>
  <si>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</si>
  <si>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</si>
  <si>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</si>
  <si>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</si>
  <si>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</si>
  <si>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</si>
  <si>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</si>
  <si>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</si>
  <si>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</si>
  <si>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</si>
  <si>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</si>
  <si>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</si>
  <si>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</si>
  <si>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</si>
  <si>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</si>
  <si>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</si>
  <si>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</si>
  <si>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</si>
  <si>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</si>
  <si>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</si>
  <si>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</si>
  <si>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</si>
  <si>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</si>
  <si>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</si>
  <si>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</si>
  <si>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</si>
  <si>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</si>
  <si>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</si>
  <si>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</si>
  <si>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</si>
  <si>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</si>
  <si>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</si>
  <si>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</si>
  <si>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</si>
  <si>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</si>
  <si>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</si>
  <si>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</si>
  <si>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</si>
  <si>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</si>
  <si>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</si>
  <si>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</si>
  <si>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</si>
  <si>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</si>
  <si>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</si>
  <si>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</si>
  <si>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</si>
  <si>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</si>
  <si>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</si>
  <si>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</si>
  <si>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</si>
  <si>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</si>
  <si>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</si>
  <si>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</si>
  <si>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</si>
  <si>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</si>
  <si>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</si>
  <si>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</si>
  <si>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</si>
  <si>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</si>
  <si>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</si>
  <si>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</si>
  <si>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</si>
  <si>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</si>
  <si>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</si>
  <si>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</si>
  <si>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</si>
  <si>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</si>
  <si>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</si>
  <si>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</si>
  <si>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</si>
  <si>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</si>
  <si>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</si>
  <si>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</si>
  <si>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</si>
  <si>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</si>
  <si>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</si>
  <si>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</si>
  <si>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</si>
  <si>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</si>
  <si>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</si>
  <si>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</si>
  <si>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</si>
  <si>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</si>
  <si>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</si>
  <si>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</si>
  <si>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</si>
  <si>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</si>
  <si>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</si>
  <si>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</si>
  <si>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</si>
  <si>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</si>
  <si>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</si>
  <si>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</si>
  <si>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</si>
  <si>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</si>
  <si>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</si>
  <si>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</si>
  <si>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</si>
  <si>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</si>
  <si>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</si>
  <si>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</si>
  <si>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</si>
  <si>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</si>
  <si>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</si>
  <si>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</si>
  <si>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</si>
  <si>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</si>
  <si>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</si>
  <si>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</si>
  <si>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</si>
  <si>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</si>
  <si>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</si>
  <si>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</si>
  <si>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</si>
  <si>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</si>
  <si>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</si>
  <si>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</si>
  <si>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</si>
  <si>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</si>
  <si>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</si>
  <si>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</si>
  <si>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</si>
  <si>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</si>
  <si>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</si>
  <si>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</si>
  <si>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</si>
  <si>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</si>
  <si>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</si>
  <si>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</si>
  <si>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</si>
  <si>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</si>
  <si>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</si>
  <si>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</si>
  <si>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</si>
  <si>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</si>
  <si>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</si>
  <si>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</si>
  <si>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</si>
  <si>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</si>
  <si>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</si>
  <si>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</si>
  <si>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</si>
  <si>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</si>
  <si>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</si>
  <si>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</si>
  <si>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</si>
  <si>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</si>
  <si>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</si>
  <si>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</si>
  <si>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</si>
  <si>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</si>
  <si>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</si>
  <si>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</si>
  <si>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</si>
  <si>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</si>
  <si>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</si>
  <si>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</si>
  <si>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</si>
  <si>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</si>
  <si>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</si>
  <si>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</si>
  <si>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</si>
  <si>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</si>
  <si>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</si>
  <si>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</si>
  <si>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</si>
  <si>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</si>
  <si>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</si>
  <si>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</si>
  <si>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</si>
  <si>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</si>
  <si>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</si>
  <si>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</si>
  <si>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</si>
  <si>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</si>
  <si>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</si>
  <si>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</si>
  <si>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</si>
  <si>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</si>
  <si>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</si>
  <si>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</si>
  <si>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</si>
  <si>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</si>
  <si>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</si>
  <si>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</si>
  <si>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</si>
  <si>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</si>
  <si>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</si>
  <si>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</si>
  <si>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</si>
  <si>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</si>
  <si>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</si>
  <si>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</si>
  <si>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</si>
  <si>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</si>
  <si>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</si>
  <si>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</si>
  <si>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</si>
  <si>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</si>
  <si>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</si>
  <si>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</si>
  <si>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</si>
  <si>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</si>
  <si>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</si>
  <si>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</si>
  <si>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</si>
  <si>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</si>
  <si>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</si>
  <si>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</si>
  <si>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</si>
  <si>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</si>
  <si>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</si>
  <si>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</si>
  <si>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</si>
  <si>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</si>
  <si>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</si>
  <si>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</si>
  <si>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</si>
  <si>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</si>
  <si>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</si>
  <si>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</si>
  <si>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</si>
  <si>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</si>
  <si>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</si>
  <si>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</si>
  <si>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</si>
  <si>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</si>
  <si>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</si>
  <si>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</si>
  <si>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</si>
  <si>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</si>
  <si>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</si>
  <si>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</si>
  <si>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</si>
  <si>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</si>
  <si>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</si>
  <si>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</si>
  <si>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</si>
  <si>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</si>
  <si>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</si>
  <si>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</si>
  <si>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</si>
  <si>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</si>
  <si>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</si>
  <si>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</si>
  <si>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</si>
  <si>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</si>
  <si>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</si>
  <si>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</si>
  <si>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</si>
  <si>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</si>
  <si>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</si>
  <si>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</si>
  <si>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</si>
  <si>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</si>
  <si>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</si>
  <si>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</si>
  <si>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</si>
  <si>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</si>
  <si>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</si>
  <si>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</si>
  <si>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</si>
  <si>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</si>
  <si>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</si>
  <si>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</si>
  <si>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</si>
  <si>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</si>
  <si>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</si>
  <si>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</si>
  <si>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</si>
  <si>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</si>
  <si>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</si>
  <si>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</si>
  <si>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</si>
  <si>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</si>
  <si>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</si>
  <si>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</si>
  <si>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</si>
  <si>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</si>
  <si>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</si>
  <si>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</si>
  <si>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</si>
  <si>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</si>
  <si>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</si>
  <si>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</si>
  <si>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</si>
  <si>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</si>
  <si>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</si>
  <si>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</si>
  <si>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</si>
  <si>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</si>
  <si>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</si>
  <si>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</si>
  <si>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</si>
  <si>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</si>
  <si>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</si>
  <si>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</si>
  <si>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</si>
  <si>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</si>
  <si>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</si>
  <si>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</si>
  <si>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</si>
  <si>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</si>
  <si>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</si>
  <si>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</si>
  <si>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</si>
  <si>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</si>
  <si>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</si>
  <si>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</si>
  <si>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</si>
  <si>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</si>
  <si>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</si>
  <si>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</si>
  <si>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</si>
  <si>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</si>
  <si>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</si>
  <si>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</si>
  <si>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</si>
  <si>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</si>
  <si>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</si>
  <si>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</si>
  <si>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</si>
  <si>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</si>
  <si>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</si>
  <si>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</si>
  <si>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</si>
  <si>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</si>
  <si>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</si>
  <si>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</si>
  <si>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</si>
  <si>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</si>
  <si>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</si>
  <si>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</si>
  <si>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</si>
  <si>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</si>
  <si>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</si>
  <si>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</si>
  <si>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</si>
  <si>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</si>
  <si>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</si>
  <si>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</si>
  <si>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</si>
  <si>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</si>
  <si>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</si>
  <si>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</si>
  <si>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</si>
  <si>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</si>
  <si>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</si>
  <si>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</si>
  <si>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</si>
  <si>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</si>
  <si>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</si>
  <si>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</si>
  <si>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</si>
  <si>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</si>
  <si>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</si>
  <si>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</si>
  <si>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</si>
  <si>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</si>
  <si>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</si>
  <si>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</si>
  <si>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</si>
  <si>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</si>
  <si>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</si>
  <si>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</si>
  <si>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</si>
  <si>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</si>
  <si>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</si>
  <si>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</si>
  <si>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</si>
  <si>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</si>
  <si>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</si>
  <si>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</si>
  <si>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</si>
  <si>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</si>
  <si>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</si>
  <si>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</si>
  <si>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</si>
  <si>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</si>
  <si>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</si>
  <si>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</si>
  <si>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</si>
  <si>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</si>
  <si>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</si>
  <si>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</si>
  <si>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</si>
  <si>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</si>
  <si>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</si>
  <si>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</si>
  <si>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</si>
  <si>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</si>
  <si>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</si>
  <si>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</si>
  <si>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</si>
  <si>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</si>
  <si>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</si>
  <si>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</si>
  <si>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</si>
  <si>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</si>
  <si>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</si>
  <si>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</si>
  <si>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</si>
  <si>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</si>
  <si>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</si>
  <si>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</si>
  <si>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</si>
  <si>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</si>
  <si>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</si>
  <si>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</si>
  <si>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</si>
  <si>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</si>
  <si>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</si>
  <si>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</si>
  <si>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</si>
  <si>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</si>
  <si>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</si>
  <si>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</si>
  <si>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</si>
  <si>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</si>
  <si>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</si>
  <si>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</si>
  <si>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</si>
  <si>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</si>
  <si>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</si>
  <si>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</si>
  <si>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</si>
  <si>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</si>
  <si>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</si>
  <si>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</si>
  <si>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</si>
  <si>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</si>
  <si>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</si>
  <si>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</si>
  <si>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</si>
  <si>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</si>
  <si>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</si>
  <si>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</si>
  <si>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</si>
  <si>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</si>
  <si>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</si>
  <si>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</si>
  <si>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</si>
  <si>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</si>
  <si>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</si>
  <si>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</si>
  <si>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</si>
  <si>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</si>
  <si>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</si>
  <si>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</si>
  <si>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</si>
  <si>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</si>
  <si>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</si>
  <si>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</si>
  <si>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</si>
  <si>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</si>
  <si>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</si>
  <si>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</si>
  <si>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</si>
  <si>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</si>
  <si>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</si>
  <si>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</si>
  <si>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</si>
  <si>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</si>
  <si>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</si>
  <si>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</si>
  <si>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</si>
  <si>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</si>
  <si>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</si>
  <si>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</si>
  <si>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</si>
  <si>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</si>
  <si>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</si>
  <si>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</si>
  <si>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</si>
  <si>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</si>
  <si>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</si>
  <si>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</si>
  <si>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</si>
  <si>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</si>
  <si>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</si>
  <si>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</si>
  <si>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</si>
  <si>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</si>
  <si>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</si>
  <si>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</si>
  <si>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</si>
  <si>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</si>
  <si>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</si>
  <si>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</si>
  <si>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</si>
  <si>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</si>
  <si>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</si>
  <si>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</si>
  <si>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</si>
  <si>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</si>
  <si>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</si>
  <si>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</si>
  <si>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</si>
  <si>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</si>
  <si>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</si>
  <si>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</si>
  <si>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</si>
  <si>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</si>
  <si>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</si>
  <si>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</si>
  <si>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</si>
  <si>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</si>
  <si>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</si>
  <si>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</si>
  <si>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</si>
  <si>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</si>
  <si>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</si>
  <si>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</si>
  <si>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</si>
  <si>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</si>
  <si>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</si>
  <si>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</si>
  <si>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</si>
  <si>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</si>
  <si>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</si>
  <si>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</si>
  <si>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</si>
  <si>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</si>
  <si>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</si>
  <si>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</si>
  <si>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</si>
  <si>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</si>
  <si>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</si>
  <si>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</si>
  <si>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</si>
  <si>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</si>
  <si>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</si>
  <si>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</si>
  <si>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</si>
  <si>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</si>
  <si>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</si>
  <si>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</si>
  <si>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</si>
  <si>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</si>
  <si>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</si>
  <si>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</si>
  <si>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</si>
  <si>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</si>
  <si>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</si>
  <si>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</si>
  <si>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</si>
  <si>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</si>
  <si>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</si>
  <si>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</si>
  <si>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</si>
  <si>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</si>
  <si>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</si>
  <si>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</si>
  <si>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</si>
  <si>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</si>
  <si>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</si>
  <si>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</si>
  <si>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</si>
  <si>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</si>
  <si>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</si>
  <si>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</si>
  <si>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</si>
  <si>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</si>
  <si>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</si>
  <si>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</si>
  <si>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</si>
  <si>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</si>
  <si>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</si>
  <si>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</si>
  <si>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</si>
  <si>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</si>
  <si>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</si>
  <si>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</si>
  <si>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</si>
  <si>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</si>
  <si>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</si>
  <si>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</si>
  <si>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</si>
  <si>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</si>
  <si>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</si>
  <si>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</si>
  <si>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</si>
  <si>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</si>
  <si>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</si>
  <si>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</si>
  <si>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</si>
  <si>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</si>
  <si>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</si>
  <si>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</si>
  <si>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</si>
  <si>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</si>
  <si>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</si>
  <si>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</si>
  <si>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</si>
  <si>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</si>
  <si>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</si>
  <si>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</si>
  <si>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</si>
  <si>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</si>
  <si>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</si>
  <si>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</si>
  <si>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</si>
  <si>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</si>
  <si>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</si>
  <si>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</si>
  <si>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</si>
  <si>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</si>
  <si>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</si>
  <si>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</si>
  <si>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</si>
  <si>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</si>
  <si>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</si>
  <si>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</si>
  <si>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</si>
  <si>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</si>
  <si>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</si>
  <si>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</si>
  <si>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</si>
  <si>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</si>
  <si>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</si>
  <si>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</si>
  <si>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</si>
  <si>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</si>
  <si>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</si>
  <si>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</si>
  <si>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</si>
  <si>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</si>
  <si>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</si>
  <si>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</si>
  <si>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</si>
  <si>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</si>
  <si>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</si>
  <si>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</si>
  <si>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</si>
  <si>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</si>
  <si>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</si>
  <si>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</si>
  <si>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</si>
  <si>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</si>
  <si>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</si>
  <si>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</si>
  <si>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</si>
  <si>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</si>
  <si>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</si>
  <si>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</si>
  <si>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</si>
  <si>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</si>
  <si>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</si>
  <si>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</si>
  <si>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</si>
  <si>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</si>
  <si>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</si>
  <si>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</si>
  <si>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</si>
  <si>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</si>
  <si>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</si>
  <si>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</si>
  <si>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</si>
  <si>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</si>
  <si>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</si>
  <si>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</si>
  <si>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</si>
  <si>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</si>
  <si>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</si>
  <si>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</si>
  <si>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</si>
  <si>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</si>
  <si>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</si>
  <si>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</si>
  <si>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</si>
  <si>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</si>
  <si>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</si>
  <si>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</si>
  <si>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</si>
  <si>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</si>
  <si>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</si>
  <si>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</si>
  <si>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</si>
  <si>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</si>
  <si>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</si>
  <si>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</si>
  <si>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</si>
  <si>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</si>
  <si>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</si>
  <si>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</si>
  <si>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</si>
  <si>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</si>
  <si>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</si>
  <si>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</si>
  <si>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</si>
  <si>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</si>
  <si>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</si>
  <si>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</si>
  <si>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</si>
  <si>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</si>
  <si>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</si>
  <si>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</si>
  <si>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</si>
  <si>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</si>
  <si>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</si>
  <si>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</si>
  <si>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</si>
  <si>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</si>
  <si>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</si>
  <si>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</si>
  <si>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</si>
  <si>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</si>
  <si>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</si>
  <si>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</si>
  <si>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</si>
  <si>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</si>
  <si>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</si>
  <si>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</si>
  <si>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</si>
  <si>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</si>
  <si>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</si>
  <si>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</si>
  <si>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</si>
  <si>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</si>
  <si>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</si>
  <si>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</si>
  <si>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</si>
  <si>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</si>
  <si>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</si>
  <si>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</si>
  <si>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</si>
  <si>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</si>
  <si>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</si>
  <si>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</si>
  <si>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</si>
  <si>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</si>
  <si>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</si>
  <si>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</si>
  <si>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</si>
  <si>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</si>
  <si>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</si>
  <si>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</si>
  <si>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</si>
  <si>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</si>
  <si>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</si>
  <si>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</si>
  <si>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</si>
  <si>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</si>
  <si>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</si>
  <si>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</si>
  <si>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</si>
  <si>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</si>
  <si>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</si>
  <si>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</si>
  <si>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</si>
  <si>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</si>
  <si>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</si>
  <si>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</si>
  <si>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</si>
  <si>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</si>
  <si>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</si>
  <si>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</si>
  <si>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</si>
  <si>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</si>
  <si>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</si>
  <si>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</si>
  <si>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</si>
  <si>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</si>
  <si>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</si>
  <si>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</si>
  <si>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</si>
  <si>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</si>
  <si>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</si>
  <si>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</si>
  <si>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</si>
  <si>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</si>
  <si>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</si>
  <si>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</si>
  <si>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</si>
  <si>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</si>
  <si>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</si>
  <si>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</si>
  <si>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</si>
  <si>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</si>
  <si>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</si>
  <si>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</si>
  <si>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</si>
  <si>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</si>
  <si>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</si>
  <si>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</si>
  <si>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</si>
  <si>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</si>
  <si>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</si>
  <si>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</si>
  <si>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</si>
  <si>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</si>
  <si>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</si>
  <si>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</si>
  <si>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</si>
  <si>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</si>
  <si>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</si>
  <si>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</si>
  <si>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</si>
  <si>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</si>
  <si>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</si>
  <si>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</si>
  <si>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</si>
  <si>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</si>
  <si>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</si>
  <si>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</si>
  <si>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</si>
  <si>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</si>
  <si>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</si>
  <si>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</si>
  <si>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</si>
  <si>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</si>
  <si>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</si>
  <si>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</si>
  <si>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</si>
  <si>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</si>
  <si>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</si>
  <si>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</si>
  <si>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</si>
  <si>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</si>
  <si>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</si>
  <si>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</si>
  <si>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</si>
  <si>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</si>
  <si>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</si>
  <si>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</si>
  <si>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</si>
  <si>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</si>
  <si>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</si>
  <si>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</si>
  <si>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</si>
  <si>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</si>
  <si>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</si>
  <si>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</si>
  <si>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</si>
  <si>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</si>
  <si>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</si>
  <si>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</si>
  <si>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</si>
  <si>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</si>
  <si>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</si>
  <si>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</si>
  <si>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</si>
  <si>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</si>
  <si>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</si>
  <si>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</si>
  <si>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</si>
  <si>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</si>
  <si>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</si>
  <si>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</si>
  <si>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</si>
  <si>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</si>
  <si>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</si>
  <si>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</si>
  <si>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</si>
  <si>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</si>
  <si>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</si>
  <si>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</si>
  <si>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</si>
  <si>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</si>
  <si>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</si>
  <si>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</si>
  <si>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</si>
  <si>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</si>
  <si>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</si>
  <si>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</si>
  <si>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</si>
  <si>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</si>
  <si>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</si>
  <si>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</si>
  <si>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</si>
  <si>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</si>
  <si>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</si>
  <si>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</si>
  <si>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</si>
  <si>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</si>
  <si>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</si>
  <si>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</si>
  <si>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</si>
  <si>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</si>
  <si>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</si>
  <si>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</si>
  <si>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</si>
  <si>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</si>
  <si>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</si>
  <si>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</si>
  <si>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</si>
  <si>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</si>
  <si>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</si>
  <si>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</si>
  <si>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</si>
  <si>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</si>
  <si>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</si>
  <si>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</si>
  <si>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</si>
  <si>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</si>
  <si>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</si>
  <si>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</si>
  <si>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</si>
  <si>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</si>
  <si>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</si>
  <si>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</si>
  <si>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</si>
  <si>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</si>
  <si>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</si>
  <si>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</si>
  <si>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</si>
  <si>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</si>
  <si>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</si>
  <si>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</si>
  <si>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</si>
  <si>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</si>
  <si>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</si>
  <si>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</si>
  <si>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</si>
  <si>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</si>
  <si>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</si>
  <si>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</si>
  <si>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</si>
  <si>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</si>
  <si>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</si>
  <si>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</si>
  <si>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</si>
  <si>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</si>
  <si>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</si>
  <si>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</si>
  <si>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</si>
  <si>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</si>
  <si>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</si>
  <si>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</si>
  <si>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</si>
  <si>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</si>
  <si>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</si>
  <si>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</si>
  <si>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</si>
  <si>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</si>
  <si>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</si>
  <si>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</si>
  <si>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</si>
  <si>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</si>
  <si>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</si>
  <si>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</si>
  <si>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</si>
  <si>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</si>
  <si>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</si>
  <si>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</si>
  <si>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</si>
  <si>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</si>
  <si>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</si>
  <si>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</si>
  <si>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</si>
  <si>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</si>
  <si>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</si>
  <si>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</si>
  <si>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</si>
  <si>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</si>
  <si>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</si>
  <si>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</si>
  <si>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</si>
  <si>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</si>
  <si>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</si>
  <si>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</si>
  <si>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</si>
  <si>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</si>
  <si>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</si>
  <si>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</si>
  <si>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</si>
  <si>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</si>
  <si>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</si>
  <si>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</si>
  <si>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</si>
  <si>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</si>
  <si>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</si>
  <si>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</si>
  <si>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</si>
  <si>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</si>
  <si>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</si>
  <si>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</si>
  <si>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</si>
  <si>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</si>
  <si>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</si>
  <si>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</si>
  <si>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</si>
  <si>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</si>
  <si>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</si>
  <si>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</si>
  <si>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</si>
  <si>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</si>
  <si>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</si>
  <si>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</si>
  <si>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</si>
  <si>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</si>
  <si>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</si>
  <si>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</si>
  <si>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</si>
  <si>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</si>
  <si>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</si>
  <si>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</si>
  <si>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</si>
  <si>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</si>
  <si>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</si>
  <si>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</si>
  <si>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</si>
  <si>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</si>
  <si>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</si>
  <si>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</si>
  <si>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</si>
  <si>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</si>
  <si>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</si>
  <si>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</si>
  <si>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</si>
  <si>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</si>
  <si>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</si>
  <si>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</si>
  <si>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</si>
  <si>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</si>
  <si>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</si>
  <si>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</si>
  <si>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</si>
  <si>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</si>
  <si>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</si>
  <si>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</si>
  <si>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</si>
  <si>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</si>
  <si>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</si>
  <si>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</si>
  <si>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</si>
  <si>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</si>
  <si>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</si>
  <si>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</si>
  <si>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</si>
  <si>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</si>
  <si>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</si>
  <si>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</si>
  <si>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</si>
  <si>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</si>
  <si>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</si>
  <si>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</si>
  <si>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</si>
  <si>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</si>
  <si>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</si>
  <si>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</si>
  <si>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</si>
  <si>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</si>
  <si>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</si>
  <si>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</si>
  <si>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</si>
  <si>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</si>
  <si>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</si>
  <si>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</si>
  <si>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</si>
  <si>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</si>
  <si>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</si>
  <si>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</si>
  <si>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</si>
  <si>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</si>
  <si>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</si>
  <si>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</si>
  <si>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</si>
  <si>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</si>
  <si>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</si>
  <si>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</si>
  <si>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</si>
  <si>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</si>
  <si>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</si>
  <si>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</si>
  <si>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</si>
  <si>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</si>
  <si>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</si>
  <si>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</si>
  <si>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</si>
  <si>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</si>
  <si>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</si>
  <si>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</si>
  <si>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</si>
  <si>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</si>
  <si>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</si>
  <si>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</si>
  <si>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</si>
  <si>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</si>
  <si>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</si>
  <si>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</si>
  <si>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</si>
  <si>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</si>
  <si>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</si>
  <si>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</si>
  <si>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</si>
  <si>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</si>
  <si>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</si>
  <si>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</si>
  <si>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</si>
  <si>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</si>
  <si>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</si>
  <si>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</si>
  <si>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</si>
  <si>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</si>
  <si>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</si>
  <si>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</si>
  <si>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</si>
  <si>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</si>
  <si>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</si>
  <si>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</si>
  <si>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</si>
  <si>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</si>
  <si>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</si>
  <si>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</si>
  <si>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</si>
  <si>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</si>
  <si>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</si>
  <si>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</si>
  <si>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</si>
  <si>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</si>
  <si>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</si>
  <si>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</si>
  <si>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</si>
  <si>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</si>
  <si>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</si>
  <si>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</si>
  <si>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</si>
  <si>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</si>
  <si>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</si>
  <si>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</si>
  <si>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</si>
  <si>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</si>
  <si>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</si>
  <si>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</si>
  <si>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</si>
  <si>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</si>
  <si>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</si>
  <si>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</si>
  <si>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</si>
  <si>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</si>
  <si>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</si>
  <si>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</si>
  <si>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</si>
  <si>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</si>
  <si>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</si>
  <si>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</si>
  <si>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</si>
  <si>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</si>
  <si>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</si>
  <si>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</si>
  <si>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</si>
  <si>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</si>
  <si>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</si>
  <si>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</si>
  <si>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</si>
  <si>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</si>
  <si>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</si>
  <si>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</si>
  <si>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</si>
  <si>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</si>
  <si>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</si>
  <si>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</si>
  <si>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</si>
  <si>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</si>
  <si>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</si>
  <si>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</si>
  <si>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</si>
  <si>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</si>
  <si>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</si>
  <si>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</si>
  <si>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</si>
  <si>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</si>
  <si>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</si>
  <si>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</si>
  <si>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</si>
  <si>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</si>
  <si>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</si>
  <si>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</si>
  <si>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</si>
  <si>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</si>
  <si>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</si>
  <si>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</si>
  <si>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</si>
  <si>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</si>
  <si>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</si>
  <si>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</si>
  <si>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</si>
  <si>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</si>
  <si>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</si>
  <si>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</si>
  <si>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</si>
  <si>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</si>
  <si>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</si>
  <si>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</si>
  <si>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</si>
  <si>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</si>
  <si>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</si>
  <si>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</si>
  <si>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</si>
  <si>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</si>
  <si>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</si>
  <si>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</si>
  <si>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</si>
  <si>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</si>
  <si>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</si>
  <si>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</si>
  <si>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</si>
  <si>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</si>
  <si>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</si>
  <si>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</si>
  <si>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</si>
  <si>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</si>
  <si>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</si>
  <si>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</si>
  <si>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</si>
  <si>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</si>
  <si>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</si>
  <si>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</si>
  <si>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</si>
  <si>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</si>
  <si>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</si>
  <si>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</si>
  <si>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</si>
  <si>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</si>
  <si>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</si>
  <si>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</si>
  <si>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</si>
  <si>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</si>
  <si>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</si>
  <si>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</si>
  <si>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</si>
  <si>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</si>
  <si>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</si>
  <si>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</si>
  <si>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</si>
  <si>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</si>
  <si>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</si>
  <si>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</si>
  <si>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</si>
  <si>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</si>
  <si>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</si>
  <si>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</si>
  <si>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</si>
  <si>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</si>
  <si>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</si>
  <si>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</si>
  <si>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</si>
  <si>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</si>
  <si>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</si>
  <si>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</si>
  <si>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</si>
  <si>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</si>
  <si>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</si>
  <si>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</si>
  <si>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</si>
  <si>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</si>
  <si>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</si>
  <si>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</si>
  <si>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</si>
  <si>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</si>
  <si>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</si>
  <si>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</si>
  <si>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</si>
  <si>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</si>
  <si>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</si>
  <si>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</si>
  <si>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</si>
  <si>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</si>
  <si>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</si>
  <si>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</si>
  <si>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</si>
  <si>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</si>
  <si>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</si>
  <si>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</si>
  <si>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</si>
  <si>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</si>
  <si>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</si>
  <si>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</si>
  <si>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</si>
  <si>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</si>
  <si>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</si>
  <si>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</si>
  <si>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</si>
  <si>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</si>
  <si>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</si>
  <si>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</si>
  <si>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</si>
  <si>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</si>
  <si>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</si>
  <si>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</si>
  <si>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</si>
  <si>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</si>
  <si>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</si>
  <si>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</si>
  <si>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</si>
  <si>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</si>
  <si>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</si>
  <si>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</si>
  <si>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</si>
  <si>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</si>
  <si>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</si>
  <si>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</si>
  <si>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</si>
  <si>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</si>
  <si>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</si>
  <si>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</si>
  <si>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</si>
  <si>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</si>
  <si>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</si>
  <si>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</si>
  <si>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</si>
  <si>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</si>
  <si>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</si>
  <si>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</si>
  <si>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</si>
  <si>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</si>
  <si>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</si>
  <si>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</si>
  <si>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</si>
  <si>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</si>
  <si>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</si>
  <si>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</si>
  <si>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</si>
  <si>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</si>
  <si>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</si>
  <si>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</si>
  <si>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</si>
  <si>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</si>
  <si>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</si>
  <si>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</si>
  <si>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</si>
  <si>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</si>
  <si>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</si>
  <si>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</si>
  <si>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</si>
  <si>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</si>
  <si>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</si>
  <si>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</si>
  <si>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</si>
  <si>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</si>
  <si>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</si>
  <si>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</si>
  <si>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</si>
  <si>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</si>
  <si>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</si>
  <si>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</si>
  <si>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</si>
  <si>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</si>
  <si>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</si>
  <si>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</si>
  <si>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</si>
  <si>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</si>
  <si>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</si>
  <si>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</si>
  <si>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</si>
  <si>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</si>
  <si>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</si>
  <si>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</si>
  <si>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</si>
  <si>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</si>
  <si>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</si>
  <si>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</si>
  <si>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</si>
  <si>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</si>
  <si>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</si>
  <si>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</si>
  <si>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</si>
  <si>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</si>
  <si>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</si>
  <si>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</si>
  <si>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</si>
  <si>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</si>
  <si>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</si>
  <si>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</si>
  <si>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</si>
  <si>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</si>
  <si>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</si>
  <si>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</si>
  <si>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</si>
  <si>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</si>
  <si>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</si>
  <si>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</si>
  <si>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</si>
  <si>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</si>
  <si>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</si>
  <si>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</si>
  <si>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</si>
  <si>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</si>
  <si>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</si>
  <si>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</si>
  <si>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</si>
  <si>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</si>
  <si>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</si>
  <si>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</si>
  <si>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</si>
  <si>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</si>
  <si>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</si>
  <si>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</si>
  <si>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</si>
  <si>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</si>
  <si>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</si>
  <si>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</si>
  <si>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</si>
  <si>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</si>
  <si>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</si>
  <si>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</si>
  <si>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</si>
  <si>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</si>
  <si>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</si>
  <si>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</si>
  <si>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</si>
  <si>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</si>
  <si>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</si>
  <si>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</si>
  <si>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</si>
  <si>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</si>
  <si>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</si>
  <si>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</si>
  <si>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</si>
  <si>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</si>
  <si>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</si>
  <si>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</si>
  <si>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</si>
  <si>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</si>
  <si>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</si>
  <si>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</si>
  <si>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</si>
  <si>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</si>
  <si>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</si>
  <si>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</si>
  <si>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</si>
  <si>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</si>
  <si>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</si>
  <si>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</si>
  <si>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</si>
  <si>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</si>
  <si>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</si>
  <si>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</si>
  <si>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</si>
  <si>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</si>
  <si>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</si>
  <si>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</si>
  <si>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</si>
  <si>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</si>
  <si>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</si>
  <si>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</si>
  <si>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</si>
  <si>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</si>
  <si>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</si>
  <si>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</si>
  <si>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</si>
  <si>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</si>
  <si>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</si>
  <si>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</si>
  <si>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</si>
  <si>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</si>
  <si>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</si>
  <si>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</si>
  <si>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</si>
  <si>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</si>
  <si>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</si>
  <si>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</si>
  <si>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</si>
  <si>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</si>
  <si>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</si>
  <si>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</si>
  <si>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</si>
  <si>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</si>
  <si>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</si>
  <si>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</si>
  <si>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</si>
  <si>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</si>
  <si>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</si>
  <si>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</si>
  <si>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</si>
  <si>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</si>
  <si>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</si>
  <si>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</si>
  <si>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</si>
  <si>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</si>
  <si>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</si>
  <si>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</si>
  <si>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</si>
  <si>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</si>
  <si>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</si>
  <si>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</si>
  <si>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</si>
  <si>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</si>
  <si>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</si>
  <si>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</si>
  <si>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</si>
  <si>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</si>
  <si>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</si>
  <si>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</si>
  <si>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</si>
  <si>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</si>
  <si>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</si>
  <si>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</si>
  <si>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</si>
  <si>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</si>
  <si>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</si>
  <si>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</si>
  <si>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</si>
  <si>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</si>
  <si>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</si>
  <si>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</si>
  <si>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</si>
  <si>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</si>
  <si>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</si>
  <si>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</si>
  <si>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</si>
  <si>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</si>
  <si>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</si>
  <si>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</si>
  <si>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</si>
  <si>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</si>
  <si>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</si>
  <si>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</si>
  <si>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</si>
  <si>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</si>
  <si>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</si>
  <si>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</si>
  <si>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</si>
  <si>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</si>
  <si>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</si>
  <si>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</si>
  <si>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</si>
  <si>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</si>
  <si>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</si>
  <si>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</si>
  <si>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</si>
  <si>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</si>
  <si>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</si>
  <si>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</si>
  <si>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</si>
  <si>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</si>
  <si>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</si>
  <si>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</si>
  <si>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</si>
  <si>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</si>
  <si>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</si>
  <si>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</si>
  <si>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</si>
  <si>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</si>
  <si>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</si>
  <si>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</si>
  <si>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</si>
  <si>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</si>
  <si>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</si>
  <si>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</si>
  <si>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</si>
  <si>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</si>
  <si>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</si>
  <si>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</si>
  <si>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</si>
  <si>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</si>
  <si>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</si>
  <si>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</si>
  <si>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</si>
  <si>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</si>
  <si>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</si>
  <si>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</si>
  <si>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</si>
  <si>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</si>
  <si>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</si>
  <si>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</si>
  <si>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</si>
  <si>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</si>
  <si>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</si>
  <si>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</si>
  <si>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</si>
  <si>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</si>
  <si>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</si>
  <si>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</si>
  <si>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</si>
  <si>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</si>
  <si>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</si>
  <si>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</si>
  <si>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</si>
  <si>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</si>
  <si>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</si>
  <si>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</si>
  <si>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</si>
  <si>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</si>
  <si>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</si>
  <si>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</si>
  <si>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</si>
  <si>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</si>
  <si>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</si>
  <si>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</si>
  <si>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</si>
  <si>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</si>
  <si>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</si>
  <si>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</si>
  <si>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</si>
  <si>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</si>
  <si>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</si>
  <si>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</si>
  <si>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</si>
  <si>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</si>
  <si>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</si>
  <si>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</si>
  <si>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</si>
  <si>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</si>
  <si>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</si>
  <si>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</si>
  <si>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</si>
  <si>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</si>
  <si>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</si>
  <si>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</si>
  <si>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</si>
  <si>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</si>
  <si>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</si>
  <si>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</si>
  <si>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</si>
  <si>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</si>
  <si>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</si>
  <si>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</si>
  <si>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</si>
  <si>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</si>
  <si>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</si>
  <si>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</si>
  <si>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</si>
  <si>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</si>
  <si>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</si>
  <si>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</si>
  <si>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</si>
  <si>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</si>
  <si>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</si>
  <si>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</si>
  <si>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</si>
  <si>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</si>
  <si>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</si>
  <si>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</si>
  <si>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</si>
  <si>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</si>
  <si>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</si>
  <si>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</si>
  <si>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</si>
  <si>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</si>
  <si>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</si>
  <si>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</si>
  <si>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</si>
  <si>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</si>
  <si>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</si>
  <si>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</si>
  <si>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</si>
  <si>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</si>
  <si>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</si>
  <si>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</si>
  <si>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</si>
  <si>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</si>
  <si>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</si>
  <si>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</si>
  <si>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</si>
  <si>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</si>
  <si>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</si>
  <si>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</si>
  <si>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</si>
  <si>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</si>
  <si>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</si>
  <si>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</si>
  <si>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</si>
  <si>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</si>
  <si>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</si>
  <si>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</si>
  <si>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</si>
  <si>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</si>
  <si>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</si>
  <si>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</si>
  <si>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</si>
  <si>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</si>
  <si>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</si>
  <si>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</si>
  <si>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</si>
  <si>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</si>
  <si>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</si>
  <si>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</si>
  <si>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</si>
  <si>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</si>
  <si>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</si>
  <si>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</si>
  <si>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</si>
  <si>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</si>
  <si>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</si>
  <si>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</si>
  <si>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</si>
  <si>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</si>
  <si>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</si>
  <si>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</si>
  <si>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</si>
  <si>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</si>
  <si>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</si>
  <si>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</si>
  <si>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</si>
  <si>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</si>
  <si>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</si>
  <si>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</si>
  <si>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</si>
  <si>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</si>
  <si>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</si>
  <si>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</si>
  <si>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</si>
  <si>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</si>
  <si>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</si>
  <si>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</si>
  <si>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</si>
  <si>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</si>
  <si>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</si>
  <si>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</si>
  <si>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</si>
  <si>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</si>
  <si>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</si>
  <si>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</si>
  <si>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</si>
  <si>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</si>
  <si>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</si>
  <si>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</si>
  <si>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</si>
  <si>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</si>
  <si>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</si>
  <si>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</si>
  <si>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</si>
  <si>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</si>
  <si>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</si>
  <si>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</si>
  <si>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</si>
  <si>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</si>
  <si>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</si>
  <si>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</si>
  <si>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</si>
  <si>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</si>
  <si>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</si>
  <si>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</si>
  <si>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</si>
  <si>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</si>
  <si>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</si>
  <si>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</si>
  <si>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</si>
  <si>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</si>
  <si>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</si>
  <si>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</si>
  <si>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</si>
  <si>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</si>
  <si>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</si>
  <si>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</si>
  <si>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</si>
  <si>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</si>
  <si>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</si>
  <si>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</si>
  <si>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</si>
  <si>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</si>
  <si>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</si>
  <si>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</si>
  <si>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</si>
  <si>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</si>
  <si>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</si>
  <si>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</si>
  <si>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</si>
  <si>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</si>
  <si>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</si>
  <si>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</si>
  <si>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</si>
  <si>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</si>
  <si>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</si>
  <si>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</si>
  <si>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</si>
  <si>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</si>
  <si>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</si>
  <si>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</si>
  <si>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</si>
  <si>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</si>
  <si>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</si>
  <si>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</si>
  <si>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</si>
  <si>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</si>
  <si>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</si>
  <si>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</si>
  <si>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</si>
  <si>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</si>
  <si>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</si>
  <si>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</si>
  <si>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</si>
  <si>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</si>
  <si>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</si>
  <si>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</si>
  <si>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</si>
  <si>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</si>
  <si>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</si>
  <si>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</si>
  <si>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</si>
  <si>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</si>
  <si>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</si>
  <si>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</si>
  <si>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</si>
  <si>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</si>
  <si>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</si>
  <si>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</si>
  <si>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</si>
  <si>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</si>
  <si>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</si>
  <si>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</si>
  <si>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</si>
  <si>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</si>
  <si>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</si>
  <si>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</si>
  <si>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</si>
  <si>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</si>
  <si>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</si>
  <si>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</si>
  <si>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</si>
  <si>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</si>
  <si>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</si>
  <si>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</si>
  <si>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</si>
  <si>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</si>
  <si>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</si>
  <si>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</si>
  <si>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</si>
  <si>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</si>
  <si>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</si>
  <si>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</si>
  <si>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</si>
  <si>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</si>
  <si>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</si>
  <si>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</si>
  <si>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</si>
  <si>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</si>
  <si>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</si>
  <si>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</si>
  <si>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</si>
  <si>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</si>
  <si>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</si>
  <si>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</si>
  <si>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</si>
  <si>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</si>
  <si>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</si>
  <si>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</si>
  <si>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</si>
  <si>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</si>
  <si>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</si>
  <si>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</si>
  <si>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</si>
  <si>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</si>
  <si>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</si>
  <si>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</si>
  <si>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</si>
  <si>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</si>
  <si>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</si>
  <si>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</si>
  <si>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</si>
  <si>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</si>
  <si>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</si>
  <si>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</si>
  <si>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</si>
  <si>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</si>
  <si>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</si>
  <si>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</si>
  <si>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</si>
  <si>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</si>
  <si>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</si>
  <si>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</si>
  <si>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</si>
  <si>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</si>
  <si>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</si>
  <si>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</si>
  <si>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</si>
  <si>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</si>
  <si>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</si>
  <si>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</si>
  <si>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</si>
  <si>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</si>
  <si>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</si>
  <si>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</si>
  <si>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</si>
  <si>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</si>
  <si>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</si>
  <si>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</si>
  <si>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</si>
  <si>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</si>
  <si>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</si>
  <si>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</si>
  <si>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</si>
  <si>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</si>
  <si>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</si>
  <si>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</si>
  <si>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</si>
  <si>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</si>
  <si>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</si>
  <si>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</si>
  <si>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</si>
  <si>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</si>
  <si>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</si>
  <si>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</si>
  <si>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</si>
  <si>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</si>
  <si>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</si>
  <si>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</si>
  <si>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</si>
  <si>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</si>
  <si>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</si>
  <si>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</si>
  <si>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</si>
  <si>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</si>
  <si>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</si>
  <si>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</si>
  <si>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</si>
  <si>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</si>
  <si>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</si>
  <si>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</si>
  <si>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</si>
  <si>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</si>
  <si>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</si>
  <si>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</si>
  <si>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</si>
  <si>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</si>
  <si>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</si>
  <si>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</si>
  <si>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</si>
  <si>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</si>
  <si>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</si>
  <si>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</si>
  <si>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</si>
  <si>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</si>
  <si>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</si>
  <si>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</si>
  <si>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</si>
  <si>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</si>
  <si>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</si>
  <si>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</si>
  <si>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</si>
  <si>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</si>
  <si>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</si>
  <si>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</si>
  <si>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</si>
  <si>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</si>
  <si>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</si>
  <si>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</si>
  <si>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</si>
  <si>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</si>
  <si>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</si>
  <si>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</si>
  <si>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</si>
  <si>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</si>
  <si>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</si>
  <si>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</si>
  <si>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</si>
  <si>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</si>
  <si>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</si>
  <si>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</si>
  <si>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</si>
  <si>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</si>
  <si>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</si>
  <si>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</si>
  <si>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</si>
  <si>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</si>
  <si>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</si>
  <si>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</si>
  <si>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</si>
  <si>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</si>
  <si>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</si>
  <si>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</si>
  <si>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</si>
  <si>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</si>
  <si>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</si>
  <si>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</si>
  <si>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</si>
  <si>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</si>
  <si>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</si>
  <si>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</si>
  <si>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</si>
  <si>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</si>
  <si>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</si>
  <si>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</si>
  <si>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</si>
  <si>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</si>
  <si>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</si>
  <si>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</si>
  <si>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</si>
  <si>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</si>
  <si>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</si>
  <si>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</si>
  <si>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</si>
  <si>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</si>
  <si>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</si>
  <si>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</si>
  <si>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</si>
  <si>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</si>
  <si>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</si>
  <si>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</si>
  <si>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</si>
  <si>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</si>
  <si>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</si>
  <si>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</si>
  <si>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</si>
  <si>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</si>
  <si>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</si>
  <si>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</si>
  <si>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</si>
  <si>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</si>
  <si>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</si>
  <si>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</si>
  <si>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</si>
  <si>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</si>
  <si>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</si>
  <si>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</si>
  <si>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</si>
  <si>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</si>
  <si>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</si>
  <si>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</si>
  <si>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</si>
  <si>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</si>
  <si>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</si>
  <si>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</si>
  <si>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</si>
  <si>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</si>
  <si>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</si>
  <si>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</si>
  <si>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</si>
  <si>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</si>
  <si>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</si>
  <si>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</si>
  <si>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</si>
  <si>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</si>
  <si>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</si>
  <si>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</si>
  <si>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</si>
  <si>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</si>
  <si>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</si>
  <si>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</si>
  <si>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</si>
  <si>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</si>
  <si>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</si>
  <si>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</si>
  <si>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</si>
  <si>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</si>
  <si>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</si>
  <si>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</si>
  <si>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</si>
  <si>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</si>
  <si>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</si>
  <si>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</si>
  <si>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</si>
  <si>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</si>
  <si>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</si>
  <si>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</si>
  <si>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</si>
  <si>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</si>
  <si>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</si>
  <si>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</si>
  <si>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</si>
  <si>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</si>
  <si>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</si>
  <si>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</si>
  <si>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</si>
  <si>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</si>
  <si>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</si>
  <si>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</si>
  <si>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</si>
  <si>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</si>
  <si>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</si>
  <si>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</si>
  <si>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</si>
  <si>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</si>
  <si>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</si>
  <si>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</si>
  <si>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</si>
  <si>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</si>
  <si>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</si>
  <si>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</si>
  <si>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</si>
  <si>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</si>
  <si>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</si>
  <si>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</si>
  <si>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</si>
  <si>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</si>
  <si>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</si>
  <si>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</si>
  <si>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</si>
  <si>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</si>
  <si>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</si>
  <si>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</si>
  <si>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</si>
  <si>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</si>
  <si>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</si>
  <si>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</si>
  <si>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</si>
  <si>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</si>
  <si>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</si>
  <si>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</si>
  <si>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</si>
  <si>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</si>
  <si>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</si>
  <si>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</si>
  <si>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</si>
  <si>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</si>
  <si>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</si>
  <si>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</si>
  <si>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</si>
  <si>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</si>
  <si>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</si>
  <si>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</si>
  <si>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</si>
  <si>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</si>
  <si>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</si>
  <si>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</si>
  <si>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</si>
  <si>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</si>
  <si>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</si>
  <si>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</si>
  <si>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</si>
  <si>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</si>
  <si>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</si>
  <si>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</si>
  <si>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</si>
  <si>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</si>
  <si>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</si>
  <si>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</si>
  <si>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</si>
  <si>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</si>
  <si>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</si>
  <si>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</si>
  <si>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</si>
  <si>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</si>
  <si>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</si>
  <si>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</si>
  <si>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</si>
  <si>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</si>
  <si>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</si>
  <si>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</si>
  <si>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</si>
  <si>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</si>
  <si>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</si>
  <si>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</si>
  <si>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</si>
  <si>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</si>
  <si>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</si>
  <si>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</si>
  <si>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</si>
  <si>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</si>
  <si>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</si>
  <si>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</si>
  <si>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</si>
  <si>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</si>
  <si>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</si>
  <si>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</si>
  <si>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</si>
  <si>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</si>
  <si>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</si>
  <si>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</si>
  <si>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</si>
  <si>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</si>
  <si>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</si>
  <si>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</si>
  <si>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</si>
  <si>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</si>
  <si>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</si>
  <si>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</si>
  <si>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</si>
  <si>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</si>
  <si>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</si>
  <si>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</si>
  <si>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</si>
  <si>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</si>
  <si>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</si>
  <si>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</si>
  <si>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</si>
  <si>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</si>
  <si>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</si>
  <si>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</si>
  <si>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</si>
  <si>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</si>
  <si>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</si>
  <si>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</si>
  <si>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</si>
  <si>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</si>
  <si>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</si>
  <si>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</si>
  <si>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</si>
  <si>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</si>
  <si>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</si>
  <si>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</si>
  <si>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</si>
  <si>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</si>
  <si>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</si>
  <si>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</si>
  <si>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</si>
  <si>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</si>
  <si>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</si>
  <si>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</si>
  <si>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</si>
  <si>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</si>
  <si>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</si>
  <si>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</si>
  <si>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</si>
  <si>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</si>
  <si>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</si>
  <si>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</si>
  <si>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</si>
  <si>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</si>
  <si>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</si>
  <si>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</si>
  <si>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</si>
  <si>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</si>
  <si>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</si>
  <si>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</si>
  <si>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</si>
  <si>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</si>
  <si>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</si>
  <si>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</si>
  <si>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</si>
  <si>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</si>
  <si>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</si>
  <si>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</si>
  <si>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</si>
  <si>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</si>
  <si>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</si>
  <si>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</si>
  <si>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</si>
  <si>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</si>
  <si>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</si>
  <si>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</si>
  <si>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</si>
  <si>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</si>
  <si>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</si>
  <si>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</si>
  <si>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</si>
  <si>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</si>
  <si>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</si>
  <si>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</si>
  <si>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</si>
  <si>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</si>
  <si>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</si>
  <si>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</si>
  <si>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</si>
  <si>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</si>
  <si>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</si>
  <si>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</si>
  <si>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</si>
  <si>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</si>
  <si>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</si>
  <si>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</si>
  <si>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</si>
  <si>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</si>
  <si>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</si>
  <si>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</si>
  <si>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</si>
  <si>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</si>
  <si>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</si>
  <si>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</si>
  <si>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</si>
  <si>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</si>
  <si>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</si>
  <si>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</si>
  <si>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</si>
  <si>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</si>
  <si>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</si>
  <si>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</si>
  <si>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</si>
  <si>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</si>
  <si>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</si>
  <si>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</si>
  <si>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</si>
  <si>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</si>
  <si>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</si>
  <si>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</si>
  <si>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</si>
  <si>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</si>
  <si>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</si>
  <si>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</si>
  <si>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</si>
  <si>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</si>
  <si>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</si>
  <si>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</si>
  <si>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</si>
  <si>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</si>
  <si>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</si>
  <si>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</si>
  <si>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</si>
  <si>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</si>
  <si>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</si>
  <si>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</si>
  <si>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</si>
  <si>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</si>
  <si>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</si>
  <si>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</si>
  <si>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</si>
  <si>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</si>
  <si>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</si>
  <si>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</si>
  <si>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</si>
  <si>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</si>
  <si>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</si>
  <si>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</si>
  <si>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</si>
  <si>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</si>
  <si>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</si>
  <si>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</si>
  <si>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</si>
  <si>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</si>
  <si>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</si>
  <si>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</si>
  <si>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</si>
  <si>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</si>
  <si>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</si>
  <si>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</si>
  <si>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</si>
  <si>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</si>
  <si>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</si>
  <si>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</si>
  <si>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</si>
  <si>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</si>
  <si>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</si>
  <si>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</si>
  <si>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</si>
  <si>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</si>
  <si>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</si>
  <si>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</si>
  <si>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</si>
  <si>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</si>
  <si>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</si>
  <si>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</si>
  <si>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</si>
  <si>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</si>
  <si>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</si>
  <si>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</si>
  <si>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</si>
  <si>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</si>
  <si>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</si>
  <si>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</si>
  <si>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</si>
  <si>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</si>
  <si>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</si>
  <si>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</si>
  <si>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</si>
  <si>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</si>
  <si>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</si>
  <si>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</si>
  <si>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</si>
  <si>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</si>
  <si>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</si>
  <si>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</si>
  <si>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</si>
  <si>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</si>
  <si>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</si>
  <si>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</si>
  <si>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</si>
  <si>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</si>
  <si>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</si>
  <si>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</si>
  <si>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</si>
  <si>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</si>
  <si>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</si>
  <si>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</si>
  <si>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</si>
  <si>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</si>
  <si>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</si>
  <si>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</si>
  <si>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</si>
  <si>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</si>
  <si>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</si>
  <si>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</si>
  <si>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</si>
  <si>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</si>
  <si>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</si>
  <si>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</si>
  <si>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</si>
  <si>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</si>
  <si>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</si>
  <si>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</si>
  <si>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</si>
  <si>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</si>
  <si>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</si>
  <si>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</si>
  <si>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</si>
  <si>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</si>
  <si>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</si>
  <si>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</si>
  <si>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</si>
  <si>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</si>
  <si>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</si>
  <si>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</si>
  <si>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</si>
  <si>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</si>
  <si>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</si>
  <si>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</si>
  <si>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</si>
  <si>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</si>
  <si>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</si>
  <si>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</si>
  <si>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</si>
  <si>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</si>
  <si>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</si>
  <si>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</si>
  <si>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</si>
  <si>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</si>
  <si>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</si>
  <si>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</si>
  <si>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</si>
  <si>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</si>
  <si>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</si>
  <si>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</si>
  <si>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</si>
  <si>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</si>
  <si>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</si>
  <si>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</si>
  <si>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</si>
  <si>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</si>
  <si>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</si>
  <si>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</si>
  <si>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</si>
  <si>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</si>
  <si>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</si>
  <si>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</si>
  <si>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</si>
  <si>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</si>
  <si>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</si>
  <si>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</si>
  <si>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</si>
  <si>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</si>
  <si>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</si>
  <si>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</si>
  <si>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</si>
  <si>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</si>
  <si>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</si>
  <si>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</si>
  <si>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</si>
  <si>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</si>
  <si>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</si>
  <si>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</si>
  <si>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</si>
  <si>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</si>
  <si>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</si>
  <si>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</si>
  <si>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</si>
  <si>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</si>
  <si>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</si>
  <si>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</si>
  <si>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</si>
  <si>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</si>
  <si>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</si>
  <si>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</si>
  <si>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</si>
  <si>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</si>
  <si>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</si>
  <si>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</si>
  <si>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</si>
  <si>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</si>
  <si>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</si>
  <si>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</si>
  <si>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</si>
  <si>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</si>
  <si>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</si>
  <si>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</si>
  <si>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</si>
  <si>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</si>
  <si>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</si>
  <si>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</si>
  <si>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</si>
  <si>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</si>
  <si>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</si>
  <si>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</si>
  <si>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</si>
  <si>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</si>
  <si>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</si>
  <si>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</si>
  <si>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</si>
  <si>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</si>
  <si>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</si>
  <si>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</si>
  <si>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</si>
  <si>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</si>
  <si>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</si>
  <si>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</si>
  <si>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</si>
  <si>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</si>
  <si>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</si>
  <si>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</si>
  <si>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</si>
  <si>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</si>
  <si>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</si>
  <si>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</si>
  <si>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</si>
  <si>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</si>
  <si>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</si>
  <si>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</si>
  <si>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</si>
  <si>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</si>
  <si>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</si>
  <si>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</si>
  <si>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</si>
  <si>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</si>
  <si>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</si>
  <si>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</si>
  <si>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</si>
  <si>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</si>
  <si>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</si>
  <si>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</si>
  <si>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</si>
  <si>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</si>
  <si>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</si>
  <si>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</si>
  <si>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</si>
  <si>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</si>
  <si>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</si>
  <si>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</si>
  <si>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</si>
  <si>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</si>
  <si>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</si>
  <si>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</si>
  <si>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</si>
  <si>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</si>
  <si>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</si>
  <si>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</si>
  <si>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</si>
  <si>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</si>
  <si>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</si>
  <si>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</si>
  <si>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</si>
  <si>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</si>
  <si>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</si>
  <si>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</si>
  <si>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</si>
  <si>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</si>
  <si>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</si>
  <si>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</si>
  <si>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</si>
  <si>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</si>
  <si>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</si>
  <si>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</si>
  <si>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</si>
  <si>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</si>
  <si>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</si>
  <si>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</si>
  <si>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</si>
  <si>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</si>
  <si>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</si>
  <si>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</si>
  <si>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</si>
  <si>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</si>
  <si>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</si>
  <si>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</si>
  <si>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</si>
  <si>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</si>
  <si>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</si>
  <si>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</si>
  <si>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</si>
  <si>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</si>
  <si>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</si>
  <si>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</si>
  <si>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</si>
  <si>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</si>
  <si>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</si>
  <si>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</si>
  <si>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</si>
  <si>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</si>
  <si>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</si>
  <si>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</si>
  <si>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</si>
  <si>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</si>
  <si>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</si>
  <si>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</si>
  <si>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</si>
  <si>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</si>
  <si>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</si>
  <si>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</si>
  <si>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</si>
  <si>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</si>
  <si>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</si>
  <si>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</si>
  <si>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</si>
  <si>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</si>
  <si>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</si>
  <si>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</si>
  <si>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</si>
  <si>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</si>
  <si>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</si>
  <si>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</si>
  <si>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</si>
  <si>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</si>
  <si>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</si>
  <si>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</si>
  <si>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</si>
  <si>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</si>
  <si>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</si>
  <si>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</si>
  <si>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</si>
  <si>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</si>
  <si>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</si>
  <si>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</si>
  <si>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</si>
  <si>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</si>
  <si>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</si>
  <si>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</si>
  <si>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</si>
  <si>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</si>
  <si>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</si>
  <si>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</si>
  <si>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</si>
  <si>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</si>
  <si>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</si>
  <si>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</si>
  <si>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</si>
  <si>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</si>
  <si>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</si>
  <si>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</si>
  <si>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</si>
  <si>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</si>
  <si>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</si>
  <si>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</si>
  <si>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</si>
  <si>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</si>
  <si>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</si>
  <si>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</si>
  <si>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</si>
  <si>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</si>
  <si>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</si>
  <si>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</si>
  <si>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</si>
  <si>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</si>
  <si>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</si>
  <si>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</si>
  <si>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</si>
  <si>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</si>
  <si>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</si>
  <si>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</si>
  <si>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</si>
  <si>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</si>
  <si>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</si>
  <si>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</si>
  <si>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</si>
  <si>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</si>
  <si>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</si>
  <si>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</si>
  <si>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</si>
  <si>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</si>
  <si>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</si>
  <si>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</si>
  <si>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</si>
  <si>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</si>
  <si>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</si>
  <si>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</si>
  <si>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</si>
  <si>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</si>
  <si>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</si>
  <si>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</si>
  <si>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</si>
  <si>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</si>
  <si>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</si>
  <si>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</si>
  <si>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</si>
  <si>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</si>
  <si>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</si>
  <si>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</si>
  <si>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</si>
  <si>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</si>
  <si>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</si>
  <si>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</si>
  <si>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</si>
  <si>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</si>
  <si>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</si>
  <si>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</si>
  <si>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</si>
  <si>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</si>
  <si>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</si>
  <si>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</si>
  <si>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</si>
  <si>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</si>
  <si>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</si>
  <si>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</si>
  <si>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</si>
  <si>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</si>
  <si>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</si>
  <si>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</si>
  <si>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</si>
  <si>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</si>
  <si>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</si>
  <si>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</si>
  <si>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</si>
  <si>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</si>
  <si>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</si>
  <si>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</si>
  <si>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</si>
  <si>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</si>
  <si>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</si>
  <si>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</si>
  <si>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</si>
  <si>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</si>
  <si>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</si>
  <si>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</si>
  <si>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</si>
  <si>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</si>
  <si>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</si>
  <si>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</si>
  <si>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</si>
  <si>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</si>
  <si>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</si>
  <si>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</si>
  <si>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</si>
  <si>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</si>
  <si>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</si>
  <si>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</si>
  <si>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</si>
  <si>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</si>
  <si>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</si>
  <si>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</si>
  <si>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</si>
  <si>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</si>
  <si>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</si>
  <si>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</si>
  <si>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</si>
  <si>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</si>
  <si>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</si>
  <si>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</si>
  <si>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</si>
  <si>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</si>
  <si>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</si>
  <si>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</si>
  <si>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</si>
  <si>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</si>
  <si>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</si>
  <si>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</si>
  <si>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</si>
  <si>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</si>
  <si>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</si>
  <si>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</si>
  <si>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</si>
  <si>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</si>
  <si>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</si>
  <si>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</si>
  <si>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</si>
  <si>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</si>
  <si>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</si>
  <si>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</si>
  <si>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</si>
  <si>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</si>
  <si>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</si>
  <si>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</si>
  <si>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</si>
  <si>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</si>
  <si>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</si>
  <si>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</si>
  <si>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</si>
  <si>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</si>
  <si>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</si>
  <si>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</si>
  <si>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</si>
  <si>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</si>
  <si>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</si>
  <si>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</si>
  <si>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</si>
  <si>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</si>
  <si>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</si>
  <si>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</si>
  <si>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</si>
  <si>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</si>
  <si>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</si>
  <si>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</si>
  <si>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</si>
  <si>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</si>
  <si>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</si>
  <si>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</si>
  <si>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</si>
  <si>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</si>
  <si>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</si>
  <si>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</si>
  <si>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</si>
  <si>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</si>
  <si>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</si>
  <si>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</si>
  <si>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</si>
  <si>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</si>
  <si>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</si>
  <si>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</si>
  <si>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</si>
  <si>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</si>
  <si>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</si>
  <si>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</si>
  <si>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</si>
  <si>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</si>
  <si>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</si>
  <si>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</si>
  <si>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</si>
  <si>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</si>
  <si>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</si>
  <si>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</si>
  <si>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</si>
  <si>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</si>
  <si>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</si>
  <si>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</si>
  <si>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</si>
  <si>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</si>
  <si>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</si>
  <si>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</si>
  <si>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</si>
  <si>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</si>
  <si>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</si>
  <si>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</si>
  <si>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</si>
  <si>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</si>
  <si>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</si>
  <si>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</si>
  <si>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</si>
  <si>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</si>
  <si>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</si>
  <si>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</si>
  <si>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</si>
  <si>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</si>
  <si>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</si>
  <si>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</si>
  <si>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</si>
  <si>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</si>
  <si>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</si>
  <si>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</si>
  <si>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</si>
  <si>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</si>
  <si>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</si>
  <si>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</si>
  <si>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</si>
  <si>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</si>
  <si>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</si>
  <si>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</si>
  <si>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</si>
  <si>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</si>
  <si>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</si>
  <si>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</si>
  <si>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</si>
  <si>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</si>
  <si>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</si>
  <si>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</si>
  <si>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</si>
  <si>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</si>
  <si>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</si>
  <si>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</si>
  <si>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</si>
  <si>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</si>
  <si>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</si>
  <si>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</si>
  <si>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</si>
  <si>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</si>
  <si>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</si>
  <si>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</si>
  <si>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</si>
  <si>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</si>
  <si>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</si>
  <si>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</si>
  <si>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</si>
  <si>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</si>
  <si>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</si>
  <si>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</si>
  <si>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</si>
  <si>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</si>
  <si>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</si>
  <si>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</si>
  <si>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</si>
  <si>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</si>
  <si>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</si>
  <si>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</si>
  <si>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</si>
  <si>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</si>
  <si>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</si>
  <si>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</si>
  <si>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</si>
  <si>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</si>
  <si>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</si>
  <si>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</si>
  <si>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</si>
  <si>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</si>
  <si>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</si>
  <si>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</si>
  <si>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</si>
  <si>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</si>
  <si>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</si>
  <si>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</si>
  <si>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</si>
  <si>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</si>
  <si>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</si>
  <si>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</si>
  <si>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</si>
  <si>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</si>
  <si>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</si>
  <si>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</si>
  <si>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</si>
  <si>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</si>
  <si>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</si>
  <si>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</si>
  <si>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</si>
  <si>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</si>
  <si>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</si>
  <si>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</si>
  <si>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</si>
  <si>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</si>
  <si>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</si>
  <si>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</si>
  <si>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</si>
  <si>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</si>
  <si>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</si>
  <si>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</si>
  <si>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</si>
  <si>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</si>
  <si>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</si>
  <si>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</si>
  <si>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</si>
  <si>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</si>
  <si>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</si>
  <si>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</si>
  <si>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</si>
  <si>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</si>
  <si>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</si>
  <si>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</si>
  <si>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</si>
  <si>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</si>
  <si>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</si>
  <si>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</si>
  <si>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</si>
  <si>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</si>
  <si>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</si>
  <si>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</si>
  <si>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</si>
  <si>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</si>
  <si>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</si>
  <si>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</si>
  <si>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</si>
  <si>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</si>
  <si>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</si>
  <si>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</si>
  <si>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</si>
  <si>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</si>
  <si>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</si>
  <si>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</si>
  <si>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</si>
  <si>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</si>
  <si>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</si>
  <si>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</si>
  <si>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</si>
  <si>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</si>
  <si>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</si>
  <si>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</si>
  <si>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</si>
  <si>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</si>
  <si>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</si>
  <si>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</si>
  <si>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</si>
  <si>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</si>
  <si>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</si>
  <si>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</si>
  <si>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</si>
  <si>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</si>
  <si>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</si>
  <si>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</si>
  <si>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</si>
  <si>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</si>
  <si>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</si>
  <si>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</si>
  <si>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</si>
  <si>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</si>
  <si>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</si>
  <si>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</si>
  <si>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</si>
  <si>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</si>
  <si>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</si>
  <si>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</si>
  <si>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</si>
  <si>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</si>
  <si>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</si>
  <si>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</si>
  <si>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</si>
  <si>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</si>
  <si>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</si>
  <si>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</si>
  <si>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</si>
  <si>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</si>
  <si>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</si>
  <si>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</si>
  <si>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</si>
  <si>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</si>
  <si>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</si>
  <si>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</si>
  <si>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</si>
  <si>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</si>
  <si>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</si>
  <si>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</si>
  <si>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</si>
  <si>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</si>
  <si>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</si>
  <si>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</si>
  <si>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</si>
  <si>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</si>
  <si>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</si>
  <si>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</si>
  <si>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</si>
  <si>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</si>
  <si>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</si>
  <si>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</si>
  <si>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</si>
  <si>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</si>
  <si>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</si>
  <si>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</si>
  <si>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</si>
  <si>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</si>
  <si>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</si>
  <si>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</si>
  <si>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</si>
  <si>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</si>
  <si>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</si>
  <si>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</si>
  <si>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</si>
  <si>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</si>
  <si>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</si>
  <si>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</si>
  <si>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</si>
  <si>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</si>
  <si>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</si>
  <si>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</si>
  <si>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</si>
  <si>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</si>
  <si>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</si>
  <si>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</si>
  <si>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</si>
  <si>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</si>
  <si>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</si>
  <si>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</si>
  <si>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</si>
  <si>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</si>
  <si>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</si>
  <si>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</si>
  <si>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</si>
  <si>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</si>
  <si>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</si>
  <si>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</si>
  <si>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</si>
  <si>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</si>
  <si>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</si>
  <si>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</si>
  <si>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</si>
  <si>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</si>
  <si>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</si>
  <si>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</si>
  <si>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</si>
  <si>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</si>
  <si>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</si>
  <si>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</si>
  <si>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</si>
  <si>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</si>
  <si>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</si>
  <si>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</si>
  <si>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</si>
  <si>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</si>
  <si>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</si>
  <si>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</si>
  <si>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</si>
  <si>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</si>
  <si>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</si>
  <si>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</si>
  <si>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</si>
  <si>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</si>
  <si>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</si>
  <si>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</si>
  <si>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</si>
  <si>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</si>
  <si>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</si>
  <si>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</si>
  <si>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</si>
  <si>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</si>
  <si>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</si>
  <si>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</si>
  <si>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</si>
  <si>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</si>
  <si>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</si>
  <si>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</si>
  <si>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</si>
  <si>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</si>
  <si>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</si>
  <si>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</si>
  <si>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</si>
  <si>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</si>
  <si>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</si>
  <si>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</si>
  <si>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</si>
  <si>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</si>
  <si>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</si>
  <si>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</si>
  <si>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</si>
  <si>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</si>
  <si>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</si>
  <si>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</si>
  <si>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</si>
  <si>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</si>
  <si>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</si>
  <si>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</si>
  <si>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</si>
  <si>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</si>
  <si>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</si>
  <si>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</si>
  <si>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</si>
  <si>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</si>
  <si>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</si>
  <si>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</si>
  <si>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</si>
  <si>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</si>
  <si>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</si>
  <si>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</si>
  <si>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</si>
  <si>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</si>
  <si>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</si>
  <si>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</si>
  <si>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</si>
  <si>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</si>
  <si>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</si>
  <si>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</si>
  <si>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</si>
  <si>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</si>
  <si>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</si>
  <si>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</si>
  <si>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</si>
  <si>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</si>
  <si>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</si>
  <si>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</si>
  <si>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</si>
  <si>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</si>
  <si>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</si>
  <si>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</si>
  <si>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</si>
  <si>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</si>
  <si>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</si>
  <si>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</si>
  <si>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</si>
  <si>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</si>
  <si>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</si>
  <si>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</si>
  <si>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</si>
  <si>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</si>
  <si>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</si>
  <si>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</si>
  <si>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</si>
  <si>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</si>
  <si>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</si>
  <si>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</si>
  <si>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</si>
  <si>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</si>
  <si>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</si>
  <si>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</si>
  <si>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</si>
  <si>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</si>
  <si>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</si>
  <si>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</si>
  <si>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</si>
  <si>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</si>
  <si>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</si>
  <si>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</si>
  <si>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</si>
  <si>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</si>
  <si>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</si>
  <si>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</si>
  <si>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</si>
  <si>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</si>
  <si>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</si>
  <si>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</si>
  <si>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</si>
  <si>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</si>
  <si>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</si>
  <si>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</si>
  <si>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</si>
  <si>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</si>
  <si>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</si>
  <si>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</si>
  <si>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</si>
  <si>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</si>
  <si>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</si>
  <si>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</si>
  <si>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</si>
  <si>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</si>
  <si>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</si>
  <si>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</si>
  <si>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</si>
  <si>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</si>
  <si>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</si>
  <si>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</si>
  <si>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</si>
  <si>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</si>
  <si>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</si>
  <si>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</si>
  <si>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</si>
  <si>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</si>
  <si>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</si>
  <si>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</si>
  <si>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</si>
  <si>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</si>
  <si>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</si>
  <si>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</si>
  <si>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</si>
  <si>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</si>
  <si>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</si>
  <si>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</si>
  <si>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</si>
  <si>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</si>
  <si>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</si>
  <si>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</si>
  <si>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</si>
  <si>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</si>
  <si>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</si>
  <si>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</si>
  <si>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</si>
  <si>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</si>
  <si>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</si>
  <si>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</si>
  <si>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</si>
  <si>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</si>
  <si>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</si>
  <si>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</si>
  <si>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</si>
  <si>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</si>
  <si>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</si>
  <si>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</si>
  <si>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</si>
  <si>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</si>
  <si>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</si>
  <si>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</si>
  <si>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</si>
  <si>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</si>
  <si>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</si>
  <si>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</si>
  <si>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</si>
  <si>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</si>
  <si>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</si>
  <si>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</si>
  <si>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</si>
  <si>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</si>
  <si>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</si>
  <si>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</si>
  <si>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</si>
  <si>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</si>
  <si>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</si>
  <si>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</si>
  <si>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</si>
  <si>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</si>
  <si>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</si>
  <si>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</si>
  <si>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</si>
  <si>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</si>
  <si>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</si>
  <si>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</si>
  <si>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</si>
  <si>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</si>
  <si>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</si>
  <si>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</si>
  <si>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</si>
  <si>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</si>
  <si>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</si>
  <si>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</si>
  <si>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</si>
  <si>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</si>
  <si>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</si>
  <si>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</si>
  <si>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</si>
  <si>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</si>
  <si>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</si>
  <si>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</si>
  <si>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</si>
  <si>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</si>
  <si>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</si>
  <si>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</si>
  <si>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</si>
  <si>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</si>
  <si>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</si>
  <si>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</si>
  <si>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</si>
  <si>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</si>
  <si>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</si>
  <si>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</si>
  <si>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</si>
  <si>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</si>
  <si>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</si>
  <si>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</si>
  <si>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</si>
  <si>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</si>
  <si>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</si>
  <si>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</si>
  <si>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</si>
  <si>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</si>
  <si>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</si>
  <si>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</si>
  <si>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</si>
  <si>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</si>
  <si>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</si>
  <si>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</si>
  <si>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</si>
  <si>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</si>
  <si>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</si>
  <si>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</si>
  <si>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</si>
  <si>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</si>
  <si>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</si>
  <si>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</si>
  <si>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</si>
  <si>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</si>
  <si>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</si>
  <si>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</si>
  <si>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</si>
  <si>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</si>
  <si>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</si>
  <si>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</si>
  <si>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</si>
  <si>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</si>
  <si>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</si>
  <si>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</si>
  <si>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</si>
  <si>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</si>
  <si>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</si>
  <si>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</si>
  <si>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</si>
  <si>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</si>
  <si>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</si>
  <si>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</si>
  <si>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</si>
  <si>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</si>
  <si>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</si>
  <si>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</si>
  <si>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</si>
  <si>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</si>
  <si>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</si>
  <si>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</si>
  <si>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</si>
  <si>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</si>
  <si>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</si>
  <si>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</si>
  <si>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</si>
  <si>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</si>
  <si>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</si>
  <si>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</si>
  <si>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</si>
  <si>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</si>
  <si>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</si>
  <si>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</si>
  <si>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</si>
  <si>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</si>
  <si>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</si>
  <si>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</si>
  <si>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</si>
  <si>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</si>
  <si>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</si>
  <si>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</si>
  <si>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</si>
  <si>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</si>
  <si>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</si>
  <si>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</si>
  <si>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</si>
  <si>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</si>
  <si>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</si>
  <si>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</si>
  <si>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</si>
  <si>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</si>
  <si>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</si>
  <si>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</si>
  <si>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</si>
  <si>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</si>
  <si>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</si>
  <si>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</si>
  <si>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</si>
  <si>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</si>
  <si>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</si>
  <si>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</si>
  <si>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</si>
  <si>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</si>
  <si>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</si>
  <si>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</si>
  <si>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</si>
  <si>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</si>
  <si>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</si>
  <si>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</si>
  <si>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</si>
  <si>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</si>
  <si>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</si>
  <si>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</si>
  <si>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</si>
  <si>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</si>
  <si>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</si>
  <si>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</si>
  <si>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</si>
  <si>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</si>
  <si>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</si>
  <si>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</si>
  <si>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</si>
  <si>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</si>
  <si>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</si>
  <si>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</si>
  <si>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</si>
  <si>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</si>
  <si>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</si>
  <si>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</si>
  <si>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</si>
  <si>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</si>
  <si>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</si>
  <si>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</si>
  <si>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</si>
  <si>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</si>
  <si>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</si>
  <si>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</si>
  <si>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</si>
  <si>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</si>
  <si>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</si>
  <si>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</si>
  <si>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</si>
  <si>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</si>
  <si>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</si>
  <si>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</si>
  <si>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</si>
  <si>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</si>
  <si>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</si>
  <si>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</si>
  <si>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</si>
  <si>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</si>
  <si>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</si>
  <si>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</si>
  <si>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</si>
  <si>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</si>
  <si>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</si>
  <si>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</si>
  <si>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</si>
  <si>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</si>
  <si>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</si>
  <si>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</si>
  <si>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</si>
  <si>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</si>
  <si>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</si>
  <si>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</si>
  <si>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</si>
  <si>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</si>
  <si>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</si>
  <si>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</si>
  <si>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</si>
  <si>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</si>
  <si>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</si>
  <si>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</si>
  <si>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</si>
  <si>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</si>
  <si>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</si>
  <si>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</si>
  <si>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</si>
  <si>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</si>
  <si>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</si>
  <si>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</si>
  <si>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</si>
  <si>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</si>
  <si>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</si>
  <si>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</si>
  <si>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</si>
  <si>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</si>
  <si>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</si>
  <si>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</si>
  <si>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</si>
  <si>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</si>
  <si>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</si>
  <si>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</si>
  <si>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</si>
  <si>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</si>
  <si>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</si>
  <si>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</si>
  <si>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</si>
  <si>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</si>
  <si>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</si>
  <si>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</si>
  <si>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</si>
  <si>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</si>
  <si>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</si>
  <si>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</si>
  <si>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</si>
  <si>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</si>
  <si>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</si>
  <si>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</si>
  <si>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</si>
  <si>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</si>
  <si>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</si>
  <si>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</si>
  <si>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</si>
  <si>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</si>
  <si>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</si>
  <si>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</si>
  <si>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</si>
  <si>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</si>
  <si>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</si>
  <si>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</si>
  <si>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</si>
  <si>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</si>
  <si>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</si>
  <si>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</si>
  <si>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</si>
  <si>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</si>
  <si>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</si>
  <si>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</si>
  <si>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</si>
  <si>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</si>
  <si>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</si>
  <si>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</si>
  <si>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</si>
  <si>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</si>
  <si>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</si>
  <si>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</si>
  <si>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</si>
  <si>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</si>
  <si>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</si>
  <si>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</si>
  <si>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</si>
  <si>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</si>
  <si>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</si>
  <si>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</si>
  <si>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</si>
  <si>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</si>
  <si>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</si>
  <si>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</si>
  <si>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</si>
  <si>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</si>
  <si>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</si>
  <si>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</si>
  <si>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</si>
  <si>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</si>
  <si>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</si>
  <si>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</si>
  <si>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</si>
  <si>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</si>
  <si>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</si>
  <si>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</si>
  <si>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</si>
  <si>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</si>
  <si>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</si>
  <si>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</si>
  <si>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</si>
  <si>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</si>
  <si>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</si>
  <si>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</si>
  <si>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</si>
  <si>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</si>
  <si>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</si>
  <si>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</si>
  <si>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</si>
  <si>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</si>
  <si>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</si>
  <si>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</si>
  <si>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</si>
  <si>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</si>
  <si>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</si>
  <si>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</si>
  <si>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</si>
  <si>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</si>
  <si>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</si>
  <si>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</si>
  <si>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</si>
  <si>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</si>
  <si>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</si>
  <si>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</si>
  <si>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</si>
  <si>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</si>
  <si>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</si>
  <si>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</si>
  <si>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</si>
  <si>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</si>
  <si>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</si>
  <si>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</si>
  <si>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</si>
  <si>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</si>
  <si>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</si>
  <si>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</si>
  <si>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</si>
  <si>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</si>
  <si>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</si>
  <si>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</si>
  <si>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</si>
  <si>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</si>
  <si>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</si>
  <si>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</si>
  <si>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</si>
  <si>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</si>
  <si>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</si>
  <si>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</si>
  <si>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</si>
  <si>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</si>
  <si>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</si>
  <si>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</si>
  <si>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</si>
  <si>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</si>
  <si>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</si>
  <si>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</si>
  <si>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</si>
  <si>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</si>
  <si>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</si>
  <si>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</si>
  <si>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</si>
  <si>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</si>
  <si>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</si>
  <si>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</si>
  <si>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</si>
  <si>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</si>
  <si>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</si>
  <si>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</si>
  <si>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</si>
  <si>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</si>
  <si>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</si>
  <si>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</si>
  <si>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</si>
  <si>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</si>
  <si>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</si>
  <si>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</si>
  <si>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</si>
  <si>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</si>
  <si>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</si>
  <si>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</si>
  <si>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</si>
  <si>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</si>
  <si>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</si>
  <si>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</si>
  <si>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</si>
  <si>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</si>
  <si>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</si>
  <si>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</si>
  <si>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</si>
  <si>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</si>
  <si>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</si>
  <si>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</si>
  <si>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</si>
  <si>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</si>
  <si>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</si>
  <si>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</si>
  <si>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</si>
  <si>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</si>
  <si>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</si>
  <si>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</si>
  <si>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</si>
  <si>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</si>
  <si>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</si>
  <si>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</si>
  <si>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</si>
  <si>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</si>
  <si>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</si>
  <si>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</si>
  <si>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</si>
  <si>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</si>
  <si>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</si>
  <si>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</si>
  <si>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</si>
  <si>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</si>
  <si>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</si>
  <si>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</si>
  <si>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</si>
  <si>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</si>
  <si>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</si>
  <si>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</si>
  <si>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</si>
  <si>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</si>
  <si>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</si>
  <si>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</si>
  <si>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</si>
  <si>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</si>
  <si>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</si>
  <si>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</si>
  <si>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</si>
  <si>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</si>
  <si>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</si>
  <si>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</si>
  <si>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</si>
  <si>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</si>
  <si>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</si>
  <si>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</si>
  <si>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</si>
  <si>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</si>
  <si>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</si>
  <si>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</si>
  <si>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</si>
  <si>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</si>
  <si>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</si>
  <si>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</si>
  <si>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</si>
  <si>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</si>
  <si>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</si>
  <si>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</si>
  <si>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</si>
  <si>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</si>
  <si>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</si>
  <si>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</si>
  <si>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</si>
  <si>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</si>
  <si>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</si>
  <si>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</si>
  <si>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</si>
  <si>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</si>
  <si>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</si>
  <si>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</si>
  <si>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</si>
  <si>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</si>
  <si>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</si>
  <si>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</si>
  <si>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</si>
  <si>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</si>
  <si>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</si>
  <si>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</si>
  <si>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</si>
  <si>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</si>
  <si>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</si>
  <si>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</si>
  <si>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</si>
  <si>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</si>
  <si>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</si>
  <si>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</si>
  <si>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</si>
  <si>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</si>
  <si>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</si>
  <si>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</si>
  <si>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</si>
  <si>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</si>
  <si>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</si>
  <si>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</si>
  <si>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</si>
  <si>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</si>
  <si>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</si>
  <si>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</si>
  <si>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</si>
  <si>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</si>
  <si>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</si>
  <si>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</si>
  <si>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</si>
  <si>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</si>
  <si>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</si>
  <si>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</si>
  <si>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</si>
  <si>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</si>
  <si>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</si>
  <si>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</si>
  <si>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</si>
  <si>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</si>
  <si>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</si>
  <si>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</si>
  <si>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</si>
  <si>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</si>
  <si>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</si>
  <si>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</si>
  <si>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</si>
  <si>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</si>
  <si>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</si>
  <si>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</si>
  <si>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</si>
  <si>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</si>
  <si>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</si>
  <si>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</si>
  <si>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</si>
  <si>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</si>
  <si>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</si>
  <si>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</si>
  <si>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</si>
  <si>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</si>
  <si>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</si>
  <si>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</si>
  <si>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</si>
  <si>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</si>
  <si>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</si>
  <si>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</si>
  <si>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</si>
  <si>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</si>
  <si>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</si>
  <si>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</si>
  <si>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</si>
  <si>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</si>
  <si>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</si>
  <si>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</si>
  <si>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</si>
  <si>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</si>
  <si>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</si>
  <si>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</si>
  <si>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</si>
  <si>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</si>
  <si>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</si>
  <si>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</si>
  <si>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</si>
  <si>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</si>
  <si>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</si>
  <si>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</si>
  <si>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</si>
  <si>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</si>
  <si>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</si>
  <si>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</si>
  <si>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</si>
  <si>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</si>
  <si>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</si>
  <si>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</si>
  <si>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</si>
  <si>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</si>
  <si>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</si>
  <si>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</si>
  <si>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</si>
  <si>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</si>
  <si>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</si>
  <si>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</si>
  <si>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</si>
  <si>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</si>
  <si>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</si>
  <si>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</si>
  <si>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</si>
  <si>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</si>
  <si>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</si>
  <si>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</si>
  <si>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</si>
  <si>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</si>
  <si>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</si>
  <si>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</si>
  <si>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</si>
  <si>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</si>
  <si>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</si>
  <si>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</si>
  <si>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</si>
  <si>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</si>
  <si>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</si>
  <si>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</si>
  <si>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</si>
  <si>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</si>
  <si>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</si>
  <si>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</si>
  <si>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</si>
  <si>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</si>
  <si>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</si>
  <si>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</si>
  <si>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</si>
  <si>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</si>
  <si>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</si>
  <si>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</si>
  <si>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</si>
  <si>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</si>
  <si>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</si>
  <si>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</si>
  <si>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</si>
  <si>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</si>
  <si>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</si>
  <si>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</si>
  <si>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</si>
  <si>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</si>
  <si>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</si>
  <si>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</si>
  <si>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</si>
  <si>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</si>
  <si>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</si>
  <si>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</si>
  <si>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</si>
  <si>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</si>
  <si>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</si>
  <si>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</si>
  <si>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</si>
  <si>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</si>
  <si>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</si>
  <si>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</si>
  <si>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</si>
  <si>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</si>
  <si>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</si>
  <si>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</si>
  <si>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</si>
  <si>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</si>
  <si>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</si>
  <si>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</si>
  <si>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</si>
  <si>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</si>
  <si>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</si>
  <si>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</si>
  <si>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</si>
  <si>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</si>
  <si>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</si>
  <si>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</si>
  <si>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</si>
  <si>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</si>
  <si>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</si>
  <si>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</si>
  <si>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</si>
  <si>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</si>
  <si>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</si>
  <si>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</si>
  <si>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</si>
  <si>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</si>
  <si>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</si>
  <si>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</si>
  <si>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</si>
  <si>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</si>
  <si>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</si>
  <si>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</si>
  <si>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</si>
  <si>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</si>
  <si>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</si>
  <si>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</si>
  <si>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</si>
  <si>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</si>
  <si>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</si>
  <si>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</si>
  <si>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</si>
  <si>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</si>
  <si>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</si>
  <si>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</si>
  <si>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</si>
  <si>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</si>
  <si>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</si>
  <si>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</si>
  <si>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</si>
  <si>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</si>
  <si>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</si>
  <si>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</si>
  <si>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</si>
  <si>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</si>
  <si>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</si>
  <si>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</si>
  <si>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</si>
  <si>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</si>
  <si>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</si>
  <si>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</si>
  <si>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</si>
  <si>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</si>
  <si>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</si>
  <si>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</si>
  <si>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</si>
  <si>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</si>
  <si>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</si>
  <si>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</si>
  <si>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</si>
  <si>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</si>
  <si>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</si>
  <si>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</si>
  <si>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</si>
  <si>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</si>
  <si>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</si>
  <si>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</si>
  <si>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</si>
  <si>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</si>
  <si>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</si>
  <si>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</si>
  <si>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</si>
  <si>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</si>
  <si>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</si>
  <si>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</si>
  <si>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</si>
  <si>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</si>
  <si>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</si>
  <si>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</si>
  <si>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</si>
  <si>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</si>
  <si>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</si>
  <si>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</si>
  <si>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</si>
  <si>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</si>
  <si>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</si>
  <si>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</si>
  <si>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</si>
  <si>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</si>
  <si>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</si>
  <si>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</si>
  <si>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</si>
  <si>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</si>
  <si>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</si>
  <si>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</si>
  <si>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</si>
  <si>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</si>
  <si>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</si>
  <si>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</si>
  <si>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</si>
  <si>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</si>
  <si>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</si>
  <si>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</si>
  <si>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</si>
  <si>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</si>
  <si>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</si>
  <si>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</si>
  <si>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</si>
  <si>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</si>
  <si>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</si>
  <si>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</si>
  <si>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</si>
  <si>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</si>
  <si>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</si>
  <si>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</si>
  <si>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</si>
  <si>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</si>
  <si>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</si>
  <si>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</si>
  <si>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</si>
  <si>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</si>
  <si>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</si>
  <si>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</si>
  <si>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</si>
  <si>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</si>
  <si>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</si>
  <si>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</si>
  <si>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</si>
  <si>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</si>
  <si>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</si>
  <si>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</si>
  <si>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</si>
  <si>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</si>
  <si>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</si>
  <si>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</si>
  <si>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</si>
  <si>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</si>
  <si>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</si>
  <si>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</si>
  <si>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</si>
  <si>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</si>
  <si>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</si>
  <si>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</si>
  <si>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</si>
  <si>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</si>
  <si>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</si>
  <si>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</si>
  <si>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</si>
  <si>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</si>
  <si>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</si>
  <si>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</si>
  <si>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</si>
  <si>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</si>
  <si>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</si>
  <si>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</si>
  <si>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</si>
  <si>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</si>
  <si>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</si>
  <si>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</si>
  <si>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</si>
  <si>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</si>
  <si>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</si>
  <si>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</si>
  <si>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</si>
  <si>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</si>
  <si>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</si>
  <si>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</si>
  <si>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</si>
  <si>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</si>
  <si>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</si>
  <si>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</si>
  <si>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</si>
  <si>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</si>
  <si>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</si>
  <si>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</si>
  <si>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</si>
  <si>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</si>
  <si>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</si>
  <si>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</si>
  <si>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</si>
  <si>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</si>
  <si>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</si>
  <si>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</si>
  <si>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</si>
  <si>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</si>
  <si>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</si>
  <si>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</si>
  <si>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</si>
  <si>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</si>
  <si>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</si>
  <si>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</si>
  <si>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</si>
  <si>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</si>
  <si>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</si>
  <si>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</si>
  <si>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</si>
  <si>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</si>
  <si>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</si>
  <si>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</si>
  <si>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</si>
  <si>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</si>
  <si>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</si>
  <si>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</si>
  <si>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</si>
  <si>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</si>
  <si>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</si>
  <si>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</si>
  <si>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</si>
  <si>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</si>
  <si>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</si>
  <si>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</si>
  <si>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</si>
  <si>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</si>
  <si>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</si>
  <si>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</si>
  <si>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</si>
  <si>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</si>
  <si>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</si>
  <si>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</si>
  <si>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</si>
  <si>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</si>
  <si>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</si>
  <si>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</si>
  <si>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</si>
  <si>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</si>
  <si>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</si>
  <si>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</si>
  <si>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</si>
  <si>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</si>
  <si>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</si>
  <si>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</si>
  <si>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</si>
  <si>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</si>
  <si>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</si>
  <si>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</si>
  <si>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</si>
  <si>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</si>
  <si>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</si>
  <si>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</si>
  <si>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</si>
  <si>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</si>
  <si>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</si>
  <si>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</si>
  <si>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</si>
  <si>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</si>
  <si>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</si>
  <si>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</si>
  <si>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</si>
  <si>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</si>
  <si>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</si>
  <si>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</si>
  <si>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</si>
  <si>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</si>
  <si>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</si>
  <si>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</si>
  <si>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</si>
  <si>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</si>
  <si>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</si>
  <si>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</si>
  <si>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</si>
  <si>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</si>
  <si>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</si>
  <si>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</si>
  <si>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</si>
  <si>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</si>
  <si>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</si>
  <si>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</si>
  <si>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</si>
  <si>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</si>
  <si>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</si>
  <si>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</si>
  <si>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</si>
  <si>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</si>
  <si>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</si>
  <si>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</si>
  <si>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</si>
  <si>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</si>
  <si>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</si>
  <si>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</si>
  <si>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</si>
  <si>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</si>
  <si>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</si>
  <si>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</si>
  <si>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</si>
  <si>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</si>
  <si>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</si>
  <si>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</si>
  <si>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</si>
  <si>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</si>
  <si>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</si>
  <si>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</si>
  <si>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</si>
  <si>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</si>
  <si>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</si>
  <si>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</si>
  <si>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</si>
  <si>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</si>
  <si>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</si>
  <si>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</si>
  <si>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</si>
  <si>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</si>
  <si>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</si>
  <si>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</si>
  <si>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</si>
  <si>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</si>
  <si>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</si>
  <si>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</si>
  <si>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</si>
  <si>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</si>
  <si>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</si>
  <si>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</si>
  <si>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</si>
  <si>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</si>
  <si>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</si>
  <si>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</si>
  <si>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</si>
  <si>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</si>
  <si>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</si>
  <si>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</si>
  <si>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</si>
  <si>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</si>
  <si>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</si>
  <si>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</si>
  <si>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</si>
  <si>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</si>
  <si>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</si>
  <si>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</si>
  <si>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</si>
  <si>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</si>
  <si>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</si>
  <si>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</si>
  <si>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</si>
  <si>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</si>
  <si>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</si>
  <si>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</si>
  <si>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</si>
  <si>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</si>
  <si>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</si>
  <si>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</si>
  <si>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</si>
  <si>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</si>
  <si>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</si>
  <si>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</si>
  <si>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</si>
  <si>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</si>
  <si>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</si>
  <si>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</si>
  <si>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</si>
  <si>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</si>
  <si>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</si>
  <si>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</si>
  <si>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</si>
  <si>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</si>
  <si>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</si>
  <si>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</si>
  <si>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</si>
  <si>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</si>
  <si>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</si>
  <si>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</si>
  <si>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</si>
  <si>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</si>
  <si>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</si>
  <si>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</si>
  <si>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</si>
  <si>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</si>
  <si>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</si>
  <si>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</si>
  <si>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</si>
  <si>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</si>
  <si>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</si>
  <si>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</si>
  <si>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</si>
  <si>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</si>
  <si>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</si>
  <si>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</si>
  <si>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</si>
  <si>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</si>
  <si>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</si>
  <si>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</si>
  <si>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</si>
  <si>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</si>
  <si>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</si>
  <si>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</si>
  <si>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</si>
  <si>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</si>
  <si>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</si>
  <si>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</si>
  <si>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</si>
  <si>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</si>
  <si>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</si>
  <si>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</si>
  <si>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</si>
  <si>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</si>
  <si>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</si>
  <si>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</si>
  <si>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</si>
  <si>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</si>
  <si>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</si>
  <si>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</si>
  <si>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</si>
  <si>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</si>
  <si>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</si>
  <si>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</si>
  <si>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</si>
  <si>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</si>
  <si>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</si>
  <si>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</si>
  <si>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</si>
  <si>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</si>
  <si>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</si>
  <si>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</si>
  <si>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</si>
  <si>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</si>
  <si>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</si>
  <si>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</si>
  <si>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</si>
  <si>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</si>
  <si>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</si>
  <si>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</si>
  <si>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</si>
  <si>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</si>
  <si>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</si>
  <si>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</si>
  <si>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</si>
  <si>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</si>
  <si>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</si>
  <si>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</si>
  <si>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</si>
  <si>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</si>
  <si>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</si>
  <si>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</si>
  <si>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</si>
  <si>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</si>
  <si>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</si>
  <si>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</si>
  <si>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</si>
  <si>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</si>
  <si>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</si>
  <si>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</si>
  <si>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</si>
  <si>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</si>
  <si>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</si>
  <si>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</si>
  <si>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</si>
  <si>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</si>
  <si>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</si>
  <si>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</si>
  <si>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</si>
  <si>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</si>
  <si>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</si>
  <si>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</si>
  <si>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</si>
  <si>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</si>
  <si>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</si>
  <si>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</si>
  <si>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</si>
  <si>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</si>
  <si>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</si>
  <si>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</si>
  <si>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</si>
  <si>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</si>
  <si>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</si>
  <si>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</si>
  <si>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</si>
  <si>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</si>
  <si>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</si>
  <si>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</si>
  <si>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</si>
  <si>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</si>
  <si>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</si>
  <si>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</si>
  <si>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</si>
  <si>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</si>
  <si>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</si>
  <si>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</si>
  <si>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</si>
  <si>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</si>
  <si>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</si>
  <si>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</si>
  <si>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</si>
  <si>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</si>
  <si>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</si>
  <si>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</si>
  <si>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</si>
  <si>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</si>
  <si>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</si>
  <si>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</si>
  <si>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</si>
  <si>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</si>
  <si>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</si>
  <si>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</si>
  <si>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</si>
  <si>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</si>
  <si>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</si>
  <si>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</si>
  <si>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</si>
  <si>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</si>
  <si>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</si>
  <si>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</si>
  <si>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</si>
  <si>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</si>
  <si>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</si>
  <si>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</si>
  <si>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</si>
  <si>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</si>
  <si>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</si>
  <si>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</si>
  <si>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</si>
  <si>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</si>
  <si>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</si>
  <si>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</si>
  <si>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</si>
  <si>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</si>
  <si>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</si>
  <si>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</si>
  <si>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</si>
  <si>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</si>
  <si>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</si>
  <si>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</si>
  <si>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</si>
  <si>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</si>
  <si>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</si>
  <si>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</si>
  <si>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</si>
  <si>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</si>
  <si>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</si>
  <si>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</si>
  <si>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</si>
  <si>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</si>
  <si>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</si>
  <si>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</si>
  <si>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</si>
  <si>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</si>
  <si>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</si>
  <si>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</si>
  <si>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</si>
  <si>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</si>
  <si>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</si>
  <si>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</si>
  <si>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</si>
  <si>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</si>
  <si>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</si>
  <si>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</si>
  <si>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</si>
  <si>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</si>
  <si>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</si>
  <si>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</si>
  <si>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</si>
  <si>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</si>
  <si>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</si>
  <si>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</si>
  <si>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</si>
  <si>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</si>
  <si>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</si>
  <si>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</si>
  <si>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</si>
  <si>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</si>
  <si>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</si>
  <si>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</si>
  <si>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</si>
  <si>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</si>
  <si>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</si>
  <si>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</si>
  <si>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</si>
  <si>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</si>
  <si>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</si>
  <si>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</si>
  <si>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</si>
  <si>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</si>
  <si>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</si>
  <si>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</si>
  <si>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</si>
  <si>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</si>
  <si>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</si>
  <si>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</si>
  <si>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</si>
  <si>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</si>
  <si>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</si>
  <si>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</si>
  <si>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</si>
  <si>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</si>
  <si>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</si>
  <si>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</si>
  <si>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</si>
  <si>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</si>
  <si>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</si>
  <si>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</si>
  <si>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</si>
  <si>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</si>
  <si>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</si>
  <si>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</si>
  <si>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</si>
  <si>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</si>
  <si>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</si>
  <si>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</si>
  <si>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</si>
  <si>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</si>
  <si>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</si>
  <si>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</si>
  <si>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</si>
  <si>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</si>
  <si>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</si>
  <si>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</si>
  <si>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</si>
  <si>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</si>
  <si>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</si>
  <si>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</si>
  <si>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</si>
  <si>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</si>
  <si>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</si>
  <si>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</si>
  <si>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</si>
  <si>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</si>
  <si>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</si>
  <si>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</si>
  <si>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</si>
  <si>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</si>
  <si>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</si>
  <si>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</si>
  <si>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</si>
  <si>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</si>
  <si>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</si>
  <si>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</si>
  <si>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</si>
  <si>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</si>
  <si>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</si>
  <si>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</si>
  <si>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</si>
  <si>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</si>
  <si>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</si>
  <si>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</si>
  <si>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</si>
  <si>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</si>
  <si>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</si>
  <si>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</si>
  <si>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</si>
  <si>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</si>
  <si>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</si>
  <si>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</si>
  <si>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</si>
  <si>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</si>
  <si>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</si>
  <si>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</si>
  <si>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</si>
  <si>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</si>
  <si>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</si>
  <si>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</si>
  <si>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</si>
  <si>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</si>
  <si>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</si>
  <si>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</si>
  <si>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</si>
  <si>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</si>
  <si>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</si>
  <si>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</si>
  <si>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</si>
  <si>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</si>
  <si>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</si>
  <si>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</si>
  <si>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</si>
  <si>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</si>
  <si>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</si>
  <si>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</si>
  <si>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</si>
  <si>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</si>
  <si>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</si>
  <si>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</si>
  <si>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</si>
  <si>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</si>
  <si>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</si>
  <si>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</si>
  <si>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</si>
  <si>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</si>
  <si>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</si>
  <si>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</si>
  <si>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</si>
  <si>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</si>
  <si>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</si>
  <si>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</si>
  <si>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</si>
  <si>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</si>
  <si>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</si>
  <si>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</si>
  <si>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</si>
  <si>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</si>
  <si>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</si>
  <si>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</si>
  <si>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</si>
  <si>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</si>
  <si>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</si>
  <si>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</si>
  <si>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</si>
  <si>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</si>
  <si>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</si>
  <si>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</si>
  <si>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</si>
  <si>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</si>
  <si>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</si>
  <si>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</si>
  <si>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</si>
  <si>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</si>
  <si>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</si>
  <si>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</si>
  <si>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</si>
  <si>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</si>
  <si>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</si>
  <si>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</si>
  <si>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</si>
  <si>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</si>
  <si>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</si>
  <si>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</si>
  <si>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</si>
  <si>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</si>
  <si>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</si>
  <si>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</si>
  <si>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</si>
  <si>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</si>
  <si>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</si>
  <si>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</si>
  <si>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</si>
  <si>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</si>
  <si>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</si>
  <si>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</si>
  <si>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</si>
  <si>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</si>
  <si>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</si>
  <si>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</si>
  <si>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</si>
  <si>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</si>
  <si>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</si>
  <si>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</si>
  <si>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</si>
  <si>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</si>
  <si>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</si>
  <si>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</si>
  <si>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</si>
  <si>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</si>
  <si>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</si>
  <si>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</si>
  <si>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</si>
  <si>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</si>
  <si>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</si>
  <si>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</si>
  <si>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</si>
  <si>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</si>
  <si>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</si>
  <si>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</si>
  <si>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</si>
  <si>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</si>
  <si>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</si>
  <si>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</si>
  <si>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</si>
  <si>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</si>
  <si>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</si>
  <si>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</si>
  <si>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</si>
  <si>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</si>
  <si>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</si>
  <si>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</si>
  <si>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</si>
  <si>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</si>
  <si>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</si>
  <si>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</si>
  <si>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</si>
  <si>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</si>
  <si>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</si>
  <si>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</si>
  <si>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</si>
  <si>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</si>
  <si>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</si>
  <si>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</si>
  <si>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</si>
  <si>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</si>
  <si>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</si>
  <si>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</si>
  <si>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</si>
  <si>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</si>
  <si>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</si>
  <si>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</si>
  <si>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</si>
  <si>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</si>
  <si>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</si>
  <si>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</si>
  <si>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</si>
  <si>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</si>
  <si>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</si>
  <si>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</si>
  <si>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</si>
  <si>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</si>
  <si>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</si>
  <si>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</si>
  <si>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</si>
  <si>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</si>
  <si>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</si>
  <si>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</si>
  <si>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</si>
  <si>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</si>
  <si>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</si>
  <si>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</si>
  <si>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</si>
  <si>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</si>
  <si>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</si>
  <si>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</si>
  <si>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</si>
  <si>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</si>
  <si>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</si>
  <si>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</si>
  <si>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</si>
  <si>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</si>
  <si>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</si>
  <si>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</si>
  <si>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</si>
  <si>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</si>
  <si>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</si>
  <si>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</si>
  <si>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</si>
  <si>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</si>
  <si>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</si>
  <si>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</si>
  <si>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</si>
  <si>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</si>
  <si>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</si>
  <si>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</si>
  <si>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</si>
  <si>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</si>
  <si>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</si>
  <si>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</si>
  <si>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</si>
  <si>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</si>
  <si>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</si>
  <si>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</si>
  <si>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</si>
  <si>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</si>
  <si>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</si>
  <si>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</si>
  <si>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</si>
  <si>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</si>
  <si>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</si>
  <si>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</si>
  <si>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</si>
  <si>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</si>
  <si>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</si>
  <si>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</si>
  <si>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</si>
  <si>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</si>
  <si>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</si>
  <si>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</si>
  <si>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</si>
  <si>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</si>
  <si>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</si>
  <si>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</si>
  <si>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</si>
  <si>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</si>
  <si>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</si>
  <si>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</si>
  <si>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</si>
  <si>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</si>
  <si>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</si>
  <si>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</si>
  <si>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</si>
  <si>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</si>
  <si>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</si>
  <si>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</si>
  <si>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</si>
  <si>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</si>
  <si>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</si>
  <si>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</si>
  <si>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</si>
  <si>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</si>
  <si>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</si>
  <si>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</si>
  <si>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</si>
  <si>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</si>
  <si>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</si>
  <si>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</si>
  <si>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</si>
  <si>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</si>
  <si>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</si>
  <si>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</si>
  <si>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</si>
  <si>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</si>
  <si>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</si>
  <si>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</si>
  <si>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</si>
  <si>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</si>
  <si>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</si>
  <si>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</si>
  <si>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</si>
  <si>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</si>
  <si>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</si>
  <si>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</si>
  <si>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</si>
  <si>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</si>
  <si>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</si>
  <si>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</si>
  <si>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</si>
  <si>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</si>
  <si>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</si>
  <si>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</si>
  <si>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</si>
  <si>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</si>
  <si>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</si>
  <si>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</si>
  <si>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</si>
  <si>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</si>
  <si>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</si>
  <si>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</si>
  <si>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</si>
  <si>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</si>
  <si>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</si>
  <si>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</si>
  <si>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</si>
  <si>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</si>
  <si>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</si>
  <si>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</si>
  <si>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</si>
  <si>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</si>
  <si>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</si>
  <si>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</si>
  <si>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</si>
  <si>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</si>
  <si>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</si>
  <si>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</si>
  <si>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</si>
  <si>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</si>
  <si>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</si>
  <si>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</si>
  <si>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</si>
  <si>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</si>
  <si>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</si>
  <si>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</si>
  <si>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</si>
  <si>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</si>
  <si>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</si>
  <si>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</si>
  <si>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</si>
  <si>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</si>
  <si>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</si>
  <si>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</si>
  <si>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</si>
  <si>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</si>
  <si>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</si>
  <si>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</si>
  <si>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</si>
  <si>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</si>
  <si>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</si>
  <si>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</si>
  <si>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</si>
  <si>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</si>
  <si>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</si>
  <si>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</si>
  <si>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</si>
  <si>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</si>
  <si>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</si>
  <si>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</si>
  <si>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</si>
  <si>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</si>
  <si>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</si>
  <si>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</si>
  <si>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</si>
  <si>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</si>
  <si>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</si>
  <si>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</si>
  <si>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</si>
  <si>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</si>
  <si>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</si>
  <si>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</si>
  <si>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</si>
  <si>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</si>
  <si>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</si>
  <si>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</si>
  <si>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</si>
  <si>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</si>
  <si>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</si>
  <si>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</si>
  <si>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</si>
  <si>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</si>
  <si>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</si>
  <si>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</si>
  <si>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</si>
  <si>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</si>
  <si>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</si>
  <si>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</si>
  <si>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</si>
  <si>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</si>
  <si>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</si>
  <si>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</si>
  <si>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</si>
  <si>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</si>
  <si>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</si>
  <si>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</si>
  <si>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</si>
  <si>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</si>
  <si>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</si>
  <si>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</si>
  <si>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</si>
  <si>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</si>
  <si>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</si>
  <si>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</si>
  <si>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</si>
  <si>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</si>
  <si>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</si>
  <si>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</si>
  <si>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</si>
  <si>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</si>
  <si>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</si>
  <si>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</si>
  <si>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</si>
  <si>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</si>
  <si>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</si>
  <si>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</si>
  <si>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</si>
  <si>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</si>
  <si>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</si>
  <si>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</si>
  <si>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</si>
  <si>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</si>
  <si>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</si>
  <si>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</si>
  <si>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</si>
  <si>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</si>
  <si>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</si>
  <si>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</si>
  <si>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</si>
  <si>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</si>
  <si>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</si>
  <si>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</si>
  <si>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</si>
  <si>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</si>
  <si>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</si>
  <si>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</si>
  <si>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</si>
  <si>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</si>
  <si>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</si>
  <si>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</si>
  <si>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</si>
  <si>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</si>
  <si>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</si>
  <si>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</si>
  <si>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</si>
  <si>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</si>
  <si>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</si>
  <si>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</si>
  <si>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</si>
  <si>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</si>
  <si>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</si>
  <si>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</si>
  <si>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</si>
  <si>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</si>
  <si>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</si>
  <si>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</si>
  <si>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</si>
  <si>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</si>
  <si>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</si>
  <si>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</si>
  <si>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</si>
  <si>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</si>
  <si>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</si>
  <si>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</si>
  <si>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</si>
  <si>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</si>
  <si>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</si>
  <si>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</si>
  <si>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</si>
  <si>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</si>
  <si>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</si>
  <si>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</si>
  <si>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</si>
  <si>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</si>
  <si>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</si>
  <si>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</si>
  <si>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</si>
  <si>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</si>
  <si>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</si>
  <si>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</si>
  <si>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</si>
  <si>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</si>
  <si>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</si>
  <si>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</si>
  <si>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</si>
  <si>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</si>
  <si>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</si>
  <si>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</si>
  <si>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</si>
  <si>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</si>
  <si>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</si>
  <si>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</si>
  <si>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</si>
  <si>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</si>
  <si>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</si>
  <si>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</si>
  <si>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</si>
  <si>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</si>
  <si>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</si>
  <si>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</si>
  <si>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</si>
  <si>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</si>
  <si>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</si>
  <si>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</si>
  <si>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</si>
  <si>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</si>
  <si>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</si>
  <si>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</si>
  <si>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</si>
  <si>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</si>
  <si>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</si>
  <si>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</si>
  <si>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</si>
  <si>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</si>
  <si>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</si>
  <si>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</si>
  <si>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</si>
  <si>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</si>
  <si>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</si>
  <si>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</si>
  <si>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</si>
  <si>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</si>
  <si>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</si>
  <si>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</si>
  <si>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</si>
  <si>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</si>
  <si>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</si>
  <si>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</si>
  <si>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</si>
  <si>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</si>
  <si>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</si>
  <si>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</si>
  <si>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</si>
  <si>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</si>
  <si>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</si>
  <si>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</si>
  <si>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</si>
  <si>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</si>
  <si>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</si>
  <si>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</si>
  <si>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</si>
  <si>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</si>
  <si>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</si>
  <si>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</si>
  <si>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</si>
  <si>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</si>
  <si>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</si>
  <si>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</si>
  <si>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</si>
  <si>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</si>
  <si>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</si>
  <si>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</si>
  <si>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</si>
  <si>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</si>
  <si>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</si>
  <si>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</si>
  <si>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</si>
  <si>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</si>
  <si>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</si>
  <si>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</si>
  <si>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</si>
  <si>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</si>
  <si>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</si>
  <si>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</si>
  <si>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</si>
  <si>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</si>
  <si>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</si>
  <si>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</si>
  <si>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</si>
  <si>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</si>
  <si>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</si>
  <si>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</si>
  <si>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</si>
  <si>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</si>
  <si>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</si>
  <si>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</si>
  <si>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</si>
  <si>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</si>
  <si>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</si>
  <si>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</si>
  <si>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</si>
  <si>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</si>
  <si>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</si>
  <si>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</si>
  <si>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</si>
  <si>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</si>
  <si>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</si>
  <si>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</si>
  <si>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</si>
  <si>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</si>
  <si>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</si>
  <si>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</si>
  <si>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</si>
  <si>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</si>
  <si>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</si>
  <si>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</si>
  <si>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</si>
  <si>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</si>
  <si>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</si>
  <si>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</si>
  <si>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</si>
  <si>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</si>
  <si>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</si>
  <si>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</si>
  <si>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</si>
  <si>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</si>
  <si>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</si>
  <si>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</si>
  <si>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</si>
  <si>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</si>
  <si>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</si>
  <si>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</si>
  <si>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</si>
  <si>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</si>
  <si>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</si>
  <si>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</si>
  <si>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</si>
  <si>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</si>
  <si>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</si>
  <si>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</si>
  <si>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</si>
  <si>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</si>
  <si>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</si>
  <si>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</si>
  <si>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</si>
  <si>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</si>
  <si>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</si>
  <si>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</si>
  <si>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</si>
  <si>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</si>
  <si>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</si>
  <si>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</si>
  <si>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</si>
  <si>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</si>
  <si>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</si>
  <si>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</si>
  <si>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</si>
  <si>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</si>
  <si>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</si>
  <si>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</si>
  <si>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</si>
  <si>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</si>
  <si>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</si>
  <si>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</si>
  <si>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</si>
  <si>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</si>
  <si>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</si>
  <si>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</si>
  <si>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</si>
  <si>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</si>
  <si>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</si>
  <si>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</si>
  <si>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</si>
  <si>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</si>
  <si>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</si>
  <si>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</si>
  <si>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</si>
  <si>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</si>
  <si>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</si>
  <si>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</si>
  <si>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</si>
  <si>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</si>
  <si>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</si>
  <si>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</si>
  <si>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</si>
  <si>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</si>
  <si>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</si>
  <si>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</si>
  <si>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</si>
  <si>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</si>
  <si>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</si>
  <si>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</si>
  <si>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</si>
  <si>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</si>
  <si>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</si>
  <si>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</si>
  <si>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</si>
  <si>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</si>
  <si>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</si>
  <si>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</si>
  <si>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</si>
  <si>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</si>
  <si>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</si>
  <si>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</si>
  <si>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</si>
  <si>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</si>
  <si>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</si>
  <si>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</si>
  <si>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</si>
  <si>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</si>
  <si>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</si>
  <si>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</si>
  <si>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</si>
  <si>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</si>
  <si>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</si>
  <si>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</si>
  <si>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</si>
  <si>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</si>
  <si>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</si>
  <si>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</si>
  <si>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</si>
  <si>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</si>
  <si>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</si>
  <si>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</si>
  <si>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</si>
  <si>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</si>
  <si>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</si>
  <si>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</si>
  <si>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</si>
  <si>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</si>
  <si>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</si>
  <si>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</si>
  <si>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</si>
  <si>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</si>
  <si>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</si>
  <si>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</si>
  <si>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</si>
  <si>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</si>
  <si>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</si>
  <si>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</si>
  <si>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</si>
  <si>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</si>
  <si>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</si>
  <si>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</si>
  <si>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</si>
  <si>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</si>
  <si>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</si>
  <si>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</si>
  <si>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</si>
  <si>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</si>
  <si>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</si>
  <si>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</si>
  <si>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</si>
  <si>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</si>
  <si>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</si>
  <si>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</si>
  <si>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</si>
  <si>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</si>
  <si>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</si>
  <si>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</si>
  <si>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</si>
  <si>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</si>
  <si>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</si>
  <si>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</si>
  <si>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</si>
  <si>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</si>
  <si>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</si>
  <si>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</si>
  <si>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</si>
  <si>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</si>
  <si>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</si>
  <si>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</si>
  <si>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</si>
  <si>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</si>
  <si>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</si>
  <si>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</si>
  <si>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</si>
  <si>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</si>
  <si>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</si>
  <si>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</si>
  <si>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</si>
  <si>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</si>
  <si>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</si>
  <si>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</si>
  <si>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</si>
  <si>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</si>
  <si>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</si>
  <si>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</si>
  <si>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</si>
  <si>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</si>
  <si>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</si>
  <si>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</si>
  <si>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</si>
  <si>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</si>
  <si>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</si>
  <si>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</si>
  <si>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</si>
  <si>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</si>
  <si>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</si>
  <si>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</si>
  <si>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</si>
  <si>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</si>
  <si>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</si>
  <si>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</si>
  <si>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</si>
  <si>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</si>
  <si>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</si>
  <si>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</si>
  <si>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</si>
  <si>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</si>
  <si>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</si>
  <si>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</si>
  <si>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</si>
  <si>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</si>
  <si>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</si>
  <si>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</si>
  <si>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</si>
  <si>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</si>
  <si>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</si>
  <si>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</si>
  <si>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</si>
  <si>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</si>
  <si>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</si>
  <si>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</si>
  <si>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</si>
  <si>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</si>
  <si>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</si>
  <si>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</si>
  <si>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</si>
  <si>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</si>
  <si>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</si>
  <si>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</si>
  <si>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</si>
  <si>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</si>
  <si>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</si>
  <si>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</si>
  <si>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</si>
  <si>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</si>
  <si>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</si>
  <si>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</si>
  <si>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</si>
  <si>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</si>
  <si>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</si>
  <si>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</si>
  <si>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</si>
  <si>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</si>
  <si>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</si>
  <si>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</si>
  <si>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</si>
  <si>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</si>
  <si>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</si>
  <si>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</si>
  <si>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</si>
  <si>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</si>
  <si>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</si>
  <si>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</si>
  <si>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</si>
  <si>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</si>
  <si>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</si>
  <si>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</si>
  <si>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</si>
  <si>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</si>
  <si>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</si>
  <si>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</si>
  <si>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</si>
  <si>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</si>
  <si>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</si>
  <si>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</si>
  <si>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</si>
  <si>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</si>
  <si>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</si>
  <si>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</si>
  <si>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</si>
  <si>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</si>
  <si>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</si>
  <si>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</si>
  <si>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</si>
  <si>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</si>
  <si>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</si>
  <si>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</si>
  <si>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</si>
  <si>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</si>
  <si>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</si>
  <si>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</si>
  <si>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</si>
  <si>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</si>
  <si>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</si>
  <si>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</si>
  <si>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</si>
  <si>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</si>
  <si>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</si>
  <si>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</si>
  <si>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</si>
  <si>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</si>
  <si>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</si>
  <si>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</si>
  <si>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</si>
  <si>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</si>
  <si>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</si>
  <si>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</si>
  <si>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</si>
  <si>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</si>
  <si>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</si>
  <si>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</si>
  <si>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</si>
  <si>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</si>
  <si>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</si>
  <si>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</si>
  <si>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</si>
  <si>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</si>
  <si>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</si>
  <si>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</si>
  <si>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</si>
  <si>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</si>
  <si>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</si>
  <si>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</si>
  <si>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</si>
  <si>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</si>
  <si>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</si>
  <si>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</si>
  <si>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</si>
  <si>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</si>
  <si>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</si>
  <si>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</si>
  <si>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</si>
  <si>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</si>
  <si>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</si>
  <si>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</si>
  <si>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</si>
  <si>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</si>
  <si>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</si>
  <si>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</si>
  <si>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</si>
  <si>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</si>
  <si>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</si>
  <si>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</si>
  <si>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</si>
  <si>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</si>
  <si>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</si>
  <si>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</si>
  <si>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</si>
  <si>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</si>
  <si>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</si>
  <si>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</si>
  <si>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</si>
  <si>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</si>
  <si>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</si>
  <si>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</si>
  <si>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</si>
  <si>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</si>
  <si>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</si>
  <si>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</si>
  <si>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</si>
  <si>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</si>
  <si>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</si>
  <si>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</si>
  <si>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</si>
  <si>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</si>
  <si>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</si>
  <si>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</si>
  <si>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</si>
  <si>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</si>
  <si>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</si>
  <si>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</si>
  <si>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</si>
  <si>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</si>
  <si>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</si>
  <si>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</si>
  <si>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</si>
  <si>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</si>
  <si>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</si>
  <si>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</si>
  <si>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</si>
  <si>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</si>
  <si>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</si>
  <si>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</si>
  <si>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</si>
  <si>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</si>
  <si>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</si>
  <si>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</si>
  <si>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</si>
  <si>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</si>
  <si>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</si>
  <si>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</si>
  <si>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</si>
  <si>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</si>
  <si>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</si>
  <si>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</si>
  <si>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</si>
  <si>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</si>
  <si>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</si>
  <si>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</si>
  <si>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</si>
  <si>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</si>
  <si>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</si>
  <si>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</si>
  <si>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</si>
  <si>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</si>
  <si>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</si>
  <si>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</si>
  <si>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</si>
  <si>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</si>
  <si>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</si>
  <si>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</si>
  <si>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</si>
  <si>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</si>
  <si>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</si>
  <si>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</si>
  <si>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</si>
  <si>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</si>
  <si>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</si>
  <si>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</si>
  <si>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</si>
  <si>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</si>
  <si>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</si>
  <si>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</si>
  <si>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</si>
  <si>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</si>
  <si>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</si>
  <si>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</si>
  <si>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</si>
  <si>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</si>
  <si>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</si>
  <si>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</si>
  <si>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</si>
  <si>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</si>
  <si>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</si>
  <si>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</si>
  <si>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</si>
  <si>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</si>
  <si>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</si>
  <si>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</si>
  <si>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</si>
  <si>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</si>
  <si>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</si>
  <si>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</si>
  <si>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</si>
  <si>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</si>
  <si>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</si>
  <si>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</si>
  <si>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</si>
  <si>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</si>
  <si>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</si>
  <si>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</si>
  <si>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</si>
  <si>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</si>
  <si>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</si>
  <si>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</si>
  <si>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</si>
  <si>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</si>
  <si>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</si>
  <si>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</si>
  <si>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</si>
  <si>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</si>
  <si>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</si>
  <si>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</si>
  <si>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</si>
  <si>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</si>
  <si>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</si>
  <si>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</si>
  <si>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</si>
  <si>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</si>
  <si>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</si>
  <si>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</si>
  <si>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</si>
  <si>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</si>
  <si>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</si>
  <si>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</si>
  <si>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</si>
  <si>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</si>
  <si>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</si>
  <si>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</si>
  <si>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</si>
  <si>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</si>
  <si>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</si>
  <si>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</si>
  <si>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</si>
  <si>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</si>
  <si>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</si>
  <si>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</si>
  <si>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</si>
  <si>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</si>
  <si>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</si>
  <si>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</si>
  <si>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</si>
  <si>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</si>
  <si>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</si>
  <si>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</si>
  <si>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</si>
  <si>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</si>
  <si>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</si>
  <si>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</si>
  <si>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</si>
  <si>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</si>
  <si>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</si>
  <si>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</si>
  <si>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</si>
  <si>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</si>
  <si>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</si>
  <si>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</si>
  <si>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</si>
  <si>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</si>
  <si>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</si>
  <si>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</si>
  <si>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</si>
  <si>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</si>
  <si>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</si>
  <si>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</si>
  <si>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</si>
  <si>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</si>
  <si>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</si>
  <si>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</si>
  <si>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</si>
  <si>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</si>
  <si>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</si>
  <si>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</si>
  <si>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</si>
  <si>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</si>
  <si>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</si>
  <si>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</si>
  <si>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</si>
  <si>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</si>
  <si>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</si>
  <si>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</si>
  <si>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</si>
  <si>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</si>
  <si>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</si>
  <si>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</si>
  <si>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</si>
  <si>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</si>
  <si>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</si>
  <si>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</si>
  <si>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</si>
  <si>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</si>
  <si>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</si>
  <si>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</si>
  <si>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</si>
  <si>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</si>
  <si>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</si>
  <si>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</si>
  <si>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</si>
  <si>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</si>
  <si>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</si>
  <si>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</si>
  <si>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</si>
  <si>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</si>
  <si>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</si>
  <si>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</si>
  <si>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</si>
  <si>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</si>
  <si>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</si>
  <si>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</si>
  <si>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</si>
  <si>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</si>
  <si>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</si>
  <si>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</si>
  <si>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</si>
  <si>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</si>
  <si>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</si>
  <si>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</si>
  <si>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</si>
  <si>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</si>
  <si>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</si>
  <si>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</si>
  <si>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</si>
  <si>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</si>
  <si>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</si>
  <si>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</si>
  <si>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</si>
  <si>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</si>
  <si>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</si>
  <si>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</si>
  <si>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</si>
  <si>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</si>
  <si>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</si>
  <si>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</si>
  <si>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</si>
  <si>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</si>
  <si>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</si>
  <si>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</si>
  <si>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</si>
  <si>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</si>
  <si>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</si>
  <si>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</si>
  <si>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</si>
  <si>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</si>
  <si>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</si>
  <si>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</si>
  <si>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</si>
  <si>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</si>
  <si>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</si>
  <si>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</si>
  <si>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</si>
  <si>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</si>
  <si>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</si>
  <si>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</si>
  <si>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</si>
  <si>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</si>
  <si>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</si>
  <si>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</si>
  <si>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</si>
  <si>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</si>
  <si>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</si>
  <si>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</si>
  <si>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</si>
  <si>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</si>
  <si>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</si>
  <si>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</si>
  <si>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</si>
  <si>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</si>
  <si>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</si>
  <si>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</si>
  <si>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</si>
  <si>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</si>
  <si>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</si>
  <si>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</si>
  <si>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</si>
  <si>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</si>
  <si>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</si>
  <si>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</si>
  <si>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</si>
  <si>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</si>
  <si>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</si>
  <si>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</si>
  <si>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</si>
  <si>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</si>
  <si>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</si>
  <si>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</si>
  <si>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</si>
  <si>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</si>
  <si>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</si>
  <si>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</si>
  <si>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</si>
  <si>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</si>
  <si>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</si>
  <si>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</si>
  <si>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</si>
  <si>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</si>
  <si>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</si>
  <si>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</si>
  <si>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</si>
  <si>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</si>
  <si>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</si>
  <si>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</si>
  <si>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</si>
  <si>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</si>
  <si>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</si>
  <si>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</si>
  <si>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</si>
  <si>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</si>
  <si>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</si>
  <si>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</si>
  <si>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</si>
  <si>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</si>
  <si>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</si>
  <si>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</si>
  <si>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</si>
  <si>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</si>
  <si>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</si>
  <si>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</si>
  <si>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</si>
  <si>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</si>
  <si>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</si>
  <si>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</si>
  <si>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</si>
  <si>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</si>
  <si>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</si>
  <si>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</si>
  <si>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</si>
  <si>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</si>
  <si>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</si>
  <si>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</si>
  <si>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</si>
  <si>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</si>
  <si>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</si>
  <si>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</si>
  <si>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</si>
  <si>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</si>
  <si>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</si>
  <si>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</si>
  <si>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</si>
  <si>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</si>
  <si>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</si>
  <si>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</si>
  <si>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</si>
  <si>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</si>
  <si>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</si>
  <si>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</si>
  <si>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</si>
  <si>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</si>
  <si>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</si>
  <si>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</si>
  <si>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</si>
  <si>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</si>
  <si>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</si>
  <si>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</si>
  <si>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</si>
  <si>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</si>
  <si>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</si>
  <si>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</si>
  <si>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</si>
  <si>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</si>
  <si>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</si>
  <si>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</si>
  <si>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</si>
  <si>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</si>
  <si>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</si>
  <si>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</si>
  <si>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</si>
  <si>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</si>
  <si>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</si>
  <si>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</si>
  <si>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</si>
  <si>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</si>
  <si>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</si>
  <si>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</si>
  <si>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</si>
  <si>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</si>
  <si>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</si>
  <si>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</si>
  <si>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</si>
  <si>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</si>
  <si>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</si>
  <si>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</si>
  <si>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</si>
  <si>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</si>
  <si>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</si>
  <si>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</si>
  <si>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</si>
  <si>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</si>
  <si>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</si>
  <si>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</si>
  <si>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</si>
  <si>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</si>
  <si>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</si>
  <si>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</si>
  <si>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</si>
  <si>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</si>
  <si>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</si>
  <si>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</si>
  <si>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</si>
  <si>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</si>
  <si>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</si>
  <si>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</si>
  <si>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</si>
  <si>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</si>
  <si>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</si>
  <si>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</si>
  <si>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</si>
  <si>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</si>
  <si>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</si>
  <si>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</si>
  <si>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</si>
  <si>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</si>
  <si>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</si>
  <si>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</si>
  <si>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</si>
  <si>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</si>
  <si>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</si>
  <si>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</si>
  <si>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</si>
  <si>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</si>
  <si>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</si>
  <si>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</si>
  <si>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</si>
  <si>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</si>
  <si>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</si>
  <si>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</si>
  <si>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</si>
  <si>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</si>
  <si>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</si>
  <si>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</si>
  <si>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</si>
  <si>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</si>
  <si>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</si>
  <si>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</si>
  <si>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</si>
  <si>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</si>
  <si>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</si>
  <si>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</si>
  <si>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</si>
  <si>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</si>
  <si>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</si>
  <si>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</si>
  <si>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</si>
  <si>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</si>
  <si>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</si>
  <si>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</si>
  <si>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</si>
  <si>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</si>
  <si>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</si>
  <si>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</si>
  <si>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</si>
  <si>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</si>
  <si>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</si>
  <si>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</si>
  <si>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</si>
  <si>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</si>
  <si>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</si>
  <si>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</si>
  <si>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</si>
  <si>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</si>
  <si>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</si>
  <si>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</si>
  <si>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</si>
  <si>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</si>
  <si>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</si>
  <si>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</si>
  <si>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</si>
  <si>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</si>
  <si>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</si>
  <si>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</si>
  <si>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</si>
  <si>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</si>
  <si>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</si>
  <si>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</si>
  <si>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</si>
  <si>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</si>
  <si>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</si>
  <si>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</si>
  <si>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</si>
  <si>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</si>
  <si>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</si>
  <si>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</si>
  <si>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</si>
  <si>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</si>
  <si>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</si>
  <si>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</si>
  <si>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</si>
  <si>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</si>
  <si>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</si>
  <si>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</si>
  <si>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</si>
  <si>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</si>
  <si>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</si>
  <si>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</si>
  <si>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</si>
  <si>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</si>
  <si>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</si>
  <si>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</si>
  <si>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</si>
  <si>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</si>
  <si>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</si>
  <si>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</si>
  <si>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</si>
  <si>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</si>
  <si>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</si>
  <si>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</si>
  <si>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</si>
  <si>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</si>
  <si>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</si>
  <si>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</si>
  <si>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</si>
  <si>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</si>
  <si>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</si>
  <si>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</si>
  <si>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</si>
  <si>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</si>
  <si>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</si>
  <si>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</si>
  <si>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</si>
  <si>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</si>
  <si>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</si>
  <si>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</si>
  <si>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</si>
  <si>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</si>
  <si>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</si>
  <si>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</si>
  <si>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</si>
  <si>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</si>
  <si>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</si>
  <si>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</si>
  <si>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</si>
  <si>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</si>
  <si>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</si>
  <si>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</si>
  <si>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</si>
  <si>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</si>
  <si>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</si>
  <si>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</si>
  <si>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</si>
  <si>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</si>
  <si>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</si>
  <si>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</si>
  <si>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</si>
  <si>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</si>
  <si>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</si>
  <si>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</si>
  <si>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</si>
  <si>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</si>
  <si>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</si>
  <si>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</si>
  <si>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</si>
  <si>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</si>
  <si>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</si>
  <si>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</si>
  <si>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</si>
  <si>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</si>
  <si>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</si>
  <si>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</si>
  <si>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</si>
  <si>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</si>
  <si>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</si>
  <si>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</si>
  <si>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</si>
  <si>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</si>
  <si>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</si>
  <si>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</si>
  <si>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</si>
  <si>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</si>
  <si>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</si>
  <si>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</si>
  <si>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</si>
  <si>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</si>
  <si>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</si>
  <si>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</si>
  <si>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</si>
  <si>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</si>
  <si>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</si>
  <si>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</si>
  <si>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</si>
  <si>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</si>
  <si>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</si>
  <si>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</si>
  <si>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</si>
  <si>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</si>
  <si>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</si>
  <si>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</si>
  <si>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</si>
  <si>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</si>
  <si>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</si>
  <si>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</si>
  <si>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</si>
  <si>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</si>
  <si>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</si>
  <si>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</si>
  <si>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</si>
  <si>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</si>
  <si>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</si>
  <si>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</si>
  <si>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</si>
  <si>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</si>
  <si>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</si>
  <si>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</si>
  <si>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</si>
  <si>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</si>
  <si>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</si>
  <si>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</si>
  <si>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</si>
  <si>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</si>
  <si>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</si>
  <si>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</si>
  <si>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</si>
  <si>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</si>
  <si>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</si>
  <si>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</si>
  <si>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</si>
  <si>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</si>
  <si>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</si>
  <si>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</si>
  <si>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</si>
  <si>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</si>
  <si>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</si>
  <si>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</si>
  <si>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</si>
  <si>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</si>
  <si>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</si>
  <si>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</si>
  <si>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</si>
  <si>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</si>
  <si>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</si>
  <si>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</si>
  <si>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</si>
  <si>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</si>
  <si>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</si>
  <si>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</si>
  <si>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</si>
  <si>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</si>
  <si>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</si>
  <si>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</si>
  <si>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</si>
  <si>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</si>
  <si>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</si>
  <si>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</si>
  <si>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</si>
  <si>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</si>
  <si>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</si>
  <si>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</si>
  <si>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</si>
  <si>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</si>
  <si>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</si>
  <si>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</si>
  <si>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</si>
  <si>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</si>
  <si>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</si>
  <si>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</si>
  <si>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</si>
  <si>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</si>
  <si>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</si>
  <si>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</si>
  <si>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</si>
  <si>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</si>
  <si>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</si>
  <si>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</si>
  <si>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</si>
  <si>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</si>
  <si>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</si>
  <si>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</si>
  <si>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</si>
  <si>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</si>
  <si>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</si>
  <si>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</si>
  <si>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</si>
  <si>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</si>
  <si>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</si>
  <si>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</si>
  <si>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</si>
  <si>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</si>
  <si>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</si>
  <si>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</si>
  <si>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</si>
  <si>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</si>
  <si>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</si>
  <si>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</si>
  <si>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</si>
  <si>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</si>
  <si>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</si>
  <si>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</si>
  <si>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</si>
  <si>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</si>
  <si>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</si>
  <si>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</si>
  <si>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</si>
  <si>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</si>
  <si>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</si>
  <si>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</si>
  <si>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</si>
  <si>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</si>
  <si>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</si>
  <si>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</si>
  <si>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</si>
  <si>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</si>
  <si>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</si>
  <si>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</si>
  <si>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</si>
  <si>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</si>
  <si>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</si>
  <si>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</si>
  <si>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</si>
  <si>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</si>
  <si>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</si>
  <si>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</si>
  <si>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</si>
  <si>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</si>
  <si>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</si>
  <si>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</si>
  <si>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</si>
  <si>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</si>
  <si>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</si>
  <si>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</si>
  <si>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</si>
  <si>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</si>
  <si>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</si>
  <si>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</si>
  <si>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</si>
  <si>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</si>
  <si>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</si>
  <si>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</si>
  <si>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</si>
  <si>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</si>
  <si>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</si>
  <si>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</si>
  <si>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</si>
  <si>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</si>
  <si>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</si>
  <si>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</si>
  <si>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</si>
  <si>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</si>
  <si>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</si>
  <si>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</si>
  <si>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</si>
  <si>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</si>
  <si>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</si>
  <si>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</si>
  <si>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</si>
  <si>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</si>
  <si>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</si>
  <si>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</si>
  <si>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</si>
  <si>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</si>
  <si>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</si>
  <si>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</si>
  <si>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</si>
  <si>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</si>
  <si>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</si>
  <si>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</si>
  <si>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</si>
  <si>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</si>
  <si>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</si>
  <si>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</si>
  <si>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</si>
  <si>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</si>
  <si>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</si>
  <si>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</si>
  <si>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</si>
  <si>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</si>
  <si>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</si>
  <si>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</si>
  <si>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</si>
  <si>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</si>
  <si>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</si>
  <si>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</si>
  <si>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</si>
  <si>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</si>
  <si>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</si>
  <si>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</si>
  <si>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</si>
  <si>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</si>
  <si>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</si>
  <si>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</si>
  <si>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</si>
  <si>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</si>
  <si>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</si>
  <si>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</si>
  <si>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</si>
  <si>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</si>
  <si>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</si>
  <si>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</si>
  <si>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</si>
  <si>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</si>
  <si>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</si>
  <si>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</si>
  <si>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</si>
  <si>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</si>
  <si>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</si>
  <si>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</si>
  <si>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</si>
  <si>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</si>
  <si>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</si>
  <si>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</si>
  <si>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</si>
  <si>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</si>
  <si>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</si>
  <si>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</si>
  <si>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</si>
  <si>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</si>
  <si>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</si>
  <si>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</si>
  <si>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</si>
  <si>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</si>
  <si>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</si>
  <si>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</si>
  <si>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</si>
  <si>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</si>
  <si>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</si>
  <si>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</si>
  <si>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</si>
  <si>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</si>
  <si>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</si>
  <si>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</si>
  <si>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</si>
  <si>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</si>
  <si>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</si>
  <si>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</si>
  <si>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</si>
  <si>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</si>
  <si>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</si>
  <si>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</si>
  <si>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</si>
  <si>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</si>
  <si>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</si>
  <si>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</si>
  <si>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</si>
  <si>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</si>
  <si>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</si>
  <si>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</si>
  <si>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</si>
  <si>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</si>
  <si>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</si>
  <si>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</si>
  <si>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</si>
  <si>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</si>
  <si>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</si>
  <si>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</si>
  <si>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</si>
  <si>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</si>
  <si>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</si>
  <si>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</si>
  <si>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</si>
  <si>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</si>
  <si>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</si>
  <si>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</si>
  <si>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</si>
  <si>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</si>
  <si>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</si>
  <si>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</si>
  <si>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</si>
  <si>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</si>
  <si>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</si>
  <si>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</si>
  <si>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</si>
  <si>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</si>
  <si>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</si>
  <si>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</si>
  <si>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</si>
  <si>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</si>
  <si>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</si>
  <si>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</si>
  <si>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</si>
  <si>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</si>
  <si>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</si>
  <si>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</si>
  <si>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</si>
  <si>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</si>
  <si>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</si>
  <si>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</si>
  <si>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</si>
  <si>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</si>
  <si>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</si>
  <si>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</si>
  <si>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</si>
  <si>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</si>
  <si>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</si>
  <si>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</si>
  <si>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</si>
  <si>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</si>
  <si>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</si>
  <si>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</si>
  <si>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</si>
  <si>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</si>
  <si>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</si>
  <si>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</si>
  <si>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</si>
  <si>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</si>
  <si>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</si>
  <si>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</si>
  <si>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</si>
  <si>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</si>
  <si>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</si>
  <si>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</si>
  <si>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</si>
  <si>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</si>
  <si>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</si>
  <si>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</si>
  <si>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</si>
  <si>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</si>
  <si>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</si>
  <si>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</si>
  <si>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</si>
  <si>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</si>
  <si>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</si>
  <si>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</si>
  <si>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</si>
  <si>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 xml:space="preserve"> 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</si>
  <si>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</si>
  <si>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</si>
  <si>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</si>
  <si>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</si>
  <si>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</si>
  <si>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</si>
  <si>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</si>
  <si>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</si>
  <si>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</si>
  <si>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</si>
  <si>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</si>
  <si>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</si>
  <si>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</si>
  <si>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</si>
  <si>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</si>
  <si>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Goal</t>
  </si>
  <si>
    <t>Pledged</t>
  </si>
  <si>
    <t>Amount of Backers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</si>
  <si>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</si>
  <si>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</si>
  <si>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</si>
  <si>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</si>
  <si>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</si>
  <si>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</si>
  <si>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</si>
  <si>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</si>
  <si>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</si>
  <si>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 9999</t>
  </si>
  <si>
    <t>10000 to14999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</si>
  <si>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</si>
  <si>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</si>
  <si>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</si>
  <si>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</si>
  <si>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</si>
  <si>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</si>
  <si>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50000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</si>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</sst>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 patternType="solid">
          <fgColor auto="1"/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830555555555551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5-409C-B2D8-9EAD8FA40C1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5-409C-B2D8-9EAD8FA40C1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5-409C-B2D8-9EAD8FA40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04048"/>
        <c:axId val="1097909872"/>
      </c:lineChart>
      <c:catAx>
        <c:axId val="109790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09872"/>
        <c:crosses val="autoZero"/>
        <c:auto val="1"/>
        <c:lblAlgn val="ctr"/>
        <c:lblOffset val="100"/>
        <c:noMultiLvlLbl val="0"/>
      </c:catAx>
      <c:valAx>
        <c:axId val="109790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90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7C-42EB-B575-35C93763905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7C-42EB-B575-35C93763905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7C-42EB-B575-35C937639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9784960"/>
        <c:axId val="1179799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 9999</c:v>
                      </c:pt>
                      <c:pt idx="3">
                        <c:v>10000 to14999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E7C-42EB-B575-35C93763905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 9999</c:v>
                      </c:pt>
                      <c:pt idx="3">
                        <c:v>10000 to14999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E7C-42EB-B575-35C93763905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 9999</c:v>
                      </c:pt>
                      <c:pt idx="3">
                        <c:v>10000 to14999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E7C-42EB-B575-35C93763905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 9999</c:v>
                      </c:pt>
                      <c:pt idx="3">
                        <c:v>10000 to14999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E7C-42EB-B575-35C937639054}"/>
                  </c:ext>
                </c:extLst>
              </c15:ser>
            </c15:filteredLineSeries>
          </c:ext>
        </c:extLst>
      </c:lineChart>
      <c:catAx>
        <c:axId val="117978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799936"/>
        <c:crosses val="autoZero"/>
        <c:auto val="1"/>
        <c:lblAlgn val="ctr"/>
        <c:lblOffset val="100"/>
        <c:noMultiLvlLbl val="0"/>
      </c:catAx>
      <c:valAx>
        <c:axId val="117979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78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727077865266837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E1-45FF-948A-B246E7F05B5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E1-45FF-948A-B246E7F05B5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E1-45FF-948A-B246E7F05B5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E1-45FF-948A-B246E7F05B50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9-FBE1-45FF-948A-B246E7F05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9101280"/>
        <c:axId val="1149102528"/>
      </c:barChart>
      <c:catAx>
        <c:axId val="114910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102528"/>
        <c:crosses val="autoZero"/>
        <c:auto val="1"/>
        <c:lblAlgn val="ctr"/>
        <c:lblOffset val="100"/>
        <c:noMultiLvlLbl val="0"/>
      </c:catAx>
      <c:valAx>
        <c:axId val="114910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10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3-411F-8A2F-6DFDC545A3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E3-411F-8A2F-6DFDC545A3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E3-411F-8A2F-6DFDC545A36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E3-411F-8A2F-6DFDC545A366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7-60E3-411F-8A2F-6DFDC545A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7250592"/>
        <c:axId val="1087252256"/>
      </c:barChart>
      <c:catAx>
        <c:axId val="108725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52256"/>
        <c:crosses val="autoZero"/>
        <c:auto val="1"/>
        <c:lblAlgn val="ctr"/>
        <c:lblOffset val="100"/>
        <c:noMultiLvlLbl val="0"/>
      </c:catAx>
      <c:valAx>
        <c:axId val="108725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5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514306649168854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FE-4357-8801-0B7BBF70B0A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FE-4357-8801-0B7BBF70B0A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FE-4357-8801-0B7BBF70B0A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FE-4357-8801-0B7BBF70B0A9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FE-4357-8801-0B7BBF70B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7237280"/>
        <c:axId val="1087260576"/>
      </c:lineChart>
      <c:catAx>
        <c:axId val="108723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60576"/>
        <c:crosses val="autoZero"/>
        <c:auto val="1"/>
        <c:lblAlgn val="ctr"/>
        <c:lblOffset val="100"/>
        <c:noMultiLvlLbl val="0"/>
      </c:catAx>
      <c:valAx>
        <c:axId val="108726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23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187325</xdr:colOff>
      <xdr:row>3</xdr:row>
      <xdr:rowOff>28575</xdr:rowOff>
    </xdr:from>
    <xdr:to>
      <xdr:col>12</xdr:col>
      <xdr:colOff>492125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20FB2-7A61-44FD-A49D-97F5D8054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14</xdr:row>
      <xdr:rowOff>9525</xdr:rowOff>
    </xdr:from>
    <xdr:to>
      <xdr:col>3</xdr:col>
      <xdr:colOff>904875</xdr:colOff>
      <xdr:row>28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A699F-79F7-42E9-A597-706C8B65F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1</xdr:row>
      <xdr:rowOff>174625</xdr:rowOff>
    </xdr:from>
    <xdr:to>
      <xdr:col>14</xdr:col>
      <xdr:colOff>508000</xdr:colOff>
      <xdr:row>16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A5332-9500-46B1-A9EE-299218DCD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3</xdr:row>
      <xdr:rowOff>47625</xdr:rowOff>
    </xdr:from>
    <xdr:to>
      <xdr:col>15</xdr:col>
      <xdr:colOff>298450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42A6E4-1A6E-4A3B-ACFF-37D8FC917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536575</xdr:colOff>
      <xdr:row>2</xdr:row>
      <xdr:rowOff>174625</xdr:rowOff>
    </xdr:from>
    <xdr:to>
      <xdr:col>15</xdr:col>
      <xdr:colOff>231775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5E8F4-B998-4EBF-BB64-DA9CEEA54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vera Fontela, Leila" refreshedDate="44566.32481435185" createdVersion="6" refreshedVersion="6" minRefreshableVersion="3" recordCount="4116" xr:uid="{32F1D411-899C-42D8-9A46-3C70CB3C3E73}">
  <cacheSource type="worksheet">
    <worksheetSource ref="A1:R4117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vera Fontela, Leila" refreshedDate="44566.344028935186" createdVersion="6" refreshedVersion="6" minRefreshableVersion="3" recordCount="4116" xr:uid="{E9698051-6018-4D07-A653-48157CEBCE03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vera Fontela, Leila" refreshedDate="44566.431596527778" createdVersion="6" refreshedVersion="6" minRefreshableVersion="3" recordCount="4116" xr:uid="{3113FF31-E02D-4F40-8710-AB5137BCFB52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ECE9B4-EDB9-4FB4-B085-A5AF421B9DE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0"/>
        <item h="1" x="3"/>
        <item x="2"/>
        <item x="1"/>
        <item n=" "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A8A7B-6DD1-4C1D-A15B-AA9D5509568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 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4C4D0-76CF-4604-96A9-B4A5803D99F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 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B8CDF-CEB6-4C6B-941D-6C97FEDF789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 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="95" zoomScaleNormal="95" workbookViewId="0">
      <pane ySplit="1" topLeftCell="A2" activePane="bottomLeft" state="frozen"/>
      <selection pane="bottomLeft" activeCell="A541" sqref="A541:A384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7.72656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0.36328125" customWidth="1"/>
    <col min="16" max="16" width="21.54296875" customWidth="1"/>
    <col min="17" max="17" width="41.1796875" customWidth="1"/>
    <col min="18" max="18" width="15.26953125" customWidth="1"/>
    <col min="19" max="19" width="26" style="15" customWidth="1"/>
    <col min="20" max="20" width="25.08984375" style="15" customWidth="1"/>
    <col min="21" max="21" width="21.4531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8367</v>
      </c>
      <c r="T1" s="14" t="s">
        <v>8368</v>
      </c>
      <c r="U1" s="20" t="s">
        <v>8381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7" si="321">IFERROR(ROUND(E4099/L4099,2),0)</f>
        <v>0</v>
      </c>
      <c r="Q4099" s="10" t="s">
        <v>8315</v>
      </c>
      <c r="R4099" t="s">
        <v>8316</v>
      </c>
      <c r="S4099" s="15">
        <f t="shared" ref="S4099:S4117" si="322">(((J4099/60)/60)/24)+DATE(1970,1,1)</f>
        <v>42344.824502314819</v>
      </c>
      <c r="T4099" s="15">
        <f t="shared" ref="T4099:T4117" si="323">(((I4099/60)/60)/24)+DATE(1970,1,1)</f>
        <v>42400.996527777781</v>
      </c>
      <c r="U4099">
        <f t="shared" ref="U4099:U4117" si="324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  <row r="4116" spans="1:21" x14ac:dyDescent="0.35">
      <c r="P4116">
        <f t="shared" si="321"/>
        <v>0</v>
      </c>
      <c r="S4116" s="15">
        <f t="shared" si="322"/>
        <v>25569</v>
      </c>
      <c r="T4116" s="15">
        <f t="shared" si="323"/>
        <v>25569</v>
      </c>
      <c r="U4116">
        <f t="shared" si="324"/>
        <v>1970</v>
      </c>
    </row>
    <row r="4117" spans="1:21" x14ac:dyDescent="0.35">
      <c r="P4117">
        <f t="shared" si="321"/>
        <v>0</v>
      </c>
      <c r="S4117" s="15">
        <f t="shared" si="322"/>
        <v>25569</v>
      </c>
      <c r="T4117" s="15">
        <f t="shared" si="323"/>
        <v>25569</v>
      </c>
      <c r="U4117">
        <f t="shared" si="324"/>
        <v>1970</v>
      </c>
    </row>
  </sheetData>
  <autoFilter ref="A1:U4117" xr:uid="{0D66AC5A-B7E3-4F87-967A-0BB794A9DBF0}"/>
  <conditionalFormatting sqref="F1:F1048576">
    <cfRule type="cellIs" dxfId="4" priority="3" operator="equal">
      <formula>"canceled"</formula>
    </cfRule>
    <cfRule type="cellIs" dxfId="3" priority="4" operator="equal">
      <formula>"Canceled 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theme="8" tint="-0.249977111117893"/>
      </colorScale>
    </cfRule>
    <cfRule type="colorScale" priority="2">
      <colorScale>
        <cfvo type="min"/>
        <cfvo type="max"/>
        <color rgb="FFC0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4A659-D27F-4C07-AA95-B461B68C9AC6}">
  <dimension ref="A1:E18"/>
  <sheetViews>
    <sheetView workbookViewId="0">
      <selection activeCell="A22" sqref="A22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8.089843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1" t="s">
        <v>8358</v>
      </c>
      <c r="B1" t="s">
        <v>8315</v>
      </c>
    </row>
    <row r="2" spans="1:5" x14ac:dyDescent="0.35">
      <c r="A2" s="11" t="s">
        <v>8381</v>
      </c>
      <c r="B2" t="s">
        <v>8365</v>
      </c>
    </row>
    <row r="4" spans="1:5" x14ac:dyDescent="0.35">
      <c r="A4" s="11" t="s">
        <v>8364</v>
      </c>
      <c r="B4" s="11" t="s">
        <v>8360</v>
      </c>
    </row>
    <row r="5" spans="1:5" x14ac:dyDescent="0.35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6" t="s">
        <v>8369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6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6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6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6" t="s">
        <v>8370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6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6" t="s">
        <v>8371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6" t="s">
        <v>8372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6" t="s">
        <v>8373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6" t="s">
        <v>8374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6" t="s">
        <v>8375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6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265FE-82C3-41F5-AF0A-7F6076AD61C3}">
  <dimension ref="A1:H13"/>
  <sheetViews>
    <sheetView tabSelected="1" workbookViewId="0">
      <selection activeCell="I12" sqref="I12"/>
    </sheetView>
  </sheetViews>
  <sheetFormatPr defaultRowHeight="14.5" x14ac:dyDescent="0.35"/>
  <cols>
    <col min="1" max="1" width="16.81640625" style="17" customWidth="1"/>
    <col min="2" max="2" width="17.08984375" style="17" customWidth="1"/>
    <col min="3" max="3" width="18.7265625" style="17" customWidth="1"/>
    <col min="4" max="4" width="18.6328125" style="17" customWidth="1"/>
    <col min="5" max="5" width="18.54296875" style="17" customWidth="1"/>
    <col min="6" max="7" width="19.36328125" style="17" customWidth="1"/>
    <col min="8" max="8" width="19.7265625" style="17" customWidth="1"/>
    <col min="9" max="9" width="10" style="17" customWidth="1"/>
    <col min="10" max="16384" width="8.7265625" style="17"/>
  </cols>
  <sheetData>
    <row r="1" spans="1:8" x14ac:dyDescent="0.35">
      <c r="A1" s="17" t="s">
        <v>8382</v>
      </c>
      <c r="B1" s="17" t="s">
        <v>8385</v>
      </c>
      <c r="C1" s="17" t="s">
        <v>8386</v>
      </c>
      <c r="D1" s="17" t="s">
        <v>8387</v>
      </c>
      <c r="E1" s="17" t="s">
        <v>8388</v>
      </c>
      <c r="F1" s="17" t="s">
        <v>8389</v>
      </c>
      <c r="G1" s="17" t="s">
        <v>8390</v>
      </c>
      <c r="H1" s="17" t="s">
        <v>8391</v>
      </c>
    </row>
    <row r="2" spans="1:8" x14ac:dyDescent="0.35">
      <c r="A2" s="17" t="s">
        <v>8392</v>
      </c>
      <c r="B2" s="17">
        <f>COUNTIFS(Kickstarter!$D:$D, "&lt;1000", Kickstarter!$F:$F, "successful", Kickstarter!$R:$R, "plays")</f>
        <v>141</v>
      </c>
      <c r="C2" s="17">
        <f>COUNTIFS(Kickstarter!$D:$D, "&lt;1000", Kickstarter!$F:$F, "failed", Kickstarter!$R:$R, "plays")</f>
        <v>45</v>
      </c>
      <c r="D2" s="17">
        <f>COUNTIFS(Kickstarter!$D:$D, "&lt;1000", Kickstarter!$F:$F, "canceled", Kickstarter!$R:$R, "plays")</f>
        <v>0</v>
      </c>
      <c r="E2" s="17">
        <f>SUM(B2+C2+D2)</f>
        <v>186</v>
      </c>
      <c r="F2" s="21">
        <f>(B2/E2)*100</f>
        <v>75.806451612903231</v>
      </c>
      <c r="G2" s="21">
        <f>(C2/E2)*100</f>
        <v>24.193548387096776</v>
      </c>
      <c r="H2" s="17">
        <f>(D2/E2)*100</f>
        <v>0</v>
      </c>
    </row>
    <row r="3" spans="1:8" x14ac:dyDescent="0.35">
      <c r="A3" s="17" t="s">
        <v>8393</v>
      </c>
      <c r="B3" s="17">
        <f>COUNTIFS(Kickstarter!$D:$D, "&gt;=1000", Kickstarter!$F:$F, "successful", Kickstarter!$D:$D, "&lt;=4999", Kickstarter!$R:$R, "plays")</f>
        <v>388</v>
      </c>
      <c r="C3" s="17">
        <f>COUNTIFS(Kickstarter!$D:$D, "&gt;=1000", Kickstarter!$F:$F, "failed", Kickstarter!$D:$D, "&lt;=4999", Kickstarter!$R:$R, "plays")</f>
        <v>146</v>
      </c>
      <c r="D3" s="17">
        <f>COUNTIFS(Kickstarter!$D:$D, "&gt;=1000", Kickstarter!$F:$F, "canceled", Kickstarter!$D:$D, "&lt;=4999", Kickstarter!$R:$R, "plays")</f>
        <v>0</v>
      </c>
      <c r="E3" s="17">
        <f t="shared" ref="E3:E13" si="0">SUM(B3+C3+D3)</f>
        <v>534</v>
      </c>
      <c r="F3" s="21">
        <f t="shared" ref="F3:F13" si="1">(B3/E3)*100</f>
        <v>72.659176029962552</v>
      </c>
      <c r="G3" s="21">
        <f t="shared" ref="G3:G13" si="2">(C3/E3)*100</f>
        <v>27.340823970037455</v>
      </c>
      <c r="H3" s="17">
        <f t="shared" ref="H3:H13" si="3">(D3/E3)*100</f>
        <v>0</v>
      </c>
    </row>
    <row r="4" spans="1:8" x14ac:dyDescent="0.35">
      <c r="A4" s="17" t="s">
        <v>8394</v>
      </c>
      <c r="B4" s="17">
        <f>COUNTIFS(Kickstarter!$D:$D, "&gt;=5000", Kickstarter!$F:$F, "successful", Kickstarter!$D:$D, "&lt;=9999", Kickstarter!$R:$R, "plays")</f>
        <v>93</v>
      </c>
      <c r="C4" s="17">
        <f>COUNTIFS(Kickstarter!$D:$D, "&gt;=5000", Kickstarter!$F:$F, "failed", Kickstarter!$D:$D, "&lt;=9999", Kickstarter!$R:$R, "plays")</f>
        <v>76</v>
      </c>
      <c r="D4" s="17">
        <f>COUNTIFS(Kickstarter!$D:$D, "&gt;=5000", Kickstarter!$F:$F, "canceled", Kickstarter!$D:$D, "&lt;=9999", Kickstarter!$R:$R, "plays")</f>
        <v>0</v>
      </c>
      <c r="E4" s="17">
        <f t="shared" si="0"/>
        <v>169</v>
      </c>
      <c r="F4" s="21">
        <f t="shared" si="1"/>
        <v>55.029585798816569</v>
      </c>
      <c r="G4" s="21">
        <f t="shared" si="2"/>
        <v>44.970414201183431</v>
      </c>
      <c r="H4" s="17">
        <f t="shared" si="3"/>
        <v>0</v>
      </c>
    </row>
    <row r="5" spans="1:8" x14ac:dyDescent="0.35">
      <c r="A5" s="17" t="s">
        <v>8395</v>
      </c>
      <c r="B5" s="17">
        <f>COUNTIFS(Kickstarter!$D:$D, "&gt;=10000", Kickstarter!$F:$F, "successful", Kickstarter!$D:$D, "&lt;=14999", Kickstarter!$R:$R, "plays")</f>
        <v>39</v>
      </c>
      <c r="C5" s="17">
        <f>COUNTIFS(Kickstarter!$D:$D, "&gt;=10000", Kickstarter!$F:$F, "failed", Kickstarter!$D:$D, "&lt;=14999", Kickstarter!$R:$R, "plays")</f>
        <v>33</v>
      </c>
      <c r="D5" s="17">
        <f>COUNTIFS(Kickstarter!$D:$D, "&gt;=10000", Kickstarter!$F:$F, "canceled", Kickstarter!$D:$D, "&lt;=14999", Kickstarter!$R:$R, "plays")</f>
        <v>0</v>
      </c>
      <c r="E5" s="17">
        <f t="shared" si="0"/>
        <v>72</v>
      </c>
      <c r="F5" s="21">
        <f t="shared" si="1"/>
        <v>54.166666666666664</v>
      </c>
      <c r="G5" s="21">
        <f t="shared" si="2"/>
        <v>45.833333333333329</v>
      </c>
      <c r="H5" s="17">
        <f t="shared" si="3"/>
        <v>0</v>
      </c>
    </row>
    <row r="6" spans="1:8" x14ac:dyDescent="0.35">
      <c r="A6" s="17" t="s">
        <v>8396</v>
      </c>
      <c r="B6" s="17">
        <f>COUNTIFS(Kickstarter!$D:$D, "&gt;=15000", Kickstarter!$F:$F, "successful", Kickstarter!$D:$D, "&lt;=19999", Kickstarter!$R:$R, "plays")</f>
        <v>12</v>
      </c>
      <c r="C6" s="17">
        <f>COUNTIFS(Kickstarter!$D:$D, "&gt;=15000", Kickstarter!$F:$F, "failed", Kickstarter!$D:$D, "&lt;=19999", Kickstarter!$R:$R, "plays")</f>
        <v>12</v>
      </c>
      <c r="D6" s="17">
        <f>COUNTIFS(Kickstarter!$D:$D, "&gt;=15000", Kickstarter!$F:$F, "canceled", Kickstarter!$D:$D, "&lt;=19999", Kickstarter!$R:$R, "plays")</f>
        <v>0</v>
      </c>
      <c r="E6" s="17">
        <f t="shared" si="0"/>
        <v>24</v>
      </c>
      <c r="F6" s="21">
        <f t="shared" si="1"/>
        <v>50</v>
      </c>
      <c r="G6" s="21">
        <f t="shared" si="2"/>
        <v>50</v>
      </c>
      <c r="H6" s="17">
        <f t="shared" si="3"/>
        <v>0</v>
      </c>
    </row>
    <row r="7" spans="1:8" x14ac:dyDescent="0.35">
      <c r="A7" s="17" t="s">
        <v>8397</v>
      </c>
      <c r="B7" s="17">
        <f>COUNTIFS(Kickstarter!$D:$D, "&gt;=20000", Kickstarter!$F:$F, "successful", Kickstarter!$D:$D, "&lt;=24999", Kickstarter!$R:$R, "plays")</f>
        <v>9</v>
      </c>
      <c r="C7" s="17">
        <f>COUNTIFS(Kickstarter!$D:$D, "&gt;=20000", Kickstarter!$F:$F, "failed", Kickstarter!$D:$D, "&lt;=24999", Kickstarter!$R:$R, "plays")</f>
        <v>11</v>
      </c>
      <c r="D7" s="17">
        <f>COUNTIFS(Kickstarter!$D:$D, "&gt;=20000", Kickstarter!$F:$F, "canceled", Kickstarter!$D:$D, "&lt;=24999", Kickstarter!$R:$R, "plays")</f>
        <v>0</v>
      </c>
      <c r="E7" s="17">
        <f t="shared" si="0"/>
        <v>20</v>
      </c>
      <c r="F7" s="21">
        <f t="shared" si="1"/>
        <v>45</v>
      </c>
      <c r="G7" s="21">
        <f>(C7/E7)*100</f>
        <v>55.000000000000007</v>
      </c>
      <c r="H7" s="17">
        <f t="shared" si="3"/>
        <v>0</v>
      </c>
    </row>
    <row r="8" spans="1:8" x14ac:dyDescent="0.35">
      <c r="A8" s="17" t="s">
        <v>8398</v>
      </c>
      <c r="B8" s="17">
        <f>COUNTIFS(Kickstarter!$D:$D, "&gt;=25000", Kickstarter!$F:$F, "successful", Kickstarter!$D:$D, "&lt;=29999", Kickstarter!$R:$R, "plays")</f>
        <v>1</v>
      </c>
      <c r="C8" s="17">
        <f>COUNTIFS(Kickstarter!$D:$D, "&gt;=25000", Kickstarter!$F:$F, "failed", Kickstarter!$D:$D, "&lt;=29999", Kickstarter!$R:$R, "plays")</f>
        <v>4</v>
      </c>
      <c r="D8" s="17">
        <f>COUNTIFS(Kickstarter!$D:$D, "&gt;=25000", Kickstarter!$F:$F, "canceled", Kickstarter!$D:$D, "&lt;=29999", Kickstarter!$R:$R, "plays")</f>
        <v>0</v>
      </c>
      <c r="E8" s="17">
        <f t="shared" si="0"/>
        <v>5</v>
      </c>
      <c r="F8" s="21">
        <f t="shared" si="1"/>
        <v>20</v>
      </c>
      <c r="G8" s="21">
        <f t="shared" si="2"/>
        <v>80</v>
      </c>
      <c r="H8" s="17">
        <f t="shared" si="3"/>
        <v>0</v>
      </c>
    </row>
    <row r="9" spans="1:8" x14ac:dyDescent="0.35">
      <c r="A9" s="17" t="s">
        <v>8403</v>
      </c>
      <c r="B9" s="17">
        <f>COUNTIFS(Kickstarter!$D:$D, "&gt;=30000", Kickstarter!$F:$F, "successful", Kickstarter!$D:$D, "&lt;=34999", Kickstarter!$R:$R, "plays")</f>
        <v>3</v>
      </c>
      <c r="C9" s="17">
        <f>COUNTIFS(Kickstarter!$D:$D, "&gt;=30000", Kickstarter!$F:$F, "failed", Kickstarter!$D:$D, "&lt;=34999", Kickstarter!$R:$R, "plays")</f>
        <v>8</v>
      </c>
      <c r="D9" s="17">
        <f>COUNTIFS(Kickstarter!$D:$D, "&gt;=30000", Kickstarter!$F:$F, "canceled", Kickstarter!$D:$D, "&lt;=34999", Kickstarter!$R:$R, "plays")</f>
        <v>0</v>
      </c>
      <c r="E9" s="17">
        <f t="shared" si="0"/>
        <v>11</v>
      </c>
      <c r="F9" s="21">
        <f t="shared" si="1"/>
        <v>27.27272727272727</v>
      </c>
      <c r="G9" s="21">
        <f t="shared" si="2"/>
        <v>72.727272727272734</v>
      </c>
      <c r="H9" s="17">
        <f t="shared" si="3"/>
        <v>0</v>
      </c>
    </row>
    <row r="10" spans="1:8" x14ac:dyDescent="0.35">
      <c r="A10" s="17" t="s">
        <v>8399</v>
      </c>
      <c r="B10" s="17">
        <f>COUNTIFS(Kickstarter!$D:$D, "&gt;=35000", Kickstarter!$F:$F, "successful", Kickstarter!$D:$D, "&lt;=39999", Kickstarter!$R:$R, "plays")</f>
        <v>4</v>
      </c>
      <c r="C10" s="17">
        <f>COUNTIFS(Kickstarter!$D:$D, "&gt;=35000", Kickstarter!$F:$F, "failed", Kickstarter!$D:$D, "&lt;=39999", Kickstarter!$R:$R, "plays")</f>
        <v>2</v>
      </c>
      <c r="D10" s="17">
        <f>COUNTIFS(Kickstarter!$D:$D, "&gt;=35000", Kickstarter!$F:$F, "canceled", Kickstarter!$D:$D, "&lt;=39999", Kickstarter!$R:$R, "plays")</f>
        <v>0</v>
      </c>
      <c r="E10" s="17">
        <f t="shared" si="0"/>
        <v>6</v>
      </c>
      <c r="F10" s="21">
        <f t="shared" si="1"/>
        <v>66.666666666666657</v>
      </c>
      <c r="G10" s="21">
        <f t="shared" si="2"/>
        <v>33.333333333333329</v>
      </c>
      <c r="H10" s="17">
        <f t="shared" si="3"/>
        <v>0</v>
      </c>
    </row>
    <row r="11" spans="1:8" x14ac:dyDescent="0.35">
      <c r="A11" s="17" t="s">
        <v>8400</v>
      </c>
      <c r="B11" s="17">
        <f>COUNTIFS(Kickstarter!$D:$D, "&gt;=40000", Kickstarter!$F:$F, "successful", Kickstarter!$D:$D, "&lt;=44999", Kickstarter!$R:$R, "plays")</f>
        <v>2</v>
      </c>
      <c r="C11" s="17">
        <f>COUNTIFS(Kickstarter!$D:$D, "&gt;=40000", Kickstarter!$F:$F, "failed", Kickstarter!$D:$D, "&lt;=44999", Kickstarter!$R:$R, "plays")</f>
        <v>1</v>
      </c>
      <c r="D11" s="17">
        <f>COUNTIFS(Kickstarter!$D:$D, "&gt;=40000", Kickstarter!$F:$F, "canceled", Kickstarter!$D:$D, "&lt;=44999", Kickstarter!$R:$R, "plays")</f>
        <v>0</v>
      </c>
      <c r="E11" s="17">
        <f t="shared" si="0"/>
        <v>3</v>
      </c>
      <c r="F11" s="21">
        <f t="shared" si="1"/>
        <v>66.666666666666657</v>
      </c>
      <c r="G11" s="21">
        <f t="shared" si="2"/>
        <v>33.333333333333329</v>
      </c>
      <c r="H11" s="17">
        <f t="shared" si="3"/>
        <v>0</v>
      </c>
    </row>
    <row r="12" spans="1:8" x14ac:dyDescent="0.35">
      <c r="A12" s="17" t="s">
        <v>8401</v>
      </c>
      <c r="B12" s="17">
        <f>COUNTIFS(Kickstarter!$D:$D, "&gt;=45000", Kickstarter!$F:$F, "successful", Kickstarter!$D:$D, "&lt;=49999", Kickstarter!$R:$R, "plays")</f>
        <v>0</v>
      </c>
      <c r="C12" s="17">
        <f>COUNTIFS(Kickstarter!$D:$D, "&gt;=45000", Kickstarter!$F:$F, "failed", Kickstarter!$D:$D, "&lt;=49999", Kickstarter!$R:$R, "plays")</f>
        <v>1</v>
      </c>
      <c r="D12" s="17">
        <f>COUNTIFS(Kickstarter!$D:$D, "&gt;=45000", Kickstarter!$F:$F, "canceled", Kickstarter!$D:$D, "&lt;=49999", Kickstarter!$R:$R, "plays")</f>
        <v>0</v>
      </c>
      <c r="E12" s="17">
        <f t="shared" si="0"/>
        <v>1</v>
      </c>
      <c r="F12" s="21">
        <f t="shared" si="1"/>
        <v>0</v>
      </c>
      <c r="G12" s="21">
        <f t="shared" si="2"/>
        <v>100</v>
      </c>
      <c r="H12" s="17">
        <f t="shared" si="3"/>
        <v>0</v>
      </c>
    </row>
    <row r="13" spans="1:8" x14ac:dyDescent="0.35">
      <c r="A13" s="17" t="s">
        <v>8402</v>
      </c>
      <c r="B13" s="17">
        <f>COUNTIFS(Kickstarter!$D:$D, "&gt;=50000", Kickstarter!$F:$F, "successful", Kickstarter!$R:$R, "plays")</f>
        <v>2</v>
      </c>
      <c r="C13" s="17">
        <f>COUNTIFS(Kickstarter!$D:$D, "&gt;=50000", Kickstarter!$F:$F, "failed",Kickstarter!$R:$R, "plays")</f>
        <v>14</v>
      </c>
      <c r="D13" s="17">
        <f>COUNTIFS(Kickstarter!$D:$D, "&gt;=50000", Kickstarter!$F:$F, "canceled", Kickstarter!$R:$R, "plays")</f>
        <v>0</v>
      </c>
      <c r="E13" s="17">
        <f t="shared" si="0"/>
        <v>16</v>
      </c>
      <c r="F13" s="21">
        <f t="shared" si="1"/>
        <v>12.5</v>
      </c>
      <c r="G13" s="21">
        <f t="shared" si="2"/>
        <v>87.5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45337-8046-443D-8A76-65CCEE37D895}">
  <dimension ref="A1:F6"/>
  <sheetViews>
    <sheetView workbookViewId="0">
      <selection activeCell="D2" sqref="D2"/>
    </sheetView>
  </sheetViews>
  <sheetFormatPr defaultRowHeight="43" customHeight="1" x14ac:dyDescent="0.35"/>
  <cols>
    <col min="1" max="1" width="30.6328125" style="17" customWidth="1"/>
    <col min="2" max="2" width="48.90625" style="17" customWidth="1"/>
    <col min="3" max="4" width="8.7265625" style="19"/>
    <col min="5" max="5" width="16.7265625" style="17" customWidth="1"/>
    <col min="6" max="6" width="20.81640625" style="17" customWidth="1"/>
    <col min="7" max="16384" width="8.7265625" style="17"/>
  </cols>
  <sheetData>
    <row r="1" spans="1:6" ht="16" customHeight="1" x14ac:dyDescent="0.35">
      <c r="A1" s="17" t="s">
        <v>1</v>
      </c>
      <c r="B1" s="17" t="s">
        <v>4110</v>
      </c>
      <c r="C1" s="19" t="s">
        <v>8382</v>
      </c>
      <c r="D1" s="19" t="s">
        <v>8383</v>
      </c>
      <c r="E1" s="17" t="s">
        <v>8307</v>
      </c>
      <c r="F1" s="17" t="s">
        <v>8384</v>
      </c>
    </row>
    <row r="2" spans="1:6" ht="43" customHeight="1" x14ac:dyDescent="0.3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7">
        <f>VLOOKUP(A2, Kickstarter!B:P, 15, FALSE)</f>
        <v>51.79</v>
      </c>
      <c r="F2" s="17">
        <f>VLOOKUP(A2, Kickstarter!B:L, 11, FALSE)</f>
        <v>39</v>
      </c>
    </row>
    <row r="3" spans="1:6" ht="43" customHeight="1" x14ac:dyDescent="0.3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7">
        <f>VLOOKUP(A3, Kickstarter!B:P, 15, FALSE)</f>
        <v>36.07</v>
      </c>
      <c r="F3" s="17">
        <f>VLOOKUP(A3, Kickstarter!B:L, 11, FALSE)</f>
        <v>56</v>
      </c>
    </row>
    <row r="4" spans="1:6" ht="43" customHeight="1" x14ac:dyDescent="0.3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7">
        <f>VLOOKUP(A4, Kickstarter!B:P, 15, FALSE)</f>
        <v>33.03</v>
      </c>
      <c r="F4" s="17">
        <f>VLOOKUP(A4, Kickstarter!B:L, 11, FALSE)</f>
        <v>78</v>
      </c>
    </row>
    <row r="5" spans="1:6" ht="43" customHeight="1" x14ac:dyDescent="0.3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7">
        <f>VLOOKUP(A5, Kickstarter!B:P, 15, FALSE)</f>
        <v>44.92</v>
      </c>
      <c r="F5" s="17">
        <f>VLOOKUP(A5, Kickstarter!B:L, 11, FALSE)</f>
        <v>26</v>
      </c>
    </row>
    <row r="6" spans="1:6" ht="43" customHeight="1" x14ac:dyDescent="0.3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7">
        <f>VLOOKUP(A6, Kickstarter!B:P, 15, FALSE)</f>
        <v>36.61</v>
      </c>
      <c r="F6" s="17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7FCAF-0DE7-48D1-9668-94F721B333E3}">
  <dimension ref="A1:G15"/>
  <sheetViews>
    <sheetView workbookViewId="0">
      <selection activeCell="L20" sqref="L20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.26953125" bestFit="1" customWidth="1"/>
    <col min="7" max="7" width="10.72656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7" x14ac:dyDescent="0.35">
      <c r="A1" s="11" t="s">
        <v>8222</v>
      </c>
      <c r="B1" t="s">
        <v>8365</v>
      </c>
    </row>
    <row r="3" spans="1:7" x14ac:dyDescent="0.35">
      <c r="A3" s="11" t="s">
        <v>8364</v>
      </c>
      <c r="B3" s="11" t="s">
        <v>8360</v>
      </c>
    </row>
    <row r="4" spans="1:7" x14ac:dyDescent="0.3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8366</v>
      </c>
      <c r="G4" t="s">
        <v>8362</v>
      </c>
    </row>
    <row r="5" spans="1:7" x14ac:dyDescent="0.35">
      <c r="A5" s="12" t="s">
        <v>8308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7" x14ac:dyDescent="0.3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/>
      <c r="G6" s="13">
        <v>200</v>
      </c>
    </row>
    <row r="7" spans="1:7" x14ac:dyDescent="0.35">
      <c r="A7" s="12" t="s">
        <v>8331</v>
      </c>
      <c r="B7" s="13"/>
      <c r="C7" s="13">
        <v>140</v>
      </c>
      <c r="D7" s="13"/>
      <c r="E7" s="13">
        <v>80</v>
      </c>
      <c r="F7" s="13"/>
      <c r="G7" s="13">
        <v>220</v>
      </c>
    </row>
    <row r="8" spans="1:7" x14ac:dyDescent="0.35">
      <c r="A8" s="12" t="s">
        <v>8329</v>
      </c>
      <c r="B8" s="13">
        <v>24</v>
      </c>
      <c r="C8" s="13"/>
      <c r="D8" s="13"/>
      <c r="E8" s="13"/>
      <c r="F8" s="13"/>
      <c r="G8" s="13">
        <v>24</v>
      </c>
    </row>
    <row r="9" spans="1:7" x14ac:dyDescent="0.3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/>
      <c r="G9" s="13">
        <v>700</v>
      </c>
    </row>
    <row r="10" spans="1:7" x14ac:dyDescent="0.35">
      <c r="A10" s="12" t="s">
        <v>8336</v>
      </c>
      <c r="B10" s="13"/>
      <c r="C10" s="13">
        <v>117</v>
      </c>
      <c r="D10" s="13"/>
      <c r="E10" s="13">
        <v>103</v>
      </c>
      <c r="F10" s="13"/>
      <c r="G10" s="13">
        <v>220</v>
      </c>
    </row>
    <row r="11" spans="1:7" x14ac:dyDescent="0.35">
      <c r="A11" s="12" t="s">
        <v>8320</v>
      </c>
      <c r="B11" s="13">
        <v>30</v>
      </c>
      <c r="C11" s="13">
        <v>127</v>
      </c>
      <c r="D11" s="13"/>
      <c r="E11" s="13">
        <v>80</v>
      </c>
      <c r="F11" s="13"/>
      <c r="G11" s="13">
        <v>237</v>
      </c>
    </row>
    <row r="12" spans="1:7" x14ac:dyDescent="0.3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/>
      <c r="G12" s="13">
        <v>600</v>
      </c>
    </row>
    <row r="13" spans="1:7" x14ac:dyDescent="0.3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/>
      <c r="G13" s="13">
        <v>1393</v>
      </c>
    </row>
    <row r="14" spans="1:7" x14ac:dyDescent="0.35">
      <c r="A14" s="12" t="s">
        <v>8361</v>
      </c>
      <c r="B14" s="13"/>
      <c r="C14" s="13"/>
      <c r="D14" s="13"/>
      <c r="E14" s="13"/>
      <c r="F14" s="13"/>
      <c r="G14" s="13"/>
    </row>
    <row r="15" spans="1:7" x14ac:dyDescent="0.35">
      <c r="A15" s="12" t="s">
        <v>8362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25EE6-6A40-4DF9-8442-F1D70466646E}">
  <dimension ref="A1:G48"/>
  <sheetViews>
    <sheetView workbookViewId="0">
      <selection activeCell="M20" sqref="M20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.26953125" bestFit="1" customWidth="1"/>
    <col min="7" max="7" width="10.7265625" bestFit="1" customWidth="1"/>
  </cols>
  <sheetData>
    <row r="1" spans="1:7" x14ac:dyDescent="0.35">
      <c r="A1" s="11" t="s">
        <v>8358</v>
      </c>
      <c r="B1" t="s">
        <v>8365</v>
      </c>
    </row>
    <row r="2" spans="1:7" x14ac:dyDescent="0.35">
      <c r="A2" s="11" t="s">
        <v>8222</v>
      </c>
      <c r="B2" t="s">
        <v>8365</v>
      </c>
    </row>
    <row r="4" spans="1:7" x14ac:dyDescent="0.35">
      <c r="A4" s="11" t="s">
        <v>8364</v>
      </c>
      <c r="B4" s="11" t="s">
        <v>8360</v>
      </c>
    </row>
    <row r="5" spans="1:7" x14ac:dyDescent="0.3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8366</v>
      </c>
      <c r="G5" t="s">
        <v>8362</v>
      </c>
    </row>
    <row r="6" spans="1:7" x14ac:dyDescent="0.35">
      <c r="A6" s="12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35">
      <c r="A7" s="12" t="s">
        <v>8342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35">
      <c r="A8" s="12" t="s">
        <v>8330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35">
      <c r="A9" s="12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35">
      <c r="A10" s="12" t="s">
        <v>8352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35">
      <c r="A11" s="12" t="s">
        <v>8313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35">
      <c r="A12" s="12" t="s">
        <v>8312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35">
      <c r="A13" s="12" t="s">
        <v>8328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35">
      <c r="A14" s="12" t="s">
        <v>8345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35">
      <c r="A15" s="12" t="s">
        <v>8322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35">
      <c r="A16" s="12" t="s">
        <v>8335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35">
      <c r="A17" s="12" t="s">
        <v>8346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35">
      <c r="A18" s="12" t="s">
        <v>8347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35">
      <c r="A19" s="12" t="s">
        <v>8327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35">
      <c r="A20" s="12" t="s">
        <v>8326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35">
      <c r="A21" s="12" t="s">
        <v>8354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35">
      <c r="A22" s="12" t="s">
        <v>8325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35">
      <c r="A23" s="12" t="s">
        <v>8333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35">
      <c r="A24" s="12" t="s">
        <v>8357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35">
      <c r="A25" s="12" t="s">
        <v>8341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35">
      <c r="A26" s="12" t="s">
        <v>8321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35">
      <c r="A27" s="12" t="s">
        <v>8348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35">
      <c r="A28" s="12" t="s">
        <v>8337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35">
      <c r="A29" s="12" t="s">
        <v>8343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35">
      <c r="A30" s="12" t="s">
        <v>8316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35">
      <c r="A31" s="12" t="s">
        <v>8344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35">
      <c r="A32" s="12" t="s">
        <v>8340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35">
      <c r="A33" s="12" t="s">
        <v>8351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35">
      <c r="A34" s="12" t="s">
        <v>8324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35">
      <c r="A35" s="12" t="s">
        <v>8311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35">
      <c r="A36" s="12" t="s">
        <v>8310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35">
      <c r="A37" s="12" t="s">
        <v>8350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35">
      <c r="A38" s="12" t="s">
        <v>8353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3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35">
      <c r="A40" s="12" t="s">
        <v>8349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35">
      <c r="A41" s="12" t="s">
        <v>8309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35">
      <c r="A42" s="12" t="s">
        <v>8339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35">
      <c r="A43" s="12" t="s">
        <v>8332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35">
      <c r="A44" s="12" t="s">
        <v>8319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35">
      <c r="A45" s="12" t="s">
        <v>8318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35">
      <c r="A46" s="12" t="s">
        <v>8338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35">
      <c r="A47" s="12" t="s">
        <v>8361</v>
      </c>
      <c r="B47" s="13"/>
      <c r="C47" s="13"/>
      <c r="D47" s="13"/>
      <c r="E47" s="13"/>
      <c r="F47" s="13"/>
      <c r="G47" s="13"/>
    </row>
    <row r="48" spans="1:7" x14ac:dyDescent="0.35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C2A42-7AA6-4BE9-9815-D7B75CE56ED3}">
  <dimension ref="A1:G18"/>
  <sheetViews>
    <sheetView workbookViewId="0">
      <selection activeCell="Q20" sqref="Q20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.26953125" bestFit="1" customWidth="1"/>
    <col min="7" max="7" width="10.7265625" bestFit="1" customWidth="1"/>
  </cols>
  <sheetData>
    <row r="1" spans="1:7" x14ac:dyDescent="0.35">
      <c r="A1" s="11" t="s">
        <v>8358</v>
      </c>
      <c r="B1" t="s">
        <v>8365</v>
      </c>
    </row>
    <row r="2" spans="1:7" x14ac:dyDescent="0.35">
      <c r="A2" s="11" t="s">
        <v>8381</v>
      </c>
      <c r="B2" t="s">
        <v>8365</v>
      </c>
    </row>
    <row r="4" spans="1:7" x14ac:dyDescent="0.35">
      <c r="A4" s="11" t="s">
        <v>8364</v>
      </c>
      <c r="B4" s="11" t="s">
        <v>8360</v>
      </c>
    </row>
    <row r="5" spans="1:7" x14ac:dyDescent="0.3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8366</v>
      </c>
      <c r="G5" t="s">
        <v>8362</v>
      </c>
    </row>
    <row r="6" spans="1:7" x14ac:dyDescent="0.35">
      <c r="A6" s="16" t="s">
        <v>8369</v>
      </c>
      <c r="B6" s="13">
        <v>34</v>
      </c>
      <c r="C6" s="13">
        <v>149</v>
      </c>
      <c r="D6" s="13">
        <v>2</v>
      </c>
      <c r="E6" s="13">
        <v>182</v>
      </c>
      <c r="F6" s="13"/>
      <c r="G6" s="13">
        <v>367</v>
      </c>
    </row>
    <row r="7" spans="1:7" x14ac:dyDescent="0.35">
      <c r="A7" s="16" t="s">
        <v>8376</v>
      </c>
      <c r="B7" s="13">
        <v>27</v>
      </c>
      <c r="C7" s="13">
        <v>106</v>
      </c>
      <c r="D7" s="13">
        <v>18</v>
      </c>
      <c r="E7" s="13">
        <v>202</v>
      </c>
      <c r="F7" s="13"/>
      <c r="G7" s="13">
        <v>353</v>
      </c>
    </row>
    <row r="8" spans="1:7" x14ac:dyDescent="0.35">
      <c r="A8" s="16" t="s">
        <v>8377</v>
      </c>
      <c r="B8" s="13">
        <v>28</v>
      </c>
      <c r="C8" s="13">
        <v>108</v>
      </c>
      <c r="D8" s="13">
        <v>30</v>
      </c>
      <c r="E8" s="13">
        <v>180</v>
      </c>
      <c r="F8" s="13"/>
      <c r="G8" s="13">
        <v>346</v>
      </c>
    </row>
    <row r="9" spans="1:7" x14ac:dyDescent="0.35">
      <c r="A9" s="16" t="s">
        <v>8378</v>
      </c>
      <c r="B9" s="13">
        <v>27</v>
      </c>
      <c r="C9" s="13">
        <v>102</v>
      </c>
      <c r="D9" s="13"/>
      <c r="E9" s="13">
        <v>192</v>
      </c>
      <c r="F9" s="13"/>
      <c r="G9" s="13">
        <v>321</v>
      </c>
    </row>
    <row r="10" spans="1:7" x14ac:dyDescent="0.35">
      <c r="A10" s="16" t="s">
        <v>8370</v>
      </c>
      <c r="B10" s="13">
        <v>26</v>
      </c>
      <c r="C10" s="13">
        <v>126</v>
      </c>
      <c r="D10" s="13"/>
      <c r="E10" s="13">
        <v>234</v>
      </c>
      <c r="F10" s="13"/>
      <c r="G10" s="13">
        <v>386</v>
      </c>
    </row>
    <row r="11" spans="1:7" x14ac:dyDescent="0.35">
      <c r="A11" s="16" t="s">
        <v>8379</v>
      </c>
      <c r="B11" s="13">
        <v>27</v>
      </c>
      <c r="C11" s="13">
        <v>147</v>
      </c>
      <c r="D11" s="13"/>
      <c r="E11" s="13">
        <v>211</v>
      </c>
      <c r="F11" s="13"/>
      <c r="G11" s="13">
        <v>385</v>
      </c>
    </row>
    <row r="12" spans="1:7" x14ac:dyDescent="0.35">
      <c r="A12" s="16" t="s">
        <v>8371</v>
      </c>
      <c r="B12" s="13">
        <v>43</v>
      </c>
      <c r="C12" s="13">
        <v>150</v>
      </c>
      <c r="D12" s="13"/>
      <c r="E12" s="13">
        <v>194</v>
      </c>
      <c r="F12" s="13"/>
      <c r="G12" s="13">
        <v>387</v>
      </c>
    </row>
    <row r="13" spans="1:7" x14ac:dyDescent="0.35">
      <c r="A13" s="16" t="s">
        <v>8372</v>
      </c>
      <c r="B13" s="13">
        <v>33</v>
      </c>
      <c r="C13" s="13">
        <v>134</v>
      </c>
      <c r="D13" s="13"/>
      <c r="E13" s="13">
        <v>166</v>
      </c>
      <c r="F13" s="13"/>
      <c r="G13" s="13">
        <v>333</v>
      </c>
    </row>
    <row r="14" spans="1:7" x14ac:dyDescent="0.35">
      <c r="A14" s="16" t="s">
        <v>8373</v>
      </c>
      <c r="B14" s="13">
        <v>24</v>
      </c>
      <c r="C14" s="13">
        <v>127</v>
      </c>
      <c r="D14" s="13"/>
      <c r="E14" s="13">
        <v>147</v>
      </c>
      <c r="F14" s="13"/>
      <c r="G14" s="13">
        <v>298</v>
      </c>
    </row>
    <row r="15" spans="1:7" x14ac:dyDescent="0.35">
      <c r="A15" s="16" t="s">
        <v>8374</v>
      </c>
      <c r="B15" s="13">
        <v>20</v>
      </c>
      <c r="C15" s="13">
        <v>149</v>
      </c>
      <c r="D15" s="13"/>
      <c r="E15" s="13">
        <v>183</v>
      </c>
      <c r="F15" s="13"/>
      <c r="G15" s="13">
        <v>352</v>
      </c>
    </row>
    <row r="16" spans="1:7" x14ac:dyDescent="0.35">
      <c r="A16" s="16" t="s">
        <v>8375</v>
      </c>
      <c r="B16" s="13">
        <v>37</v>
      </c>
      <c r="C16" s="13">
        <v>114</v>
      </c>
      <c r="D16" s="13"/>
      <c r="E16" s="13">
        <v>183</v>
      </c>
      <c r="F16" s="13"/>
      <c r="G16" s="13">
        <v>334</v>
      </c>
    </row>
    <row r="17" spans="1:7" x14ac:dyDescent="0.35">
      <c r="A17" s="16" t="s">
        <v>8380</v>
      </c>
      <c r="B17" s="13">
        <v>23</v>
      </c>
      <c r="C17" s="13">
        <v>118</v>
      </c>
      <c r="D17" s="13"/>
      <c r="E17" s="13">
        <v>111</v>
      </c>
      <c r="F17" s="13"/>
      <c r="G17" s="13">
        <v>252</v>
      </c>
    </row>
    <row r="18" spans="1:7" x14ac:dyDescent="0.35">
      <c r="A18" s="16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/>
      <c r="G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Corvera Fontela, Leila</cp:lastModifiedBy>
  <dcterms:created xsi:type="dcterms:W3CDTF">2017-04-20T15:17:24Z</dcterms:created>
  <dcterms:modified xsi:type="dcterms:W3CDTF">2022-01-08T20:26:16Z</dcterms:modified>
</cp:coreProperties>
</file>