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8"/>
  <workbookPr/>
  <mc:AlternateContent xmlns:mc="http://schemas.openxmlformats.org/markup-compatibility/2006">
    <mc:Choice Requires="x15">
      <x15ac:absPath xmlns:x15ac="http://schemas.microsoft.com/office/spreadsheetml/2010/11/ac" url="https://fraunhoferportugal.sharepoint.com/sites/ParentCoachGroup/Shared Documents/ParentCoach/03 Work/03 Aurora/Aurora2 Content/"/>
    </mc:Choice>
  </mc:AlternateContent>
  <xr:revisionPtr revIDLastSave="0" documentId="8_{0AE07F43-B7B1-48FF-AD05-0BA549D20389}" xr6:coauthVersionLast="47" xr6:coauthVersionMax="47" xr10:uidLastSave="{00000000-0000-0000-0000-000000000000}"/>
  <bookViews>
    <workbookView xWindow="10040" yWindow="500" windowWidth="40780" windowHeight="22840" firstSheet="2" activeTab="1" xr2:uid="{00000000-000D-0000-FFFF-FFFF00000000}"/>
  </bookViews>
  <sheets>
    <sheet name="Aurora2 Trial 1 content " sheetId="1" state="hidden" r:id="rId1"/>
    <sheet name="subtopics" sheetId="4" r:id="rId2"/>
    <sheet name="questions" sheetId="6" r:id="rId3"/>
    <sheet name="answers" sheetId="5" r:id="rId4"/>
    <sheet name="Translated Content" sheetId="2" state="hidden" r:id="rId5"/>
    <sheet name="Sheet2" sheetId="3" state="hidden"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74" i="2" l="1"/>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J158" i="2"/>
  <c r="L157" i="2"/>
  <c r="J157" i="2"/>
  <c r="L156" i="2"/>
  <c r="K156" i="2"/>
  <c r="J156" i="2"/>
  <c r="I156" i="2"/>
  <c r="L155" i="2"/>
  <c r="K155" i="2"/>
  <c r="J155" i="2"/>
  <c r="I155" i="2"/>
  <c r="L154" i="2"/>
  <c r="K154" i="2"/>
  <c r="J154" i="2"/>
  <c r="I154" i="2"/>
  <c r="L153" i="2"/>
  <c r="J153" i="2"/>
  <c r="L152" i="2"/>
  <c r="J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J144" i="2"/>
  <c r="L143" i="2"/>
  <c r="K143" i="2"/>
  <c r="J143" i="2"/>
  <c r="I143" i="2"/>
  <c r="L142" i="2"/>
  <c r="K142" i="2"/>
  <c r="J142" i="2"/>
  <c r="I142" i="2"/>
  <c r="L141" i="2"/>
  <c r="K141" i="2"/>
  <c r="J141" i="2"/>
  <c r="I141" i="2"/>
  <c r="L140" i="2"/>
  <c r="J140" i="2"/>
  <c r="L139" i="2"/>
  <c r="K139" i="2"/>
  <c r="J139" i="2"/>
  <c r="I139" i="2"/>
  <c r="L138" i="2"/>
  <c r="K138" i="2"/>
  <c r="J138" i="2"/>
  <c r="I138" i="2"/>
  <c r="L137" i="2"/>
  <c r="K137" i="2"/>
  <c r="J137" i="2"/>
  <c r="I137" i="2"/>
  <c r="L136" i="2"/>
  <c r="J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J128" i="2"/>
  <c r="L127" i="2"/>
  <c r="K127" i="2"/>
  <c r="J127" i="2"/>
  <c r="I127" i="2"/>
  <c r="L126" i="2"/>
  <c r="K126" i="2"/>
  <c r="J126" i="2"/>
  <c r="I126" i="2"/>
  <c r="L125" i="2"/>
  <c r="K125" i="2"/>
  <c r="J125" i="2"/>
  <c r="I125" i="2"/>
  <c r="L124" i="2"/>
  <c r="K124" i="2"/>
  <c r="J124" i="2"/>
  <c r="I124" i="2"/>
  <c r="L123" i="2"/>
  <c r="J123" i="2"/>
  <c r="L122" i="2"/>
  <c r="K122" i="2"/>
  <c r="J122" i="2"/>
  <c r="I122" i="2"/>
  <c r="L121" i="2"/>
  <c r="K121" i="2"/>
  <c r="J121" i="2"/>
  <c r="I121" i="2"/>
  <c r="L120" i="2"/>
  <c r="K120" i="2"/>
  <c r="J120" i="2"/>
  <c r="I120" i="2"/>
  <c r="L119" i="2"/>
  <c r="J119" i="2"/>
  <c r="L118" i="2"/>
  <c r="J118" i="2"/>
  <c r="L117" i="2"/>
  <c r="J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J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J92" i="2"/>
  <c r="L91" i="2"/>
  <c r="J91" i="2"/>
  <c r="L90" i="2"/>
  <c r="K90" i="2"/>
  <c r="J90" i="2"/>
  <c r="I90" i="2"/>
  <c r="L89" i="2"/>
  <c r="K89" i="2"/>
  <c r="J89" i="2"/>
  <c r="I89" i="2"/>
  <c r="L88" i="2"/>
  <c r="K88" i="2"/>
  <c r="J88" i="2"/>
  <c r="I88" i="2"/>
  <c r="L87" i="2"/>
  <c r="J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J78" i="2"/>
  <c r="L77" i="2"/>
  <c r="J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J64" i="2"/>
  <c r="L63" i="2"/>
  <c r="J63" i="2"/>
  <c r="L62" i="2"/>
  <c r="J62" i="2"/>
  <c r="L61" i="2"/>
  <c r="K61" i="2"/>
  <c r="J61" i="2"/>
  <c r="I61" i="2"/>
  <c r="L60" i="2"/>
  <c r="K60" i="2"/>
  <c r="J60" i="2"/>
  <c r="I60" i="2"/>
  <c r="L59" i="2"/>
  <c r="K59" i="2"/>
  <c r="J59" i="2"/>
  <c r="I59" i="2"/>
  <c r="L58" i="2"/>
  <c r="J58" i="2"/>
  <c r="L57" i="2"/>
  <c r="K57" i="2"/>
  <c r="J57" i="2"/>
  <c r="I57" i="2"/>
  <c r="L56" i="2"/>
  <c r="K56" i="2"/>
  <c r="J56" i="2"/>
  <c r="I56" i="2"/>
  <c r="L55" i="2"/>
  <c r="K55" i="2"/>
  <c r="J55" i="2"/>
  <c r="I55" i="2"/>
  <c r="L54" i="2"/>
  <c r="K54" i="2"/>
  <c r="J54" i="2"/>
  <c r="I54" i="2"/>
  <c r="L53" i="2"/>
  <c r="J53" i="2"/>
  <c r="L52" i="2"/>
  <c r="J52" i="2"/>
  <c r="L51" i="2"/>
  <c r="J51" i="2"/>
  <c r="L50" i="2"/>
  <c r="K50" i="2"/>
  <c r="J50" i="2"/>
  <c r="I50" i="2"/>
  <c r="L49" i="2"/>
  <c r="K49" i="2"/>
  <c r="J49" i="2"/>
  <c r="I49" i="2"/>
  <c r="L48" i="2"/>
  <c r="K48" i="2"/>
  <c r="J48" i="2"/>
  <c r="I48" i="2"/>
  <c r="L47" i="2"/>
  <c r="K47" i="2"/>
  <c r="J47" i="2"/>
  <c r="I47" i="2"/>
  <c r="L46" i="2"/>
  <c r="J46" i="2"/>
  <c r="L45" i="2"/>
  <c r="J45" i="2"/>
  <c r="L44" i="2"/>
  <c r="K44" i="2"/>
  <c r="J44" i="2"/>
  <c r="I44" i="2"/>
  <c r="L43" i="2"/>
  <c r="K43" i="2"/>
  <c r="J43" i="2"/>
  <c r="I43" i="2"/>
  <c r="L42" i="2"/>
  <c r="K42" i="2"/>
  <c r="J42" i="2"/>
  <c r="I42" i="2"/>
  <c r="L41" i="2"/>
  <c r="K41" i="2"/>
  <c r="J41" i="2"/>
  <c r="I41" i="2"/>
  <c r="L40" i="2"/>
  <c r="J40" i="2"/>
  <c r="L39" i="2"/>
  <c r="K39" i="2"/>
  <c r="J39" i="2"/>
  <c r="I39" i="2"/>
  <c r="L38" i="2"/>
  <c r="K38" i="2"/>
  <c r="J38" i="2"/>
  <c r="I38" i="2"/>
  <c r="L37" i="2"/>
  <c r="K37" i="2"/>
  <c r="J37" i="2"/>
  <c r="I37" i="2"/>
  <c r="L36" i="2"/>
  <c r="K36" i="2"/>
  <c r="J36" i="2"/>
  <c r="I36" i="2"/>
  <c r="L35" i="2"/>
  <c r="K35" i="2"/>
  <c r="J35" i="2"/>
  <c r="I35" i="2"/>
  <c r="L34" i="2"/>
  <c r="J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J26" i="2"/>
  <c r="L25" i="2"/>
  <c r="J25" i="2"/>
  <c r="L24" i="2"/>
  <c r="J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J11" i="2"/>
  <c r="L10" i="2"/>
  <c r="K10" i="2"/>
  <c r="J10" i="2"/>
  <c r="I10" i="2"/>
  <c r="L9" i="2"/>
  <c r="J9" i="2"/>
  <c r="L8" i="2"/>
  <c r="J8" i="2"/>
  <c r="L7" i="2"/>
  <c r="J7" i="2"/>
  <c r="L6" i="2"/>
  <c r="J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tc={793F3D7B-D0E7-4D40-B5A4-1974EBC56A08}</author>
    <author>tc={C2120DDA-E24E-404E-9924-DB4AC0B62818}</author>
    <author>tc={581D52F7-1A3F-43C6-957B-B66F6B464D44}</author>
    <author>tc={D662924D-DD6C-4983-9A7E-BCD1574526EC}</author>
    <author>tc={C4201A9C-4D5F-43BE-9ADF-961D2821DCF2}</author>
    <author>tc={D4484729-B2B4-4FD6-9485-701B75690F4A}</author>
    <author>tc={843B5797-AE3A-4718-9D3C-7C0BC6E28455}</author>
    <author>tc={C16DC746-A2B7-4910-901C-3BAA81F8937E}</author>
    <author>tc={DBB00F0D-B44F-4725-BBDA-02881D6F7106}</author>
    <author>tc={F326B74F-A4C5-C248-A887-0ED8BC44D0DE}</author>
    <author>tc={2BBFC21B-EA56-1247-BCD5-DDA267A8361B}</author>
    <author>tc={27748CAC-43CD-954E-80F0-3167CFB2E09B}</author>
    <author>tc={5ADF52D0-8FB2-B24F-9F90-6E2270BA9BCF}</author>
    <author>tc={223DC7F4-A169-FD40-BE14-A9A033AEDFDF}</author>
    <author>tc={B9BA3EB7-65AF-47B0-8051-3E0A210E2354}</author>
    <author>tc={938EF5BA-A468-4349-9004-23D57641FE3C}</author>
    <author>tc={06A480E6-7A54-1F4B-9BF3-8387706BDD3D}</author>
  </authors>
  <commentList>
    <comment ref="L3" authorId="0" shapeId="0" xr:uid="{793F3D7B-D0E7-4D40-B5A4-1974EBC56A08}">
      <text>
        <t>[Threaded comment]
Your version of Excel allows you to read this threaded comment; however, any edits to it will get removed if the file is opened in a newer version of Excel. Learn more: https://go.microsoft.com/fwlink/?linkid=870924
Comment:
    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
Reply:
    Changed pacifier to dummy</t>
      </text>
    </comment>
    <comment ref="E8" authorId="1" shapeId="0" xr:uid="{C2120DDA-E24E-404E-9924-DB4AC0B62818}">
      <text>
        <t xml:space="preserve">[Threaded comment]
Your version of Excel allows you to read this threaded comment; however, any edits to it will get removed if the file is opened in a newer version of Excel. Learn more: https://go.microsoft.com/fwlink/?linkid=870924
Comment:
    Only Answer 4 is related to this question.
</t>
      </text>
    </comment>
    <comment ref="F9" authorId="2" shapeId="0" xr:uid="{581D52F7-1A3F-43C6-957B-B66F6B464D44}">
      <text>
        <t>[Threaded comment]
Your version of Excel allows you to read this threaded comment; however, any edits to it will get removed if the file is opened in a newer version of Excel. Learn more: https://go.microsoft.com/fwlink/?linkid=870924
Comment:
    If you were restricting your diet during pregnancy (for example to prevent infections in your baby), you don't need to continue restricting your diet during breastfeeding. 🍽🤱</t>
      </text>
    </comment>
    <comment ref="H9" authorId="3" shapeId="0" xr:uid="{D662924D-DD6C-4983-9A7E-BCD1574526EC}">
      <text>
        <t>[Threaded comment]
Your version of Excel allows you to read this threaded comment; however, any edits to it will get removed if the file is opened in a newer version of Excel. Learn more: https://go.microsoft.com/fwlink/?linkid=870924
Comment:
    Suggest this actually be Answer part 3, and then direct to cell F15</t>
      </text>
    </comment>
    <comment ref="F15" authorId="4" shapeId="0" xr:uid="{C4201A9C-4D5F-43BE-9ADF-961D2821DCF2}">
      <text>
        <t>[Threaded comment]
Your version of Excel allows you to read this threaded comment; however, any edits to it will get removed if the file is opened in a newer version of Excel. Learn more: https://go.microsoft.com/fwlink/?linkid=870924
Comment:
    If you have any questions about medicines or treatments during breastfeeding, please see http://www.e-lactancia.org, or speak to your local healthcare provider.</t>
      </text>
    </comment>
    <comment ref="F21" authorId="5" shapeId="0" xr:uid="{D4484729-B2B4-4FD6-9485-701B75690F4A}">
      <text>
        <t>[Threaded comment]
Your version of Excel allows you to read this threaded comment; however, any edits to it will get removed if the file is opened in a newer version of Excel. Learn more: https://go.microsoft.com/fwlink/?linkid=870924
Comment:
    Infant formulas are commercial products that attempt to be similar to the nutrients in breastmilk.</t>
      </text>
    </comment>
    <comment ref="H21" authorId="6" shapeId="0" xr:uid="{843B5797-AE3A-4718-9D3C-7C0BC6E28455}">
      <text>
        <t>[Threaded comment]
Your version of Excel allows you to read this threaded comment; however, any edits to it will get removed if the file is opened in a newer version of Excel. Learn more: https://go.microsoft.com/fwlink/?linkid=870924
Comment:
    Only the parents of the baby have the right to decide whether to breastfeed exclusively, breastfeed and supplement with formula, or even replace breast milk entirely.</t>
      </text>
    </comment>
    <comment ref="L21" authorId="7" shapeId="0" xr:uid="{C16DC746-A2B7-4910-901C-3BAA81F8937E}">
      <text>
        <t xml:space="preserve">[Threaded comment]
Your version of Excel allows you to read this threaded comment; however, any edits to it will get removed if the file is opened in a newer version of Excel. Learn more: https://go.microsoft.com/fwlink/?linkid=870924
Comment:
    Suggest changing this completely:  
Whatever the infant feeding method, it should be Available, Feasible, Affordable, Sustainable, and Safe.  Do you have any further questions about breast milk and/or breastfeeding that I can help you with?
</t>
      </text>
    </comment>
    <comment ref="D24" authorId="8" shapeId="0" xr:uid="{DBB00F0D-B44F-4725-BBDA-02881D6F7106}">
      <text>
        <t>[Threaded comment]
Your version of Excel allows you to read this threaded comment; however, any edits to it will get removed if the file is opened in a newer version of Excel. Learn more: https://go.microsoft.com/fwlink/?linkid=870924
Comment:
    This is not even a question.  And the answers do not speak to it.</t>
      </text>
    </comment>
    <comment ref="F44" authorId="9" shapeId="0" xr:uid="{F326B74F-A4C5-C248-A887-0ED8BC44D0DE}">
      <text>
        <t>[Threaded comment]
Your version of Excel allows you to read this threaded comment; however, any edits to it will get removed if the file is opened in a newer version of Excel. Learn more: https://go.microsoft.com/fwlink/?linkid=870924
Comment:
    Changes</t>
      </text>
    </comment>
    <comment ref="J44" authorId="10" shapeId="0" xr:uid="{2BBFC21B-EA56-1247-BCD5-DDA267A8361B}">
      <text>
        <t>[Threaded comment]
Your version of Excel allows you to read this threaded comment; however, any edits to it will get removed if the file is opened in a newer version of Excel. Learn more: https://go.microsoft.com/fwlink/?linkid=870924
Comment:
    Slight change to make it easier to understand</t>
      </text>
    </comment>
    <comment ref="J48" authorId="11" shapeId="0" xr:uid="{27748CAC-43CD-954E-80F0-3167CFB2E09B}">
      <text>
        <t>[Threaded comment]
Your version of Excel allows you to read this threaded comment; however, any edits to it will get removed if the file is opened in a newer version of Excel. Learn more: https://go.microsoft.com/fwlink/?linkid=870924
Comment:
    Adjusted the answers a bit</t>
      </text>
    </comment>
    <comment ref="H60" authorId="12" shapeId="0" xr:uid="{5ADF52D0-8FB2-B24F-9F90-6E2270BA9BCF}">
      <text>
        <t>[Threaded comment]
Your version of Excel allows you to read this threaded comment; however, any edits to it will get removed if the file is opened in a newer version of Excel. Learn more: https://go.microsoft.com/fwlink/?linkid=870924
Comment:
    Adjusted</t>
      </text>
    </comment>
    <comment ref="B69" authorId="13" shapeId="0" xr:uid="{223DC7F4-A169-FD40-BE14-A9A033AEDFDF}">
      <text>
        <t xml:space="preserve">[Threaded comment]
Your version of Excel allows you to read this threaded comment; however, any edits to it will get removed if the file is opened in a newer version of Excel. Learn more: https://go.microsoft.com/fwlink/?linkid=870924
Comment:
    Adjusted language
</t>
      </text>
    </comment>
    <comment ref="D69" authorId="14" shapeId="0" xr:uid="{B9BA3EB7-65AF-47B0-8051-3E0A210E2354}">
      <text>
        <t xml:space="preserve">[Threaded comment]
Your version of Excel allows you to read this threaded comment; however, any edits to it will get removed if the file is opened in a newer version of Excel. Learn more: https://go.microsoft.com/fwlink/?linkid=870924
Comment:
    no answers for this set of questions
Reply:
    Added some answers
</t>
      </text>
    </comment>
    <comment ref="F69" authorId="15" shapeId="0" xr:uid="{938EF5BA-A468-4349-9004-23D57641FE3C}">
      <text>
        <t>[Threaded comment]
Your version of Excel allows you to read this threaded comment; however, any edits to it will get removed if the file is opened in a newer version of Excel. Learn more: https://go.microsoft.com/fwlink/?linkid=870924
Comment:
    Changes</t>
      </text>
    </comment>
    <comment ref="H74" authorId="16" shapeId="0" xr:uid="{06A480E6-7A54-1F4B-9BF3-8387706BDD3D}">
      <text>
        <t>[Threaded comment]
Your version of Excel allows you to read this threaded comment; however, any edits to it will get removed if the file is opened in a newer version of Excel. Learn more: https://go.microsoft.com/fwlink/?linkid=870924
Comment:
    Removed Fahrenheit scale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tc={18495803-23F1-174A-BC5A-D6F3E5AC72CC}</author>
  </authors>
  <commentList>
    <comment ref="B6" authorId="0" shapeId="0" xr:uid="{18495803-23F1-174A-BC5A-D6F3E5AC72CC}">
      <text>
        <t xml:space="preserve">[Threaded comment]
Your version of Excel allows you to read this threaded comment; however, any edits to it will get removed if the file is opened in a newer version of Excel. Learn more: https://go.microsoft.com/fwlink/?linkid=870924
Comment:
    Only Answer 4 is related to this question.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tc={F2F2F87A-9F12-FD45-BB29-24D69D86E881}</author>
    <author>tc={7DBCE293-5C17-0C4C-BD16-6890F377040C}</author>
    <author>tc={6A600383-3B19-494E-89CE-2A7BF2512664}</author>
    <author>tc={17DBAC63-F7BC-1B44-8C80-1920B12657BC}</author>
    <author>tc={212D60B4-AEBB-3245-BB8E-9CF258F4E147}</author>
    <author>tc={07531E5F-8324-2A4D-9964-1CAA1EC15F41}</author>
    <author>tc={CF1123A8-8B1B-904B-B747-2ED978327969}</author>
    <author>tc={C279D46C-11B3-044C-9E35-DC5F9CEE548A}</author>
    <author>tc={F2BD60A8-3580-8C4B-8199-242559B602A6}</author>
    <author>tc={A84ACFAF-1DCC-F549-B0E4-FA113120303B}</author>
    <author>tc={4A90CCCC-4484-464D-9CD1-2E1742E268CC}</author>
    <author>tc={84E9AD8F-0F4D-8E4E-937F-F0999EFB91DD}</author>
    <author>tc={BEE31117-80DD-9649-BE34-DAF450B7B22A}</author>
  </authors>
  <commentList>
    <comment ref="S1" authorId="0" shapeId="0" xr:uid="{F2F2F87A-9F12-FD45-BB29-24D69D86E881}">
      <text>
        <t>[Threaded comment]
Your version of Excel allows you to read this threaded comment; however, any edits to it will get removed if the file is opened in a newer version of Excel. Learn more: https://go.microsoft.com/fwlink/?linkid=870924
Comment:
    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
Reply:
    Changed pacifier to dummy</t>
      </text>
    </comment>
    <comment ref="D2" authorId="1" shapeId="0" xr:uid="{7DBCE293-5C17-0C4C-BD16-6890F377040C}">
      <text>
        <t>[Threaded comment]
Your version of Excel allows you to read this threaded comment; however, any edits to it will get removed if the file is opened in a newer version of Excel. Learn more: https://go.microsoft.com/fwlink/?linkid=870924
Comment:
    If you were restricting your diet during pregnancy (for example to prevent infections in your baby), you don't need to continue restricting your diet during breastfeeding. 🍽🤱</t>
      </text>
    </comment>
    <comment ref="I2" authorId="2" shapeId="0" xr:uid="{6A600383-3B19-494E-89CE-2A7BF2512664}">
      <text>
        <t>[Threaded comment]
Your version of Excel allows you to read this threaded comment; however, any edits to it will get removed if the file is opened in a newer version of Excel. Learn more: https://go.microsoft.com/fwlink/?linkid=870924
Comment:
    Suggest this actually be Answer part 3, and then direct to cell F15</t>
      </text>
    </comment>
    <comment ref="D3" authorId="3" shapeId="0" xr:uid="{17DBAC63-F7BC-1B44-8C80-1920B12657BC}">
      <text>
        <t>[Threaded comment]
Your version of Excel allows you to read this threaded comment; however, any edits to it will get removed if the file is opened in a newer version of Excel. Learn more: https://go.microsoft.com/fwlink/?linkid=870924
Comment:
    If you have any questions about medicines or treatments during breastfeeding, please see http://www.e-lactancia.org, or speak to your local healthcare provider.</t>
      </text>
    </comment>
    <comment ref="D4" authorId="4" shapeId="0" xr:uid="{212D60B4-AEBB-3245-BB8E-9CF258F4E147}">
      <text>
        <t>[Threaded comment]
Your version of Excel allows you to read this threaded comment; however, any edits to it will get removed if the file is opened in a newer version of Excel. Learn more: https://go.microsoft.com/fwlink/?linkid=870924
Comment:
    Infant formulas are commercial products that attempt to be similar to the nutrients in breastmilk.</t>
      </text>
    </comment>
    <comment ref="I4" authorId="5" shapeId="0" xr:uid="{07531E5F-8324-2A4D-9964-1CAA1EC15F41}">
      <text>
        <t>[Threaded comment]
Your version of Excel allows you to read this threaded comment; however, any edits to it will get removed if the file is opened in a newer version of Excel. Learn more: https://go.microsoft.com/fwlink/?linkid=870924
Comment:
    Only the parents of the baby have the right to decide whether to breastfeed exclusively, breastfeed and supplement with formula, or even replace breast milk entirely.</t>
      </text>
    </comment>
    <comment ref="S4" authorId="6" shapeId="0" xr:uid="{CF1123A8-8B1B-904B-B747-2ED978327969}">
      <text>
        <t xml:space="preserve">[Threaded comment]
Your version of Excel allows you to read this threaded comment; however, any edits to it will get removed if the file is opened in a newer version of Excel. Learn more: https://go.microsoft.com/fwlink/?linkid=870924
Comment:
    Suggest changing this completely:  
Whatever the infant feeding method, it should be Available, Feasible, Affordable, Sustainable, and Safe.  Do you have any further questions about breast milk and/or breastfeeding that I can help you with?
</t>
      </text>
    </comment>
    <comment ref="D10" authorId="7" shapeId="0" xr:uid="{C279D46C-11B3-044C-9E35-DC5F9CEE548A}">
      <text>
        <t>[Threaded comment]
Your version of Excel allows you to read this threaded comment; however, any edits to it will get removed if the file is opened in a newer version of Excel. Learn more: https://go.microsoft.com/fwlink/?linkid=870924
Comment:
    Changes</t>
      </text>
    </comment>
    <comment ref="N10" authorId="8" shapeId="0" xr:uid="{F2BD60A8-3580-8C4B-8199-242559B602A6}">
      <text>
        <t>[Threaded comment]
Your version of Excel allows you to read this threaded comment; however, any edits to it will get removed if the file is opened in a newer version of Excel. Learn more: https://go.microsoft.com/fwlink/?linkid=870924
Comment:
    Slight change to make it easier to understand</t>
      </text>
    </comment>
    <comment ref="N11" authorId="9" shapeId="0" xr:uid="{A84ACFAF-1DCC-F549-B0E4-FA113120303B}">
      <text>
        <t>[Threaded comment]
Your version of Excel allows you to read this threaded comment; however, any edits to it will get removed if the file is opened in a newer version of Excel. Learn more: https://go.microsoft.com/fwlink/?linkid=870924
Comment:
    Adjusted the answers a bit</t>
      </text>
    </comment>
    <comment ref="I15" authorId="10" shapeId="0" xr:uid="{4A90CCCC-4484-464D-9CD1-2E1742E268CC}">
      <text>
        <t>[Threaded comment]
Your version of Excel allows you to read this threaded comment; however, any edits to it will get removed if the file is opened in a newer version of Excel. Learn more: https://go.microsoft.com/fwlink/?linkid=870924
Comment:
    Adjusted</t>
      </text>
    </comment>
    <comment ref="D17" authorId="11" shapeId="0" xr:uid="{84E9AD8F-0F4D-8E4E-937F-F0999EFB91DD}">
      <text>
        <t>[Threaded comment]
Your version of Excel allows you to read this threaded comment; however, any edits to it will get removed if the file is opened in a newer version of Excel. Learn more: https://go.microsoft.com/fwlink/?linkid=870924
Comment:
    Changes</t>
      </text>
    </comment>
    <comment ref="I19" authorId="12" shapeId="0" xr:uid="{BEE31117-80DD-9649-BE34-DAF450B7B22A}">
      <text>
        <t>[Threaded comment]
Your version of Excel allows you to read this threaded comment; however, any edits to it will get removed if the file is opened in a newer version of Excel. Learn more: https://go.microsoft.com/fwlink/?linkid=870924
Comment:
    Removed Fahrenheit scale</t>
      </text>
    </comment>
  </commentList>
</comments>
</file>

<file path=xl/sharedStrings.xml><?xml version="1.0" encoding="utf-8"?>
<sst xmlns="http://schemas.openxmlformats.org/spreadsheetml/2006/main" count="2428" uniqueCount="1070">
  <si>
    <t>(text before buttons:) Do you want to know more about:</t>
  </si>
  <si>
    <t>SUBTOPIC</t>
  </si>
  <si>
    <t xml:space="preserve">Subtopic heading in question format </t>
  </si>
  <si>
    <t>Answer Index</t>
  </si>
  <si>
    <t>Questions - PT</t>
  </si>
  <si>
    <t>Questions - SA (English)</t>
  </si>
  <si>
    <t>Answer part 1</t>
  </si>
  <si>
    <t>Translation Row Number</t>
  </si>
  <si>
    <t>Answer part 2</t>
  </si>
  <si>
    <t>Answer part 3</t>
  </si>
  <si>
    <t>Answer part 4</t>
  </si>
  <si>
    <t>Answer part 5</t>
  </si>
  <si>
    <t>Answer part 6</t>
  </si>
  <si>
    <t>Answer part 7</t>
  </si>
  <si>
    <t>Related Answer 1</t>
  </si>
  <si>
    <t>Related Answer 2</t>
  </si>
  <si>
    <t>Related Answer 3</t>
  </si>
  <si>
    <t>Related Answer 4</t>
  </si>
  <si>
    <t>Option "More"</t>
  </si>
  <si>
    <t xml:space="preserve"> Related Answer 5</t>
  </si>
  <si>
    <t>Related Answer 6</t>
  </si>
  <si>
    <t>Related Answer 7</t>
  </si>
  <si>
    <t>Related Answer 8</t>
  </si>
  <si>
    <t>Accessories</t>
  </si>
  <si>
    <t>What breastfeeding accessories do I need?</t>
  </si>
  <si>
    <t>A1</t>
  </si>
  <si>
    <t>Should I use breast shells?</t>
  </si>
  <si>
    <t>The vast majority of breastfeeding "accessories" are exactly that: accessories! And they're unnecessary!</t>
  </si>
  <si>
    <t>Nursing pads and breast shells may work if you can't let your nipples air dry.</t>
  </si>
  <si>
    <t>Silicone nipple shields are unnecessary. Even flat or inverted or nipples that are usually pointed inwards but can become erect from coldness (for example) do not require silicone nipple shields.</t>
  </si>
  <si>
    <t xml:space="preserve">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
  </si>
  <si>
    <t>Positioning A15</t>
  </si>
  <si>
    <t>Breast Hygiene A6</t>
  </si>
  <si>
    <t>Prescription drugs A3</t>
  </si>
  <si>
    <t>Do I need to buy nursing pads?</t>
  </si>
  <si>
    <t>Will I need nipple shields?</t>
  </si>
  <si>
    <t>Could I use silver shells?</t>
  </si>
  <si>
    <t>Do I need to buy bottles?</t>
  </si>
  <si>
    <t>Should I offer a pacifier /dummy to the baby?</t>
  </si>
  <si>
    <t>Should I offer a dummy to the baby?</t>
  </si>
  <si>
    <t>Allowed Drinks or Food</t>
  </si>
  <si>
    <t>What can I eat/drink while breastfeeding?</t>
  </si>
  <si>
    <t>A2</t>
  </si>
  <si>
    <t>Can I eat cheese?</t>
  </si>
  <si>
    <t>f you were restricting your diet during pregnancy (for example to prevent infections in your baby), you don't need to continue restricting your diet during breastfeeding. 🍽🤱</t>
  </si>
  <si>
    <t>At this stage only drugs, alcohol and some medications are off-limits. ⛔</t>
  </si>
  <si>
    <t>However, it is advisable to take into account that stimulants such as coffee ☕ and chocolate 🍫 pass through to breast milk so it's worthwhile to be mindful of how much is consumed and assume that the baby will be slightly more awake after the next feeding.</t>
  </si>
  <si>
    <t>Storing milk A18</t>
  </si>
  <si>
    <t>Can I drink coffee?</t>
  </si>
  <si>
    <t>Can I drink wine?</t>
  </si>
  <si>
    <t>Can I eat seafood?</t>
  </si>
  <si>
    <t>Can I have sushi?</t>
  </si>
  <si>
    <t>Can I drink beer?</t>
  </si>
  <si>
    <t>Medication/Treatments</t>
  </si>
  <si>
    <t>I have a prescription, is it safe?</t>
  </si>
  <si>
    <t>A3</t>
  </si>
  <si>
    <t>Can I take paracetamol?</t>
  </si>
  <si>
    <t>If you have any questions about medicines or treatments during breastfeeding, please see http://www.e-lactancia.org, or speak to your local healthcare provider.</t>
  </si>
  <si>
    <t>Site www.e-lactancia.org</t>
  </si>
  <si>
    <t>Allowed foods/drinks A2</t>
  </si>
  <si>
    <t>Can I colour my hair?</t>
  </si>
  <si>
    <t>Can I take amoxicillin?</t>
  </si>
  <si>
    <t>Can I take antibiotics?</t>
  </si>
  <si>
    <t>Can I drink fennel tea?</t>
  </si>
  <si>
    <t>Can I take a pain reliefer?</t>
  </si>
  <si>
    <t>Can I take Panadol?</t>
  </si>
  <si>
    <t>Can I take ibuprofen?</t>
  </si>
  <si>
    <t>Suplementation</t>
  </si>
  <si>
    <t>Do I need extra milk?</t>
  </si>
  <si>
    <t>A4</t>
  </si>
  <si>
    <t>My baby has gained too little weight, I need to suplement?</t>
  </si>
  <si>
    <t>My baby has gained too little weight, Do I need to supplement?</t>
  </si>
  <si>
    <t>Infant formulas are commercial products that attempt to be similar to the nutrients in breastmilk.</t>
  </si>
  <si>
    <t>Only the parents of the baby have the right to decide whether to breastfeed exclusively, breastfeed and supplement with formula, or even replace breast milk entirely.</t>
  </si>
  <si>
    <t>However, parents are under great pressure to turn to formula, which most of the time, occurs due to lack of knowledge or availability to inform and/or support parents.</t>
  </si>
  <si>
    <t>Whatever the infant feeding method, it should be Available, Feasible, Affordable, Sustainable, and Safe.  Do you have any further questions about breast milk and/or breastfeeding that I can help you with?</t>
  </si>
  <si>
    <t>Increase suply A5</t>
  </si>
  <si>
    <t>Enough milk A11</t>
  </si>
  <si>
    <t>On demand A8</t>
  </si>
  <si>
    <t>My baby is hungry and I should give him formula?</t>
  </si>
  <si>
    <t>Do I need to give supplement?</t>
  </si>
  <si>
    <t>My baby will not empty the breast</t>
  </si>
  <si>
    <t>Which formula should I choose?</t>
  </si>
  <si>
    <t>My baby is not satisfied, does he needs more milk?</t>
  </si>
  <si>
    <t>I have low milk suply, should I give a bottle?</t>
  </si>
  <si>
    <t>Milk Suply</t>
  </si>
  <si>
    <t>Is my milk enough?</t>
  </si>
  <si>
    <t>A5</t>
  </si>
  <si>
    <t>How can I increase production?</t>
  </si>
  <si>
    <t>Milk production 💦 is always a function of demand/stimulus.</t>
  </si>
  <si>
    <t>Breastfeeding on demand (whenever the baby wants it), rather than at certain times or on certain schedules, is the best way to ensure that your baby gets all the food she needs.</t>
  </si>
  <si>
    <t>To increase production ⬆ just offer and/or empty your breasts more often. You shouldn't offer the second breast until the first one has been emptied.</t>
  </si>
  <si>
    <t>However, if your baby has completely emptied the first one and wants more, offer the second one. This happens a lot during growth spurts.</t>
  </si>
  <si>
    <t>Weight A23</t>
  </si>
  <si>
    <t>I feel that my milk is not enough, what can I do?</t>
  </si>
  <si>
    <t>Breasts' care</t>
  </si>
  <si>
    <t>How to take care of my breasts?</t>
  </si>
  <si>
    <t>A6</t>
  </si>
  <si>
    <t>How can I wash my breasts?</t>
  </si>
  <si>
    <t>During breastfeeding, there are no specific precautions regarding breast hygiene. 🚿</t>
  </si>
  <si>
    <t>Breastfeeding mothers should just avoid using bath and body products with strong scents. ⚠</t>
  </si>
  <si>
    <t>The best regenerating moisturizer for breasts is actually breast milk itself, so it's a good idea to spread the last few drops 💧 on the nipple and areola and let them dry after feeding and before getting dressed.</t>
  </si>
  <si>
    <t>It's not recommended to use any creams, not even lanolin, because they interfere with the breast's normal production of its own protective substances.</t>
  </si>
  <si>
    <t>Storing milk 17</t>
  </si>
  <si>
    <t>Can I put bepathene?</t>
  </si>
  <si>
    <t>Can I put bepanthen</t>
  </si>
  <si>
    <t>Should I apply lanolin on my breasts?</t>
  </si>
  <si>
    <t>Do I have to clean the breast before breastfeeding?</t>
  </si>
  <si>
    <t>Timings</t>
  </si>
  <si>
    <t>Until when is milk alone enough?</t>
  </si>
  <si>
    <t>A7</t>
  </si>
  <si>
    <t>Until what age can I breastfeed?</t>
  </si>
  <si>
    <t>Until to what age can I breastfeed?</t>
  </si>
  <si>
    <t>According to international recommendations (particularly the World Health Organization), infants should be exclusively breastfed (without absolutely anything else, no water, no juice, or anything) until 6 months of age. 🤱</t>
  </si>
  <si>
    <t>After this, solid foods 🍽 can be introduced, as a supplement to breast milk, which can continue as long as mother and baby like.</t>
  </si>
  <si>
    <t>A8</t>
  </si>
  <si>
    <t>How often should I offer the breast?</t>
  </si>
  <si>
    <t>Every child is different and every mother is different.</t>
  </si>
  <si>
    <t>There aren't any minimum or maximum times, intervals, or amounts when we talk about breastfeeding.</t>
  </si>
  <si>
    <t>It's true that once breastfeeding is well-established (usually after 6 weeks), a baby can empty the breast in just a few minutes, while a newborn may spend more time breastfeeding than not.</t>
  </si>
  <si>
    <t>It is important to respect their natural rhythms.</t>
  </si>
  <si>
    <t>A more active child will always be quicker to nurse than a calmer child.</t>
  </si>
  <si>
    <t>Calmly, with patience and a lot of rest, both (mother and baby) will find their own rhythm.</t>
  </si>
  <si>
    <t>Should I breastfeed every 3 hours?</t>
  </si>
  <si>
    <t>During how long should I breastfeed?</t>
  </si>
  <si>
    <t>During how much time should I offer each breast?</t>
  </si>
  <si>
    <t>Pain</t>
  </si>
  <si>
    <t>Does it hurt?</t>
  </si>
  <si>
    <t>A9</t>
  </si>
  <si>
    <t>Is it normal to hurt?</t>
  </si>
  <si>
    <t>After breastfeeding is well established (usually after 6 weeks without setbacks), it shouldn't be painful anymore.
Pain, sores and cracks are almost always due to a poor latch.</t>
  </si>
  <si>
    <t>More A15</t>
  </si>
  <si>
    <t>A15</t>
  </si>
  <si>
    <t>Why does my breasts hurt me when I breastfeed?</t>
  </si>
  <si>
    <t>Why am I in pain when I breastfeed?</t>
  </si>
  <si>
    <t>Manual Extraction</t>
  </si>
  <si>
    <t>How to know if there is still milk inside?</t>
  </si>
  <si>
    <t>A10</t>
  </si>
  <si>
    <t>How can I relieve tension in my breasts?</t>
  </si>
  <si>
    <t>All breastfeeding mums 🤱 should learn how to express breastmilk by hand for a few key moments 🗝.</t>
  </si>
  <si>
    <t>However, the baby is the only one capable of truly stimulating and completely emptying the breast, which doesn't mean that we can't do it in their absence. 💪</t>
  </si>
  <si>
    <t>Here's how: make a “C” with your thumb and index finger around your areola (where your skin color changes) and first pull back and then slowly forward, while at the same time gentlly squeezing your thumb and index finger together.</t>
  </si>
  <si>
    <t>The milk will come out with more or less fluidity. 💦🌊💧</t>
  </si>
  <si>
    <t>Video /Image</t>
  </si>
  <si>
    <t>My breasts are hard.</t>
  </si>
  <si>
    <t>How can I pump milk for the baby?</t>
  </si>
  <si>
    <t>How do I empty my breasts?</t>
  </si>
  <si>
    <t>Enough Milk</t>
  </si>
  <si>
    <t>How to know if I have enough milk?</t>
  </si>
  <si>
    <t>A11</t>
  </si>
  <si>
    <t>Do I produce enough milk to feed my baby?</t>
  </si>
  <si>
    <t>The only way to know if your baby is getting enough breast milk is by the number of wet nappies during the day.</t>
  </si>
  <si>
    <t>After your milk has come in (usually about 3 days after birth), your baby should have at least 6 wet nappies per day, with clear urine.</t>
  </si>
  <si>
    <t>Weighing your baby before and after feeding is not a good indicator of how much milk your baby is getting because the baby doesn't always nurse the same amount at every feeding. ⛔</t>
  </si>
  <si>
    <t>Pumping or expressing to see how much milk you can get is a false indicator of amount, as no pump is as effective as a baby directly on the breast. Besides, there is no set amount for breast milk.</t>
  </si>
  <si>
    <t>Expressing milk or weighing the baby between feeedings, on their own is meaningless.</t>
  </si>
  <si>
    <t>Each mother, baby, and feeding are unique ❤ and when exclusively breastfeeding, production is always perfectly adapted to the baby's hunger and needs.</t>
  </si>
  <si>
    <t>Breastfeeding on demand (whenever the baby wants) instead of at certain times or schedules ⛔⌚ is the best way to ensure that your baby gets all the food they need.</t>
  </si>
  <si>
    <t>2nd Breast A16</t>
  </si>
  <si>
    <t>Is my baby drinking enough milk?</t>
  </si>
  <si>
    <t>My breasts are soft, do I have milk?</t>
  </si>
  <si>
    <t>My baby cries after feeding, do I not have enough milk?</t>
  </si>
  <si>
    <t>Nipple shields</t>
  </si>
  <si>
    <t>Is it mandatory to keep the nipple shields on?</t>
  </si>
  <si>
    <t>A12</t>
  </si>
  <si>
    <t>Can I remove the silicone nipples?</t>
  </si>
  <si>
    <t>Silicone/latex nipples are not recommended ⚠ as they not only shape an unnatural attachment but also interfere with breastfeeding.</t>
  </si>
  <si>
    <t>If you know how to correct the baby's latch-on, you can simply stop putting the silicone nipple on and insist on the attachment. 🤱</t>
  </si>
  <si>
    <t>Accessories A1</t>
  </si>
  <si>
    <t>Latch-on A15</t>
  </si>
  <si>
    <t>Will the baby latch-on on without silicone nipples?</t>
  </si>
  <si>
    <t>How do I stop using nipple shields?</t>
  </si>
  <si>
    <t>Gas</t>
  </si>
  <si>
    <t>How to prevent baby gas?</t>
  </si>
  <si>
    <t>A13</t>
  </si>
  <si>
    <t>Does my baby swallows air while feeding?</t>
  </si>
  <si>
    <t>If the baby has a proper latch, then it is a perfect vacuum on the breast and they won't swallow any air.</t>
  </si>
  <si>
    <t>Most of the air that is swallowed is from crying or drinking from bottles. 🍼</t>
  </si>
  <si>
    <t>I can help you with the attachment, or colic, or to find help 🤱</t>
  </si>
  <si>
    <t>Colic A22</t>
  </si>
  <si>
    <t>videos</t>
  </si>
  <si>
    <t>HELP (sites?phone numbers)?)</t>
  </si>
  <si>
    <t>How can I stop him/her from swalling air?</t>
  </si>
  <si>
    <t>How can I prevent my baby from getting a lot of wind?</t>
  </si>
  <si>
    <t>Breast milk flow</t>
  </si>
  <si>
    <t>A14</t>
  </si>
  <si>
    <t>Why does my baby chokes a lot?</t>
  </si>
  <si>
    <t>Sometimes, when the flow of milk is too strong or the milk ejection reflex is very fast, the milk can squirt too quickly, which may cause some choking or gagging. In other words, the milk may be coming out with a lot of pressure. 💦</t>
  </si>
  <si>
    <t>Try breastfeeding while leaned back (or even laying down), or try to express the breast to let out the first "squirts" 💦 beforehand and then have your baby breastfeed afterwards.</t>
  </si>
  <si>
    <t>My baby latches but lets go of the breast righ away. What to do?</t>
  </si>
  <si>
    <t>My baby latches but lets go of the breast right away. What to do?</t>
  </si>
  <si>
    <t>I have a lot of milk. Why the baby still struggles with breastfeeding?</t>
  </si>
  <si>
    <t>I have a lot of milk. Why does the baby still struggle with breastfeeding?</t>
  </si>
  <si>
    <t>Attachment and Positioning</t>
  </si>
  <si>
    <t>Is my baby nursing well?</t>
  </si>
  <si>
    <t>How to know if my baby is doing a good breastfeeding latch?</t>
  </si>
  <si>
    <t>For a proper latch, the baby needs to be well positioned and aligned. 🤱</t>
  </si>
  <si>
    <t>In general,  your baby should be positioned so that they are facing your body, and their head, shoulders and hips are in alignment</t>
  </si>
  <si>
    <t>And this is more easily assessed by someone who can see the baby other than the mother who is breastfeeding. 😉</t>
  </si>
  <si>
    <t>Your baby's mouth should be wide open, with her lower lip turned out, and her chin resting on the breast. If the areola is visible, the part above your baby's upper lip should be the most visible part.</t>
  </si>
  <si>
    <t>The baby's tummy should touch the mother's tummy and the baby should approach the breast with its nose in front of the nipple.</t>
  </si>
  <si>
    <t>If it's painful, ⚠ (which is normal for the first few feedings), it's normal for it to be more intense for the first few seconds and then ease during the feeding.</t>
  </si>
  <si>
    <t>Once the milk is flowing, you can sometimes hear them rhythmically swallowing. 😊</t>
  </si>
  <si>
    <t>Pain A9</t>
  </si>
  <si>
    <t>How to improve latching?</t>
  </si>
  <si>
    <t>My baby cries during breastfeeding.</t>
  </si>
  <si>
    <t>How do I know if my baby is breastfeeding well?</t>
  </si>
  <si>
    <t>I have difficulty positioning my baby on the breast.</t>
  </si>
  <si>
    <t>2nd Breast</t>
  </si>
  <si>
    <t>A16</t>
  </si>
  <si>
    <t>Should I give both breasts each time I feed my baby?</t>
  </si>
  <si>
    <t>Like all mammals, we have enough breasts for as many babies as we are prepared to receive. 2 breasts, 2 babies!</t>
  </si>
  <si>
    <t>When we only have one baby, the "rule” is 1 breast = 1 meal. Don't offer your other breast before emptying the first one.</t>
  </si>
  <si>
    <t>We can check they're empty by forming a “C” with our index finger and thumb, around the edge of the areola (where the skin changes color) and squeezing to see if any drops come out. If so, insist on emptying the first breast and don't even offer the second one.</t>
  </si>
  <si>
    <t>The exception is when your milk is coming in, then always offer both (to stimulate production) and/or during growth spurts (in which case 1 might not be enough to satisfy your baby's sudden increase in appetite).</t>
  </si>
  <si>
    <t>(Good thing there's a reserve supply always ready to go, right?) 😉</t>
  </si>
  <si>
    <t>When do I give the second breast?</t>
  </si>
  <si>
    <t>Do I need to alternate breasts?</t>
  </si>
  <si>
    <t>How do I know if I still have milk?</t>
  </si>
  <si>
    <t>Breastfeeding Extraction and Preservation</t>
  </si>
  <si>
    <t>How to manage your breast milk?</t>
  </si>
  <si>
    <t>A17</t>
  </si>
  <si>
    <t>All breastfeeding mums 🤱 should know how to express breastmilk by hand for a few key moments 🗝.</t>
  </si>
  <si>
    <t>Expressing the breastmilk can help relieve engorgement</t>
  </si>
  <si>
    <t>You can use clean chilled cabbage leaves to reduce the pain of engorged breasts, by covering the surface of your breasts with it.  As soon the pain is relieved, remove the leaves as it can reduce your breast milk supply if left on too long.</t>
  </si>
  <si>
    <t>My breasts are hard and painful</t>
  </si>
  <si>
    <t>A18</t>
  </si>
  <si>
    <t>How can I preserve milk?</t>
  </si>
  <si>
    <t>Breast milk can be stored in its own containers or any others that are suitable for food and can be frozen and ❄ warmed up. 🌡</t>
  </si>
  <si>
    <t>When pumping milk for storage, it's important to take care of extra care in handling ✋ the packaging and accessories to be used.</t>
  </si>
  <si>
    <t>It is not recommended to keep it at room temperature because of possible fluctuations during the day.</t>
  </si>
  <si>
    <t>If you're not sure when you'll need the milk, it's always better to freeze it. ❄</t>
  </si>
  <si>
    <t>You can also consolidate the milk pumped during the day in the fridge and then freeze it at night.</t>
  </si>
  <si>
    <t>Preserve Milk A18</t>
  </si>
  <si>
    <t>Warm milk A19</t>
  </si>
  <si>
    <t>Extract Milk A10</t>
  </si>
  <si>
    <t>A19</t>
  </si>
  <si>
    <t>Can the milk go bad?</t>
  </si>
  <si>
    <t>Although breast milk is very stable and rarely spoils, it's important to take some precautions with it! ⚠</t>
  </si>
  <si>
    <t>It shouldn't stay in the refrigerator for more than 48 hours. In the freezer ❄ (-18ºC), it can last up to 6 months.</t>
  </si>
  <si>
    <t>These times are not to be added up, for example it's already been in the fridge for 2 days, it is no longer safe for drinking, you must not freeze it.*</t>
  </si>
  <si>
    <t>(* But it makes an excellent moisturizer in baby bath water.) 😉</t>
  </si>
  <si>
    <t>When in doubt, freezing is ideal.</t>
  </si>
  <si>
    <t>NOTE: When breast milk spoils, it has a certain sour smell (not to be confused with its metallic smell, which is normal) and is chunky (curdled/coagulated).</t>
  </si>
  <si>
    <t>Store Milk A18</t>
  </si>
  <si>
    <t>How long until the milk is good?</t>
  </si>
  <si>
    <t>How long can we store milk before it goes bad?</t>
  </si>
  <si>
    <t>A20</t>
  </si>
  <si>
    <t>How to heat up frozen milk?</t>
  </si>
  <si>
    <t>Breast milk can be heated (or thawed) in different ways, but the safest ways are:</t>
  </si>
  <si>
    <t>1) Stir the container around in hot tap water 🚰 (until it doesn't feel cold anymore; if the milk feels hot, it's already too hot).
OR</t>
  </si>
  <si>
    <t>2) Use a bottle warmer 🍼</t>
  </si>
  <si>
    <t>The ideal temperature is our body temperature, so the milk shouldn't feel hot or cold when we feel it in our hands. ✋</t>
  </si>
  <si>
    <t>How to give milk after being stored?</t>
  </si>
  <si>
    <t>How to warm milk?</t>
  </si>
  <si>
    <t>Witching hour</t>
  </si>
  <si>
    <t>Why my baby is always fussy at the end of the day?</t>
  </si>
  <si>
    <t>A21</t>
  </si>
  <si>
    <t>My child cries a lot at the end of the day, is it colic?</t>
  </si>
  <si>
    <t>Crying in the evening, which extends into the night 🌃 could be different things:</t>
  </si>
  <si>
    <t>a) A reflection of the caregiver's accumulated fatigue. Babies mirror the person who cares for them and when we are tired, the baby feels it and manifests it by prolonged crying.</t>
  </si>
  <si>
    <t>b) The hormone responsible for breast milk peaks between 10:00 pm and 2:00 am. So, increasing feedings during this time increases the likelihood a quiet night with longer periods of sleep. If your baby cries -&gt; breastfeed! 🤱</t>
  </si>
  <si>
    <t>c) If none of the above is true and your baby is pulling up her legs and then stretching them out while crying, with fleeting relief, it may be colic.</t>
  </si>
  <si>
    <t>More</t>
  </si>
  <si>
    <t>Have you ever seen any health conditions that go by the clock? 😉 If there's some crying or irritation that always happens at the same time, usually at the end of the day, it is more likely to be a reflection of the caregiver's fatigue than colic.</t>
  </si>
  <si>
    <t>Have you rested during the day? I know, the housework, everything else you need to do, all the things start to accumulate. Taking care of a baby is an endless and exhausting job. 😴 Take care of yourself!</t>
  </si>
  <si>
    <t>Try to both get some rest, laying down next to your baby (always safely) and sing something calming and very quietly…</t>
  </si>
  <si>
    <t>Or just sit down and close your eyes. If you have a hard time "turning off" your brain, try thinking of the last time you felt completely relaxed: your last massage, that perfect afternoon at the beach or the park in the Sunday sun...💤 😉</t>
  </si>
  <si>
    <t>Baby gas A13</t>
  </si>
  <si>
    <t>My baby cries a lot in the afternoon</t>
  </si>
  <si>
    <t>My baby always cries at dinner time</t>
  </si>
  <si>
    <t>Colics and cramps</t>
  </si>
  <si>
    <t>Is it Colic?</t>
  </si>
  <si>
    <t>A22</t>
  </si>
  <si>
    <t>Does my baby has colic?</t>
  </si>
  <si>
    <t>Many babies 👶 will have episodes of colic between their 3rd - 4th week of life and 3 - 4 months of age. Colic is a self-limited condition, which means that even if nothing is done, it naturally disappears.</t>
  </si>
  <si>
    <t>Inconsolable crying, a firm belly, and crying that is sometimes interrupted when their legs abruptly stretch out are just some of the signs of colic.</t>
  </si>
  <si>
    <t xml:space="preserve">Take care to avoid "miracle cures" found on the market, as these do not work and may cause harm to your baby.  </t>
  </si>
  <si>
    <t>Babies that breastfeed 🤱 on demand are the most prepared to deal with this developmental "difficulty."</t>
  </si>
  <si>
    <t>Making a regular routine of massaging your baby's belly in clockwise 🕔 motion and/or making your baby's legs do bicycle 🚲 movements when he is calm (for example, in the morning) is another way of helping regulate the gases that accumulate in the intestine.</t>
  </si>
  <si>
    <t>Breastfeeding more regularly 🤱 and holding your baby face down on your arm are a few more healthy and natural options to help deal with this difficult phase.</t>
  </si>
  <si>
    <t>This phase is part of children's development and is self-limiting 🙏 (it disappears by itself around the 3rd or 4th month).</t>
  </si>
  <si>
    <t>However sometimes it ends up being magnified by "solutions" ⚠ (such as medications that are used too much, etc. ...), which parents often give and it ends up prolonging this stage until closer to 6 months.</t>
  </si>
  <si>
    <t>Fussy baby A21</t>
  </si>
  <si>
    <t>Enough Milk A11</t>
  </si>
  <si>
    <t>I do not have enough milk in the afternoon</t>
  </si>
  <si>
    <t>How do I know if my baby has colics?</t>
  </si>
  <si>
    <t>How do I know if my baby has colic?</t>
  </si>
  <si>
    <t>Babies Weight</t>
  </si>
  <si>
    <t>How to guarantee a good baby's weight gain</t>
  </si>
  <si>
    <t>A23</t>
  </si>
  <si>
    <t>I'm worried about my baby's weight</t>
  </si>
  <si>
    <t>Babies’ weight gains, which parents are so concerned with, are usually based on averages. 📊</t>
  </si>
  <si>
    <t>This means that healthy children gain more than the average and many other equally healthy children gain less than average without it being considered a problem.</t>
  </si>
  <si>
    <t>If they keep within their percentile (not moving up or down in percentiles) and there are no other signs of concern, weight in itself shouldn't be a concern! 😉</t>
  </si>
  <si>
    <t>More A11</t>
  </si>
  <si>
    <t>More than Breastmilk</t>
  </si>
  <si>
    <t>Does my baby need anything more?</t>
  </si>
  <si>
    <t>A24</t>
  </si>
  <si>
    <t>Can I give my baby water?</t>
  </si>
  <si>
    <t>Babies are recommended to be exclusively breastfed up until the age of 6 months</t>
  </si>
  <si>
    <t>This means that they do not need additional fluid in the form of tea or water as these can make them full and take away their apetite for milk.</t>
  </si>
  <si>
    <t>Soft foods should be only introduced in to the diet once the baby is able to sit up and is able to control their head and hold it in a stable position.</t>
  </si>
  <si>
    <t>Can I give my baby tea?</t>
  </si>
  <si>
    <t>When should I give the baby food?</t>
  </si>
  <si>
    <t>When should I introduce other foods to my baby?</t>
  </si>
  <si>
    <t>ST1</t>
  </si>
  <si>
    <t>Acessórios</t>
  </si>
  <si>
    <t>Izesekeli</t>
  </si>
  <si>
    <t>Que acessórios de amamentação preciso?</t>
  </si>
  <si>
    <t>Yiziphi izesekeli zokuncelisa ibele engizidingayo?</t>
  </si>
  <si>
    <t>ST2</t>
  </si>
  <si>
    <t>Comida e bebidas permitidas</t>
  </si>
  <si>
    <t xml:space="preserve">Iziphuzo noma ukudla okuvumelekile </t>
  </si>
  <si>
    <t>O que posso comer/beber enquanto estou a amamentar?</t>
  </si>
  <si>
    <t xml:space="preserve">Yini engingayidla/engingayiphuza ngesikhathi ngincelisa </t>
  </si>
  <si>
    <t>ST3</t>
  </si>
  <si>
    <t>Medication and Treatments</t>
  </si>
  <si>
    <t>Medicação e tratamentos</t>
  </si>
  <si>
    <t>Imithi kanye Nokwelashwa</t>
  </si>
  <si>
    <t>Tenho uma receita médica, é seguro?</t>
  </si>
  <si>
    <t>Nginencwadi kadokotela engivumela ukuthola imithi ethize, ingabe ilungile?</t>
  </si>
  <si>
    <t>ST4</t>
  </si>
  <si>
    <t>Supplementation</t>
  </si>
  <si>
    <t>Suplementação</t>
  </si>
  <si>
    <t>Ukwengeza</t>
  </si>
  <si>
    <t>Preciso de suplemento?</t>
  </si>
  <si>
    <t>Ngabe ngidinga ubisi olungeziwe</t>
  </si>
  <si>
    <t>ST5</t>
  </si>
  <si>
    <t>Milk Supply</t>
  </si>
  <si>
    <t>Produção de leite</t>
  </si>
  <si>
    <t>Ukunikezwa kobisi</t>
  </si>
  <si>
    <t>O meu leite é suficiente?</t>
  </si>
  <si>
    <t>Ngabe ubisi lwami lwanele?</t>
  </si>
  <si>
    <t>ST6</t>
  </si>
  <si>
    <t>Breast care</t>
  </si>
  <si>
    <t>Cuidados com a mama</t>
  </si>
  <si>
    <t>Ukunakekelwa kwebele</t>
  </si>
  <si>
    <t>Como cuidar das mamas?</t>
  </si>
  <si>
    <t>Ngiwanakekela kanjani amabele ami?</t>
  </si>
  <si>
    <t>ST7</t>
  </si>
  <si>
    <t>Horários</t>
  </si>
  <si>
    <t>Izikhathi</t>
  </si>
  <si>
    <t xml:space="preserve">Até quando é que o leite é suficiente? </t>
  </si>
  <si>
    <t>Ubisi lulodwa lulunge kuze kube inini?</t>
  </si>
  <si>
    <t>ST8</t>
  </si>
  <si>
    <t>Dor</t>
  </si>
  <si>
    <t>Ubuhlungu</t>
  </si>
  <si>
    <t>Dói?</t>
  </si>
  <si>
    <t>Ngabe kubuhlungu?</t>
  </si>
  <si>
    <t>ST9</t>
  </si>
  <si>
    <t>Extração manual</t>
  </si>
  <si>
    <t>Ukukhishwa ngezandla</t>
  </si>
  <si>
    <t>Como sei se ainda tenho leite?</t>
  </si>
  <si>
    <t>Wazi kanjani ukwazi ukuthi lusakhona yin ubisi ngaphakathi?</t>
  </si>
  <si>
    <t>ST10</t>
  </si>
  <si>
    <t>Leite suficiente</t>
  </si>
  <si>
    <t>Ubisi olwanele</t>
  </si>
  <si>
    <t>Como sei se tenho leite suficiente?</t>
  </si>
  <si>
    <t>Ngazi kanjani ukwazi ukuthi nginobisi olwanele?</t>
  </si>
  <si>
    <t>ST11</t>
  </si>
  <si>
    <t>Protetores de mamilos</t>
  </si>
  <si>
    <t>Izivalo zezingono</t>
  </si>
  <si>
    <t>É obrigatório usar os mamilos de silicone?</t>
  </si>
  <si>
    <t>Ingabe kuphoqelekile ukugcina izivikelo zengono zivuliwe?</t>
  </si>
  <si>
    <t>ST12</t>
  </si>
  <si>
    <t>Gases</t>
  </si>
  <si>
    <t>Igesi</t>
  </si>
  <si>
    <t>Como prevenir os gases?</t>
  </si>
  <si>
    <t>ST13</t>
  </si>
  <si>
    <t>Fluxo do leite</t>
  </si>
  <si>
    <t>Indlela yokuphuma kobisi</t>
  </si>
  <si>
    <t>ST14</t>
  </si>
  <si>
    <t>Pega</t>
  </si>
  <si>
    <t>Okunamathiselwe kanye nokuma</t>
  </si>
  <si>
    <t>O meu bebé pega bem?</t>
  </si>
  <si>
    <t>Ingabe ingane yami incela kahle?</t>
  </si>
  <si>
    <t>ST15</t>
  </si>
  <si>
    <t>Both Breasts</t>
  </si>
  <si>
    <t>Ambas as mamas</t>
  </si>
  <si>
    <t>Ibele lesibili</t>
  </si>
  <si>
    <t>ST16</t>
  </si>
  <si>
    <t>Extração e preservação do leite materno</t>
  </si>
  <si>
    <t>Ukukhipha ubisi ebeleni kanye nokulilondoloza</t>
  </si>
  <si>
    <t>Como guardar o leite?</t>
  </si>
  <si>
    <t>Ungaluphatha kanjani ubisi lwakho lwebele?</t>
  </si>
  <si>
    <t>ST17</t>
  </si>
  <si>
    <t>Hora crítica</t>
  </si>
  <si>
    <t>Ihora lokuhlupha kwengane</t>
  </si>
  <si>
    <t>Porque é que o bebé chora muito ao final do dia?</t>
  </si>
  <si>
    <t xml:space="preserve">Kungani ingane yami ihlezi ihlupha njalo ekupheleni kosuku? </t>
  </si>
  <si>
    <t>ST18</t>
  </si>
  <si>
    <t>Cólicas</t>
  </si>
  <si>
    <t>Isisindo senga</t>
  </si>
  <si>
    <t>São cólicas?</t>
  </si>
  <si>
    <t>ST19</t>
  </si>
  <si>
    <t>Peso do bebé</t>
  </si>
  <si>
    <t>Como garantir que o bebé tem um peso adequado?</t>
  </si>
  <si>
    <t>Usiqinisekisa kanjani isisindo esinyukayo esilungile somtwana</t>
  </si>
  <si>
    <t>ST20</t>
  </si>
  <si>
    <t>Solid Foods</t>
  </si>
  <si>
    <t>Comida sólida</t>
  </si>
  <si>
    <t>Ngaphezu kobisi lwebele</t>
  </si>
  <si>
    <t>O bebé precisa de mais alguma coisa?</t>
  </si>
  <si>
    <t>Ingabe umtwana wami udinga ezinye izinto?</t>
  </si>
  <si>
    <t xml:space="preserve">Devo usar conchas de prata? </t>
  </si>
  <si>
    <t>ngabe kufanele ngisebenzise amagobolondo ebele?</t>
  </si>
  <si>
    <t>Preciso comprar mamilos de silicone?</t>
  </si>
  <si>
    <t>Ingabe ngidinga ukuthenga amaphedi amabele?</t>
  </si>
  <si>
    <t>Vou precisar de mamilos de silicone?</t>
  </si>
  <si>
    <t>Ngizodinga izihlangu zezingono?</t>
  </si>
  <si>
    <t>Posso usar conchas de prata?</t>
  </si>
  <si>
    <t>Ngingakwazi ukusebenzisa amagobolondo esiliva?</t>
  </si>
  <si>
    <t>Preciso de comprar biberão?</t>
  </si>
  <si>
    <t>Ingabe ngidinga ukuthenga amabhodlela?</t>
  </si>
  <si>
    <t>Posso dar chupeta?</t>
  </si>
  <si>
    <t>Ngiyinike ingane idamu?</t>
  </si>
  <si>
    <t>Posso comer queijo?</t>
  </si>
  <si>
    <t>Ngingawudla u cheese?</t>
  </si>
  <si>
    <t>Posso beber café?</t>
  </si>
  <si>
    <t>Ngingaliphuza I coffee?</t>
  </si>
  <si>
    <t>Posso beber vinho?</t>
  </si>
  <si>
    <t>Ngingaliphuza I wayini?</t>
  </si>
  <si>
    <t>Posso comer marisco?</t>
  </si>
  <si>
    <t>Ngingakudla ukudla okuqhamuka olwandle?</t>
  </si>
  <si>
    <t>Posso comer sushi?</t>
  </si>
  <si>
    <t>Ngingayidla isushi?</t>
  </si>
  <si>
    <t>Can I drink alcohol?</t>
  </si>
  <si>
    <t>Posso beber cerveja?</t>
  </si>
  <si>
    <t>Ngingabuphuza utshwala?</t>
  </si>
  <si>
    <t>Posso tomar paracetamol?</t>
  </si>
  <si>
    <t>Ngingayithatha i-paracetamol?</t>
  </si>
  <si>
    <t>Posso pintar o cabelo?</t>
  </si>
  <si>
    <t>Ngingazidaya izinwele zami?</t>
  </si>
  <si>
    <t>Posso tomar amoxicicilina?</t>
  </si>
  <si>
    <t>Ngingawathatha ama antibiotics</t>
  </si>
  <si>
    <t>Posso beber chá de funcho?</t>
  </si>
  <si>
    <t>Ngingaliphuza itiye lezikambi elisef'wayo?</t>
  </si>
  <si>
    <t>Can I take a pain killer?</t>
  </si>
  <si>
    <t>Posso tomar um comprimido para as dores?</t>
  </si>
  <si>
    <t>Ngingaliphuza iphilisi lokuqeda izinhlungu?</t>
  </si>
  <si>
    <t>Posso tomar ibuprofeno?</t>
  </si>
  <si>
    <t>Ngingayithatha i-buprofen?</t>
  </si>
  <si>
    <t>O bebé aumentou pouco de peso. Preciso de dar suplemento?</t>
  </si>
  <si>
    <t>Ingane yami isinesisindo esincane kakhulu, Ingabe ngidinga ukwenezela?</t>
  </si>
  <si>
    <t>O meu bebé tem fome. Tenho de dar leite artificial?</t>
  </si>
  <si>
    <t>Ingane yami ilambile, ngiyinike i-formula?</t>
  </si>
  <si>
    <t>Preciso dar suplemento?</t>
  </si>
  <si>
    <t>Ingabe kufanele nginikeze isengezo?</t>
  </si>
  <si>
    <t>O meu bebé não esvazia a mama</t>
  </si>
  <si>
    <t>O bebé não fica saciado</t>
  </si>
  <si>
    <t>Ingane yami ayenelisekile, ingabe idinga ubisi oluningi?</t>
  </si>
  <si>
    <t>Tenho pouco leite. Devo dar biberão?</t>
  </si>
  <si>
    <t>Ngiphuma ubisi oluncane, ngiyinike ibhodlela?</t>
  </si>
  <si>
    <t>Tenho pouco leite. Como aumentar a produção?</t>
  </si>
  <si>
    <t>Ngingakunyusa kanjani ukukhiqizeka kobisi?</t>
  </si>
  <si>
    <t>O meu leite não é suficiente. O que é que posso fazer?</t>
  </si>
  <si>
    <t>Ngizwa sengathi ubisi lwami alwanele, yini engingayenza?</t>
  </si>
  <si>
    <t>Como posso lavar a mama?</t>
  </si>
  <si>
    <t>Ngingangawawasha kanjani amabele ami?</t>
  </si>
  <si>
    <t>Can I put bepanthen?</t>
  </si>
  <si>
    <t>Posso pôr Bepanthen?</t>
  </si>
  <si>
    <t>Ngingafaka I-bepanthen?</t>
  </si>
  <si>
    <t>Devo colocar lanolina nas mamas?</t>
  </si>
  <si>
    <t>Ngingagcoba i-lanolin emabeleni ami?</t>
  </si>
  <si>
    <t>Antes de dar mama tenho de limpar a mama?</t>
  </si>
  <si>
    <t>Kumele ngiwashe amabele ngaphambi kokuncelisa?</t>
  </si>
  <si>
    <t>Até que idade posso dar de mamar?</t>
  </si>
  <si>
    <t>Ngingancelisa ngize ngibe neminyaka emingaki?</t>
  </si>
  <si>
    <t>De quanto em quanto tempo devo oferecer a mama?</t>
  </si>
  <si>
    <t>Kumele ngincelise kangaki?</t>
  </si>
  <si>
    <t>Devo dar mama de 3 em 3h?</t>
  </si>
  <si>
    <t>Ngincelise njalo emvakwamahora angu-3?</t>
  </si>
  <si>
    <r>
      <rPr>
        <sz val="10"/>
        <color rgb="FFFF0000"/>
        <rFont val="Arial"/>
      </rPr>
      <t>During</t>
    </r>
    <r>
      <rPr>
        <sz val="10"/>
        <color rgb="FF000000"/>
        <rFont val="Arial"/>
      </rPr>
      <t xml:space="preserve"> how long should I breastfeed?</t>
    </r>
  </si>
  <si>
    <t>Quanto tempo devo dar mama?</t>
  </si>
  <si>
    <t>Durante quanto tempo é que deve ficar em cada mama?</t>
  </si>
  <si>
    <t>Sinto dor ao dar mama. É normal?</t>
  </si>
  <si>
    <t>Kujwayelekile ukuthi kube buhlungu?</t>
  </si>
  <si>
    <t xml:space="preserve"> É normal doer durante a mamada?</t>
  </si>
  <si>
    <t>Kungani amabele ami ebabuhlungu uma ngincelisa?</t>
  </si>
  <si>
    <t>Porque é que dói quando dou mama?</t>
  </si>
  <si>
    <t>Yindaba ngiba sezinhlugwini uma ngincelisa?</t>
  </si>
  <si>
    <t xml:space="preserve">Como aliviar a tensão na mama? </t>
  </si>
  <si>
    <t xml:space="preserve">Tenho as mamas duras. </t>
  </si>
  <si>
    <t>Amabele ami aqinile.</t>
  </si>
  <si>
    <t xml:space="preserve">Como posso tirar leite para o bebé? </t>
  </si>
  <si>
    <t>Ngingayikhamela kanjani ingane ubisi?</t>
  </si>
  <si>
    <t>Como esvaziar a mama?</t>
  </si>
  <si>
    <t>Ngenza kanjani ukuthi amabele abi angabi nalutho?</t>
  </si>
  <si>
    <t>Estou a produzir leite suficiente?</t>
  </si>
  <si>
    <t>Ngabe ngikhiqiza ubisi olwanele ukuncelisa ingane yami?</t>
  </si>
  <si>
    <t>Como sei se mamou o suficiente?</t>
  </si>
  <si>
    <t>Ingabe ingane yami iphuza ubisi olwanele?</t>
  </si>
  <si>
    <t>Tenho as mamas moles. Tenho leite suficiente?</t>
  </si>
  <si>
    <t>Amabele ami athambile, ngabe nginobisi olwanele?</t>
  </si>
  <si>
    <t>O meu bebé chora porque não tenho leite.</t>
  </si>
  <si>
    <t>Ingane yami iyakhala emvakokuncela, ngabe anginalo ubisi olwanele?</t>
  </si>
  <si>
    <t>Posso retirar os mamilos de silicone?</t>
  </si>
  <si>
    <t>O bebé não pega sem mamilos de silicone</t>
  </si>
  <si>
    <t>Ingabe ingane izobambelela ngaphandle kwezingono ze-silicone?</t>
  </si>
  <si>
    <t>Como retirar os mamilos de silicone?</t>
  </si>
  <si>
    <t>O meu bebé engole muito ar a mamar.</t>
  </si>
  <si>
    <t>Ingabe ingane yami igwinya umoya ngenkathi incela?</t>
  </si>
  <si>
    <t>Como evitar que engula ar?</t>
  </si>
  <si>
    <t>Ngingakuvimba kanjani ukuthi ingane yami ingatholi umoya omningi?</t>
  </si>
  <si>
    <t>O meu bebé engasga-se muito.</t>
  </si>
  <si>
    <t>Kungani ingane yami ixhileka njalo?</t>
  </si>
  <si>
    <t xml:space="preserve"> O meu bebé pega mas larga o peito logo. O que fazer?</t>
  </si>
  <si>
    <t>Ingane yami iyancela kodwa iliyeke ngokushesha ibele. Ngenze njani?</t>
  </si>
  <si>
    <t xml:space="preserve"> Tenho muito leite e o bebé atrapalha-se a mamar.</t>
  </si>
  <si>
    <t>Nginobisi oluningi. Kungani ingane isanenkinga yokuncela ibele?</t>
  </si>
  <si>
    <t>Como saber se o bebé pega bem?</t>
  </si>
  <si>
    <t>Ngazi kanjani ukuthi ingane yami ilincela kahle ibele?</t>
  </si>
  <si>
    <t>Como melhorar a pega?</t>
  </si>
  <si>
    <t>O meu bebé chora durante a mamada.</t>
  </si>
  <si>
    <t>Ingane yami iyakhala ngenkathi incela.</t>
  </si>
  <si>
    <t xml:space="preserve">Como sei se o mama bem? </t>
  </si>
  <si>
    <t>Ngazi kanjani ukuthi ingane yami incela kahle?</t>
  </si>
  <si>
    <t xml:space="preserve"> Tenho dificuldade em colocar o bebé na mama</t>
  </si>
  <si>
    <t>Nginenkinga ukuphatha kahle ingane yami ngiyiqondanise nebele?</t>
  </si>
  <si>
    <t>Devo dar as duas mamas em cada mamada?</t>
  </si>
  <si>
    <t>Ingabe kufanele ngiyinikeze amabele womabili ngesikhathi esisodwa uma ngincelisa ingane yami?</t>
  </si>
  <si>
    <t xml:space="preserve">Quando dou a segunda mama? </t>
  </si>
  <si>
    <t>Ngiyinikeza nini ibele lesibili?</t>
  </si>
  <si>
    <t>Preciso de alternar de mama?</t>
  </si>
  <si>
    <t>Ingabe ngidinga ukushintshanisa amabele?</t>
  </si>
  <si>
    <t>Como sei se já mamou o suficiente?</t>
  </si>
  <si>
    <t>Ngizowazi kanjani ukuthi ngisenalo ubisi?</t>
  </si>
  <si>
    <t>Como aliviar a tensão na mama?</t>
  </si>
  <si>
    <t>Ngingakukhulula kanjani ububhlungu emabeleni ami?</t>
  </si>
  <si>
    <t>Tenho as mamas duras.</t>
  </si>
  <si>
    <t>Amabele ami aqinile futhi abuhlungu</t>
  </si>
  <si>
    <t>Como posso tirar leite para o bebé?</t>
  </si>
  <si>
    <t>Ngingalikhama kanjani ubisi lomntwana?</t>
  </si>
  <si>
    <t>Ngiwakhama kanjani amabele ami?</t>
  </si>
  <si>
    <t>Como guardar leite?</t>
  </si>
  <si>
    <t>Ngingalugcina kanjani ubisi?</t>
  </si>
  <si>
    <t>O leite pode estragar-se?</t>
  </si>
  <si>
    <t>Ingabe lingonakala ubisi?</t>
  </si>
  <si>
    <t>Qual o tempo de conservação do leite?</t>
  </si>
  <si>
    <t>Singakwazi ukugcina ubisi isikhathi esingakanani ngaphambi kokuba lonakale?</t>
  </si>
  <si>
    <t>Como aquecer leite congelado?</t>
  </si>
  <si>
    <t>Ngilifudumeza kanjani ubisi oluyiqhwa?</t>
  </si>
  <si>
    <t>Como dar o leite depois de ter sido guardado?</t>
  </si>
  <si>
    <t>Indlela yokunikeza ubisi ngemva kokugcinwa?</t>
  </si>
  <si>
    <t>Como aquecer o leite?</t>
  </si>
  <si>
    <t>Indlela yokufudumeza ubisi?</t>
  </si>
  <si>
    <t>O bebé chora muito no final da tarde. São cólicas?</t>
  </si>
  <si>
    <t>Ingane yami ikhala kakhulu ekupheleni kosuku, ingabe inomoya esiswini?</t>
  </si>
  <si>
    <t>O meu filho chora muito no final do dia.</t>
  </si>
  <si>
    <t>Ingane yami ikhala kakhulu ntambama</t>
  </si>
  <si>
    <t>À hora de jantar está sempre a chorar.</t>
  </si>
  <si>
    <t>Ingane yami ihlale ikhala ngesikhathi sokudla</t>
  </si>
  <si>
    <t>Does my baby have colic?</t>
  </si>
  <si>
    <t>Como saber se tem cólicas?</t>
  </si>
  <si>
    <t>Ingabe ingane yami ine-colic?</t>
  </si>
  <si>
    <t>Não tenho leite suficiente à tarde.</t>
  </si>
  <si>
    <t>Anginalo ubisi olwanele ntambama</t>
  </si>
  <si>
    <t>Como sei se o bebé tem cólicas?</t>
  </si>
  <si>
    <t>Ngazi kanjani ukuthi ingane yami ine-colic?</t>
  </si>
  <si>
    <t>Estou preocupada com o peso do bebé.</t>
  </si>
  <si>
    <t>Ngikhathazekile ngesisindo somntanami</t>
  </si>
  <si>
    <t>Posso dar água ao bebé?</t>
  </si>
  <si>
    <t>Ngingakwazi ukuphuzisa ingane yami amanzi?</t>
  </si>
  <si>
    <t>Posso dar chá ao bebé?</t>
  </si>
  <si>
    <t>Ngingakwazi ukuphuzisa ingane yami itiye?</t>
  </si>
  <si>
    <t xml:space="preserve"> Quando devo dar comida ao bebé?</t>
  </si>
  <si>
    <t>Kufanele ngiyinikeze nini ingane ukudla?</t>
  </si>
  <si>
    <t>Quando devo introduzir outros alimentos ao bebé?</t>
  </si>
  <si>
    <t>Kufanele ngikuqalise nini okunye ukudla enganeni yami?</t>
  </si>
  <si>
    <t>A grande maioria dos "acessórios" de amamentação são isso mesmo acessórios! E desnecessários!</t>
  </si>
  <si>
    <t>Iningi le "izesekeli" zokuncelisa ibele yilokho kanye: izesekeli! Futhi azidingeki!</t>
  </si>
  <si>
    <t>Die oorgrote meerderheid van "bykomstighede" is presies dit: bykomstighede! En hulle is onnodig!</t>
  </si>
  <si>
    <t>Conchas e protectores podem dar jeito se não se puder deixar a mama secar ao ar.</t>
  </si>
  <si>
    <t>Amaphedi namagobolondo amabele angasebenza uma ungakwazi ukuvumela izingono zakho zizomele.</t>
  </si>
  <si>
    <t>Verpleegkussings en borsskille kan werk as u nie die tepels kan laat droog word nie.</t>
  </si>
  <si>
    <t>Bicos de silicone são desnecessários. Mesmo mamilos rasos ou planos ou que habitualmente estão para dentro mas saiem com o frio (por exemplo) não necessitam de mamilos de silicone.</t>
  </si>
  <si>
    <t>Izihlangu ze-silicone nipple azidingekile. Ngisho ne-flat noma i-inverted noma izingono ezivame ukukhonjwa ngaphakathi kodwa ziyavuka uma kubanda (isibonelo) azidingi izihlangu ze-silicone nipple.</t>
  </si>
  <si>
    <t>Silikoon -tepelskerms is onnodig. Selfs plat of omgekeerde of tepels wat gewoonlik na binne gerig word, maar regop kan word van koudheid (byvoorbeeld), hoef nie silikoon -tepelskerms te benodig nie.</t>
  </si>
  <si>
    <t>Quando se introduzem bicos/mamilos de silicone e/ou biberons/chupetas antes da amamentação estar bem estabelecida, isso induz, muitas vezes, a chamada "confusão de mamilos" levando o/a bebé a fazer uma má pega na mama visto que a forma como tem de se posicionar na mama é completamente diferente da forma como se posiciona com um mamilo de silicone ou numa chupeta. 👶</t>
  </si>
  <si>
    <t>Lapho izihlangu zezingono kanye / noma ama-pacifiers eqaliswa ngaphambi kokuba ukuncelisa ibele kusungulwe kahle, kuvame ukubangela lokho okubizwa ngokuthi "ukudideka kwengono" okwenza ingane yakha i-latch embi ebeleni kusukela indlela okufanele bazibeke ngayo ebeleni ihluke ngokuphelele endleleni abenza ngayo ngesivikelo se-nipple noma i-pacifier/idamu👶</t>
  </si>
  <si>
    <t>As tepelskerms en/of fopspeen ingestel word voordat borsvoeding goed gevestig is, veroorsaak dit dikwels die sogenaamde 'tepelverwarring', wat veroorsaak dat die baba 'n slegte grendel op die bors vorm, aangesien die manier waarop hulle hulself op die bors moet plaas, heeltemal anders is as van mekaar Die manier waarop hulle met 'n tepelskild of fopspeen is. 👶</t>
  </si>
  <si>
    <t>If you were restricting your diet during pregnancy (for example to prevent infections in your baby), you don't need to continue restricting your diet during breastfeeding. 🍽🤱</t>
  </si>
  <si>
    <t>Quando se está a amamentar e mesmo que tenha tido restrições alimentares durante a gravidez (toxoplasmose negativa, por exemplo) não precisa continuar limitada durante a amamentação. 🍽🤱</t>
  </si>
  <si>
    <t>Uma ubunemikhawulo yokudla ngesikhathi sokukhulelwa (ngenxa ye-toxoplasmosis, isibonelo), awudingi ukuqhubeka ukuba nesikhawulo ekudleni kwakho ngesikhathi sokuncelisa.</t>
  </si>
  <si>
    <t>As u dieetbeperkings tydens swangerskap gehad het (byvoorbeeld as gevolg van toksoplasmose), hoef u nie u dieet tydens borsvoeding te beperk nie. 🍽🤱</t>
  </si>
  <si>
    <t>Nesta fase só drogas, alcool e alguns medicamentos é que estão de todo interditos. ⛔</t>
  </si>
  <si>
    <t>"Kulesi sigaba kuphela izidakamizwa, utshwala kanye nemithi ethile yenqatshelwe. ⛔")</t>
  </si>
  <si>
    <t>Op hierdie stadium is slegs dwelms, alkohol en sommige medikasie buite die perke. ⛔</t>
  </si>
  <si>
    <t>No entanto convem ter em conta que excitantes como o café ☕ e chocolate 🍫 passam no leite logo convem ter algum cuidado nas quantidades e assumir que o bebé vai estar ligeiramente mais desperto após a mamada seguinte.</t>
  </si>
  <si>
    <t>Kodwa-ke, kufanelekile ukucabangela ukuthi izikhuthazi ezifana nekhofi noshokoledi ☕ 🍫 zidlula kubisi lwebele ngakho-ke kufanelekile ukuqaphela ukuthi kudliwa kangakanani futhi ucabange ukuthi ingane izobe iphapheme kancane ngemuva kokudla okulandelayo.</t>
  </si>
  <si>
    <t>Dit is egter raadsaam om in ag te neem dat stimulante soos koffie ☕ en sjokolade 🍫 deurgaan na borsmelk, so dit is die moeite werd om bedag te wees op hoeveel verbruik word en aanvaar dat die baba effens meer wakker sal wees na die volgende voeding.</t>
  </si>
  <si>
    <t>Para todas as dúvidas relacionadas com medicamentos ou tratamentos e amamentação, consulta http://www.e-lactancia.org</t>
  </si>
  <si>
    <t>Kuyo yonke imibuzo ehlobene nemithi noma izindlela zokwelapha kanye nokuncelisa ibele, thintana ne-http: //ww.e-lactancia.org</t>
  </si>
  <si>
    <t>Raadpleeg http://www.e-lactancia.org vir alle vrae wat verband hou met medisyne of behandelings en borsvoeding</t>
  </si>
  <si>
    <t>Todos os leites artificiais (de lata) são tentativas industriais de imitar o alimento natural.</t>
  </si>
  <si>
    <t>Lonke ubisi lokufakelwa (ifomula) yimizamo yezimboni yokulingisa ukudla kwemvelo.</t>
  </si>
  <si>
    <t>Alle kunsmatige melk (formule) is industriële pogings om die natuur se voedsel na te boots.</t>
  </si>
  <si>
    <t>Compete APENAS AOS PAIS a decisão de amamentar em exclusivo, amamentar e suplementar ou mesmo substituir o leite materno.</t>
  </si>
  <si>
    <t>A</t>
  </si>
  <si>
    <t>Is van mening dat dit slegs die ouers se besluit is om uitsluitlik te borsvoed, borsvoed en aanvulling met formule, of selfs borsmelk heeltemal te vervang.</t>
  </si>
  <si>
    <t>No entanto, os pais sofrem imensas pressões para iniciar leites de lata, na maioria das vezes, feitas apenas por desconhecimento ou indisponibilidade de tempo para informar e/ou apoiar os pais.</t>
  </si>
  <si>
    <t>Kodwa-ke, abazali bangaphansi kwengcindezi enkulu yokuphendukela kwifomula, okuyinto isikhathi esiningi, yenzeka ngenxa yokungabi nolwazi noma ukutholakala ukwazisa kanye / noma ukusekela abazali.</t>
  </si>
  <si>
    <t>Ouers is egter onder groot druk om na die formule, wat die meeste van die tyd plaasvind, te wend weens 'n gebrek aan kennis of beskikbaarheid om ouers in te lig en/of te ondersteun.</t>
  </si>
  <si>
    <t>Eu não estou preparada para te ajudar em dúvidas relacionadas com o leite artificial. Tens alguma dúvida acerca do leite materno e/ou amamentação que te possa esclarecer?</t>
  </si>
  <si>
    <t>Angikulungele ukukusiza ngemibuzo ehlobene nefomula. Unemibuzo ngobisi lwebele kanye / noma ukuncelisa ibele engingakusiza ngakho?</t>
  </si>
  <si>
    <t>Ek is nie bereid om u te help met vrae wat met formule verband hou nie. Het u enige vrae oor borsmelk en/of borsvoeding waarmee ek u kan help?</t>
  </si>
  <si>
    <t>A produção de leite 💦 é sempre em função da procura/estímulo.</t>
  </si>
  <si>
    <t>Ukukhiqizwa kobisi 💦 kuhlale kungumsebenzi wokufunwa / ukuvuselela.</t>
  </si>
  <si>
    <t>Melkproduksie 💦 is altyd 'n funksie van vraag/stimulus.</t>
  </si>
  <si>
    <t>Amamentar sem tempos, horários e em livre demanda (sempre que o bebé pedir) é a melhor forma de garantir que o seu bebé recebe todo o alimento que precisa.</t>
  </si>
  <si>
    <t>Ukuncelisa ibele ngokufunwa (noma nini lapho ingane ifuna), kunokuba ngezikhathi ezithile noma ezinhlelweni ezithile, kuyindlela engcono kakhulu yokuqinisekisa ukuthi ingane yakho ithola konke ukudla ekudingayo.</t>
  </si>
  <si>
    <t>Borsvoeding op aanvraag (wanneer die baba dit wil), eerder as op sekere tye of op sekere skedules, is die beste manier om te verseker dat u baba al die kos kry wat sy benodig.</t>
  </si>
  <si>
    <t>Para aumentar a produção ⬆ basta oferecer e/ou esvaziar a mama com mais frequência. Não se deve oferecer a segunda mama sem garantir que a primeira esvaziou mesmo.</t>
  </si>
  <si>
    <t xml:space="preserve">Ukwandisa ukukhiqizwa ⬆ nikela kanye / noma khama amabele akho kaningi. Akufanele unikeze ibele lesibili ngaphambi kokuba elokuqala lithululwe. </t>
  </si>
  <si>
    <t>Om die produksie te verhoog ⬆ Bied u borste net meer gereeld aan en/of leeg. U moet nie die tweede bors aanbied voordat die eerste een leeggemaak is nie.</t>
  </si>
  <si>
    <t>No entanto, e como acontece muito em picos de crescimento, se esvaziou a primeira totalmente e continua a procurar, oferece-se a segunda.</t>
  </si>
  <si>
    <t>Kodwa-ke, uma ingane yakho ikhiphe ngokuphelele elokuqala futhi isafuna futhi, munikeze eyesibili. Lokhu kwenzeka kakhulu ngesikhathi sokukhula kwesici sokukhula.</t>
  </si>
  <si>
    <t>As u baba egter die eerste een heeltemal leeggemaak het en meer wil hê, bied die tweede een aan. Dit gebeur baie tydens groeispoor.</t>
  </si>
  <si>
    <t>Durante a amamentação não é necessário nenhum cuidado específico no que diz respeito à higiene da mama 🚿.</t>
  </si>
  <si>
    <t>Ngesikhathi sokuncelisa, azikho izinyathelo ezithile zokuphepha eziphathelene nokuhlanzeka kwebele. 🚿</t>
  </si>
  <si>
    <t>Tydens borsvoeding is daar geen spesifieke voorsorgmaatreëls rakende borshigiëne nie. 🚿</t>
  </si>
  <si>
    <t>Devemos apenas evitar usar produtos de corpo ou banho com cheiro forte. ⚠</t>
  </si>
  <si>
    <t>Kufanele nje sigweme ukusebenzisa imikhiqizo yokugeza neyemizimba ngamakha aqinile. ⚠</t>
  </si>
  <si>
    <t>Ons moet net vermy om bad- en liggaamsprodukte met sterk geure te gebruik. ⚠</t>
  </si>
  <si>
    <t>O melhor hidratante e regenerante da mama é mesmo o leite materno, portanto é uma boa dica retirar as últimas gotas 💧 e espalhar no bico e aréola deixando secar antes de vestir, após a mamada.</t>
  </si>
  <si>
    <t>I-moisturizer engcono kakhulu yokuvuselela amabele empeleni ubisi lwebele uqobo, ngakho-ke kuwumqondo omuhle ukusakaza amaconsi ambalwa okugcina 💧 emthonjeni wengono kanye ne-areola bese uwavumele ngemuva kokudla futhi ngaphambi kokugqoka.</t>
  </si>
  <si>
    <t>Die beste regenererende bevogtiger vir borste is eintlik borsmelk self, so dit is 'n goeie idee om die laaste paar druppels op die tepel en areola te versprei en dit te laat droog word na voeding en voordat hy aangetrek word.</t>
  </si>
  <si>
    <t>Não é recomendada a aplicação de nenhum creme, nem mesmo lanolina, por interferência com a normal produção de susbstâncias protectoras da própria mama.</t>
  </si>
  <si>
    <t>Akunconyelwe ukusebenzisa noma ibaphi o-Creams, hhayi ngisho ne-Lanolin, ngoba aphazamisa ukukhiqizwa okujwayelekile kwebele zokuvikela.")</t>
  </si>
  <si>
    <t>Dit word nie aanbeveel om enige ys te gebruik nie, selfs nie lanolien nie, omdat dit die normale produksie van die bors van sy eie beskermende stowwe beïnvloed.</t>
  </si>
  <si>
    <t>Breastfeeding Age</t>
  </si>
  <si>
    <t>Segundo as recomendações internacionais (nomeadamente a Organização Mundial de Saúde), a amamentação pode e deve ser mantida em exclusivo (sem absolutamente mais nada, nem água, nem suminho, nem cházinho, nem nada) até aos 6 meses de idade. 🤱</t>
  </si>
  <si>
    <t>Ngokwezincomo zamazwe omhlaba (ikakhulukazi i-World Health Organization), usana kufanele lincele ibele kuphela (ngaphandle kwanoma yini enye ngokuphelele, akukho manzi, akukho juice, noma yini) kuze kube izinyanga eziyi-6 ubudala. 🤱</t>
  </si>
  <si>
    <t>Volgens internasionale aanbevelings (veral die Wêreldgesondheidsorganisasie), moet babas uitsluitlik geborsvoed word (sonder absoluut iets anders, geen water, geen sap of iets) tot 6 maande ouderdom. 🤱</t>
  </si>
  <si>
    <t>Após isso, faz-se a introdução da alimentação sólida 🍽, em complemento do leite materno, que se pode manter enquanto mãe e bebé assim o entenderem.</t>
  </si>
  <si>
    <t>Ngemuva kwalokhu, ukudla 🍽 okuqinile kungaqaliswa, njengesengezo sobisi lwebele, olungaqhubeka inqobo nje uma umama nengane bethanda.</t>
  </si>
  <si>
    <t>Hierna kan soliede voedsel 🍽 bekendgestel word as aanvulling op borsmelk, wat kan voortgaan so lank as wat moeder en baba wil.</t>
  </si>
  <si>
    <t>Breastfeeding Schedule</t>
  </si>
  <si>
    <t>Cada criança é uma criança e cada mãe é uma mãe.</t>
  </si>
  <si>
    <t>"Yonke ingane yehlukile futhi wonke umama wehlukile.")</t>
  </si>
  <si>
    <t>Elke kind is anders en elke moeder is anders.</t>
  </si>
  <si>
    <t>Não há tempos (min ou máx), nem intervalos, nem quantidades quando falamos de amamentação.</t>
  </si>
  <si>
    <t>Azikho izikhathi ezincane noma eziphezulu, izikhawu, noma amanani uma sikhuluma ngokuncelisa.</t>
  </si>
  <si>
    <t>Daar is geen minimum of maksimum tye, tussenposes of bedrae as ons oor borsvoeding praat nie.</t>
  </si>
  <si>
    <t>Se é verdade que um bebé com a amamentação já bem estabelecida (habitualmente após as 6 semanas) pode esvaziar a mama em apenas alguns minutos, um recém nascido pode estar mais tempo à mama do que fora dela.</t>
  </si>
  <si>
    <t>Kuyiqiniso ukuthi uma ukuncelisa ibele kusungulwe kahle (ngokuvamile ngemuva kwamasonto ayi-6), ingane ingaqeda ibele ngemizuzu embalwa nje, kanti ingane esanda kuzalwa ingachitha isikhathi esiningi incela ibele.</t>
  </si>
  <si>
    <t>Dit is waar dat sodra borsvoeding goed gevestig is (gewoonlik na 6 weke), kan 'n baba die bors binne 'n paar minute leegmaak, terwyl 'n pasgebore baba meer tyd kan spandeer om te borsvoed as nie.</t>
  </si>
  <si>
    <t>É importante respeitar os ritmos naturais.</t>
  </si>
  <si>
    <t>"Kubalulekile ukuhlonipha izigqi zemvelo.")</t>
  </si>
  <si>
    <t>Dit is belangrik om hul natuurlike ritmes te respekteer.</t>
  </si>
  <si>
    <t>Uma criança mais activa vai ser sempre mais rápida a mamar que uma criança mais calma.</t>
  </si>
  <si>
    <t>Ingane ekhuthele kakhulu izohlala ishesha ukuncela kunengane ezolile.</t>
  </si>
  <si>
    <t>N Meer aktiewe kind sal altyd vinniger wees om te verpleeg as 'n rustiger kind.</t>
  </si>
  <si>
    <t>Com calma, paciência, muito descanso e tolerância de ambos (mãe e bebé) vão encontrar o seu próprio ritmo.</t>
  </si>
  <si>
    <t>Ngomoya ophansi, ngokubekezela nokuphumula okuningi, bobabili (umama nengane) bazothola i-rhythm yabo.</t>
  </si>
  <si>
    <t>Met geduld en baie rus, sal beide (moeder en baba) hul eie ritme vind.</t>
  </si>
  <si>
    <t>"Após bem estabelecida a amamentação (normalmente após 6 semanas sem contratempos) não é suposto haver dor durante a mamada.
Dor, feridas e fissuras são quase sempre sinal de má pega."</t>
  </si>
  <si>
    <t>Ngemuva kokuthi ukuncelisa ibele kusungulwe kahle (ngokuvamile ngemuva kwamasonto ayi-6 ngaphandle kokubuyela emuva), akufanele engabe kusaba buhlungu.
 Ubuhlungu, izilonda kanye nemifantu cishe ngaso sonke isikhathi kungenxa yokubamba kabi.</t>
  </si>
  <si>
    <t>Nadat borsvoeding goed gevestig is (gewoonlik na 6 weke sonder terugslae), moet dit nie meer pynlik wees nie. Pyn, sere en krake is byna altyd te wyte aan 'n swak grendel.</t>
  </si>
  <si>
    <t>Todas as mães que amamentam 🤱 devem saber extrair à mão para algumas alturas chave 🗝.</t>
  </si>
  <si>
    <t>Bonke omama abancancisayo 🤱 kufanele bazi indlela yokukhama ubisi ngesandla noma nini lapho kudingeka.</t>
  </si>
  <si>
    <t>Alle moeders wat borsvoed, moet weet hoe om melk met die hand uit te druk wanneer dit nodig is.</t>
  </si>
  <si>
    <t>No entanto, o bebé é o único capaz de verdadeiramente estimular e esvaziar totalmente a mama o não quer dizer que não o consigamos fazer na sua ausência. 💪</t>
  </si>
  <si>
    <t>Kodwa-ke, izingane yizo kuphela ezikwazi ukuvuselela ngempela futhi zithulule ngokuphelele ibele, kodwa lokhu akusho ukuthi asikwazi ukukwenza ngaphandle kwazo.</t>
  </si>
  <si>
    <t>Babas is egter die enigste wat die bors werklik kan stimuleer en heeltemal leegmaak, maar dit beteken nie dat ons dit nie sonder hulle kan doen nie. 💪</t>
  </si>
  <si>
    <t>Técnica: coloque os dedos, polegar e indicador, em C e coloque-os no limite da aréola (onde a pele muda de cor) e num movimento primeiro contra as costas e seguidamente no sentido contrário lento e unindo os dedos um contra o outro.</t>
  </si>
  <si>
    <t>Nansi indlela: yenza i- "C" ngesithupha sakho kanye nomunwe wenkomba ezungeze i-areola yakho (lapho umbala wakho wesikhumba ushintsha khona) bese uqala ukudonsa emuva bese kancane kancane phambili, ucindezela isithupha sakho nomunwe wenkomba ndawonye.</t>
  </si>
  <si>
    <t>Hier is hoe: maak 'n 'c' met jou duim en wysvinger om jou areola (waar jou velkleur verander) en trek eers terug en dan stadig vorentoe, druk jou duim en wysvinger saam.</t>
  </si>
  <si>
    <t>O leite sairá com mais ou menos fluidez. 💦🌊💧</t>
  </si>
  <si>
    <t>Ubisi luzophuma kakhulu noma kancane.</t>
  </si>
  <si>
    <t>Die melk sal min of meer vloeiend uitkom.💦🌊💧</t>
  </si>
  <si>
    <t>A única forma de sabermos se o bebé se está a alimentar bem na mama é pelo número de fraldas molhadas durante o dia.</t>
  </si>
  <si>
    <t>Indlela yokwazi ukuthi ingane yakho ithola ubisi lwebele olwanele, inani lama-diapers amanzi emini.</t>
  </si>
  <si>
    <t>Die enigste manier om te weet of u baba genoeg borsmelk kry, is deur die aantal nat doeke gedurende die dag.</t>
  </si>
  <si>
    <t>Após a subida do leite (+/- habitual ao 3º dia após o parto) o bebé deve molhar no mínimo 6 por dia, com urina clara.</t>
  </si>
  <si>
    <t>Ngemuva kokuthi ubisi lwakho lungene (ngokuvamile cishe izinsuku ezi-3 ngemuva kokubeletha), ingane yakho kufanele ibe nama-diapers okungenani ayi-6 amanzi ngosuku, ngomchamo ocacile.</t>
  </si>
  <si>
    <t>Nadat u melk ingekom het (gewoonlik ongeveer 3 dae na geboorte), moet u baba ten minste 6 nat doeke per dag hê, met 'n duidelike urine.</t>
  </si>
  <si>
    <t>Técnicas como pesar antes e depois da mamada não devem ser utilizadas ⛔ assim como tentar fazer extração para ver quanto leite sai pois além de serem falsamente indicadoras de valores, não significam nada só por si. 😕</t>
  </si>
  <si>
    <t>Amasu afana nokulinganisa ngaphambi nangemva kokudla akufanele asetshenziswe ⛔ noma ukuzama ukukhama ukuze ubone ukuthi ungathola ubisi olungakanani ngoba ngaphandle kokuba ngamanani enkomba yamanga, awasho lutho ngokwawo. 😕</t>
  </si>
  <si>
    <t>Tegnieke soos om voor en na voeding te weeg, moet nie gebruik word nie ⛔ of probeer pomp om te sien hoeveel melk u kan kry, want behalwe dat u vals aanwyser is, beteken dit niks vanself nie. 😕</t>
  </si>
  <si>
    <t>A primeira porque o bebé não mama sempre o mesmo em todas as mamadas.</t>
  </si>
  <si>
    <t>Esokuqala kungenxa yokuthi umntwana akahlali encela isilinganiso esifanayo kukho konke ukuncelisa.</t>
  </si>
  <si>
    <t>Die eerste een is omdat die baba nie altyd dieselfde hoeveelheid by elke voeding verpleeg nie.</t>
  </si>
  <si>
    <t>A segunda porque nenhum extrator é tão eficaz quanto o bebé na mama directamente sendo certo que também não há um valor de quantidade definido para leite materno.</t>
  </si>
  <si>
    <t>Die tweede een is omdat geen pomp so effektief is soos 'n baba direk op die bors nie, en daarbenewens is daar geen vasgestelde hoeveelheid vir borsmelk nie.</t>
  </si>
  <si>
    <t>Cada mãe, bebé e mamada é única ❤ e, se em amamentação exclusiva a produção está sempre perfeitamente adaptada à fome e necessidade do bebé.</t>
  </si>
  <si>
    <t>Umama ngamunye, ingane, kanye nokuncelisa kuhlukile ❤ futhi uma uncelisa ibele kuphela, ukukhiqizwa kuhlale kuvumelana ngokuphelele nendlala nezidingo zengane.</t>
  </si>
  <si>
    <t>Elke moeder, baba en voeding is uniek ❤ en as ek uitsluitlik borsvoed, is produksie altyd perfek aangepas by die honger en behoeftes van die baba.</t>
  </si>
  <si>
    <t>Amamentar sem tempos, horários ⛔⌚ e em livre demanda (sempre que o bebé pedir) é a melhor forma de garantir que o seu bebé recebe todo o alimento que precisa.</t>
  </si>
  <si>
    <t>Ukuncelisa ibele ngokufunwa (noma nini lapho umntwana efuna) esikhundleni sokuncelisa ngezikhathi ezithile ⛔⌚ kuyindlela engcono kakhulu yokuqinisekisa ukuthi ingane yakho ikuthola konke ukudla ekudingayo.</t>
  </si>
  <si>
    <t>Borsvoeding op aanvraag (wanneer die baba wil) in plaas van op sekere tye of skedules ⛔⌚ is die beste manier om te verseker dat u baba al die kos kry wat hulle benodig.</t>
  </si>
  <si>
    <t>Os bicos/mamilos de silicone/latex não são aconselháveis ⚠ pois não só modelam uma pega não natural como interferem com a amamentação.</t>
  </si>
  <si>
    <t>Izingono ze-Silicone / Latex aziluleki ⚠ ngoba azigcini nje ngokubonga isibambo esingewona ngokwemvelo kepha ziphazamise ukuncelisa ibele.</t>
  </si>
  <si>
    <t>Se souberes a técnica de corrigir a pega do bebé podes pura e simplesmente deixar de colocar o mamilo de silicone e insistir com a pega. 🤱</t>
  </si>
  <si>
    <t>Uma uyazi inqubo yokulungisa isibambo sengane ungahle uhlanzeke futhi uvele uyeke ukubeka ingono ye-silicone futhi ugcizelela ngesibambo. 🤱</t>
  </si>
  <si>
    <t>Se o bebé estiver a fazer uma pega correcta, está em perfeito vácuo com a mama e não engole nenhum ar. 🌬</t>
  </si>
  <si>
    <t>Uma ingane ine-latch efanele, khona-ke iyi-vacuum ephelele ebeleni futhi ngeke bagwinye noma yimuphi umoya.</t>
  </si>
  <si>
    <t>As die baba 'n behoorlike grendel het, is dit 'n perfekte vakuum op die bors en hulle sal nie lug insluk nie.</t>
  </si>
  <si>
    <t>A maior parte do ar ingerido ocorre durante o choro ou através do uso de biberões. 🍼</t>
  </si>
  <si>
    <t>Iningi lomoya ogwinyekayo ubangwa ukukhala noma ngokusebenzisa amabhodlela 🍼")</t>
  </si>
  <si>
    <t>Die meeste van die lug wat ingesluk word, is van huil of drink van bottels. 🍼</t>
  </si>
  <si>
    <t>Eu posso ajudar-te com a pega, com as cólicas ou poderás poderá directamente uma CAM (consultora em aleitamento materno). 🤱</t>
  </si>
  <si>
    <t>Ngingakusiza nge-latch, noma i-colic, noma ungathinta ngqo ngomeluleki we-lactation. 🤱</t>
  </si>
  <si>
    <t>Ek kan u help met die grendel of koliek, of u kan direk met 'n laktasiekonsultant kontak maak. 🤱</t>
  </si>
  <si>
    <t>Por vezes, quando o fluxo de leite é muito forte ou o reflexo das hormonas são muito rápidos, o leite pode sair em esguicho demasiado rápido o que origina alguns engasgos, ou seja, o leite poderá estar a sair com muita pressão. 💦</t>
  </si>
  <si>
    <t>Ngezinye izikhathi, lapho ukugeleza kobisi kunamandla kakhulu noma i-reflex yokukhipha ubisi ishesha kakhulu, ubisi lungageleza ngokushesha kakhulu, okungase kubangele ukukhinxeka okuthile. Ngamanye amazwi, ubisi lungase luphume nengcindezi enkulu. 💦</t>
  </si>
  <si>
    <t>Soms, as die vloei van melk te sterk is of die refleks van die melkuitwerping baie vinnig is, kan die melk te vinnig spuit, wat kan verstik of gagging veroorsaak. Met ander woorde, die melk kom miskien met baie druk uit. 💦</t>
  </si>
  <si>
    <t>Experimente dar mama com as suas costas mais inclinadas para trás (mais recostada ou mesmo deitada de costas) ou experimente estimular a mama previamente para deixar sair os primeiros "esguichos" 💦 e só colocar o/a bebé à mama depois.</t>
  </si>
  <si>
    <t>Zama ukuncelisa ibele uncike emuva (noma ngisho nokulala phansi), noma uzame ukuvuselela ibele ukuze ukhiphe "ama-squirts" 💦 okuqala ngaphambili bese ingane yakho uyincelisa ibele ngemuva kwalokho.</t>
  </si>
  <si>
    <t>Probeer borsvoeding leun agteroor (of gaan lê selfs), of probeer om die bors te stimuleer om die eerste "spuit" vooraf te laat uit te laat en dan daarna u baba te borsvoed.</t>
  </si>
  <si>
    <t>Numa pega correcta o bebé está bem alinhado. 🤱</t>
  </si>
  <si>
    <t>Ukuze uthole i-latch efanele, umntwana kumele aqondaniswe kahle. 🤱</t>
  </si>
  <si>
    <t>Vir 'n behoorlike grendel is die baba goed in lyn. 🤱</t>
  </si>
  <si>
    <t>Cabeça, pescoço, costas e pernas estão alinhadas.</t>
  </si>
  <si>
    <t>Ikhanda, intamo, okhalweni kanye nemilenze kufanele konke  kuqondiswe.</t>
  </si>
  <si>
    <t>Die kop, nek, heupe en bene moet almal in lyn wees.</t>
  </si>
  <si>
    <t>E isto é mais facilmente avaliado por alguém que consiga ver o bebé que não a mãe que está a amamentar. 😉</t>
  </si>
  <si>
    <t>Futhi lokhu kuhlolwa kalula ngumuntu oyibonayo ingane ngaphandle kwamama oncelisa ibele. 😉</t>
  </si>
  <si>
    <t>En dit word makliker beoordeel deur iemand wat die baba anders kan sien as die moeder wat borsvoed. 😉</t>
  </si>
  <si>
    <t>A boca deve estar bem aberta, o lábio de baixo virado para fora, o queixo encostado na mama e, se houver aréola visível, a parte acima do lábio superior é a maior parte visível.</t>
  </si>
  <si>
    <t>"Umlomo wengane yakho kufanele uvuleke kakhulu, futhi izindebe zakhe eziphansi ziphenduke, futhi isilevu sayo siphumula ebeleni. Uma i-areola ibonakala, ingxenye engenhla kwezindebe zengane yakho kufanele ibe yingxenye ebonakalayo kunazo zonke.")</t>
  </si>
  <si>
    <t>Die mond van u baba moet wyd oop wees, met haar onderlip uitdraai, en haar ken rus op die bors. As die areola sigbaar is, moet die deel bokant u baba se bolip die sigbaarste deel wees.</t>
  </si>
  <si>
    <t>A barriga do bebé a tocar na barriga da mãe e o bebé deve aproximar-se da mama com o nariz em frente ao mamilo.</t>
  </si>
  <si>
    <t>Isisu sengane kufanele sibe sesiswini sikamama. Ingane kufanele ifike ebeleni ngekhala layo phambi kwengono</t>
  </si>
  <si>
    <t>Die baba se maag moet op die moeder se maag wees. Die baba moet met hul neus voor die tepel na die bors kom.</t>
  </si>
  <si>
    <t>Se houver dor ⚠ (normal nas primeiras mamadas) esta é mais intensa nos primeiros segundos e alivia ao longo da mamada.</t>
  </si>
  <si>
    <t>Uma kubuhlungu, ⚠ (okuyinto evamile yokudla okumbalwa kokuqala), kujwayelekile ukuthi kube nzima kakhulu imizuzwana embalwa yokuqala bese ukhululeka ngesikhathi sokudla</t>
  </si>
  <si>
    <t>As dit pynlik is, ⚠ (wat normaal is vir die eerste paar voedings), is dit normaal dat dit vir die eerste paar sekondes intenser is en dan tydens die voeding gemaklik maak.</t>
  </si>
  <si>
    <t>Após a subida do leite podemos, por vezes, ouvir o leite a ser engolido ritmadamente. 😊</t>
  </si>
  <si>
    <t>"Lapho ubisi lugelezayo, kwesinye isikhathi ungabezwa ngokugwinya okunesigqi. 😊")</t>
  </si>
  <si>
    <t>Sodra die melk vloei, kan jy soms ritmies insluk. 😊</t>
  </si>
  <si>
    <t>Second Breast</t>
  </si>
  <si>
    <t>Como todos os mamíferos temos tantas mamas quantos os bebés para os quais estamos preparadas para os receber. 2 mamas, 2 bebés!</t>
  </si>
  <si>
    <t>Njengazo zonke izilwane ezincelisayo, sinamabele anele ezingane eziningi njengoba sikulungele ukuthola. 2 amabele, 2 izingane!</t>
  </si>
  <si>
    <t>Soos alle soogdiere, het ons genoeg borste vir soveel babas as wat ons bereid is om te ontvang. 2 borste, 2 babas!</t>
  </si>
  <si>
    <t>Quando só temos 1, a "regra é 1 mama =1 refeição. Não se deve oferecer a segunda sem esvaziar a primeira.</t>
  </si>
  <si>
    <t>Uma unengane eyodwa kuphela, "umthetho" yi-1 ibele = 1 isidlo. Ungamniki elinye ibele lakho ngaphambi kokuthulula elokuqala.</t>
  </si>
  <si>
    <t>As ons net een baba het, is die 'reël' 1 bors = 1 maaltyd. Moenie u ander bors aanbied voordat u die eerste een leegmaak nie.</t>
  </si>
  <si>
    <t>Podemos confirmar com os nossos dedos, indicador e polegar, em C, no limite da aréola (onde a pele muda de cor) se sai gota, se sair insiste-se nessa sem oferecer a 2a.</t>
  </si>
  <si>
    <t>Singahlola ukuthi akusekho lutho ngokwakha i- "C" ngomunwe wethu wenkomba nesithupha, ezungeze umphetho we-areola (lapho isikhumba sishintsha umbala) nokucindezela ukubona ukuthi kukhona yini amaconsi aphuma. Uma kunjalo, gcizelela ukukhipha ibele lokuqala futhi ungamunikezi ngisho nelesibili.</t>
  </si>
  <si>
    <t>Ons kan kyk of hulle leeg is deur 'n 'C' met ons wysvinger en duim te vorm, om die rand van die areola (waar die vel van kleur verander) en druk om te sien of daar druppels uitkom. As dit so is, moet u daarop aandring om die eerste bors leeg te maak en moenie eers die tweede een aanbied nie.</t>
  </si>
  <si>
    <t>Excepto até à subida do leite em que se deve oferecer sempre ambas (para estimular) e/ou em pico de crescimento (em que possivelmente 1 não será suficiente para satisfazer o repentino aumento de necessidades do bebé.</t>
  </si>
  <si>
    <t>Okuhlukile yilapho ubisi lwakho lungena, khona-ke ngaso sonke isikhathi munikeze womabili (ukuvuselela ukukhiqizwa) kanye / noma ngesikhathi sokukhula kwe-spurts (uma kunjalo i-1 ingase inganele ukwanelisa ukwanda okungazelelwe kwengane yakho kokudla).</t>
  </si>
  <si>
    <t>Die uitsondering is wanneer u melk binnekom, en bied altyd albei (om produksie te stimuleer) en/of tydens groeispoor (in welke geval 1 miskien nie genoeg is om u baba se skielike toename in aptyt te bevredig nie).</t>
  </si>
  <si>
    <t>(Ainda bem que está uma dose de reserva sempre pronta e ali mesmo ao lado, certo?) 😉</t>
  </si>
  <si>
    <t>(Into enhle kukhona ukuhlinzekwa kokugcina njalo okulungele ukuhamba, akunjalo?) 😉</t>
  </si>
  <si>
    <t>(Goeie ding dat daar 'n reservaatvoorraad altyd gereed is om te gaan, nie waar nie?) 😉</t>
  </si>
  <si>
    <t>Breast Tension</t>
  </si>
  <si>
    <t>Breastmilk Preservation</t>
  </si>
  <si>
    <t>O leite materno pode ser guardado em embalagens próprias ou qualquer outra que seja adequada a alimentos e possa ser congelada ❄ e aquecida🌡.</t>
  </si>
  <si>
    <t>Ubisi lwebele lungagcinwa ezitsheni zalo noma kunoma yiziphi ezinye ezilungele ukudla futhi lungaqandiswa futhi ❄ lufudumale. 🌡</t>
  </si>
  <si>
    <t>Borsmelk kan in sy eie houers geberg word of enige ander wat geskik is vir voedsel en gevries kan word en opgewarm kan word. 🌡</t>
  </si>
  <si>
    <t>Quando se extrai para guardar importa ter cuidados de higiene acrescidos no manuseamento ✋ das embalagens e acessórios a usar.</t>
  </si>
  <si>
    <t>Lapho ukhama ubisi ozolugcina, kubalulekile ukunakekela ukunakekelwa okwengeziwe ekusingatheni ✋ ukupakisha nezesekeli ezizosetshenziswa.</t>
  </si>
  <si>
    <t>As u melk pomp vir opberging, is dit belangrik om na die hantering van die hantering te sorg ✋ Die verpakking en bykomstighede wat gebruik moet word.</t>
  </si>
  <si>
    <t>Não é muito recomendável guardar à temperatura ambiente devido às oscilações possíveis durante o dia.</t>
  </si>
  <si>
    <t>Akunconyelwe ukuyigcina ekamelweni lokushisa ngenxa yokuguquguquka okungenzeka emini.</t>
  </si>
  <si>
    <t>Dit word nie aanbeveel om dit by kamertemperatuur te hou nie as gevolg van moontlike skommelinge gedurende die dag.</t>
  </si>
  <si>
    <t>Na dúvida de quando será preciso esse leite, é sempre preferível congelar. ❄</t>
  </si>
  <si>
    <t>Uma ungenaso isiqiniseko sokuthi uzoludinga nini ubisi, kungcono ngaso sonke isikhathi ukulifaka efrijini liqine ❄</t>
  </si>
  <si>
    <t>As u nie seker is wanneer u die melk benodig nie, is dit altyd beter om dit te vries. ❄</t>
  </si>
  <si>
    <t>Podes também ir juntando as extracções durante o dia no frigorífico e à noite congelar.</t>
  </si>
  <si>
    <t>Ungakwazi futhi ukuhlanganisa ubisi obulikhame emini efrijini bese ulifaka esiqandisini ebusuku.</t>
  </si>
  <si>
    <t>U kan ook die melk wat bedags in die yskas gepomp word, konsolideer en dit dan snags vries.</t>
  </si>
  <si>
    <t>Breastmilk storage</t>
  </si>
  <si>
    <t>Apesar de o leite materno ser muito estável e raramente estragar importa ter alguns cuidados! ⚠</t>
  </si>
  <si>
    <t>Nakuba ubisi lwebele luzinzile kakhulu futhi akuvamile ukuthi lonakale, kubalulekile ukuthatha ezinye izinyathelo zokuqapha ngalo! ⚠</t>
  </si>
  <si>
    <t>Alhoewel borsmelk baie stabiel is en selde bederf, is dit belangrik om voorsorgmaatreëls daarmee te tref! ⚠</t>
  </si>
  <si>
    <t>No frigorifíco não deve ficar mais de 48h. No congelador ❄(-18ºC) pode durar 6 meses.</t>
  </si>
  <si>
    <t>Akufanele ihlale efrijini amahora angaphezu kuka-48. Esiqandisini ❄ (0ºF / -18ºC), ingahlala izinyanga ezingu-6.</t>
  </si>
  <si>
    <t>Dit moet nie langer as 48 uur in die yskas bly nie. In die vrieskas ❄ (0ºF / -18ºC) kan dit tot 6 maande duur.</t>
  </si>
  <si>
    <t>Estes tempos não são a somar, ou seja, se já esteve 2 dias no frigorífico não pode ser congelado a seguir, nem deve sequer ser usado para alimentação*.</t>
  </si>
  <si>
    <t>Lezi zikhathi akufanele zihlanganiswe, isibonelo,vele kade lisefrijini izinsuku ezi-2, awukwazi-ke ukuyifaka esiqandisini, futhi akufanele isetshenziselwe ukudla.*</t>
  </si>
  <si>
    <t>Hierdie tye moet nie bygevoeg word nie, byvoorbeeld, dit is al 2 dae in die yskas, u kan dit dan nie vries nie, en dit moet ook nie gebruik word om te voed nie.*</t>
  </si>
  <si>
    <t>(*mas é um excelente hidratante na água do banho do bebé.) 😉</t>
  </si>
  <si>
    <t>(* Kodwa kwenza i-moisturizer enhle kakhulu emanzini okugeza izingane.) 😉</t>
  </si>
  <si>
    <t>(* Maar dit maak 'n uitstekende bevogtiger in baba -badwater.) 😉</t>
  </si>
  <si>
    <t>Na dúvida, o ideal é sempre congelar.</t>
  </si>
  <si>
    <t>Lapho ungabaza, ukulifaka efrijini liqine kufanelekile.</t>
  </si>
  <si>
    <t>As u twyfel, is vriespunt ideaal.</t>
  </si>
  <si>
    <t>NOTA: O leite materno quando estraga fica com um característico cheiro a azedo (não confundir com um cheiro metálico que é normal) e fica em farripos (leite talhado/coalhado).</t>
  </si>
  <si>
    <t>QAPHELA: Uma ubisi lwebele lonakala, lubanephunga elithile elimuncu (ungalididanisi nephunga layo lensimbi, okuyinto evamile) futhi libanezigaxa</t>
  </si>
  <si>
    <t>OPMERKING: As borsmelk bederf, het dit 'n sekere suur reuk (om nie verwar te word met die metaalgeur daarvan nie, wat normaal is) en is dun (geknak/gekoaguleer).</t>
  </si>
  <si>
    <t>Preparing Stored Milk</t>
  </si>
  <si>
    <t>O leite materno pode ser aquecido (ou descongelado) de diferentes formas, mas as mais seguras são:</t>
  </si>
  <si>
    <t>Ubisi lwebele lungafudunyezwa (noma luncibilikiswe) ngezindlela ezahlukene, kodwa izindlela eziphephile kakhulu yilezi:</t>
  </si>
  <si>
    <t>Borsmelk kan op verskillende maniere verhit (of ontdooi) verhit word, maar die veiligste maniere is:</t>
  </si>
  <si>
    <t>1) agitar o recipiente em água corrente quente 🚰 (até deixar de sentir o frio, se sentir o leite quente já aqueceu demasiado)</t>
  </si>
  <si>
    <t>1) Goqoza isitsha nxazonke emanzini 🚰 ashisayo ompompi (kuze kube yilapho ungasakuzwa ukubanda; uma ubisi uluzizwa lushisa, selushisa kakhulu).
 NOMA</t>
  </si>
  <si>
    <t>1) Roer die houer rond in warm kraanwater 🚰 (totdat dit nie meer koud voel nie; as die melk warm voel, is dit al te warm).</t>
  </si>
  <si>
    <t>2) usar um aquecedor de biberons 🍼</t>
  </si>
  <si>
    <t>2) Sebenzisa ibhodlela elifudumele 🍼</t>
  </si>
  <si>
    <t>2) Gebruik 'n bottel warmer 🍼</t>
  </si>
  <si>
    <t>A temperatura ideal é a nossa temperatura corporal, logo não devemos sentir o leite nem quente nem frio quando o sentimos nas nossas mãos. ✋</t>
  </si>
  <si>
    <t>Ukushisa okuhle izinga lokushisa lomzimba wethu, ngakho-ke ubisi akufanele siluzwe lushisa noma lubanda ezandleni zethu. ✋</t>
  </si>
  <si>
    <t>Die ideale temperatuur is ons liggaamstemperatuur, so die melk moet nie warm of koud op ons hande voel nie. ✋</t>
  </si>
  <si>
    <t>Um choro ao final da tarde que se prolonga pelo início da noite 🌃pode ser diferentes coisas:</t>
  </si>
  <si>
    <t>Ukukhala kusihlwa, okudlulela ebusuku 🌃 kungaba izinto ezahlukene:</t>
  </si>
  <si>
    <t>Huil in die aand, wat in die nag strek, kan verskillende dinge wees:</t>
  </si>
  <si>
    <t>a) Reflexo de cansaço acumulado da(o) cuidador. Os bebés espelham a pessoa que cuida deles e quando estamos cansados o bebé sente e manifesta-se num choro prolongado.</t>
  </si>
  <si>
    <t>a) Ukubonakalisa ukukhathala okuqongelelwe kumnakekeli. Izingane zibona kumuntu ozinakekelayo futhi uma sikhathele, ingane iyezwa futhi ibonakalise ngokukhala isikhathi eside.</t>
  </si>
  <si>
    <t>a) 'n weerspieëling van die opgehoopte moegheid van die versorger. Babas weerspieël die persoon wat vir hulle sorg, en as ons moeg is, voel die baba dit en manifesteer dit deur langdurige huil.</t>
  </si>
  <si>
    <t>b) A hormona responsável pelo leite materno faz pico entre as 22h e as 2h da manhã. Ou seja, aumentar as mamadas neste período aumenta a probabilidade uma noite tranquila com sonos mais longos. Se chorar -&gt; mama! 🤱</t>
  </si>
  <si>
    <t>b) I-hormone ebhekene nobisi lwebele iphakama phakathi kuka-10: 00 pm no-2: 00 am. Ngakho-ke, ukwanda kokudla ngalesi sikhathi kwandisa amathuba obusuku obuthule nesikhathi eside sokulala. Uma ingane yakho ikhala -&gt; ncelisa! 🤱</t>
  </si>
  <si>
    <t>b) Die hormoon wat verantwoordelik is vir borsmelkpieke tussen 10:00 en 02:00. Dus, verhoogde voedings gedurende hierdie tyd verhoog die waarskynlikheid 'n rustige nag met langer slaapperiodes. As jou baba huil -&gt; borsvoed! 🤱</t>
  </si>
  <si>
    <t>c) Se nenhuma das anteriores se verifica e se o choro é acompanhado de movimentos de encolher e esticar as pernas com alívio simultâneo mas efémero no choro poderão ser cólicas.</t>
  </si>
  <si>
    <t>c) Uma kungekho kulokhu okungenhla okuyiqiniso futhi ingane yakho idonsa imilenze yakhe bese iwelula ngenkathi ikhala, ngokukhululeka okusheshayo, kungase kube yi-colic (umoya esiswini)</t>
  </si>
  <si>
    <t>c) As nie een van die bogenoemde waar is nie en jou baba haar bene optrek en dit dan uitsteek terwyl hy huil, met vlugtige verligting, kan dit koliek wees.</t>
  </si>
  <si>
    <t>Já viste alguma doença com relógio? 😉 Algum choro ou irritação sempre no mesmo horário, habitualmente no fim do dia, é mais habitual ser espelho do cansaço do cuidador do que cólicas.</t>
  </si>
  <si>
    <t>Usuke wabona izimo zempilo zihamba ngewashi? 😉 Uma kukhona ukukhala noma ukucasuka okwenzeka njalo ngesikhathi esifanayo, ngokuvamile ekupheleni kosuku, kungenzeka kakhulu ukuthi kube ukubonakalisa kokukhathala komnakekeli kune-colic.</t>
  </si>
  <si>
    <t>Het u al enige gesondheidstoestande gesien wat deur die klok gaan? 😉 As daar 'n bietjie huil of irritasie is wat altyd op dieselfde tyd gebeur, gewoonlik aan die einde van die dag, is dit meer geneig om 'n weerspieëling van die moegheid van die versorger as koliek te wees.</t>
  </si>
  <si>
    <t>Tens descansado durante o dia? Eu sei, a casa, as tarefas, as coisas a acumular. Cuidar de um bebé é um trabalho sem fim e muito esgotante. 😴 Cuida de ti!</t>
  </si>
  <si>
    <t>Usuke waphumula emini? Ngiyazi, umsebenzi wasendlini, konke okunye okudingeka ukwenze, zonke izinto ziqala ukukwakhelana. Ukunakekela ingane kungumsebenzi ongapheli futhi okhathazayo. 😴 Zinakekele!</t>
  </si>
  <si>
    <t>Het u gedurende die dag gerus? Ek weet, die huiswerk, alles wat u moet doen, al die dinge begin ophoop. Die versorging van 'n baba is 'n eindelose en uitputtende werk. 😴 Sorg vir jouself!</t>
  </si>
  <si>
    <t>Tentem descansar ambos, deitem-se lado a lado (em segurança sempre) e canta algo calminho e bem baixinho...</t>
  </si>
  <si>
    <t>Zamani nobabili ukuphumula, lala phansi eduze kwengane yakho (njalo ngokuphepha) futhi ucule into ezolile futhi ngokuthula kakhulu ...</t>
  </si>
  <si>
    <t>Probeer om albei rus te kry, lê langs u baba (altyd veilig) en sing iets kalmerend en baie stil ...</t>
  </si>
  <si>
    <t>Basta que te sentes e feches também os olhos. Se tens dificuldade em "desligar" o cérebro, experimenta pensar na última vez que te sentiste completamente em relaxamento: naquela última massagem, naquele fim de tarde perfeito na praia, naquele domingo de sol... 💤 😉</t>
  </si>
  <si>
    <t>Noma vele uhlale phansi uvale amehlo akho. Uma unesikhathi esinzima "sokucima" ubuchopho bakho, zama ukucabanga ngesikhathi sokugcina uzizwa ukhululekile ngokuphelele: umyalezo wakho wokugcina, leyo mini epholile olwandle noma epaki elangeni ngeSonto ... 💤 😉</t>
  </si>
  <si>
    <t>Of gaan sit net en maak jou oë toe. As u 'n moeilike tyd het om u brein uit te skakel, probeer dan dink aan die laaste keer dat u heeltemal ontspanne gevoel het: u laaste massering, daardie perfekte middag op die strand of park in die Sondagson ... 💤 😉</t>
  </si>
  <si>
    <t>98% dos bebés 👶 vão ter episódios de cólicas entre a 3ª/4ª semana de vida e o 3º/4º mês de idade. As cólicas são auto-limitadas, ou seja, mesmo que nada se faça, desaparecem de forma natural.</t>
  </si>
  <si>
    <t>I-98% yezingane 👶 izoba neziqephu ze-colic phakathi kwesonto labo le-3 - 4th lokuphila kanye nezinyanga ze-3 - 4 ubudala. I-Colic yisimo sokuzidela, okusho ukuthi ngisho noma kungekho okwenziwayo, ngokwemvelo kuyanyamalala.</t>
  </si>
  <si>
    <t>98% van babas 👶 sal episodes van koliek hê tussen hul 3de - 4de week van die lewe en 3 - 4 maande ouderdom. Koliek is 'n selfbeperkte toestand, wat beteken dat selfs al word niks gedoen nie, dit natuurlik verdwyn.</t>
  </si>
  <si>
    <t>Um choro inconsolável, uma barriga dura, um choro por vezes interrompido no momento em que as pernas esticam de forma brusca, são apenas alguns dos sinais de cólicas.</t>
  </si>
  <si>
    <t>Ukukhala okungaduduzeki, isisu esiqinile, nokukhala ngezinye izikhathi okuphazanyiswa lapho imilenze yabo inwebeka ngokuzumayo ezinye nje zezimpawu ze-colic.</t>
  </si>
  <si>
    <t>Onversoenbare huil, 'n ferm buik en huil wat soms onderbreek word as hul bene skielik uitsteek, is net 'n paar tekens van koliek.</t>
  </si>
  <si>
    <t>Por vezes, os pais, na tentativa de ajudar, amplificam o problema por utilização desadequada de "soluções milagrosas" existentes no mercado.</t>
  </si>
  <si>
    <t>Ngezinye izikhathi, emzamweni wokusiza, abazali bandisa inkinga ngokungasebenzisi ngokwanele "izindlela zokwelapha eziyisimangaliso" ezitholakala emakethe.</t>
  </si>
  <si>
    <t>Soms, in 'n poging om te help, vererger ouers die probleem deur onvoldoende 'wonderkwers' op die mark te gebruik.</t>
  </si>
  <si>
    <t>Os bebés amamentados 🤱 em livre demanda são os melhor preparados para lidar com esta "dificuldade" do desenvolvimento.</t>
  </si>
  <si>
    <t>Izingane ezincela ibele 🤱  yizona ezilungele kakhulu ukubhekana nalokhu "ubunzima" bokukhula.</t>
  </si>
  <si>
    <t>Babas wat borsvoed 🤱 op aanvraag is die mees bereid om hierdie ontwikkelings "probleme" te hanteer.</t>
  </si>
  <si>
    <t>Introduzir de forma regular e rotineira uma massagem na barriga no sentido dos ponteiros do relógio 🕔 e/ou alguns movimentos de bicicleta com as pernas do bebé 🚲 numa altura em que ele(a) esteja tranquilo (de manhã por exemplo) é outra forma de ajudar a gerir os gases que acumulam no intestino.</t>
  </si>
  <si>
    <t>Yenza kube into evamile sokuphulula isisu sengane yakho ngokunyakaza kwewashi 🕔 kanye / noma ukwenza imilenze yengane yakho yenze ukunyakaza kwamabhayisikili 🚲 lapho izolile (isibonelo, ekuseni) kungenye indlela yokusiza ukulawula umoya aqoqana emathunjini.</t>
  </si>
  <si>
    <t>Om 'n gereelde roetine te maak om u baba se buik in die kloksgewys te masseer 🕔 Beweging en/of om u baba se bene te laat fiets doen 🚲 Bewegings as hy kalm is (byvoorbeeld soggens) is 'n ander manier om die gasse wat in die ingewande ophoop, te reguleer.</t>
  </si>
  <si>
    <t>Amamentar de forma mais regular 🤱 e dar colo ao bebé colocando-o de barriga para baixo no nosso braço são mais algumas alternativas saudáveis e naturais que ajudam a lidar com esta fase difícil.</t>
  </si>
  <si>
    <t>Ukuncelisa ibele njalo 🤱 futhi ubambe ingane yakho ibheke phansi engalweni yakho kuyizinketho ezimbalwa ezinempilo futhi zemvelo zokusiza ukubhekana nalesi sigaba esinzima.</t>
  </si>
  <si>
    <t>Borsvoeding meer gereeld 🤱 en u baba se gesig op u arm hou, is 'n paar meer gesonde en natuurlike opsies om hierdie moeilike fase te help hanteer.</t>
  </si>
  <si>
    <t>Esta fase faz parte do desenvolvimento das crianças e é auto-limitada 🙏 (desaparece por si só por volta do 3º/4º mês).</t>
  </si>
  <si>
    <t>Lesi sigaba siyingxenye yokukhula kwezingane futhi siyazikhawulela 🙏 (sinyamalale ngokwaso ngenyanga yesi-3 noma yesi-4).</t>
  </si>
  <si>
    <t>Hierdie fase is deel van die ontwikkeling van kinders en is selfbeperkend 🙏 (dit verdwyn op die 3de of vierde maand).</t>
  </si>
  <si>
    <t>No entanto acaba por vezes por ser ampliada pelas "soluções" ⚠ (como medicamentos usados em demasia, etc...) que muitas vezes pais aplicam e acabam por prolongar esta fase até perto dos 6 meses.</t>
  </si>
  <si>
    <t>Kodwa-ke ngezinye izikhathi kugcina kwandiswa "izixazululo" ⚠ (njengemithi esetshenziswa kakhulu, njll ...), abazali abavame ukuyinika futhi iqeda inwebe lesi sigaba kuze kube seduze nezinyanga yesi-6.</t>
  </si>
  <si>
    <t>Soms word dit egter uiteindelik vergroot deur 'oplossings' ⚠ (soos medikasie wat te veel gebruik word, ens. ...), wat ouers gereeld gee en dit uiteindelik hierdie stadium verleng tot nader aan 6 maande.</t>
  </si>
  <si>
    <t>Baby's Weight</t>
  </si>
  <si>
    <t>Os aumentos de peso dos bebés que tanto preocupa os pais são normalmente baseados em médias. 📊</t>
  </si>
  <si>
    <t>Ukuzuza kwesisindo sezingane, abazali abakhathazeke ngakho kakhulu, ngokuvamile kusekelwe kwisilinganiso 📊</t>
  </si>
  <si>
    <t>Babas se gewigstoename, waaroor ouers so besorg is, is gewoonlik gebaseer op gemiddeldes. 📊</t>
  </si>
  <si>
    <t>Tal significa que crianças saudáveis aumentaram mais do que a média assim como outras tantas, igualmente saudáveis, aumentaram menos do que a média sem que isso fosse considerado um problema.</t>
  </si>
  <si>
    <t>Lokhu kusho ukuthi izingane ezinempilo zithola okungaphezu kwesilinganiso kanti ezinye izingane eziningi ezinempilo ngokulinganayo zithola ngaphansi kwesilinganiso ngaphandle kokuthi kubhekwe njengenkinga.</t>
  </si>
  <si>
    <t>Dit beteken dat gesonde kinders meer as die gemiddelde verdien en baie ander ewe gesonde kinders minder as die gemiddelde verdien sonder dat dit as 'n probleem beskou word.</t>
  </si>
  <si>
    <t>Se se mantem no seu percentil (não cruzou percentis, nem para cima nem para baixo) e não há outros sinais de preocupação, o peso só por si também não o deve ser! 😉</t>
  </si>
  <si>
    <t>Uma zigcina ngaphakathi kwesikali (percentile) sazo (zinganyakazi phezulu noma phansi ngamaphesenti) futhi zingekho ezinye izimpawu zokukhathazeka, isisindo ngokwaso akufanele sikukhathaze! 😉</t>
  </si>
  <si>
    <t>As hulle binne hul persentiel bly (nie in persentiele beweeg nie) en daar geen ander tekens van kommer is nie, moet die gewig op sigself nie 'n kommer wees nie! 😉</t>
  </si>
  <si>
    <t>Lokhu kusho ukuthi abaludingi uketshezi olwengeziwe oluyitiye noma amanzi njengoba lokhu kungabenza basuthe futhi baqede ukulangazelela kwabo ubisi.</t>
  </si>
  <si>
    <t>Ukudla okuthambile kufanele kufakwe ekudleni kuphela lapho umntwana esekwazi ukuhlala futhi ekwazi ukulawula ikhanda lakhe futhi alibambe endaweni ezinzile.</t>
  </si>
  <si>
    <t>*CONFIDENTIAL* - Protected and privileged information</t>
  </si>
  <si>
    <t>Group/Sequence name</t>
  </si>
  <si>
    <t>Type</t>
  </si>
  <si>
    <t>Block Name - PT</t>
  </si>
  <si>
    <t>Content - PT</t>
  </si>
  <si>
    <t>Refer To - PT</t>
  </si>
  <si>
    <t>Content - EN</t>
  </si>
  <si>
    <t>Refer To - EN</t>
  </si>
  <si>
    <t>Content - ZULU (from EN)</t>
  </si>
  <si>
    <t>Content - ZULU (from PT)</t>
  </si>
  <si>
    <t>Content - Afrikaans (from EN)</t>
  </si>
  <si>
    <t>Content - Afrikaans (from PT)</t>
  </si>
  <si>
    <t>BREASTFEEDING</t>
  </si>
  <si>
    <t>Text</t>
  </si>
  <si>
    <t>Breastfeeding Medications or Treatments</t>
  </si>
  <si>
    <t>Button</t>
  </si>
  <si>
    <t>Consultar site 📚</t>
  </si>
  <si>
    <t>http://www.e-lactancia.org</t>
  </si>
  <si>
    <t>Breastfeeding Silicone Nipple Off</t>
  </si>
  <si>
    <t xml:space="preserve">Os bicos/mamilos de silicone/latex não são aconselháveis ⚠ pois não só modelam uma pega não natural como interferem com a amamentação. </t>
  </si>
  <si>
    <t>Se tens ou tiveste dificuldades com a pega deves contactar uma CAM para te ajudar nessa transição.</t>
  </si>
  <si>
    <t>If you've got problems with getting a good latch, you should contact a lactation consultant for help.</t>
  </si>
  <si>
    <t>🔎Encontrar CAM</t>
  </si>
  <si>
    <t>Breastfeeding CAM</t>
  </si>
  <si>
    <t>Breastfeeding Accessories</t>
  </si>
  <si>
    <t xml:space="preserve">A grande maioria dos "acessórios" de amamentação são isso mesmo acessórios! E desnecessários! </t>
  </si>
  <si>
    <t xml:space="preserve">Conchas e protectores podem dar jeito se não se puder deixar a mama secar ao ar. </t>
  </si>
  <si>
    <t>Breastfeeding Allowed Drinks or Food</t>
  </si>
  <si>
    <t>If you had dietary restrictions during pregnancy (due to toxoplasmosis, for example), you don't need to continue restricting your diet during breastfeeding. 🍽🤱</t>
  </si>
  <si>
    <t>Breastfeeding Breast Hygiene</t>
  </si>
  <si>
    <t>We should just avoid using bath and body products with strong scents. ⚠</t>
  </si>
  <si>
    <t>Breastfeeding Swallow Air</t>
  </si>
  <si>
    <t>I can help you with the latch, or colic, or you may get in touch directly with a lactation consultant. 🤱</t>
  </si>
  <si>
    <t>Breastfeeding Technique</t>
  </si>
  <si>
    <t>Breastfeeding Colic</t>
  </si>
  <si>
    <t>🔎 Encontrar uma CAM</t>
  </si>
  <si>
    <t>For a proper latch, the baby is well aligned. 🤱</t>
  </si>
  <si>
    <t>The head, neck, hips and legs should all be aligned.</t>
  </si>
  <si>
    <t>The baby’s belly should be on the mother’s belly. The baby should come up to the breast with their nose in front of the nipple.</t>
  </si>
  <si>
    <t>Dor na mamada?</t>
  </si>
  <si>
    <t>Breastfeeding Pain</t>
  </si>
  <si>
    <t>Breastfeeding Extractor</t>
  </si>
  <si>
    <t>Saber extrair leite sem o bebé é sempre importante. 👈</t>
  </si>
  <si>
    <t>It's always important to know how to express milk without the baby around. 👈</t>
  </si>
  <si>
    <t>É sempre possivel extrair à mão, mas bombas ou extractores podem também ser usados.</t>
  </si>
  <si>
    <t>You can always express milk manually but you can also use breast pumps.</t>
  </si>
  <si>
    <t>Nota: Não é suposto doer nem mais nem menos com a bomba, nem ser mais rápido ou mais lento do que com o bebé. ⚠</t>
  </si>
  <si>
    <t>Note: Using a pump isn't supposed to hurt any more or less, or be any faster or slower than breastfeeding is. ⚠</t>
  </si>
  <si>
    <t>Os bons extractores simular o normal ritmo do bebé a estimular e depois a mamar.</t>
  </si>
  <si>
    <t>Good pumps simulate a baby's normal rhythm of stimulation and then suckling.</t>
  </si>
  <si>
    <t>Primeiro ritmo rápido mas pouca força de sucção (até pingar leite). Depois ritmo lento mas com mais intensidade (como se o bebé estivesse a puxar e engolir).</t>
  </si>
  <si>
    <t>First it goes faster but with little suction strength (until the milk letdown). Then the rhythm slows and is more intense (as if the baby was sucking and swallowing).</t>
  </si>
  <si>
    <t>Extrair à mão ✋</t>
  </si>
  <si>
    <t>Breastfeeding Extract Milk</t>
  </si>
  <si>
    <t xml:space="preserve">Todas as mães que amamentam 🤱 devem saber extrair à mão para algumas alturas chave 🗝. </t>
  </si>
  <si>
    <t>All breastfeeding mothers 🤱 should know how to express milk manually whenever needed.</t>
  </si>
  <si>
    <t>However, babies are the only ones who are able to truly stimulate and completely empty the breast, but this doesn't mean that we can't do it without them. 💪</t>
  </si>
  <si>
    <t xml:space="preserve">Técnica: coloque os dedos, polegar e indicador, em C e coloque-os no limite da aréola (onde a pele muda de cor) e num movimento primeiro contra as costas e seguidamente no sentido contrário lento e unindo os dedos um contra o outro. </t>
  </si>
  <si>
    <t>Here's how: make a “C” with your thumb and index finger around your areola (where your skin color changes) and first pull back and then slowly forward, squeezing your thumb and index finger together.</t>
  </si>
  <si>
    <t>The milk will come out more or less fluidly.💦🌊💧</t>
  </si>
  <si>
    <t>Breastfeeding Preserve Milk</t>
  </si>
  <si>
    <t>Tempo de conservação</t>
  </si>
  <si>
    <t>Breastfeeding Preserve Time</t>
  </si>
  <si>
    <t>Breastfeeding Work</t>
  </si>
  <si>
    <t>Amamentação e regresso ao trabalho 💼 não são incompatíveis.</t>
  </si>
  <si>
    <t>Breastfeeding and going back to work 💼 are not incompatible.</t>
  </si>
  <si>
    <t>Basta alguma preparação e antecipação das possíveis dificuldades mas quase tudo tem solução. 😉</t>
  </si>
  <si>
    <t>You just need some preparation and to anticipate the possible difficulties, but almost everything has a solution. 😉</t>
  </si>
  <si>
    <t>Por exemplo:
Há um sítio onde seja possível extrair leite com privacidade ou é preciso levar uma fraldinha para tapar?
É preciso levar saco conservador de frio ou há frigorífico/congelador?
Há onde higienizar a bomba e acessórios ou onde lavar bem as mãos ou é melhor ter toalhetes desinfectantes?"</t>
  </si>
  <si>
    <t>For example: 
👉Is there a place where you can have privacy to pump or do you need to bring something to cover up? 
👉Do you need to bring a cooler or is there a refrigerator or freezer? 
👉Is there a place to wash and sanitize the pump and accessories and wash your hands or is it better to have disinfectant wipes?</t>
  </si>
  <si>
    <t>😉 Quanto mais cedo se começar a preparar o regresso ao trabalho, mais tranquilo este será!</t>
  </si>
  <si>
    <t>😉 The sooner you start preparing to go back to work, the more at ease you'll be!</t>
  </si>
  <si>
    <t>Extrair leite?</t>
  </si>
  <si>
    <t>Usar bomba?</t>
  </si>
  <si>
    <t>Guardar leite?</t>
  </si>
  <si>
    <t>Ter um stock de leite materno é sempre importante. 👈</t>
  </si>
  <si>
    <t>Having a stash of breast milk is always important. 👈</t>
  </si>
  <si>
    <t xml:space="preserve">Pricipalmente quando as mães vão voltar ao trabalho durante o período de amamentação. </t>
  </si>
  <si>
    <t>Mainly for when mothers go back to work while they're still breastfeeding.</t>
  </si>
  <si>
    <t>Saber mais 💡</t>
  </si>
  <si>
    <t>Breastfeeding Preserve Milk more</t>
  </si>
  <si>
    <t>Extrair à mão</t>
  </si>
  <si>
    <t>Usar Bomba</t>
  </si>
  <si>
    <t>It shouldn't stay in the refrigerator for more than 48 hours. In the freezer ❄ (0ºF / -18ºC), it can last up to 6 months.</t>
  </si>
  <si>
    <t>These times are not to be added up, for example it's already been in the fridge for 2 days, you can't then freeze it, nor should it be used for feeding.*</t>
  </si>
  <si>
    <t>Breastfeeding Duration</t>
  </si>
  <si>
    <t>Breastfeeding End of Day</t>
  </si>
  <si>
    <t>Choro de fim de dia</t>
  </si>
  <si>
    <t>Breastfeeding End of Day more</t>
  </si>
  <si>
    <t>Try to both get some rest, laying down next to your baby (always safely) and sing something calming and very quietly...</t>
  </si>
  <si>
    <t>Or just sit down and close your eyes. If you have a hard time "turning off" your brain, try thinking of the last time you felt completely relaxed: your last massage, that perfect afternoon at the beach or park in the Sunday sun...💤 😉</t>
  </si>
  <si>
    <t>98% of babies 👶 will have episodes of colic between their 3rd - 4th week of life and 3 - 4 months of age. Colic is a self-limited condition, which means that even if nothing is done, it naturally disappears.</t>
  </si>
  <si>
    <t>Sometimes, in an attempt to help, parents exacerbate the problem by inadequately using "miracle cures" found on the market.</t>
  </si>
  <si>
    <t>Mais dicas - cólicas</t>
  </si>
  <si>
    <t>Breastfeeding Colic more</t>
  </si>
  <si>
    <t>Um choro sempre presente no final de dia, quase como se o bebé tivesse relógio ⌚ e que se prolonga pelo início da noite é normalmente confundido com cólicas mas trata-se de outro fenómeno. Será o teu caso? 🙄</t>
  </si>
  <si>
    <t>If your baby always cries at the end of the day, almost as if he had ⌚ an alarm clock and lasts until nighttime, it is often confused with colic but is something else. Might this be your case? 🙄</t>
  </si>
  <si>
    <t>Nota final cólicas</t>
  </si>
  <si>
    <t>Breastfeeding Colic end</t>
  </si>
  <si>
    <t>Breastfeeding Change Breasts</t>
  </si>
  <si>
    <t>Breastfeeding Artificial Milks</t>
  </si>
  <si>
    <t>All artificial milk (formula) are industrial attempts to mimic nature's food.</t>
  </si>
  <si>
    <t>Eu e a Cláudia somos da opinião que compete APENAS AOS PAIS a decisão de amamentar em exclusivo, amamentar e suplementar ou mesmo substituir o leite materno.</t>
  </si>
  <si>
    <t>Claudia and I are of the opinion that it is ONLY THE PARENTS’ decision whether to breastfeed exclusively, breastfeed and supplement with formula, or even replace breast milk entirely.</t>
  </si>
  <si>
    <t>I'm not prepared to help you with questions related to formula. Do you have any questions about breast milk and/or breastfeeding that I can help you with?</t>
  </si>
  <si>
    <t>Breastfeeding Intervalls</t>
  </si>
  <si>
    <t>Saber mais</t>
  </si>
  <si>
    <t>Breastfeeding Intervalls more</t>
  </si>
  <si>
    <t>Quase todas as interferências causam mais problemas do que os que resolvem.</t>
  </si>
  <si>
    <t>Almost all interferences cause more problems than they solve.</t>
  </si>
  <si>
    <t>Se o bebé nasceu de tempo (+ de 37 semanas de gravidez) e não tem baixo peso (- de 2,5 kg) não há motivos para interferir na normal regulação da fome e vontade de comer do bebé.</t>
  </si>
  <si>
    <t>If your baby was born at full-term (over 37 weeks) and wasn't underweight (less than 5 lb 8 oz (2.5 kg)), there is no reason to interfere with the baby's normal regulation of hunger and desire to eat.</t>
  </si>
  <si>
    <t>Se chora ➡ Mama
Se vira a cabeça de um lado para o outro, à procura ➡ Mama Se abre e fecha a boca ➡ Mama</t>
  </si>
  <si>
    <t>If he or she cries ➡ Breastfeed.
If he or she turns her head back and forth rooting around ➡ Breastfeed.
If he or she opens and closes her mouth ➡ Breastfeed.</t>
  </si>
  <si>
    <t>Sempre que preciso, as vezes que forem precisas, durante o tempo que for preciso! 😉</t>
  </si>
  <si>
    <t>Whenever needed, as many times as needed, for as long as needed! 😉</t>
  </si>
  <si>
    <t>Breastfeeding Problems</t>
  </si>
  <si>
    <t xml:space="preserve">Dar de mamar 🤱 pode ser muito exigente e exige alguma aprendizagem e paciência. Com o tempo e a ajuda adequada a grande maioria das dificuldades são ultrapassadas. </t>
  </si>
  <si>
    <t>Breastfeeding 🤱 can be very demanding and requires some learning and patience. With time and adequate help, the vast majority of difficulties can be overcome.</t>
  </si>
  <si>
    <t>Qual a tua dificuldade maior? É a pega? Tens fissuras? É com a quantidade de leite?</t>
  </si>
  <si>
    <t>What's your biggest difficulty? Latching? Are your nipples cracked? Are you having problems with milk supply?</t>
  </si>
  <si>
    <t>Dor,fissuras,feridas</t>
  </si>
  <si>
    <t>Tenho leite suf.?</t>
  </si>
  <si>
    <t>Breastfeeding Enough Milk</t>
  </si>
  <si>
    <t>Breastfeeding Pacifier</t>
  </si>
  <si>
    <t>When nipple shields and/or pacifiers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pacifier. 👶</t>
  </si>
  <si>
    <t>Esse é o motivo pelo qual se deve adiar a introdução de qualquer um deste elementos até a amamentação estar bem estabelecida (aproximadamente após as 6 semanas de idade se não tiver havido nenhuma dificuldade pelo meio).</t>
  </si>
  <si>
    <t>This is why we should delay introducing nipple shields or pacifiers until breastfeeding is well established (after about 6 weeks of age if there haven't been any problems during this time).</t>
  </si>
  <si>
    <t>Após bem estabelecida a amamentação (normalmente após 6 semanas sem contratempos) não é suposto haver dor durante a mamada.
Dor, feridas e fissuras são quase sempre sinal de má pega.</t>
  </si>
  <si>
    <t>After breastfeeding is well established (usually after 6 weeks without setbacks), it shouldn't be painful anymore. 
 Pain, sores and cracks are almost always due to a poor latch.</t>
  </si>
  <si>
    <t>Breastfeeding Little Milk</t>
  </si>
  <si>
    <t>Qd oferecer a 2a?</t>
  </si>
  <si>
    <t>Breastfeeding Too Much Flow</t>
  </si>
  <si>
    <t>Try breastfeeding leaned back (or even laying down), or try to stimulate the breast to let out the first "squirts" 💦 beforehand and then have your baby breastfeed afterwards.</t>
  </si>
  <si>
    <t>Breastfeeding Warm Milk</t>
  </si>
  <si>
    <t>1) agitar o recipiente em água corrente quente 🚰 (até deixar de sentir o frio, se sentir o leite quente já aqueceu demasiado)
OU</t>
  </si>
  <si>
    <t>1) Stir the container around in hot tap water 🚰 (until it doesn't feel cold anymore; if the milk feels hot, it's already too hot).
 OR</t>
  </si>
  <si>
    <t>The ideal temperature is our body temperature, so the milk should feel neither hot nor cold on our hands. ✋</t>
  </si>
  <si>
    <t>Podes encontrar um contacto de uma CAM (Consultora em Aleitamento Materno) voluntária no site da SOS Amamentação.</t>
  </si>
  <si>
    <t>You can contact a volunteer lactation consultant through the SOS Breastfeeding site.</t>
  </si>
  <si>
    <t>Consultar site 🤱</t>
  </si>
  <si>
    <t>http://sosamamentacaopt.blogspot.pt/</t>
  </si>
  <si>
    <t>Breastfeeding Flat Nipples</t>
  </si>
  <si>
    <t>As dificuldades para o bebé serão maiores do que aprendendo a técnica correcta de pega na aréola.</t>
  </si>
  <si>
    <t>The difficulties for your baby will be greater than learning the correct technique of latching on the areola.</t>
  </si>
  <si>
    <t>NOTA: Os bebés mamam na aréola e não no bico. 😉</t>
  </si>
  <si>
    <t>NOTE: Babies breastfeed on the areola and not the nipple. 😉</t>
  </si>
  <si>
    <t>Verificar pega?</t>
  </si>
  <si>
    <t>Breastfeeding Inverted Nipples</t>
  </si>
  <si>
    <t>Os verdadeiros mamilos invertidos quando estimulados (ou com o frio/gelo) recolhem (ainda mais).</t>
  </si>
  <si>
    <t>Truly inverted nipples will pull inward (even more) when stimulated (or from coldness/ice).</t>
  </si>
  <si>
    <t>Esta situação interfere com a amamentação 😕 e precisa de aconselhamento específico.</t>
  </si>
  <si>
    <t>This interferes with breastfeeding 😕 and requires specific advice.</t>
  </si>
  <si>
    <t>Consulta uma CAM (conselheira em aleitamento materno) para te ajudar. 🆘</t>
  </si>
  <si>
    <t>Talk to a lactation consultant for help. 🆘</t>
  </si>
  <si>
    <t>Encontrar CAM</t>
  </si>
  <si>
    <t>The only way to know if your baby is getting enough breast milk is by the number of wet diapers during the day.</t>
  </si>
  <si>
    <t>After your milk has come in (usually about 3 days after birth), your baby should have at least 6 wet diapers per day, with clear urine.</t>
  </si>
  <si>
    <t>Techniques such as weighing before and after feeding should not be used ⛔ or trying to pump to see how much milk you can get because besides being false indicator amounts, they don't mean anything by themselves. 😕</t>
  </si>
  <si>
    <t>The first one is because the baby doesn't always nurse the same amount at every feeding.</t>
  </si>
  <si>
    <t>The second one is because no pump is as effective as a baby directly on the breast, and besides, there is no set amount for breast milk.</t>
  </si>
  <si>
    <t>Aumentar a produção?</t>
  </si>
  <si>
    <t>Preocupação c/peso?</t>
  </si>
  <si>
    <t>Breastfeeding Weight</t>
  </si>
  <si>
    <t>Será suficiente?</t>
  </si>
  <si>
    <t>GENERAL TIPS</t>
  </si>
  <si>
    <t>General Tips</t>
  </si>
  <si>
    <t>As linhas orientadoras mundiais (nomeadamente a Organização Mundial de Saúde) recomenda a amamentação em exclusivo até aos 6 meses de idade e em conjunto com alimentação completar enquanto mãe bebé assim o entenderem. 
Para manter a amamentação basta manter a procura/estímulo. 
Para aumentar a produção aumenta-se o número de vezes que a mama é estimulada (com o bebé, ou extracção à mão, ou com bomba) e esvaziada na totalidade. 
Para diminuir evita-se esvaziar a mama. 
Para mais dicas diz "outra" ou "dica" novamente. Quando quiseres podes só dizer "menu" para voltares a ver as opções.</t>
  </si>
  <si>
    <t>International guidelines (particularly the World Health Organization), recommend exclusively breastfeeding until 6 months of age and as a supplement to solid foods for as long as the mother and baby wish. 
 To maintain breastfeeding, just keep up the demand and stimulus. 
 To increase production and milk supply, increase the number of times the breasts are stimulated (by the baby, manually, or with a pump) and completely empty them. 
 To reduce milk supply, avoid completely emptying the breasts. 
 For more tips type “another” or “tip” again. You can also type "menu" to go back and see my options whenever you want.</t>
  </si>
  <si>
    <t>General Tips 2</t>
  </si>
  <si>
    <t>Cuidar de um bebé é um trabalho sem fim e muito esgotante. 
Cuida de ti! Tenta descansar, um pouco, em pelo menos 1 das sestas. Basta que te sentes e feches também os olhos. 
Se tens dificuldade em "desligar" o cérebro, experimenta pensar na última vez que te sentiste completamente relaxada(o): 
naquela última massagem, naquele fim de tarde perfeito na praia, naquele domingo de sol... Zzzz ;)
Mais? Diz "outra" ou "dica" novamente.</t>
  </si>
  <si>
    <t>Taking care of a baby is an endless and exhausting job. 
 Take care of yourself! Try to rest, at least during one of your baby's naps. Or just sit down and close your eyes. 
 If you have problems “disconnecting” your brain, try thinking about the last time you felt completely relaxed: 
 That last massage, that perfect afternoon at the beach or park, that sunny Sunday... Zzzz ;) 
 Would you like more? Type “another” or “tip” again.</t>
  </si>
  <si>
    <t>Taking care of a baby is an endless and exhausting job. 
Take care of yourself! Try to rest, at least during one of your baby's naps. Or just sit down and close your eyes. 
If you have problems “disconnecting” your brain, try thinking about the last time you felt completely relaxed: 
That last massage, that perfect afternoon at the beach or park, that sunny Sunday... Zzzz ;) 
Would you like more? Type “another” or “tip” again.</t>
  </si>
  <si>
    <t>General Tips 3</t>
  </si>
  <si>
    <t>Algum choro ou irritação sempre no mesmo horário, habitualmente no fim do dia, são normalmente espelho do cansaço do cuidador. 
Podes ajudar garantindo que o principal cuidador descansa pelo menos em 1 das sestas do bebé a par com ele(a).</t>
  </si>
  <si>
    <t>If there's some crying or irritation that always happens at the same time, usually at the end of the day, it is normally a reflection of the caregiver's fatigue. 
You can help by ensuring that the primary caregiver rests during at least one of the baby's naps.</t>
  </si>
  <si>
    <t>General Tips 4</t>
  </si>
  <si>
    <t>98% dos bebés vão ter episódios de cólicas entre a 3ª/4ª semana de vida e o 3º/4º mês de idade. 
As cólicas são auto-limitadas, ou seja, mesmo que nada se faça, desaparecem de forma natural. Iniciar massagens diárias na altura em que o bebé esteja mais tranquilo é a melhor forma de lidar com elas.
E uns factos? Queres saber? Escreve "facto".</t>
  </si>
  <si>
    <t>98% of babies will have episodes of colic between their 3rd - 4th week of life and 3 - 4 months of age. 
Colic is a self-limited condition, which means that even if nothing is done, it naturally disappears. Giving daily massages when your baby is calm is the best way to deal with it. 
How about some facts? Would you like to learn some? Type “fact.”</t>
  </si>
  <si>
    <t>General Tips 5</t>
  </si>
  <si>
    <t>Após bem estabelecida a amamentação (normalmente após 6 semanas sem contratempos) não é suposto haver dor durante a mamada. 
Feridas e fissuras são quase sempre sinal de má pega. 
Dica: 
IMPORTANTE aprender, o quanto antes, a identificar uma boa pega para corrigir ou ajudar a corrigir sempre que o bebé não a faça de forma correcta.</t>
  </si>
  <si>
    <t>After breastfeeding is well established (usually after 6 weeks without setbacks), it shouldn't be painful anymore. 
Sores and cracks are almost always due to a poor latch. 
Tip: 
It's IMPORTANT to learn as soon as possible how to identify a good latch to be able to correct or help correct it whenever your baby is not properly latched.</t>
  </si>
  <si>
    <t>General Tips 6</t>
  </si>
  <si>
    <t>Um choro inconsolável, uma barriga dura, um choro por vezes interrompido no momento em que as pernas esticam de forma brusca, estes são apenas alguns sinais de cólicas. 
Amamentar de forma mais regular e dar colo ao bebé colocando-o de barriga para baixo no nosso braço são algumas alternativas saudáveis e naturais que ajudam a lidar com esta fase dificil.
Para mais dicas diz "outra" ou "dica" novamente. Também tenho "factos" para partilhar. Quando quiseres podes só dizer "menu" para voltares a ver as opções.</t>
  </si>
  <si>
    <t>Inconsolable crying, a firm belly, and crying that is sometimes interrupted when their legs abruptly stretch out are just some of the signs of colic. 
Breastfeeding more regularly and holding your baby face down on your arm are a couple of healthy and natural options to help deal with this difficult phase. 
For more tips type “another” or “tip” again. I also have facts to share. You can also type "menu" to go back and see my options whenever you want.</t>
  </si>
  <si>
    <t>GENERAL FACTS</t>
  </si>
  <si>
    <t>General Facts</t>
  </si>
  <si>
    <t>As linhas orientadoras mundiais (nomeadamente a Organização Mundial de Saúde) recomenda a amamentação em exclusivo até aos 6 meses de idade e em conjunto com alimentação complementar enquanto mãe bebé assim o entenderem.
Para mais, escreve "mais" ou "facto" novamente. Tenho também "dicas" para partilhar. Para sair basta "menu".</t>
  </si>
  <si>
    <t>International guidelines (particularly the World Health Organization) recommend exclusively breastfeeding until 6 months of age and as a supplement to solid foods for as long as the mother and baby wish. 
To learn more, type “more” or “fact” again. I also have tips to share. To leave, just type “menu”.</t>
  </si>
  <si>
    <t>General Facts 2</t>
  </si>
  <si>
    <t>As mulheres, têm 2 mamas porque estão preparadas para alimentar em simultâneo 2 bebés. 
No caso de ser apenas 1 bebé, 1 mama é uma refeição. Excepto até à subida do leite em que se deve oferecer sempre ambas (para estimular) e/ou em pico de crescimento, em que possivelmente 1 não será suficiente para satisfazer o repentino aumento de necessidades do bebé. 
(Ainda bem que está uma dose de reserva sempre pronta e ali mesmo ao lado, certo?)</t>
  </si>
  <si>
    <t>Women have 2 breasts because they are prepared to feed 2 babies at the same time. 
If you have just 1 baby, 1 breast is a meal. The exception is when your milk is coming in, then always offer both (to stimulate production) and/or during growth spurts (in which case 1 might not be enough to satisfy your baby's sudden increase in appetite). 
(Good thing there's a reserve supply always ready to go, right?)</t>
  </si>
  <si>
    <t>General Facts 3</t>
  </si>
  <si>
    <t>Sabias que a SOS Amamentação (associação sem fins lucrativos) tem sempre voluntárias disponíveis para ajudar? 
A qualquer hora e em qualquer altura, podes encontrar um contacto de uma voluntária CAM (Consultora em Aleitamento Materno) aqui ⬇</t>
  </si>
  <si>
    <t>Did you know that La Leche League (a non-profit organization) always has volunteers available to help? 
You can contact a volunteer lactation consultant at any time here ⬇
(Note: you could write LC anytime and I will remember you of the site)</t>
  </si>
  <si>
    <t>General Facts 4</t>
  </si>
  <si>
    <t>SOS Amamentação</t>
  </si>
  <si>
    <t>La Leche League</t>
  </si>
  <si>
    <t>https://www.llli.org/</t>
  </si>
  <si>
    <t>Após bem estabelecida a amamentação (normalmente após 6 semanas sem contratempos) não é suposto haver dor durante a mamada. 
Feridas e fissuras são quase sempre sinal de má pega do bebé. 
As Consultoras em Aleitamento Materno (CAM) estão sempre disponíveis para ajudar.
Para mais, escreve "mais" ou "facto" novamente. Tenho também "dicas" para partilhar.</t>
  </si>
  <si>
    <t>After breastfeeding is well established (usually after 6 weeks without setbacks), it shouldn't be painful anymore. 
Sores and cracks are almost always due to a poor latch. 
Lactation consultants are always ready to help. 
To learn more, type “more” or “fact” again. I also have tips to share.</t>
  </si>
  <si>
    <t>General Facts 5</t>
  </si>
  <si>
    <t>A forma de sabermos se o bebé está a alimentar-se bem na mama é pelo número de fraldas molhadas durante o dia. 
Após a subida do leite (+/- habitual ao 3º dia após o parto) o bebé deve molhar mais de 6 por dia, com urina clara.
Sabias? Queres saber mais coisas? 
Podes também escrever temas (relacionados com a amamentação) que te suscitem dúvidas... poderei saber ajudar-te!</t>
  </si>
  <si>
    <t>The way to know if your baby is getting enough breast milk is by the number of wet diapers during the day. 
After your milk has come in (usually about 3 days after birth), your baby should have at least 6 wet diapers per day, with clear urine. 
Did you know that? Would you like to learn more? 
You can type in topics (related to breastfeeding) that you have questions about... I'll be able to know how to help you!</t>
  </si>
  <si>
    <t>General Facts 6</t>
  </si>
  <si>
    <t>Amamentar sem tempos, horários e em livre demanda (sempre que o bebé pedir) é a melhor forma de garantir que o bebé recebe todo o alimento que precisa. 
Até aos 6 meses de idade o bebé não precisa de absolutamente mais nada para ter uma alimentação equilibrada e um bom desenvolvimento.</t>
  </si>
  <si>
    <t>Breastfeeding on demand (whenever the baby wants it), rather than at certain times or on certain schedules, is the best way to ensure that your baby gets all the food she needs. 
Until 6 months of age, your baby doesn't need anything else to have a balanced diet and good development.</t>
  </si>
  <si>
    <t>General Facts 7</t>
  </si>
  <si>
    <t>Compete APENAS AOS PAIS a decisão de amamentar em exclusivo, suplementar ou mesmo substituir o leite materno. 
No entanto, todos os pais sofrem imensas pressões para abandonar o leite materno e muitas vezes feitas apenas por desconhecimento ou indisponibilidade de tempo para informar e/ou apoiar na decisão prévia dos pais. 
As recomendações mundiais são que todos os bebés sejam amamentados em exclusivo até aos 6 meses de idade e que a amamentação se mantenha com alimentação complementar enquanto mãe e bebé assim o entenderem.</t>
  </si>
  <si>
    <t>It is ONLY THE PARENTS’ decision whether to breastfeed exclusively, breastfeed and supplement with formula, or even replace breast milk entirely. 
However, parents are under great pressure to stop breastfeeding, which most of the time, occurs due to lack of knowledge or availability to inform and/or support the parents’ decision. 
Worldwide recommendations state that all babies should be exclusively breastfed until 6 months of age, and breastfeeding should supplement solid foods for as long as the baby and mother like.</t>
  </si>
  <si>
    <t>General Facts 8</t>
  </si>
  <si>
    <t>O bebé é o único capaz de verdadeiramente estimular e esvaziar a mama mas não quer dizer que não o consigamos fazer na sua ausência.
Se já chega por hoje diz "menu" e volta a ver as opções. Tenho novas funções e informações a cada dia. 😊</t>
  </si>
  <si>
    <t>Babies are the only ones who are able to truly stimulate and completely empty the breast, but this doesn't mean that we can't do it without them. 
If you're done with this for today, you can type "menu" to go back to see the options. I've got new capabilities and information every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</si>
</sst>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Arial"/>
      <scheme val="minor"/>
    </font>
    <font>
      <u/>
      <sz val="11"/>
      <color theme="10"/>
      <name val="Arial"/>
      <family val="2"/>
      <scheme val="minor"/>
    </font>
    <font>
      <sz val="11"/>
      <color rgb="FF000000"/>
      <name val="Arial"/>
      <family val="2"/>
    </font>
    <font>
      <b/>
      <sz val="11"/>
      <color rgb="FF000000"/>
      <name val="Arial"/>
      <family val="2"/>
    </font>
    <font>
      <b/>
      <sz val="11"/>
      <color rgb="FF1F1F1F"/>
      <name val="Arial"/>
      <family val="2"/>
    </font>
    <font>
      <sz val="10"/>
      <color rgb="FF000000"/>
      <name val="Arial"/>
      <family val="2"/>
    </font>
    <font>
      <sz val="10"/>
      <color rgb="FF1F1F1F"/>
      <name val="Arial"/>
      <family val="2"/>
    </font>
    <font>
      <sz val="10"/>
      <color theme="1"/>
      <name val="Arial"/>
      <family val="2"/>
    </font>
    <font>
      <sz val="21"/>
      <color theme="1"/>
      <name val="Arial"/>
      <family val="2"/>
      <scheme val="minor"/>
    </font>
    <font>
      <sz val="10"/>
      <color theme="1"/>
      <name val="Arial"/>
      <family val="2"/>
      <scheme val="minor"/>
    </font>
    <font>
      <b/>
      <sz val="12"/>
      <color theme="1"/>
      <name val="Arial"/>
      <family val="2"/>
    </font>
    <font>
      <u/>
      <sz val="10"/>
      <color rgb="FF0000FF"/>
      <name val="Arial"/>
      <family val="2"/>
    </font>
    <font>
      <b/>
      <sz val="11"/>
      <color rgb="FF000000"/>
      <name val="Arial"/>
      <family val="2"/>
      <scheme val="minor"/>
    </font>
    <font>
      <sz val="11"/>
      <color rgb="FF000000"/>
      <name val="Arial"/>
      <family val="2"/>
      <scheme val="minor"/>
    </font>
    <font>
      <sz val="10"/>
      <color rgb="FF000000"/>
      <name val="Arial"/>
    </font>
    <font>
      <sz val="10"/>
      <color rgb="FF000000"/>
      <name val="Arial"/>
      <charset val="1"/>
    </font>
    <font>
      <sz val="10"/>
      <color rgb="FFFF0000"/>
      <name val="Arial"/>
    </font>
  </fonts>
  <fills count="18">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FFFFFF"/>
        <bgColor indexed="64"/>
      </patternFill>
    </fill>
    <fill>
      <patternFill patternType="solid">
        <fgColor rgb="FFFCE5CD"/>
        <bgColor indexed="64"/>
      </patternFill>
    </fill>
    <fill>
      <patternFill patternType="solid">
        <fgColor rgb="FFD9EAD3"/>
        <bgColor indexed="64"/>
      </patternFill>
    </fill>
    <fill>
      <patternFill patternType="solid">
        <fgColor rgb="FFFFC000"/>
        <bgColor indexed="64"/>
      </patternFill>
    </fill>
    <fill>
      <patternFill patternType="solid">
        <fgColor rgb="FFB7E1CD"/>
        <bgColor rgb="FFB7E1CD"/>
      </patternFill>
    </fill>
    <fill>
      <patternFill patternType="solid">
        <fgColor rgb="FFFF0000"/>
        <bgColor rgb="FFFF0000"/>
      </patternFill>
    </fill>
    <fill>
      <patternFill patternType="solid">
        <fgColor rgb="FFFFFF00"/>
        <bgColor rgb="FFFFFF00"/>
      </patternFill>
    </fill>
    <fill>
      <patternFill patternType="solid">
        <fgColor rgb="FFE6B8AF"/>
        <bgColor rgb="FFE6B8AF"/>
      </patternFill>
    </fill>
    <fill>
      <patternFill patternType="solid">
        <fgColor theme="0" tint="-0.249977111117893"/>
        <bgColor indexed="64"/>
      </patternFill>
    </fill>
    <fill>
      <patternFill patternType="solid">
        <fgColor theme="9"/>
        <bgColor indexed="64"/>
      </patternFill>
    </fill>
    <fill>
      <patternFill patternType="solid">
        <fgColor theme="7"/>
        <bgColor indexed="64"/>
      </patternFill>
    </fill>
    <fill>
      <patternFill patternType="solid">
        <fgColor rgb="FFFFFFFF"/>
        <bgColor rgb="FF000000"/>
      </patternFill>
    </fill>
    <fill>
      <patternFill patternType="solid">
        <fgColor rgb="FFFFFF00"/>
        <bgColor indexed="64"/>
      </patternFill>
    </fill>
  </fills>
  <borders count="58">
    <border>
      <left/>
      <right/>
      <top/>
      <bottom/>
      <diagonal/>
    </border>
    <border>
      <left/>
      <right/>
      <top/>
      <bottom style="double">
        <color rgb="FF000000"/>
      </bottom>
      <diagonal/>
    </border>
    <border>
      <left style="thin">
        <color rgb="FFCCCCCC"/>
      </left>
      <right style="thin">
        <color rgb="FFCCCCCC"/>
      </right>
      <top style="thin">
        <color rgb="FF000000"/>
      </top>
      <bottom style="thin">
        <color rgb="FFCCCCCC"/>
      </bottom>
      <diagonal/>
    </border>
    <border>
      <left style="thin">
        <color rgb="FFCCCCCC"/>
      </left>
      <right/>
      <top/>
      <bottom/>
      <diagonal/>
    </border>
    <border>
      <left style="thin">
        <color rgb="FFCCCCCC"/>
      </left>
      <right/>
      <top style="thin">
        <color rgb="FF000000"/>
      </top>
      <bottom style="thin">
        <color rgb="FFCCCCCC"/>
      </bottom>
      <diagonal/>
    </border>
    <border>
      <left/>
      <right/>
      <top style="thin">
        <color rgb="FF000000"/>
      </top>
      <bottom style="thin">
        <color rgb="FFCCCCCC"/>
      </bottom>
      <diagonal/>
    </border>
    <border>
      <left/>
      <right style="thin">
        <color rgb="FFCCCCCC"/>
      </right>
      <top style="thin">
        <color rgb="FF000000"/>
      </top>
      <bottom style="thin">
        <color rgb="FFCCCCCC"/>
      </bottom>
      <diagonal/>
    </border>
    <border>
      <left/>
      <right style="thin">
        <color rgb="FF000000"/>
      </right>
      <top style="thin">
        <color rgb="FF000000"/>
      </top>
      <bottom style="thin">
        <color rgb="FFCCCCCC"/>
      </bottom>
      <diagonal/>
    </border>
    <border>
      <left style="thin">
        <color rgb="FFCCCCCC"/>
      </left>
      <right style="thin">
        <color rgb="FFCCCCCC"/>
      </right>
      <top style="thin">
        <color rgb="FFCCCCCC"/>
      </top>
      <bottom style="double">
        <color rgb="FF000000"/>
      </bottom>
      <diagonal/>
    </border>
    <border>
      <left style="thin">
        <color rgb="FFCCCCCC"/>
      </left>
      <right style="thin">
        <color rgb="FF000000"/>
      </right>
      <top style="thin">
        <color rgb="FFCCCCCC"/>
      </top>
      <bottom style="double">
        <color rgb="FF000000"/>
      </bottom>
      <diagonal/>
    </border>
    <border>
      <left style="thin">
        <color rgb="FFCCCCCC"/>
      </left>
      <right/>
      <top style="double">
        <color rgb="FF000000"/>
      </top>
      <bottom/>
      <diagonal/>
    </border>
    <border>
      <left style="thin">
        <color rgb="FFCCCCCC"/>
      </left>
      <right style="thin">
        <color rgb="FFCCCCCC"/>
      </right>
      <top style="thin">
        <color rgb="FFCCCCCC"/>
      </top>
      <bottom/>
      <diagonal/>
    </border>
    <border>
      <left style="thin">
        <color rgb="FFCCCCCC"/>
      </left>
      <right style="thin">
        <color rgb="FFCCCCCC"/>
      </right>
      <top/>
      <bottom/>
      <diagonal/>
    </border>
    <border>
      <left style="thin">
        <color rgb="FFCCCCCC"/>
      </left>
      <right style="thin">
        <color rgb="FFCCCCCC"/>
      </right>
      <top/>
      <bottom style="double">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bottom style="thin">
        <color rgb="FFCCCCCC"/>
      </bottom>
      <diagonal/>
    </border>
    <border>
      <left style="thin">
        <color rgb="FFCCCCCC"/>
      </left>
      <right style="thin">
        <color rgb="FFCCCCCC"/>
      </right>
      <top style="thin">
        <color rgb="FFCCCCCC"/>
      </top>
      <bottom style="thick">
        <color rgb="FF000000"/>
      </bottom>
      <diagonal/>
    </border>
    <border>
      <left style="thin">
        <color rgb="FFCCCCCC"/>
      </left>
      <right style="thin">
        <color rgb="FFCCCCCC"/>
      </right>
      <top/>
      <bottom style="thick">
        <color rgb="FF000000"/>
      </bottom>
      <diagonal/>
    </border>
    <border>
      <left style="thin">
        <color rgb="FFCCCCCC"/>
      </left>
      <right/>
      <top style="thin">
        <color rgb="FFCCCCCC"/>
      </top>
      <bottom/>
      <diagonal/>
    </border>
    <border>
      <left style="thin">
        <color rgb="FFCCCCCC"/>
      </left>
      <right style="thin">
        <color rgb="FF000000"/>
      </right>
      <top style="thin">
        <color rgb="FFCCCCCC"/>
      </top>
      <bottom style="thick">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CCCCCC"/>
      </right>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CCCCCC"/>
      </right>
      <top/>
      <bottom/>
      <diagonal/>
    </border>
    <border>
      <left/>
      <right style="thin">
        <color rgb="FFCCCCCC"/>
      </right>
      <top/>
      <bottom style="thin">
        <color rgb="FFCCCCCC"/>
      </bottom>
      <diagonal/>
    </border>
    <border>
      <left/>
      <right style="thin">
        <color rgb="FFCCCCCC"/>
      </right>
      <top style="thin">
        <color rgb="FFCCCCCC"/>
      </top>
      <bottom style="double">
        <color rgb="FF000000"/>
      </bottom>
      <diagonal/>
    </border>
    <border>
      <left/>
      <right style="thin">
        <color rgb="FFCCCCCC"/>
      </right>
      <top/>
      <bottom style="double">
        <color rgb="FF000000"/>
      </bottom>
      <diagonal/>
    </border>
    <border>
      <left/>
      <right style="thin">
        <color rgb="FFCCCCCC"/>
      </right>
      <top style="thin">
        <color rgb="FFCCCCCC"/>
      </top>
      <bottom style="thin">
        <color rgb="FFCCCCCC"/>
      </bottom>
      <diagonal/>
    </border>
    <border>
      <left style="thin">
        <color rgb="FFCCCCCC"/>
      </left>
      <right/>
      <top/>
      <bottom style="thin">
        <color rgb="FFCCCCCC"/>
      </bottom>
      <diagonal/>
    </border>
    <border>
      <left style="thin">
        <color rgb="FFCCCCCC"/>
      </left>
      <right style="thin">
        <color rgb="FFCCCCCC"/>
      </right>
      <top style="thick">
        <color rgb="FF000000"/>
      </top>
      <bottom/>
      <diagonal/>
    </border>
    <border>
      <left style="thin">
        <color rgb="FFCCCCCC"/>
      </left>
      <right style="thin">
        <color rgb="FFCCCCCC"/>
      </right>
      <top style="double">
        <color rgb="FF000000"/>
      </top>
      <bottom/>
      <diagonal/>
    </border>
    <border>
      <left/>
      <right style="thin">
        <color rgb="FFCCCCCC"/>
      </right>
      <top style="double">
        <color rgb="FF000000"/>
      </top>
      <bottom/>
      <diagonal/>
    </border>
    <border>
      <left style="thin">
        <color rgb="FF000000"/>
      </left>
      <right style="thin">
        <color rgb="FF000000"/>
      </right>
      <top style="double">
        <color rgb="FF000000"/>
      </top>
      <bottom/>
      <diagonal/>
    </border>
    <border>
      <left style="thin">
        <color rgb="FF000000"/>
      </left>
      <right style="thin">
        <color rgb="FF000000"/>
      </right>
      <top/>
      <bottom/>
      <diagonal/>
    </border>
    <border>
      <left style="thin">
        <color rgb="FF000000"/>
      </left>
      <right style="thin">
        <color rgb="FF000000"/>
      </right>
      <top/>
      <bottom style="double">
        <color rgb="FF000000"/>
      </bottom>
      <diagonal/>
    </border>
    <border>
      <left style="thin">
        <color rgb="FF000000"/>
      </left>
      <right style="thin">
        <color rgb="FF000000"/>
      </right>
      <top/>
      <bottom style="thin">
        <color rgb="FFCCCCCC"/>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CCCCCC"/>
      </right>
      <top style="thin">
        <color rgb="FFCCCCCC"/>
      </top>
      <bottom style="thick">
        <color rgb="FF000000"/>
      </bottom>
      <diagonal/>
    </border>
    <border>
      <left/>
      <right style="thin">
        <color rgb="FFCCCCCC"/>
      </right>
      <top style="thin">
        <color rgb="FFCCCCCC"/>
      </top>
      <bottom style="thin">
        <color rgb="FF000000"/>
      </bottom>
      <diagonal/>
    </border>
    <border>
      <left style="thin">
        <color rgb="FFCCCCCC"/>
      </left>
      <right style="thin">
        <color rgb="FF000000"/>
      </right>
      <top/>
      <bottom style="thin">
        <color rgb="FFCCCCCC"/>
      </bottom>
      <diagonal/>
    </border>
    <border>
      <left style="thin">
        <color rgb="FFCCCCCC"/>
      </left>
      <right/>
      <top/>
      <bottom style="double">
        <color rgb="FF000000"/>
      </bottom>
      <diagonal/>
    </border>
    <border>
      <left/>
      <right style="thin">
        <color rgb="FF000000"/>
      </right>
      <top/>
      <bottom style="double">
        <color rgb="FF000000"/>
      </bottom>
      <diagonal/>
    </border>
    <border>
      <left/>
      <right style="thin">
        <color rgb="FF000000"/>
      </right>
      <top style="double">
        <color rgb="FF000000"/>
      </top>
      <bottom/>
      <diagonal/>
    </border>
    <border>
      <left/>
      <right style="thin">
        <color rgb="FF000000"/>
      </right>
      <top/>
      <bottom style="thin">
        <color rgb="FF000000"/>
      </bottom>
      <diagonal/>
    </border>
    <border>
      <left style="thin">
        <color rgb="FFCCCCCC"/>
      </left>
      <right style="thin">
        <color rgb="FF000000"/>
      </right>
      <top/>
      <bottom style="double">
        <color rgb="FF000000"/>
      </bottom>
      <diagonal/>
    </border>
    <border>
      <left/>
      <right/>
      <top style="double">
        <color rgb="FF000000"/>
      </top>
      <bottom/>
      <diagonal/>
    </border>
    <border>
      <left/>
      <right style="thin">
        <color rgb="FF000000"/>
      </right>
      <top style="thin">
        <color rgb="FF000000"/>
      </top>
      <bottom/>
      <diagonal/>
    </border>
    <border>
      <left style="thin">
        <color rgb="FFCCCCCC"/>
      </left>
      <right style="medium">
        <color rgb="FF000000"/>
      </right>
      <top/>
      <bottom/>
      <diagonal/>
    </border>
    <border>
      <left style="thin">
        <color rgb="FFCCCCCC"/>
      </left>
      <right style="medium">
        <color rgb="FF000000"/>
      </right>
      <top/>
      <bottom style="double">
        <color rgb="FF000000"/>
      </bottom>
      <diagonal/>
    </border>
    <border>
      <left/>
      <right style="medium">
        <color rgb="FF000000"/>
      </right>
      <top/>
      <bottom/>
      <diagonal/>
    </border>
    <border>
      <left style="thin">
        <color rgb="FFCCCCCC"/>
      </left>
      <right style="medium">
        <color rgb="FF000000"/>
      </right>
      <top style="double">
        <color rgb="FF000000"/>
      </top>
      <bottom/>
      <diagonal/>
    </border>
    <border>
      <left/>
      <right style="medium">
        <color rgb="FF000000"/>
      </right>
      <top style="double">
        <color rgb="FF000000"/>
      </top>
      <bottom/>
      <diagonal/>
    </border>
    <border>
      <left/>
      <right style="thin">
        <color rgb="FFCCCCCC"/>
      </right>
      <top style="thin">
        <color rgb="FFCCCCCC"/>
      </top>
      <bottom/>
      <diagonal/>
    </border>
    <border>
      <left/>
      <right style="thin">
        <color rgb="FFCCCCCC"/>
      </right>
      <top style="thick">
        <color rgb="FF000000"/>
      </top>
      <bottom/>
      <diagonal/>
    </border>
    <border>
      <left style="thin">
        <color rgb="FF000000"/>
      </left>
      <right/>
      <top style="double">
        <color rgb="FF000000"/>
      </top>
      <bottom/>
      <diagonal/>
    </border>
    <border>
      <left style="thin">
        <color rgb="FF000000"/>
      </left>
      <right/>
      <top/>
      <bottom/>
      <diagonal/>
    </border>
  </borders>
  <cellStyleXfs count="3">
    <xf numFmtId="0" fontId="0" fillId="0" borderId="0"/>
    <xf numFmtId="0" fontId="1" fillId="0" borderId="0" applyNumberFormat="0" applyFill="0" applyBorder="0" applyAlignment="0" applyProtection="0"/>
    <xf numFmtId="0" fontId="13" fillId="0" borderId="0"/>
  </cellStyleXfs>
  <cellXfs count="339">
    <xf numFmtId="0" fontId="0" fillId="0" borderId="0" xfId="0"/>
    <xf numFmtId="0" fontId="0" fillId="0" borderId="0" xfId="0" applyAlignment="1">
      <alignment wrapText="1"/>
    </xf>
    <xf numFmtId="0" fontId="4" fillId="5" borderId="8" xfId="0" applyFont="1" applyFill="1" applyBorder="1" applyAlignment="1">
      <alignment wrapText="1" readingOrder="1"/>
    </xf>
    <xf numFmtId="0" fontId="5" fillId="0" borderId="14" xfId="0" applyFont="1" applyBorder="1" applyAlignment="1">
      <alignment wrapText="1" readingOrder="1"/>
    </xf>
    <xf numFmtId="0" fontId="5" fillId="0" borderId="13" xfId="0" applyFont="1" applyBorder="1" applyAlignment="1">
      <alignment wrapText="1" readingOrder="1"/>
    </xf>
    <xf numFmtId="0" fontId="5" fillId="7" borderId="13" xfId="0" applyFont="1" applyFill="1" applyBorder="1" applyAlignment="1">
      <alignment wrapText="1" readingOrder="1"/>
    </xf>
    <xf numFmtId="0" fontId="5" fillId="0" borderId="8" xfId="0" applyFont="1" applyBorder="1" applyAlignment="1">
      <alignment wrapText="1" readingOrder="1"/>
    </xf>
    <xf numFmtId="0" fontId="5" fillId="7" borderId="8" xfId="0" applyFont="1" applyFill="1" applyBorder="1" applyAlignment="1">
      <alignment wrapText="1" readingOrder="1"/>
    </xf>
    <xf numFmtId="0" fontId="6" fillId="5" borderId="14" xfId="0" applyFont="1" applyFill="1" applyBorder="1" applyAlignment="1">
      <alignment wrapText="1" readingOrder="1"/>
    </xf>
    <xf numFmtId="0" fontId="6" fillId="5" borderId="8" xfId="0" applyFont="1" applyFill="1" applyBorder="1" applyAlignment="1">
      <alignment wrapText="1" readingOrder="1"/>
    </xf>
    <xf numFmtId="0" fontId="5" fillId="0" borderId="17" xfId="0" applyFont="1" applyBorder="1" applyAlignment="1">
      <alignment wrapText="1" readingOrder="1"/>
    </xf>
    <xf numFmtId="0" fontId="5" fillId="0" borderId="16" xfId="0" applyFont="1" applyBorder="1" applyAlignment="1">
      <alignment wrapText="1" readingOrder="1"/>
    </xf>
    <xf numFmtId="0" fontId="5" fillId="5" borderId="14" xfId="0" applyFont="1" applyFill="1" applyBorder="1" applyAlignment="1">
      <alignment wrapText="1" readingOrder="1"/>
    </xf>
    <xf numFmtId="0" fontId="5" fillId="0" borderId="21" xfId="0" applyFont="1" applyBorder="1" applyAlignment="1">
      <alignment wrapText="1" readingOrder="1"/>
    </xf>
    <xf numFmtId="0" fontId="4" fillId="5" borderId="21" xfId="0" applyFont="1" applyFill="1" applyBorder="1" applyAlignment="1">
      <alignment wrapText="1" readingOrder="1"/>
    </xf>
    <xf numFmtId="0" fontId="5" fillId="7" borderId="21" xfId="0" applyFont="1" applyFill="1" applyBorder="1" applyAlignment="1">
      <alignment wrapText="1" readingOrder="1"/>
    </xf>
    <xf numFmtId="0" fontId="7" fillId="9" borderId="0" xfId="0" applyFont="1" applyFill="1" applyAlignment="1">
      <alignment horizontal="center" vertical="center" wrapText="1"/>
    </xf>
    <xf numFmtId="0" fontId="7" fillId="9" borderId="0" xfId="0" applyFont="1" applyFill="1" applyAlignment="1">
      <alignment horizontal="left" vertical="center" wrapText="1"/>
    </xf>
    <xf numFmtId="0" fontId="7" fillId="9" borderId="0" xfId="0" applyFont="1" applyFill="1" applyAlignment="1">
      <alignment wrapText="1"/>
    </xf>
    <xf numFmtId="0" fontId="7" fillId="9" borderId="0" xfId="0" applyFont="1" applyFill="1"/>
    <xf numFmtId="0" fontId="9" fillId="0" borderId="0" xfId="0" applyFont="1" applyAlignment="1">
      <alignment wrapText="1"/>
    </xf>
    <xf numFmtId="0" fontId="9" fillId="0" borderId="0" xfId="0" applyFont="1" applyAlignment="1">
      <alignment horizontal="left" vertical="center" wrapText="1"/>
    </xf>
    <xf numFmtId="0" fontId="10" fillId="11" borderId="0" xfId="0" applyFont="1" applyFill="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7" fillId="0" borderId="16" xfId="0" applyFont="1" applyBorder="1" applyAlignment="1">
      <alignment horizontal="left" vertical="center" wrapText="1"/>
    </xf>
    <xf numFmtId="0" fontId="7" fillId="0" borderId="0" xfId="0" applyFont="1" applyAlignment="1">
      <alignment wrapText="1"/>
    </xf>
    <xf numFmtId="0" fontId="7" fillId="0" borderId="16" xfId="0" applyFont="1" applyBorder="1" applyAlignment="1">
      <alignment horizontal="left" vertical="center"/>
    </xf>
    <xf numFmtId="0" fontId="0" fillId="2" borderId="0" xfId="0" applyFill="1" applyAlignment="1">
      <alignment wrapText="1"/>
    </xf>
    <xf numFmtId="0" fontId="7" fillId="0" borderId="0" xfId="0" applyFont="1"/>
    <xf numFmtId="0" fontId="11" fillId="0" borderId="0" xfId="0" applyFont="1" applyAlignment="1">
      <alignment horizontal="left" vertical="center" wrapText="1"/>
    </xf>
    <xf numFmtId="0" fontId="7" fillId="0" borderId="0" xfId="0" applyFont="1" applyAlignment="1">
      <alignment horizontal="left" vertical="center"/>
    </xf>
    <xf numFmtId="0" fontId="7" fillId="12" borderId="0" xfId="0" applyFont="1" applyFill="1"/>
    <xf numFmtId="0" fontId="7" fillId="3" borderId="0" xfId="0" applyFont="1" applyFill="1" applyAlignment="1">
      <alignment horizontal="left" vertical="center" wrapText="1"/>
    </xf>
    <xf numFmtId="0" fontId="7" fillId="4" borderId="0" xfId="0" applyFont="1" applyFill="1" applyAlignment="1">
      <alignment horizontal="center" vertical="center" wrapText="1"/>
    </xf>
    <xf numFmtId="0" fontId="7" fillId="0" borderId="24" xfId="0" applyFont="1" applyBorder="1" applyAlignment="1">
      <alignment horizontal="left" vertical="center"/>
    </xf>
    <xf numFmtId="0" fontId="7" fillId="0" borderId="24" xfId="0" applyFont="1" applyBorder="1" applyAlignment="1">
      <alignment horizontal="left" vertical="center" wrapText="1"/>
    </xf>
    <xf numFmtId="0" fontId="7" fillId="12" borderId="0" xfId="0" applyFont="1" applyFill="1" applyAlignment="1">
      <alignment horizontal="center" vertical="center" wrapText="1"/>
    </xf>
    <xf numFmtId="0" fontId="11" fillId="0" borderId="0" xfId="0" applyFont="1" applyAlignment="1">
      <alignment horizontal="left" vertical="center"/>
    </xf>
    <xf numFmtId="0" fontId="2" fillId="0" borderId="8" xfId="0" applyFont="1" applyBorder="1" applyAlignment="1">
      <alignment wrapText="1" readingOrder="1"/>
    </xf>
    <xf numFmtId="0" fontId="2" fillId="0" borderId="2" xfId="0" applyFont="1" applyBorder="1" applyAlignment="1">
      <alignment wrapText="1" readingOrder="1"/>
    </xf>
    <xf numFmtId="0" fontId="2" fillId="5" borderId="2" xfId="0" applyFont="1" applyFill="1" applyBorder="1" applyAlignment="1">
      <alignment wrapText="1" readingOrder="1"/>
    </xf>
    <xf numFmtId="0" fontId="2" fillId="5" borderId="14" xfId="0" applyFont="1" applyFill="1" applyBorder="1" applyAlignment="1">
      <alignment wrapText="1" readingOrder="1"/>
    </xf>
    <xf numFmtId="0" fontId="2" fillId="7" borderId="14" xfId="0" applyFont="1" applyFill="1" applyBorder="1" applyAlignment="1">
      <alignment wrapText="1" readingOrder="1"/>
    </xf>
    <xf numFmtId="0" fontId="2" fillId="7" borderId="15" xfId="0" applyFont="1" applyFill="1" applyBorder="1" applyAlignment="1">
      <alignment wrapText="1" readingOrder="1"/>
    </xf>
    <xf numFmtId="0" fontId="2" fillId="7" borderId="8" xfId="0" applyFont="1" applyFill="1" applyBorder="1" applyAlignment="1">
      <alignment wrapText="1" readingOrder="1"/>
    </xf>
    <xf numFmtId="0" fontId="2" fillId="7" borderId="9" xfId="0" applyFont="1" applyFill="1" applyBorder="1" applyAlignment="1">
      <alignment wrapText="1" readingOrder="1"/>
    </xf>
    <xf numFmtId="0" fontId="2" fillId="7" borderId="16" xfId="0" applyFont="1" applyFill="1" applyBorder="1" applyAlignment="1">
      <alignment wrapText="1" readingOrder="1"/>
    </xf>
    <xf numFmtId="0" fontId="2" fillId="7" borderId="13" xfId="0" applyFont="1" applyFill="1" applyBorder="1" applyAlignment="1">
      <alignment wrapText="1" readingOrder="1"/>
    </xf>
    <xf numFmtId="0" fontId="2" fillId="7" borderId="17" xfId="0" applyFont="1" applyFill="1" applyBorder="1" applyAlignment="1">
      <alignment wrapText="1" readingOrder="1"/>
    </xf>
    <xf numFmtId="0" fontId="2" fillId="7" borderId="20" xfId="0" applyFont="1" applyFill="1" applyBorder="1" applyAlignment="1">
      <alignment wrapText="1" readingOrder="1"/>
    </xf>
    <xf numFmtId="0" fontId="2" fillId="0" borderId="14" xfId="0" applyFont="1" applyBorder="1" applyAlignment="1">
      <alignment wrapText="1" readingOrder="1"/>
    </xf>
    <xf numFmtId="0" fontId="2" fillId="0" borderId="17" xfId="0" applyFont="1" applyBorder="1" applyAlignment="1">
      <alignment wrapText="1" readingOrder="1"/>
    </xf>
    <xf numFmtId="0" fontId="2" fillId="7" borderId="21" xfId="0" applyFont="1" applyFill="1" applyBorder="1" applyAlignment="1">
      <alignment wrapText="1" readingOrder="1"/>
    </xf>
    <xf numFmtId="0" fontId="2" fillId="7" borderId="23" xfId="0" applyFont="1" applyFill="1" applyBorder="1" applyAlignment="1">
      <alignment wrapText="1" readingOrder="1"/>
    </xf>
    <xf numFmtId="0" fontId="5" fillId="7" borderId="13" xfId="0" applyFont="1" applyFill="1" applyBorder="1" applyAlignment="1">
      <alignment horizontal="center" wrapText="1" readingOrder="1"/>
    </xf>
    <xf numFmtId="0" fontId="2" fillId="7" borderId="16" xfId="0" applyFont="1" applyFill="1" applyBorder="1" applyAlignment="1">
      <alignment horizontal="center" wrapText="1" readingOrder="1"/>
    </xf>
    <xf numFmtId="0" fontId="2" fillId="7" borderId="14" xfId="0" applyFont="1" applyFill="1" applyBorder="1" applyAlignment="1">
      <alignment horizontal="center" wrapText="1" readingOrder="1"/>
    </xf>
    <xf numFmtId="0" fontId="5" fillId="7" borderId="8" xfId="0" applyFont="1" applyFill="1" applyBorder="1" applyAlignment="1">
      <alignment horizontal="center" wrapText="1" readingOrder="1"/>
    </xf>
    <xf numFmtId="0" fontId="2" fillId="7" borderId="8" xfId="0" applyFont="1" applyFill="1" applyBorder="1" applyAlignment="1">
      <alignment horizontal="center" wrapText="1" readingOrder="1"/>
    </xf>
    <xf numFmtId="0" fontId="2" fillId="7" borderId="17" xfId="0" applyFont="1" applyFill="1" applyBorder="1" applyAlignment="1">
      <alignment horizontal="center" wrapText="1" readingOrder="1"/>
    </xf>
    <xf numFmtId="0" fontId="5" fillId="7" borderId="21" xfId="0" applyFont="1" applyFill="1" applyBorder="1" applyAlignment="1">
      <alignment horizontal="center" wrapText="1" readingOrder="1"/>
    </xf>
    <xf numFmtId="0" fontId="0" fillId="0" borderId="0" xfId="0" applyAlignment="1">
      <alignment horizontal="center" wrapText="1"/>
    </xf>
    <xf numFmtId="0" fontId="5" fillId="0" borderId="0" xfId="0" applyFont="1" applyAlignment="1">
      <alignment wrapText="1" readingOrder="1"/>
    </xf>
    <xf numFmtId="0" fontId="2" fillId="5" borderId="0" xfId="0" applyFont="1" applyFill="1" applyAlignment="1">
      <alignment wrapText="1" readingOrder="1"/>
    </xf>
    <xf numFmtId="0" fontId="2" fillId="5" borderId="16" xfId="0" applyFont="1" applyFill="1" applyBorder="1" applyAlignment="1">
      <alignment wrapText="1" readingOrder="1"/>
    </xf>
    <xf numFmtId="0" fontId="5" fillId="0" borderId="1" xfId="0" applyFont="1" applyBorder="1" applyAlignment="1">
      <alignment wrapText="1" readingOrder="1"/>
    </xf>
    <xf numFmtId="0" fontId="2" fillId="5" borderId="1" xfId="0" applyFont="1" applyFill="1" applyBorder="1" applyAlignment="1">
      <alignment wrapText="1" readingOrder="1"/>
    </xf>
    <xf numFmtId="0" fontId="2" fillId="0" borderId="6" xfId="0" applyFont="1" applyBorder="1" applyAlignment="1">
      <alignment wrapText="1" readingOrder="1"/>
    </xf>
    <xf numFmtId="0" fontId="5" fillId="0" borderId="28" xfId="0" applyFont="1" applyBorder="1" applyAlignment="1">
      <alignment wrapText="1" readingOrder="1"/>
    </xf>
    <xf numFmtId="0" fontId="5" fillId="0" borderId="26" xfId="0" applyFont="1" applyBorder="1" applyAlignment="1">
      <alignment wrapText="1" readingOrder="1"/>
    </xf>
    <xf numFmtId="0" fontId="5" fillId="0" borderId="25" xfId="0" applyFont="1" applyBorder="1" applyAlignment="1">
      <alignment wrapText="1" readingOrder="1"/>
    </xf>
    <xf numFmtId="0" fontId="5" fillId="5" borderId="28" xfId="0" applyFont="1" applyFill="1" applyBorder="1" applyAlignment="1">
      <alignment wrapText="1" readingOrder="1"/>
    </xf>
    <xf numFmtId="0" fontId="5" fillId="0" borderId="39" xfId="0" applyFont="1" applyBorder="1" applyAlignment="1">
      <alignment wrapText="1" readingOrder="1"/>
    </xf>
    <xf numFmtId="0" fontId="5" fillId="0" borderId="40" xfId="0" applyFont="1" applyBorder="1" applyAlignment="1">
      <alignment wrapText="1" readingOrder="1"/>
    </xf>
    <xf numFmtId="0" fontId="0" fillId="0" borderId="1" xfId="0" applyBorder="1" applyAlignment="1">
      <alignment wrapText="1"/>
    </xf>
    <xf numFmtId="0" fontId="2" fillId="7" borderId="41" xfId="0" applyFont="1" applyFill="1" applyBorder="1" applyAlignment="1">
      <alignment wrapText="1" readingOrder="1"/>
    </xf>
    <xf numFmtId="0" fontId="3" fillId="13" borderId="8" xfId="0" applyFont="1" applyFill="1" applyBorder="1" applyAlignment="1">
      <alignment horizontal="center" vertical="center" wrapText="1" readingOrder="1"/>
    </xf>
    <xf numFmtId="0" fontId="0" fillId="0" borderId="38" xfId="0" applyBorder="1" applyAlignment="1">
      <alignment horizontal="center" vertical="center" wrapText="1"/>
    </xf>
    <xf numFmtId="0" fontId="3" fillId="0" borderId="35" xfId="0" applyFont="1" applyBorder="1" applyAlignment="1">
      <alignment horizontal="left" vertical="center" wrapText="1" readingOrder="1"/>
    </xf>
    <xf numFmtId="0" fontId="0" fillId="0" borderId="0" xfId="0" applyAlignment="1">
      <alignment horizontal="left" vertical="center" wrapText="1"/>
    </xf>
    <xf numFmtId="0" fontId="3" fillId="13" borderId="26" xfId="0" applyFont="1" applyFill="1" applyBorder="1" applyAlignment="1">
      <alignment horizontal="center" vertical="center" wrapText="1" readingOrder="1"/>
    </xf>
    <xf numFmtId="0" fontId="4" fillId="13" borderId="8" xfId="0" applyFont="1" applyFill="1" applyBorder="1" applyAlignment="1">
      <alignment horizontal="center" vertical="center" wrapText="1" readingOrder="1"/>
    </xf>
    <xf numFmtId="0" fontId="2" fillId="13" borderId="8" xfId="0" applyFont="1" applyFill="1" applyBorder="1" applyAlignment="1">
      <alignment horizontal="center" vertical="center" wrapText="1" readingOrder="1"/>
    </xf>
    <xf numFmtId="0" fontId="3" fillId="13" borderId="9" xfId="0" applyFont="1" applyFill="1" applyBorder="1" applyAlignment="1">
      <alignment horizontal="center" vertical="center" wrapText="1" readingOrder="1"/>
    </xf>
    <xf numFmtId="0" fontId="0" fillId="0" borderId="34" xfId="0" applyBorder="1" applyAlignment="1">
      <alignment horizontal="left" vertical="center" wrapText="1"/>
    </xf>
    <xf numFmtId="0" fontId="2" fillId="0" borderId="0" xfId="0" applyFont="1" applyAlignment="1">
      <alignment horizontal="left" vertical="center" wrapText="1" readingOrder="1"/>
    </xf>
    <xf numFmtId="0" fontId="3" fillId="13" borderId="42" xfId="0" applyFont="1" applyFill="1" applyBorder="1" applyAlignment="1">
      <alignment horizontal="center" vertical="center" wrapText="1" readingOrder="1"/>
    </xf>
    <xf numFmtId="0" fontId="12" fillId="13" borderId="43" xfId="0" applyFont="1" applyFill="1" applyBorder="1" applyAlignment="1">
      <alignment horizontal="center" vertical="center" wrapText="1"/>
    </xf>
    <xf numFmtId="0" fontId="0" fillId="13" borderId="1" xfId="0" applyFill="1" applyBorder="1" applyAlignment="1">
      <alignment horizontal="center" vertical="center" wrapText="1"/>
    </xf>
    <xf numFmtId="0" fontId="3" fillId="0" borderId="13" xfId="0" applyFont="1" applyBorder="1" applyAlignment="1">
      <alignment horizontal="left" vertical="center" wrapText="1" readingOrder="1"/>
    </xf>
    <xf numFmtId="0" fontId="5" fillId="0" borderId="27" xfId="0" applyFont="1" applyBorder="1" applyAlignment="1">
      <alignment wrapText="1" readingOrder="1"/>
    </xf>
    <xf numFmtId="0" fontId="4" fillId="5" borderId="13" xfId="0" applyFont="1" applyFill="1" applyBorder="1" applyAlignment="1">
      <alignment wrapText="1" readingOrder="1"/>
    </xf>
    <xf numFmtId="0" fontId="2" fillId="7" borderId="46" xfId="0" applyFont="1" applyFill="1" applyBorder="1" applyAlignment="1">
      <alignment wrapText="1" readingOrder="1"/>
    </xf>
    <xf numFmtId="0" fontId="3" fillId="13" borderId="35" xfId="0" applyFont="1" applyFill="1" applyBorder="1" applyAlignment="1">
      <alignment horizontal="center" vertical="center" wrapText="1" readingOrder="1"/>
    </xf>
    <xf numFmtId="0" fontId="5" fillId="0" borderId="16" xfId="0" applyFont="1" applyBorder="1" applyAlignment="1">
      <alignment horizontal="left" vertical="center" wrapText="1"/>
    </xf>
    <xf numFmtId="0" fontId="5" fillId="0" borderId="14" xfId="0" applyFont="1" applyBorder="1" applyAlignment="1">
      <alignment horizontal="left" vertical="center" wrapText="1"/>
    </xf>
    <xf numFmtId="0" fontId="5" fillId="0" borderId="25" xfId="0" applyFont="1" applyBorder="1" applyAlignment="1">
      <alignment horizontal="left" vertical="center" wrapText="1"/>
    </xf>
    <xf numFmtId="0" fontId="5" fillId="0" borderId="0" xfId="0" applyFont="1" applyAlignment="1">
      <alignment horizontal="left" vertical="center" wrapText="1"/>
    </xf>
    <xf numFmtId="0" fontId="5" fillId="0" borderId="31" xfId="0" applyFont="1" applyBorder="1" applyAlignment="1">
      <alignment horizontal="center" wrapText="1" readingOrder="1"/>
    </xf>
    <xf numFmtId="0" fontId="5" fillId="0" borderId="12" xfId="0" applyFont="1" applyBorder="1" applyAlignment="1">
      <alignment horizontal="center" wrapText="1" readingOrder="1"/>
    </xf>
    <xf numFmtId="0" fontId="5" fillId="0" borderId="13" xfId="0" applyFont="1" applyBorder="1" applyAlignment="1">
      <alignment horizontal="center" wrapText="1" readingOrder="1"/>
    </xf>
    <xf numFmtId="0" fontId="2" fillId="5" borderId="31" xfId="0" applyFont="1" applyFill="1" applyBorder="1" applyAlignment="1">
      <alignment horizontal="center" wrapText="1" readingOrder="1"/>
    </xf>
    <xf numFmtId="0" fontId="2" fillId="5" borderId="12" xfId="0" applyFont="1" applyFill="1" applyBorder="1" applyAlignment="1">
      <alignment horizontal="center" wrapText="1" readingOrder="1"/>
    </xf>
    <xf numFmtId="0" fontId="2" fillId="5" borderId="13" xfId="0" applyFont="1" applyFill="1" applyBorder="1" applyAlignment="1">
      <alignment horizontal="center" wrapText="1" readingOrder="1"/>
    </xf>
    <xf numFmtId="0" fontId="5" fillId="0" borderId="47" xfId="0" applyFont="1" applyBorder="1" applyAlignment="1">
      <alignment horizontal="center" wrapText="1" readingOrder="1"/>
    </xf>
    <xf numFmtId="0" fontId="5" fillId="0" borderId="0" xfId="0" applyFont="1" applyAlignment="1">
      <alignment horizontal="center" wrapText="1" readingOrder="1"/>
    </xf>
    <xf numFmtId="0" fontId="5" fillId="0" borderId="1" xfId="0" applyFont="1" applyBorder="1" applyAlignment="1">
      <alignment horizontal="center" wrapText="1" readingOrder="1"/>
    </xf>
    <xf numFmtId="0" fontId="5" fillId="0" borderId="12" xfId="0" applyFont="1" applyBorder="1" applyAlignment="1">
      <alignment wrapText="1" readingOrder="1"/>
    </xf>
    <xf numFmtId="0" fontId="5" fillId="0" borderId="13" xfId="0" applyFont="1" applyBorder="1" applyAlignment="1">
      <alignment wrapText="1" readingOrder="1"/>
    </xf>
    <xf numFmtId="0" fontId="3" fillId="0" borderId="31" xfId="0" applyFont="1" applyBorder="1" applyAlignment="1">
      <alignment horizontal="left" vertical="center" wrapText="1" readingOrder="1"/>
    </xf>
    <xf numFmtId="0" fontId="3" fillId="0" borderId="12" xfId="0" applyFont="1" applyBorder="1" applyAlignment="1">
      <alignment horizontal="left" vertical="center" wrapText="1" readingOrder="1"/>
    </xf>
    <xf numFmtId="0" fontId="3" fillId="0" borderId="22" xfId="0" applyFont="1" applyBorder="1" applyAlignment="1">
      <alignment horizontal="left" vertical="center" wrapText="1" readingOrder="1"/>
    </xf>
    <xf numFmtId="0" fontId="3" fillId="0" borderId="33" xfId="0" applyFont="1" applyBorder="1" applyAlignment="1">
      <alignment horizontal="left" vertical="center" wrapText="1" readingOrder="1"/>
    </xf>
    <xf numFmtId="0" fontId="3" fillId="0" borderId="34" xfId="0" applyFont="1" applyBorder="1" applyAlignment="1">
      <alignment horizontal="left" vertical="center" wrapText="1" readingOrder="1"/>
    </xf>
    <xf numFmtId="0" fontId="3" fillId="0" borderId="35" xfId="0" applyFont="1" applyBorder="1" applyAlignment="1">
      <alignment horizontal="left" vertical="center" wrapText="1" readingOrder="1"/>
    </xf>
    <xf numFmtId="0" fontId="3" fillId="0" borderId="19" xfId="0" applyFont="1" applyBorder="1" applyAlignment="1">
      <alignment horizontal="left" vertical="center" wrapText="1" readingOrder="1"/>
    </xf>
    <xf numFmtId="0" fontId="3" fillId="0" borderId="3" xfId="0" applyFont="1" applyBorder="1" applyAlignment="1">
      <alignment horizontal="left" vertical="center" wrapText="1" readingOrder="1"/>
    </xf>
    <xf numFmtId="0" fontId="3" fillId="0" borderId="42" xfId="0" applyFont="1" applyBorder="1" applyAlignment="1">
      <alignment horizontal="left" vertical="center" wrapText="1" readingOrder="1"/>
    </xf>
    <xf numFmtId="0" fontId="3" fillId="0" borderId="10" xfId="0" applyFont="1" applyBorder="1" applyAlignment="1">
      <alignment horizontal="left" vertical="center" wrapText="1" readingOrder="1"/>
    </xf>
    <xf numFmtId="0" fontId="3" fillId="0" borderId="29" xfId="0" applyFont="1" applyBorder="1" applyAlignment="1">
      <alignment horizontal="left" vertical="center" wrapText="1" readingOrder="1"/>
    </xf>
    <xf numFmtId="0" fontId="2" fillId="7" borderId="31" xfId="0" applyFont="1" applyFill="1" applyBorder="1" applyAlignment="1">
      <alignment horizontal="center" wrapText="1" readingOrder="1"/>
    </xf>
    <xf numFmtId="0" fontId="2" fillId="7" borderId="12" xfId="0" applyFont="1" applyFill="1" applyBorder="1" applyAlignment="1">
      <alignment horizontal="center" wrapText="1" readingOrder="1"/>
    </xf>
    <xf numFmtId="0" fontId="2" fillId="7" borderId="16" xfId="0" applyFont="1" applyFill="1" applyBorder="1" applyAlignment="1">
      <alignment horizontal="center" wrapText="1" readingOrder="1"/>
    </xf>
    <xf numFmtId="0" fontId="5" fillId="7" borderId="11" xfId="0" applyFont="1" applyFill="1" applyBorder="1" applyAlignment="1">
      <alignment horizontal="center" wrapText="1" readingOrder="1"/>
    </xf>
    <xf numFmtId="0" fontId="5" fillId="7" borderId="12" xfId="0" applyFont="1" applyFill="1" applyBorder="1" applyAlignment="1">
      <alignment horizontal="center" wrapText="1" readingOrder="1"/>
    </xf>
    <xf numFmtId="0" fontId="5" fillId="7" borderId="13" xfId="0" applyFont="1" applyFill="1" applyBorder="1" applyAlignment="1">
      <alignment horizontal="center" wrapText="1" readingOrder="1"/>
    </xf>
    <xf numFmtId="0" fontId="5" fillId="0" borderId="11" xfId="0" applyFont="1" applyBorder="1" applyAlignment="1">
      <alignment wrapText="1" readingOrder="1"/>
    </xf>
    <xf numFmtId="0" fontId="3" fillId="0" borderId="36" xfId="0" applyFont="1" applyBorder="1" applyAlignment="1">
      <alignment horizontal="left" vertical="center" wrapText="1" readingOrder="1"/>
    </xf>
    <xf numFmtId="0" fontId="5" fillId="0" borderId="31" xfId="0" applyFont="1" applyBorder="1" applyAlignment="1">
      <alignment wrapText="1" readingOrder="1"/>
    </xf>
    <xf numFmtId="0" fontId="5" fillId="0" borderId="16" xfId="0" applyFont="1" applyBorder="1" applyAlignment="1">
      <alignment wrapText="1" readingOrder="1"/>
    </xf>
    <xf numFmtId="0" fontId="5" fillId="0" borderId="11" xfId="0" applyFont="1" applyBorder="1" applyAlignment="1">
      <alignment horizontal="left" wrapText="1" readingOrder="1"/>
    </xf>
    <xf numFmtId="0" fontId="5" fillId="0" borderId="12" xfId="0" applyFont="1" applyBorder="1" applyAlignment="1">
      <alignment horizontal="left" wrapText="1" readingOrder="1"/>
    </xf>
    <xf numFmtId="0" fontId="5" fillId="0" borderId="13" xfId="0" applyFont="1" applyBorder="1" applyAlignment="1">
      <alignment horizontal="left" wrapText="1" readingOrder="1"/>
    </xf>
    <xf numFmtId="0" fontId="5" fillId="0" borderId="30" xfId="0" applyFont="1" applyBorder="1" applyAlignment="1">
      <alignment wrapText="1" readingOrder="1"/>
    </xf>
    <xf numFmtId="0" fontId="5" fillId="0" borderId="18" xfId="0" applyFont="1" applyBorder="1" applyAlignment="1">
      <alignment wrapText="1" readingOrder="1"/>
    </xf>
    <xf numFmtId="0" fontId="2" fillId="7" borderId="30" xfId="0" applyFont="1" applyFill="1" applyBorder="1" applyAlignment="1">
      <alignment horizontal="center" wrapText="1" readingOrder="1"/>
    </xf>
    <xf numFmtId="0" fontId="2" fillId="7" borderId="18" xfId="0" applyFont="1" applyFill="1" applyBorder="1" applyAlignment="1">
      <alignment horizontal="center" wrapText="1" readingOrder="1"/>
    </xf>
    <xf numFmtId="0" fontId="5" fillId="0" borderId="18" xfId="0" applyFont="1" applyBorder="1" applyAlignment="1">
      <alignment horizontal="center" wrapText="1" readingOrder="1"/>
    </xf>
    <xf numFmtId="0" fontId="2" fillId="7" borderId="13" xfId="0" applyFont="1" applyFill="1" applyBorder="1" applyAlignment="1">
      <alignment horizontal="center" wrapText="1" readingOrder="1"/>
    </xf>
    <xf numFmtId="0" fontId="0" fillId="0" borderId="38" xfId="0" applyBorder="1" applyAlignment="1">
      <alignment horizontal="center" vertical="center" wrapText="1"/>
    </xf>
    <xf numFmtId="0" fontId="0" fillId="0" borderId="38" xfId="0" applyBorder="1" applyAlignment="1">
      <alignment horizontal="center" vertical="center"/>
    </xf>
    <xf numFmtId="0" fontId="2" fillId="0" borderId="33" xfId="0" applyFont="1" applyBorder="1" applyAlignment="1">
      <alignment horizontal="center" vertical="center" wrapText="1" readingOrder="1"/>
    </xf>
    <xf numFmtId="0" fontId="2" fillId="0" borderId="34" xfId="0" applyFont="1" applyBorder="1" applyAlignment="1">
      <alignment horizontal="center" vertical="center" wrapText="1" readingOrder="1"/>
    </xf>
    <xf numFmtId="0" fontId="2" fillId="0" borderId="35" xfId="0" applyFont="1" applyBorder="1" applyAlignment="1">
      <alignment horizontal="center" vertical="center" wrapText="1" readingOrder="1"/>
    </xf>
    <xf numFmtId="0" fontId="3" fillId="0" borderId="33" xfId="0" applyFont="1" applyBorder="1" applyAlignment="1">
      <alignment horizontal="center" vertical="center" wrapText="1" readingOrder="1"/>
    </xf>
    <xf numFmtId="0" fontId="3" fillId="0" borderId="34" xfId="0" applyFont="1" applyBorder="1" applyAlignment="1">
      <alignment horizontal="center" vertical="center" wrapText="1" readingOrder="1"/>
    </xf>
    <xf numFmtId="0" fontId="3" fillId="0" borderId="35" xfId="0" applyFont="1" applyBorder="1" applyAlignment="1">
      <alignment horizontal="center" vertical="center" wrapText="1" readingOrder="1"/>
    </xf>
    <xf numFmtId="0" fontId="5" fillId="0" borderId="11" xfId="0" applyFont="1" applyBorder="1" applyAlignment="1">
      <alignment horizontal="center" vertical="center" wrapText="1" readingOrder="1"/>
    </xf>
    <xf numFmtId="0" fontId="5" fillId="0" borderId="12" xfId="0" applyFont="1" applyBorder="1" applyAlignment="1">
      <alignment horizontal="center" vertical="center" wrapText="1" readingOrder="1"/>
    </xf>
    <xf numFmtId="0" fontId="5" fillId="0" borderId="13" xfId="0" applyFont="1" applyBorder="1" applyAlignment="1">
      <alignment horizontal="center" vertical="center" wrapText="1" readingOrder="1"/>
    </xf>
    <xf numFmtId="0" fontId="5" fillId="0" borderId="11" xfId="0" applyFont="1" applyBorder="1" applyAlignment="1">
      <alignment horizontal="left" vertical="center" wrapText="1" readingOrder="1"/>
    </xf>
    <xf numFmtId="0" fontId="5" fillId="0" borderId="12" xfId="0" applyFont="1" applyBorder="1" applyAlignment="1">
      <alignment horizontal="left" vertical="center" wrapText="1" readingOrder="1"/>
    </xf>
    <xf numFmtId="0" fontId="5" fillId="0" borderId="13" xfId="0" applyFont="1" applyBorder="1" applyAlignment="1">
      <alignment horizontal="left" vertical="center" wrapText="1" readingOrder="1"/>
    </xf>
    <xf numFmtId="0" fontId="6" fillId="5" borderId="31" xfId="0" applyFont="1" applyFill="1" applyBorder="1" applyAlignment="1">
      <alignment wrapText="1" readingOrder="1"/>
    </xf>
    <xf numFmtId="0" fontId="6" fillId="5" borderId="12" xfId="0" applyFont="1" applyFill="1" applyBorder="1" applyAlignment="1">
      <alignment wrapText="1" readingOrder="1"/>
    </xf>
    <xf numFmtId="0" fontId="6" fillId="5" borderId="13" xfId="0" applyFont="1" applyFill="1" applyBorder="1" applyAlignment="1">
      <alignment wrapText="1" readingOrder="1"/>
    </xf>
    <xf numFmtId="0" fontId="5" fillId="8" borderId="31" xfId="0" applyFont="1" applyFill="1" applyBorder="1" applyAlignment="1">
      <alignment wrapText="1" readingOrder="1"/>
    </xf>
    <xf numFmtId="0" fontId="5" fillId="8" borderId="13" xfId="0" applyFont="1" applyFill="1" applyBorder="1" applyAlignment="1">
      <alignment wrapText="1" readingOrder="1"/>
    </xf>
    <xf numFmtId="0" fontId="5" fillId="0" borderId="31" xfId="0" applyFont="1" applyBorder="1" applyAlignment="1">
      <alignment horizontal="left" vertical="center" wrapText="1" readingOrder="1"/>
    </xf>
    <xf numFmtId="0" fontId="5" fillId="0" borderId="0" xfId="0" applyFont="1" applyAlignment="1">
      <alignment wrapText="1" readingOrder="1"/>
    </xf>
    <xf numFmtId="0" fontId="5" fillId="0" borderId="1" xfId="0" applyFont="1" applyBorder="1" applyAlignment="1">
      <alignment wrapText="1" readingOrder="1"/>
    </xf>
    <xf numFmtId="0" fontId="3" fillId="5" borderId="33" xfId="0" applyFont="1" applyFill="1" applyBorder="1" applyAlignment="1">
      <alignment horizontal="left" vertical="center" wrapText="1" readingOrder="1"/>
    </xf>
    <xf numFmtId="0" fontId="3" fillId="5" borderId="35" xfId="0" applyFont="1" applyFill="1" applyBorder="1" applyAlignment="1">
      <alignment horizontal="left" vertical="center" wrapText="1" readingOrder="1"/>
    </xf>
    <xf numFmtId="0" fontId="4" fillId="5" borderId="33" xfId="0" applyFont="1" applyFill="1" applyBorder="1" applyAlignment="1">
      <alignment horizontal="left" vertical="center" wrapText="1" readingOrder="1"/>
    </xf>
    <xf numFmtId="0" fontId="4" fillId="5" borderId="34" xfId="0" applyFont="1" applyFill="1" applyBorder="1" applyAlignment="1">
      <alignment horizontal="left" vertical="center" wrapText="1" readingOrder="1"/>
    </xf>
    <xf numFmtId="0" fontId="4" fillId="5" borderId="35" xfId="0" applyFont="1" applyFill="1" applyBorder="1" applyAlignment="1">
      <alignment horizontal="left" vertical="center" wrapText="1" readingOrder="1"/>
    </xf>
    <xf numFmtId="0" fontId="3" fillId="6" borderId="4" xfId="0" applyFont="1" applyFill="1" applyBorder="1" applyAlignment="1">
      <alignment horizontal="center" wrapText="1" readingOrder="1"/>
    </xf>
    <xf numFmtId="0" fontId="3" fillId="6" borderId="5" xfId="0" applyFont="1" applyFill="1" applyBorder="1" applyAlignment="1">
      <alignment horizontal="center" wrapText="1" readingOrder="1"/>
    </xf>
    <xf numFmtId="0" fontId="3" fillId="6" borderId="6" xfId="0" applyFont="1" applyFill="1" applyBorder="1" applyAlignment="1">
      <alignment horizontal="center" wrapText="1" readingOrder="1"/>
    </xf>
    <xf numFmtId="0" fontId="6" fillId="5" borderId="31" xfId="0" applyFont="1" applyFill="1" applyBorder="1" applyAlignment="1">
      <alignment horizontal="center" wrapText="1" readingOrder="1"/>
    </xf>
    <xf numFmtId="0" fontId="6" fillId="5" borderId="12" xfId="0" applyFont="1" applyFill="1" applyBorder="1" applyAlignment="1">
      <alignment horizontal="center" wrapText="1" readingOrder="1"/>
    </xf>
    <xf numFmtId="0" fontId="6" fillId="5" borderId="13" xfId="0" applyFont="1" applyFill="1" applyBorder="1" applyAlignment="1">
      <alignment horizontal="center" wrapText="1" readingOrder="1"/>
    </xf>
    <xf numFmtId="0" fontId="3" fillId="6" borderId="4" xfId="0" applyFont="1" applyFill="1" applyBorder="1" applyAlignment="1">
      <alignment wrapText="1" readingOrder="1"/>
    </xf>
    <xf numFmtId="0" fontId="3" fillId="6" borderId="5" xfId="0" applyFont="1" applyFill="1" applyBorder="1" applyAlignment="1">
      <alignment wrapText="1" readingOrder="1"/>
    </xf>
    <xf numFmtId="0" fontId="3" fillId="6" borderId="7" xfId="0" applyFont="1" applyFill="1" applyBorder="1" applyAlignment="1">
      <alignment wrapText="1" readingOrder="1"/>
    </xf>
    <xf numFmtId="0" fontId="5" fillId="7" borderId="31" xfId="0" applyFont="1" applyFill="1" applyBorder="1" applyAlignment="1">
      <alignment horizontal="center" wrapText="1" readingOrder="1"/>
    </xf>
    <xf numFmtId="0" fontId="1" fillId="7" borderId="31" xfId="1" applyFill="1" applyBorder="1" applyAlignment="1">
      <alignment horizontal="center" wrapText="1" readingOrder="1"/>
    </xf>
    <xf numFmtId="0" fontId="1" fillId="7" borderId="12" xfId="1" applyFill="1" applyBorder="1" applyAlignment="1">
      <alignment horizontal="center" wrapText="1" readingOrder="1"/>
    </xf>
    <xf numFmtId="0" fontId="1" fillId="7" borderId="13" xfId="1" applyFill="1" applyBorder="1" applyAlignment="1">
      <alignment horizontal="center" wrapText="1" readingOrder="1"/>
    </xf>
    <xf numFmtId="0" fontId="5" fillId="7" borderId="32" xfId="0" applyFont="1" applyFill="1" applyBorder="1" applyAlignment="1">
      <alignment horizontal="center" wrapText="1" readingOrder="1"/>
    </xf>
    <xf numFmtId="0" fontId="5" fillId="7" borderId="24" xfId="0" applyFont="1" applyFill="1" applyBorder="1" applyAlignment="1">
      <alignment horizontal="center" wrapText="1" readingOrder="1"/>
    </xf>
    <xf numFmtId="0" fontId="5" fillId="7" borderId="27" xfId="0" applyFont="1" applyFill="1" applyBorder="1" applyAlignment="1">
      <alignment horizontal="center" wrapText="1" readingOrder="1"/>
    </xf>
    <xf numFmtId="0" fontId="2" fillId="7" borderId="31" xfId="0" applyFont="1" applyFill="1" applyBorder="1" applyAlignment="1">
      <alignment wrapText="1" readingOrder="1"/>
    </xf>
    <xf numFmtId="0" fontId="2" fillId="7" borderId="12" xfId="0" applyFont="1" applyFill="1" applyBorder="1" applyAlignment="1">
      <alignment wrapText="1" readingOrder="1"/>
    </xf>
    <xf numFmtId="0" fontId="2" fillId="7" borderId="16" xfId="0" applyFont="1" applyFill="1" applyBorder="1" applyAlignment="1">
      <alignment wrapText="1" readingOrder="1"/>
    </xf>
    <xf numFmtId="0" fontId="5" fillId="7" borderId="31" xfId="0" applyFont="1" applyFill="1" applyBorder="1" applyAlignment="1">
      <alignment wrapText="1" readingOrder="1"/>
    </xf>
    <xf numFmtId="0" fontId="5" fillId="7" borderId="12" xfId="0" applyFont="1" applyFill="1" applyBorder="1" applyAlignment="1">
      <alignment wrapText="1" readingOrder="1"/>
    </xf>
    <xf numFmtId="0" fontId="5" fillId="7" borderId="13" xfId="0" applyFont="1" applyFill="1" applyBorder="1" applyAlignment="1">
      <alignment wrapText="1" readingOrder="1"/>
    </xf>
    <xf numFmtId="0" fontId="2" fillId="7" borderId="13" xfId="0" applyFont="1" applyFill="1" applyBorder="1" applyAlignment="1">
      <alignment wrapText="1" readingOrder="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3" fillId="0" borderId="37" xfId="0" applyFont="1" applyBorder="1" applyAlignment="1">
      <alignment horizontal="left" vertical="center" wrapText="1" readingOrder="1"/>
    </xf>
    <xf numFmtId="0" fontId="5" fillId="0" borderId="31" xfId="0" applyFont="1" applyBorder="1" applyAlignment="1">
      <alignment horizontal="left" wrapText="1" readingOrder="1"/>
    </xf>
    <xf numFmtId="0" fontId="5" fillId="0" borderId="22" xfId="0" applyFont="1" applyBorder="1" applyAlignment="1">
      <alignment horizontal="left" wrapText="1" readingOrder="1"/>
    </xf>
    <xf numFmtId="0" fontId="5" fillId="0" borderId="22" xfId="0" applyFont="1" applyBorder="1" applyAlignment="1">
      <alignment wrapText="1" readingOrder="1"/>
    </xf>
    <xf numFmtId="0" fontId="5" fillId="0" borderId="22" xfId="0" applyFont="1" applyBorder="1" applyAlignment="1">
      <alignment horizontal="center" wrapText="1" readingOrder="1"/>
    </xf>
    <xf numFmtId="0" fontId="0" fillId="0" borderId="38" xfId="0" applyBorder="1" applyAlignment="1">
      <alignment horizontal="center" wrapText="1"/>
    </xf>
    <xf numFmtId="0" fontId="0" fillId="0" borderId="45" xfId="0" applyBorder="1" applyAlignment="1">
      <alignment horizontal="center" wrapText="1"/>
    </xf>
    <xf numFmtId="0" fontId="0" fillId="0" borderId="34" xfId="0" applyBorder="1" applyAlignment="1">
      <alignment horizontal="center" vertical="center" wrapText="1"/>
    </xf>
    <xf numFmtId="0" fontId="8" fillId="10" borderId="0" xfId="0" applyFont="1" applyFill="1" applyAlignment="1">
      <alignment horizontal="center"/>
    </xf>
    <xf numFmtId="49" fontId="0" fillId="0" borderId="0" xfId="0" applyNumberFormat="1" applyFill="1"/>
    <xf numFmtId="49" fontId="5" fillId="0" borderId="25" xfId="2" applyNumberFormat="1" applyFont="1" applyBorder="1" applyAlignment="1">
      <alignment horizontal="left" wrapText="1" readingOrder="1"/>
    </xf>
    <xf numFmtId="49" fontId="5" fillId="0" borderId="16" xfId="2" applyNumberFormat="1" applyFont="1" applyBorder="1" applyAlignment="1">
      <alignment horizontal="left" wrapText="1" readingOrder="1"/>
    </xf>
    <xf numFmtId="49" fontId="5" fillId="0" borderId="12" xfId="2" applyNumberFormat="1" applyFont="1" applyBorder="1" applyAlignment="1">
      <alignment horizontal="left" wrapText="1" readingOrder="1"/>
    </xf>
    <xf numFmtId="49" fontId="13" fillId="0" borderId="0" xfId="2" applyNumberFormat="1" applyAlignment="1">
      <alignment vertical="center" wrapText="1"/>
    </xf>
    <xf numFmtId="49" fontId="3" fillId="0" borderId="57" xfId="2" applyNumberFormat="1" applyFont="1" applyBorder="1" applyAlignment="1">
      <alignment vertical="center" wrapText="1" readingOrder="1"/>
    </xf>
    <xf numFmtId="49" fontId="0" fillId="0" borderId="0" xfId="0" applyNumberFormat="1"/>
    <xf numFmtId="49" fontId="5" fillId="0" borderId="28" xfId="2" applyNumberFormat="1" applyFont="1" applyBorder="1" applyAlignment="1">
      <alignment horizontal="left" wrapText="1" readingOrder="1"/>
    </xf>
    <xf numFmtId="49" fontId="5" fillId="0" borderId="14" xfId="2" applyNumberFormat="1" applyFont="1" applyBorder="1" applyAlignment="1">
      <alignment horizontal="left" wrapText="1" readingOrder="1"/>
    </xf>
    <xf numFmtId="49" fontId="5" fillId="0" borderId="26" xfId="2" applyNumberFormat="1" applyFont="1" applyBorder="1" applyAlignment="1">
      <alignment horizontal="left" wrapText="1" readingOrder="1"/>
    </xf>
    <xf numFmtId="49" fontId="5" fillId="14" borderId="8" xfId="2" applyNumberFormat="1" applyFont="1" applyFill="1" applyBorder="1" applyAlignment="1">
      <alignment horizontal="left" wrapText="1" readingOrder="1"/>
    </xf>
    <xf numFmtId="49" fontId="5" fillId="14" borderId="13" xfId="2" applyNumberFormat="1" applyFont="1" applyFill="1" applyBorder="1" applyAlignment="1">
      <alignment horizontal="left" wrapText="1" readingOrder="1"/>
    </xf>
    <xf numFmtId="49" fontId="13" fillId="0" borderId="38" xfId="2" applyNumberFormat="1" applyBorder="1" applyAlignment="1">
      <alignment vertical="center" wrapText="1"/>
    </xf>
    <xf numFmtId="49" fontId="3" fillId="0" borderId="3" xfId="2" applyNumberFormat="1" applyFont="1" applyBorder="1" applyAlignment="1">
      <alignment vertical="center" wrapText="1" readingOrder="1"/>
    </xf>
    <xf numFmtId="49" fontId="3" fillId="0" borderId="56" xfId="2" applyNumberFormat="1" applyFont="1" applyBorder="1" applyAlignment="1">
      <alignment vertical="center" wrapText="1" readingOrder="1"/>
    </xf>
    <xf numFmtId="49" fontId="5" fillId="0" borderId="8" xfId="2" applyNumberFormat="1" applyFont="1" applyBorder="1" applyAlignment="1">
      <alignment horizontal="left" wrapText="1" readingOrder="1"/>
    </xf>
    <xf numFmtId="49" fontId="5" fillId="0" borderId="13" xfId="2" applyNumberFormat="1" applyFont="1" applyBorder="1" applyAlignment="1">
      <alignment horizontal="left" wrapText="1" readingOrder="1"/>
    </xf>
    <xf numFmtId="49" fontId="3" fillId="0" borderId="10" xfId="2" applyNumberFormat="1" applyFont="1" applyBorder="1" applyAlignment="1">
      <alignment vertical="center" wrapText="1" readingOrder="1"/>
    </xf>
    <xf numFmtId="49" fontId="13" fillId="0" borderId="38" xfId="2" applyNumberFormat="1" applyBorder="1" applyAlignment="1">
      <alignment vertical="center"/>
    </xf>
    <xf numFmtId="49" fontId="5" fillId="14" borderId="14" xfId="2" applyNumberFormat="1" applyFont="1" applyFill="1" applyBorder="1" applyAlignment="1">
      <alignment horizontal="left" wrapText="1" readingOrder="1"/>
    </xf>
    <xf numFmtId="49" fontId="5" fillId="14" borderId="12" xfId="2" applyNumberFormat="1" applyFont="1" applyFill="1" applyBorder="1" applyAlignment="1">
      <alignment horizontal="left" wrapText="1" readingOrder="1"/>
    </xf>
    <xf numFmtId="49" fontId="5" fillId="17" borderId="12" xfId="2" applyNumberFormat="1" applyFont="1" applyFill="1" applyBorder="1" applyAlignment="1">
      <alignment horizontal="left" wrapText="1" readingOrder="1"/>
    </xf>
    <xf numFmtId="49" fontId="5" fillId="0" borderId="0" xfId="2" applyNumberFormat="1" applyFont="1" applyAlignment="1">
      <alignment wrapText="1" readingOrder="1"/>
    </xf>
    <xf numFmtId="49" fontId="5" fillId="0" borderId="56" xfId="2" applyNumberFormat="1" applyFont="1" applyBorder="1" applyAlignment="1">
      <alignment wrapText="1" readingOrder="1"/>
    </xf>
    <xf numFmtId="49" fontId="5" fillId="0" borderId="51" xfId="2" applyNumberFormat="1" applyFont="1" applyBorder="1" applyAlignment="1">
      <alignment wrapText="1" readingOrder="1"/>
    </xf>
    <xf numFmtId="49" fontId="13" fillId="0" borderId="48" xfId="2" applyNumberFormat="1" applyBorder="1" applyAlignment="1">
      <alignment vertical="center" wrapText="1"/>
    </xf>
    <xf numFmtId="49" fontId="5" fillId="0" borderId="0" xfId="2" applyNumberFormat="1" applyFont="1" applyAlignment="1">
      <alignment horizontal="left" wrapText="1" readingOrder="1"/>
    </xf>
    <xf numFmtId="49" fontId="5" fillId="0" borderId="1" xfId="2" applyNumberFormat="1" applyFont="1" applyBorder="1" applyAlignment="1">
      <alignment horizontal="left" wrapText="1" readingOrder="1"/>
    </xf>
    <xf numFmtId="49" fontId="5" fillId="5" borderId="28" xfId="2" applyNumberFormat="1" applyFont="1" applyFill="1" applyBorder="1" applyAlignment="1">
      <alignment horizontal="left" wrapText="1" readingOrder="1"/>
    </xf>
    <xf numFmtId="49" fontId="14" fillId="5" borderId="14" xfId="2" applyNumberFormat="1" applyFont="1" applyFill="1" applyBorder="1" applyAlignment="1">
      <alignment horizontal="left" wrapText="1" readingOrder="1"/>
    </xf>
    <xf numFmtId="49" fontId="5" fillId="5" borderId="12" xfId="2" applyNumberFormat="1" applyFont="1" applyFill="1" applyBorder="1" applyAlignment="1">
      <alignment horizontal="left" wrapText="1" readingOrder="1"/>
    </xf>
    <xf numFmtId="49" fontId="5" fillId="0" borderId="11" xfId="2" applyNumberFormat="1" applyFont="1" applyBorder="1" applyAlignment="1">
      <alignment horizontal="left" wrapText="1" readingOrder="1"/>
    </xf>
    <xf numFmtId="49" fontId="13" fillId="0" borderId="34" xfId="2" applyNumberFormat="1" applyBorder="1" applyAlignment="1">
      <alignment vertical="center" wrapText="1"/>
    </xf>
    <xf numFmtId="49" fontId="5" fillId="0" borderId="3" xfId="2" applyNumberFormat="1" applyFont="1" applyBorder="1" applyAlignment="1">
      <alignment horizontal="left" wrapText="1" readingOrder="1"/>
    </xf>
    <xf numFmtId="49" fontId="5" fillId="0" borderId="39" xfId="2" applyNumberFormat="1" applyFont="1" applyBorder="1" applyAlignment="1">
      <alignment horizontal="left" wrapText="1" readingOrder="1"/>
    </xf>
    <xf numFmtId="49" fontId="5" fillId="0" borderId="17" xfId="2" applyNumberFormat="1" applyFont="1" applyBorder="1" applyAlignment="1">
      <alignment horizontal="left" wrapText="1" readingOrder="1"/>
    </xf>
    <xf numFmtId="49" fontId="13" fillId="0" borderId="43" xfId="2" applyNumberFormat="1" applyBorder="1" applyAlignment="1">
      <alignment horizontal="left" vertical="center" wrapText="1"/>
    </xf>
    <xf numFmtId="49" fontId="5" fillId="14" borderId="17" xfId="2" applyNumberFormat="1" applyFont="1" applyFill="1" applyBorder="1" applyAlignment="1">
      <alignment horizontal="left" wrapText="1" readingOrder="1"/>
    </xf>
    <xf numFmtId="49" fontId="5" fillId="14" borderId="18" xfId="2" applyNumberFormat="1" applyFont="1" applyFill="1" applyBorder="1" applyAlignment="1">
      <alignment horizontal="left" wrapText="1" readingOrder="1"/>
    </xf>
    <xf numFmtId="49" fontId="5" fillId="0" borderId="27" xfId="2" applyNumberFormat="1" applyFont="1" applyBorder="1" applyAlignment="1">
      <alignment horizontal="left" wrapText="1" readingOrder="1"/>
    </xf>
    <xf numFmtId="49" fontId="13" fillId="0" borderId="38" xfId="2" applyNumberFormat="1" applyBorder="1" applyAlignment="1">
      <alignment wrapText="1"/>
    </xf>
    <xf numFmtId="49" fontId="3" fillId="0" borderId="31" xfId="2" applyNumberFormat="1" applyFont="1" applyBorder="1" applyAlignment="1">
      <alignment vertical="center" wrapText="1" readingOrder="1"/>
    </xf>
    <xf numFmtId="49" fontId="5" fillId="0" borderId="40" xfId="2" applyNumberFormat="1" applyFont="1" applyBorder="1" applyAlignment="1">
      <alignment horizontal="left" wrapText="1" readingOrder="1"/>
    </xf>
    <xf numFmtId="49" fontId="5" fillId="0" borderId="21" xfId="2" applyNumberFormat="1" applyFont="1" applyBorder="1" applyAlignment="1">
      <alignment horizontal="left" wrapText="1" readingOrder="1"/>
    </xf>
    <xf numFmtId="49" fontId="5" fillId="0" borderId="22" xfId="2" applyNumberFormat="1" applyFont="1" applyBorder="1" applyAlignment="1">
      <alignment horizontal="left" wrapText="1" readingOrder="1"/>
    </xf>
    <xf numFmtId="49" fontId="13" fillId="0" borderId="0" xfId="2" applyNumberFormat="1" applyAlignment="1">
      <alignment wrapText="1"/>
    </xf>
    <xf numFmtId="49" fontId="3" fillId="0" borderId="12" xfId="2" applyNumberFormat="1" applyFont="1" applyBorder="1" applyAlignment="1">
      <alignment vertical="center" wrapText="1" readingOrder="1"/>
    </xf>
    <xf numFmtId="49" fontId="3" fillId="0" borderId="22" xfId="2" applyNumberFormat="1" applyFont="1" applyBorder="1" applyAlignment="1">
      <alignment vertical="center" wrapText="1" readingOrder="1"/>
    </xf>
    <xf numFmtId="49" fontId="5" fillId="0" borderId="32" xfId="2" applyNumberFormat="1" applyFont="1" applyBorder="1" applyAlignment="1">
      <alignment wrapText="1" readingOrder="1"/>
    </xf>
    <xf numFmtId="49" fontId="5" fillId="0" borderId="31" xfId="2" applyNumberFormat="1" applyFont="1" applyBorder="1" applyAlignment="1">
      <alignment horizontal="left" wrapText="1" readingOrder="1"/>
    </xf>
    <xf numFmtId="49" fontId="15" fillId="0" borderId="31" xfId="2" applyNumberFormat="1" applyFont="1" applyBorder="1" applyAlignment="1">
      <alignment wrapText="1" readingOrder="1"/>
    </xf>
    <xf numFmtId="49" fontId="14" fillId="0" borderId="0" xfId="2" applyNumberFormat="1" applyFont="1" applyAlignment="1">
      <alignment wrapText="1" readingOrder="1"/>
    </xf>
    <xf numFmtId="49" fontId="15" fillId="0" borderId="52" xfId="2" applyNumberFormat="1" applyFont="1" applyBorder="1" applyAlignment="1">
      <alignment wrapText="1" readingOrder="1"/>
    </xf>
    <xf numFmtId="49" fontId="5" fillId="0" borderId="31" xfId="2" applyNumberFormat="1" applyFont="1" applyBorder="1" applyAlignment="1">
      <alignment wrapText="1" readingOrder="1"/>
    </xf>
    <xf numFmtId="49" fontId="14" fillId="2" borderId="0" xfId="2" applyNumberFormat="1" applyFont="1" applyFill="1" applyAlignment="1">
      <alignment wrapText="1" readingOrder="1"/>
    </xf>
    <xf numFmtId="49" fontId="2" fillId="5" borderId="31" xfId="2" applyNumberFormat="1" applyFont="1" applyFill="1" applyBorder="1" applyAlignment="1">
      <alignment wrapText="1" readingOrder="1"/>
    </xf>
    <xf numFmtId="49" fontId="5" fillId="0" borderId="16" xfId="2" applyNumberFormat="1" applyFont="1" applyBorder="1" applyAlignment="1">
      <alignment wrapText="1" readingOrder="1"/>
    </xf>
    <xf numFmtId="49" fontId="5" fillId="0" borderId="52" xfId="2" applyNumberFormat="1" applyFont="1" applyBorder="1" applyAlignment="1">
      <alignment wrapText="1" readingOrder="1"/>
    </xf>
    <xf numFmtId="49" fontId="5" fillId="0" borderId="25" xfId="2" applyNumberFormat="1" applyFont="1" applyBorder="1" applyAlignment="1">
      <alignment wrapText="1" readingOrder="1"/>
    </xf>
    <xf numFmtId="49" fontId="5" fillId="7" borderId="32" xfId="2" applyNumberFormat="1" applyFont="1" applyFill="1" applyBorder="1" applyAlignment="1">
      <alignment wrapText="1" readingOrder="1"/>
    </xf>
    <xf numFmtId="49" fontId="5" fillId="7" borderId="31" xfId="2" applyNumberFormat="1" applyFont="1" applyFill="1" applyBorder="1" applyAlignment="1">
      <alignment wrapText="1" readingOrder="1"/>
    </xf>
    <xf numFmtId="49" fontId="2" fillId="7" borderId="25" xfId="2" applyNumberFormat="1" applyFont="1" applyFill="1" applyBorder="1" applyAlignment="1">
      <alignment wrapText="1" readingOrder="1"/>
    </xf>
    <xf numFmtId="49" fontId="2" fillId="7" borderId="16" xfId="2" applyNumberFormat="1" applyFont="1" applyFill="1" applyBorder="1" applyAlignment="1">
      <alignment wrapText="1" readingOrder="1"/>
    </xf>
    <xf numFmtId="49" fontId="2" fillId="7" borderId="41" xfId="2" applyNumberFormat="1" applyFont="1" applyFill="1" applyBorder="1" applyAlignment="1">
      <alignment wrapText="1" readingOrder="1"/>
    </xf>
    <xf numFmtId="49" fontId="0" fillId="0" borderId="0" xfId="0" applyNumberFormat="1" applyAlignment="1">
      <alignment wrapText="1"/>
    </xf>
    <xf numFmtId="49" fontId="5" fillId="14" borderId="32" xfId="2" applyNumberFormat="1" applyFont="1" applyFill="1" applyBorder="1" applyAlignment="1">
      <alignment wrapText="1" readingOrder="1"/>
    </xf>
    <xf numFmtId="49" fontId="6" fillId="15" borderId="32" xfId="2" applyNumberFormat="1" applyFont="1" applyFill="1" applyBorder="1" applyAlignment="1">
      <alignment wrapText="1" readingOrder="1"/>
    </xf>
    <xf numFmtId="49" fontId="6" fillId="5" borderId="31" xfId="2" applyNumberFormat="1" applyFont="1" applyFill="1" applyBorder="1" applyAlignment="1">
      <alignment wrapText="1" readingOrder="1"/>
    </xf>
    <xf numFmtId="49" fontId="5" fillId="0" borderId="28" xfId="2" applyNumberFormat="1" applyFont="1" applyBorder="1" applyAlignment="1">
      <alignment wrapText="1" readingOrder="1"/>
    </xf>
    <xf numFmtId="49" fontId="5" fillId="0" borderId="14" xfId="2" applyNumberFormat="1" applyFont="1" applyBorder="1" applyAlignment="1">
      <alignment wrapText="1" readingOrder="1"/>
    </xf>
    <xf numFmtId="49" fontId="1" fillId="7" borderId="32" xfId="1" applyNumberFormat="1" applyFill="1" applyBorder="1" applyAlignment="1">
      <alignment wrapText="1" readingOrder="1"/>
    </xf>
    <xf numFmtId="49" fontId="2" fillId="7" borderId="28" xfId="2" applyNumberFormat="1" applyFont="1" applyFill="1" applyBorder="1" applyAlignment="1">
      <alignment wrapText="1" readingOrder="1"/>
    </xf>
    <xf numFmtId="49" fontId="2" fillId="7" borderId="14" xfId="2" applyNumberFormat="1" applyFont="1" applyFill="1" applyBorder="1" applyAlignment="1">
      <alignment wrapText="1" readingOrder="1"/>
    </xf>
    <xf numFmtId="49" fontId="2" fillId="7" borderId="15" xfId="2" applyNumberFormat="1" applyFont="1" applyFill="1" applyBorder="1" applyAlignment="1">
      <alignment wrapText="1" readingOrder="1"/>
    </xf>
    <xf numFmtId="49" fontId="12" fillId="0" borderId="48" xfId="2" applyNumberFormat="1" applyFont="1" applyBorder="1" applyAlignment="1">
      <alignment vertical="center" wrapText="1"/>
    </xf>
    <xf numFmtId="49" fontId="5" fillId="0" borderId="47" xfId="2" applyNumberFormat="1" applyFont="1" applyBorder="1" applyAlignment="1">
      <alignment wrapText="1" readingOrder="1"/>
    </xf>
    <xf numFmtId="49" fontId="5" fillId="0" borderId="47" xfId="2" applyNumberFormat="1" applyFont="1" applyBorder="1" applyAlignment="1">
      <alignment horizontal="left" wrapText="1" readingOrder="1"/>
    </xf>
    <xf numFmtId="49" fontId="15" fillId="0" borderId="0" xfId="2" applyNumberFormat="1" applyFont="1" applyAlignment="1">
      <alignment wrapText="1" readingOrder="1"/>
    </xf>
    <xf numFmtId="49" fontId="15" fillId="0" borderId="51" xfId="2" applyNumberFormat="1" applyFont="1" applyBorder="1" applyAlignment="1">
      <alignment wrapText="1" readingOrder="1"/>
    </xf>
    <xf numFmtId="49" fontId="2" fillId="5" borderId="0" xfId="2" applyNumberFormat="1" applyFont="1" applyFill="1" applyAlignment="1">
      <alignment wrapText="1" readingOrder="1"/>
    </xf>
    <xf numFmtId="49" fontId="2" fillId="7" borderId="31" xfId="2" applyNumberFormat="1" applyFont="1" applyFill="1" applyBorder="1" applyAlignment="1">
      <alignment wrapText="1" readingOrder="1"/>
    </xf>
    <xf numFmtId="49" fontId="12" fillId="0" borderId="38" xfId="2" applyNumberFormat="1" applyFont="1" applyBorder="1" applyAlignment="1">
      <alignment vertical="center" wrapText="1"/>
    </xf>
    <xf numFmtId="49" fontId="5" fillId="0" borderId="24" xfId="2" applyNumberFormat="1" applyFont="1" applyBorder="1" applyAlignment="1">
      <alignment wrapText="1" readingOrder="1"/>
    </xf>
    <xf numFmtId="49" fontId="14" fillId="16" borderId="0" xfId="2" applyNumberFormat="1" applyFont="1" applyFill="1" applyAlignment="1">
      <alignment wrapText="1" readingOrder="1"/>
    </xf>
    <xf numFmtId="49" fontId="15" fillId="0" borderId="52" xfId="2" quotePrefix="1" applyNumberFormat="1" applyFont="1" applyBorder="1" applyAlignment="1">
      <alignment wrapText="1" readingOrder="1"/>
    </xf>
    <xf numFmtId="49" fontId="5" fillId="7" borderId="24" xfId="2" applyNumberFormat="1" applyFont="1" applyFill="1" applyBorder="1" applyAlignment="1">
      <alignment wrapText="1" readingOrder="1"/>
    </xf>
    <xf numFmtId="49" fontId="5" fillId="7" borderId="12" xfId="2" applyNumberFormat="1" applyFont="1" applyFill="1" applyBorder="1" applyAlignment="1">
      <alignment wrapText="1" readingOrder="1"/>
    </xf>
    <xf numFmtId="49" fontId="2" fillId="7" borderId="12" xfId="2" applyNumberFormat="1" applyFont="1" applyFill="1" applyBorder="1" applyAlignment="1">
      <alignment wrapText="1" readingOrder="1"/>
    </xf>
    <xf numFmtId="49" fontId="15" fillId="0" borderId="53" xfId="0" applyNumberFormat="1" applyFont="1" applyBorder="1" applyAlignment="1">
      <alignment wrapText="1"/>
    </xf>
    <xf numFmtId="49" fontId="2" fillId="5" borderId="16" xfId="2" applyNumberFormat="1" applyFont="1" applyFill="1" applyBorder="1" applyAlignment="1">
      <alignment wrapText="1" readingOrder="1"/>
    </xf>
    <xf numFmtId="49" fontId="14" fillId="2" borderId="31" xfId="0" applyNumberFormat="1" applyFont="1" applyFill="1" applyBorder="1" applyAlignment="1">
      <alignment wrapText="1"/>
    </xf>
    <xf numFmtId="49" fontId="6" fillId="5" borderId="32" xfId="2" applyNumberFormat="1" applyFont="1" applyFill="1" applyBorder="1" applyAlignment="1">
      <alignment wrapText="1" readingOrder="1"/>
    </xf>
    <xf numFmtId="49" fontId="2" fillId="5" borderId="14" xfId="2" applyNumberFormat="1" applyFont="1" applyFill="1" applyBorder="1" applyAlignment="1">
      <alignment wrapText="1" readingOrder="1"/>
    </xf>
    <xf numFmtId="49" fontId="5" fillId="8" borderId="32" xfId="2" applyNumberFormat="1" applyFont="1" applyFill="1" applyBorder="1" applyAlignment="1">
      <alignment wrapText="1" readingOrder="1"/>
    </xf>
    <xf numFmtId="49" fontId="5" fillId="0" borderId="54" xfId="2" applyNumberFormat="1" applyFont="1" applyBorder="1" applyAlignment="1">
      <alignment vertical="center" wrapText="1" readingOrder="1"/>
    </xf>
    <xf numFmtId="49" fontId="5" fillId="0" borderId="32" xfId="2" applyNumberFormat="1" applyFont="1" applyBorder="1" applyAlignment="1">
      <alignment vertical="center" wrapText="1" readingOrder="1"/>
    </xf>
    <xf numFmtId="49" fontId="2" fillId="7" borderId="32" xfId="2" applyNumberFormat="1" applyFont="1" applyFill="1" applyBorder="1" applyAlignment="1">
      <alignment wrapText="1" readingOrder="1"/>
    </xf>
    <xf numFmtId="49" fontId="5" fillId="0" borderId="10" xfId="2" applyNumberFormat="1" applyFont="1" applyBorder="1" applyAlignment="1">
      <alignment horizontal="left" wrapText="1" readingOrder="1"/>
    </xf>
    <xf numFmtId="49" fontId="15" fillId="0" borderId="47" xfId="2" applyNumberFormat="1" applyFont="1" applyBorder="1" applyAlignment="1">
      <alignment wrapText="1" readingOrder="1"/>
    </xf>
    <xf numFmtId="49" fontId="15" fillId="0" borderId="53" xfId="2" applyNumberFormat="1" applyFont="1" applyBorder="1" applyAlignment="1">
      <alignment wrapText="1" readingOrder="1"/>
    </xf>
    <xf numFmtId="49" fontId="15" fillId="0" borderId="10" xfId="2" applyNumberFormat="1" applyFont="1" applyBorder="1" applyAlignment="1">
      <alignment wrapText="1" readingOrder="1"/>
    </xf>
    <xf numFmtId="49" fontId="14" fillId="2" borderId="47" xfId="0" applyNumberFormat="1" applyFont="1" applyFill="1" applyBorder="1" applyAlignment="1">
      <alignment wrapText="1"/>
    </xf>
    <xf numFmtId="49" fontId="5" fillId="0" borderId="12" xfId="2" applyNumberFormat="1" applyFont="1" applyBorder="1" applyAlignment="1">
      <alignment wrapText="1" readingOrder="1"/>
    </xf>
    <xf numFmtId="49" fontId="5" fillId="0" borderId="49" xfId="2" applyNumberFormat="1" applyFont="1" applyBorder="1" applyAlignment="1">
      <alignment wrapText="1" readingOrder="1"/>
    </xf>
    <xf numFmtId="49" fontId="12" fillId="0" borderId="34" xfId="2" applyNumberFormat="1" applyFont="1" applyBorder="1" applyAlignment="1">
      <alignment vertical="center" wrapText="1"/>
    </xf>
    <xf numFmtId="49" fontId="5" fillId="14" borderId="47" xfId="2" applyNumberFormat="1" applyFont="1" applyFill="1" applyBorder="1" applyAlignment="1">
      <alignment wrapText="1" readingOrder="1"/>
    </xf>
    <xf numFmtId="49" fontId="5" fillId="0" borderId="10" xfId="2" applyNumberFormat="1" applyFont="1" applyBorder="1" applyAlignment="1">
      <alignment wrapText="1" readingOrder="1"/>
    </xf>
    <xf numFmtId="49" fontId="13" fillId="0" borderId="43" xfId="2" applyNumberFormat="1" applyBorder="1" applyAlignment="1">
      <alignment vertical="center" wrapText="1"/>
    </xf>
    <xf numFmtId="49" fontId="12" fillId="0" borderId="43" xfId="2" applyNumberFormat="1" applyFont="1" applyBorder="1" applyAlignment="1">
      <alignment vertical="center" wrapText="1"/>
    </xf>
    <xf numFmtId="49" fontId="5" fillId="0" borderId="39" xfId="2" applyNumberFormat="1" applyFont="1" applyBorder="1" applyAlignment="1">
      <alignment wrapText="1" readingOrder="1"/>
    </xf>
    <xf numFmtId="49" fontId="15" fillId="0" borderId="0" xfId="0" applyNumberFormat="1" applyFont="1" applyAlignment="1">
      <alignment wrapText="1"/>
    </xf>
    <xf numFmtId="49" fontId="14" fillId="2" borderId="0" xfId="0" applyNumberFormat="1" applyFont="1" applyFill="1" applyAlignment="1">
      <alignment wrapText="1"/>
    </xf>
    <xf numFmtId="49" fontId="15" fillId="0" borderId="51" xfId="0" applyNumberFormat="1" applyFont="1" applyBorder="1" applyAlignment="1">
      <alignment wrapText="1"/>
    </xf>
    <xf numFmtId="49" fontId="5" fillId="0" borderId="13" xfId="2" applyNumberFormat="1" applyFont="1" applyBorder="1" applyAlignment="1">
      <alignment wrapText="1" readingOrder="1"/>
    </xf>
    <xf numFmtId="49" fontId="2" fillId="5" borderId="13" xfId="2" applyNumberFormat="1" applyFont="1" applyFill="1" applyBorder="1" applyAlignment="1">
      <alignment wrapText="1" readingOrder="1"/>
    </xf>
    <xf numFmtId="49" fontId="5" fillId="0" borderId="17" xfId="2" applyNumberFormat="1" applyFont="1" applyBorder="1" applyAlignment="1">
      <alignment wrapText="1" readingOrder="1"/>
    </xf>
    <xf numFmtId="49" fontId="5" fillId="0" borderId="50" xfId="2" applyNumberFormat="1" applyFont="1" applyBorder="1" applyAlignment="1">
      <alignment wrapText="1" readingOrder="1"/>
    </xf>
    <xf numFmtId="49" fontId="2" fillId="7" borderId="39" xfId="2" applyNumberFormat="1" applyFont="1" applyFill="1" applyBorder="1" applyAlignment="1">
      <alignment wrapText="1" readingOrder="1"/>
    </xf>
    <xf numFmtId="49" fontId="2" fillId="7" borderId="17" xfId="2" applyNumberFormat="1" applyFont="1" applyFill="1" applyBorder="1" applyAlignment="1">
      <alignment wrapText="1" readingOrder="1"/>
    </xf>
    <xf numFmtId="49" fontId="2" fillId="7" borderId="20" xfId="2" applyNumberFormat="1" applyFont="1" applyFill="1" applyBorder="1" applyAlignment="1">
      <alignment wrapText="1" readingOrder="1"/>
    </xf>
    <xf numFmtId="49" fontId="5" fillId="0" borderId="55" xfId="2" applyNumberFormat="1" applyFont="1" applyBorder="1" applyAlignment="1">
      <alignment wrapText="1" readingOrder="1"/>
    </xf>
    <xf numFmtId="49" fontId="5" fillId="14" borderId="55" xfId="2" applyNumberFormat="1" applyFont="1" applyFill="1" applyBorder="1" applyAlignment="1">
      <alignment wrapText="1" readingOrder="1"/>
    </xf>
    <xf numFmtId="49" fontId="5" fillId="0" borderId="30" xfId="2" applyNumberFormat="1" applyFont="1" applyBorder="1" applyAlignment="1">
      <alignment wrapText="1" readingOrder="1"/>
    </xf>
    <xf numFmtId="49" fontId="2" fillId="0" borderId="28" xfId="2" applyNumberFormat="1" applyFont="1" applyBorder="1" applyAlignment="1">
      <alignment wrapText="1" readingOrder="1"/>
    </xf>
    <xf numFmtId="49" fontId="2" fillId="0" borderId="14" xfId="2" applyNumberFormat="1" applyFont="1" applyBorder="1" applyAlignment="1">
      <alignment wrapText="1" readingOrder="1"/>
    </xf>
    <xf numFmtId="49" fontId="2" fillId="7" borderId="55" xfId="2" applyNumberFormat="1" applyFont="1" applyFill="1" applyBorder="1" applyAlignment="1">
      <alignment wrapText="1" readingOrder="1"/>
    </xf>
    <xf numFmtId="49" fontId="2" fillId="7" borderId="30" xfId="2" applyNumberFormat="1" applyFont="1" applyFill="1" applyBorder="1" applyAlignment="1">
      <alignment wrapText="1" readingOrder="1"/>
    </xf>
    <xf numFmtId="49" fontId="5" fillId="7" borderId="54" xfId="2" applyNumberFormat="1" applyFont="1" applyFill="1" applyBorder="1" applyAlignment="1">
      <alignment wrapText="1" readingOrder="1"/>
    </xf>
    <xf numFmtId="49" fontId="13" fillId="0" borderId="1" xfId="2" applyNumberFormat="1" applyBorder="1" applyAlignment="1">
      <alignment vertical="center" wrapText="1"/>
    </xf>
    <xf numFmtId="49" fontId="3" fillId="0" borderId="13" xfId="2" applyNumberFormat="1" applyFont="1" applyBorder="1" applyAlignment="1">
      <alignment vertical="center" wrapText="1" readingOrder="1"/>
    </xf>
    <xf numFmtId="49" fontId="5" fillId="0" borderId="27" xfId="2" applyNumberFormat="1" applyFont="1" applyBorder="1" applyAlignment="1">
      <alignment wrapText="1" readingOrder="1"/>
    </xf>
    <xf numFmtId="49" fontId="4" fillId="5" borderId="13" xfId="2" applyNumberFormat="1" applyFont="1" applyFill="1" applyBorder="1" applyAlignment="1">
      <alignment wrapText="1" readingOrder="1"/>
    </xf>
    <xf numFmtId="49" fontId="5" fillId="7" borderId="27" xfId="2" applyNumberFormat="1" applyFont="1" applyFill="1" applyBorder="1" applyAlignment="1">
      <alignment wrapText="1" readingOrder="1"/>
    </xf>
    <xf numFmtId="49" fontId="5" fillId="7" borderId="13" xfId="2" applyNumberFormat="1" applyFont="1" applyFill="1" applyBorder="1" applyAlignment="1">
      <alignment wrapText="1" readingOrder="1"/>
    </xf>
    <xf numFmtId="49" fontId="2" fillId="7" borderId="13" xfId="2" applyNumberFormat="1" applyFont="1" applyFill="1" applyBorder="1" applyAlignment="1">
      <alignment wrapText="1" readingOrder="1"/>
    </xf>
    <xf numFmtId="49" fontId="2" fillId="7" borderId="46" xfId="2" applyNumberFormat="1" applyFont="1" applyFill="1" applyBorder="1" applyAlignment="1">
      <alignment wrapText="1" readingOrder="1"/>
    </xf>
    <xf numFmtId="0" fontId="0" fillId="0" borderId="0" xfId="0" applyAlignment="1"/>
  </cellXfs>
  <cellStyles count="3">
    <cellStyle name="Hyperlink" xfId="1" builtinId="8"/>
    <cellStyle name="Normal" xfId="0" builtinId="0"/>
    <cellStyle name="Normal 2" xfId="2" xr:uid="{816E4832-C920-DD44-B460-437D43447D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Yaseen Joolay" id="{34B821F6-0B93-1D42-ADA1-FEAB0E4CE8F6}" userId="S::01434079@wf.uct.ac.za::a11ec697-49de-4558-9c91-1f53f0080ec1" providerId="AD"/>
  <person displayName="Yaseen Joolay" id="{0F5AED8D-3B2A-4D2F-B15B-D81AAFEA106C}" userId="S::01434079_wf.uct.ac.za#ext#@fraunhoferportugal.onmicrosoft.com::7220c7b9-a3c9-471f-9d68-9ab023676207" providerId="AD"/>
  <person displayName="Leina Meoli" id="{360F85A8-9832-4280-A1F7-23DA60F9AD7D}" userId="S::mlxlei001_myuct.ac.za#ext#@fraunhoferportugal.onmicrosoft.com::f7b85d10-fb95-4a57-ad05-6d6d4bbc32b1"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3" dT="2023-09-11T13:04:07.41" personId="{0F5AED8D-3B2A-4D2F-B15B-D81AAFEA106C}" id="{793F3D7B-D0E7-4D40-B5A4-1974EBC56A08}" done="1">
    <text>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ext>
  </threadedComment>
  <threadedComment ref="L3" dT="2023-09-11T13:53:27.13" personId="{34B821F6-0B93-1D42-ADA1-FEAB0E4CE8F6}" id="{D09EB5BF-7796-A848-9BC4-7F25E90F2CE8}" parentId="{793F3D7B-D0E7-4D40-B5A4-1974EBC56A08}">
    <text>Changed pacifier to dummy</text>
  </threadedComment>
  <threadedComment ref="E8" dT="2023-09-11T12:54:42.24" personId="{0F5AED8D-3B2A-4D2F-B15B-D81AAFEA106C}" id="{C2120DDA-E24E-404E-9924-DB4AC0B62818}">
    <text xml:space="preserve">Only Answer 4 is related to this question.
</text>
  </threadedComment>
  <threadedComment ref="F9" dT="2023-09-11T13:06:17.38" personId="{0F5AED8D-3B2A-4D2F-B15B-D81AAFEA106C}" id="{581D52F7-1A3F-43C6-957B-B66F6B464D44}" done="1">
    <text>If you were restricting your diet during pregnancy (for example to prevent infections in your baby), you don't need to continue restricting your diet during breastfeeding. 🍽🤱</text>
  </threadedComment>
  <threadedComment ref="H9" dT="2023-09-11T13:10:56.63" personId="{0F5AED8D-3B2A-4D2F-B15B-D81AAFEA106C}" id="{D662924D-DD6C-4983-9A7E-BCD1574526EC}">
    <text>Suggest this actually be Answer part 3, and then direct to cell F15</text>
  </threadedComment>
  <threadedComment ref="F15" dT="2023-09-11T13:23:03.96" personId="{0F5AED8D-3B2A-4D2F-B15B-D81AAFEA106C}" id="{C4201A9C-4D5F-43BE-9ADF-961D2821DCF2}" done="1">
    <text>If you have any questions about medicines or treatments during breastfeeding, please see http://www.e-lactancia.org, or speak to your local healthcare provider.</text>
    <extLst>
      <x:ext xmlns:xltc2="http://schemas.microsoft.com/office/spreadsheetml/2020/threadedcomments2" uri="{F7C98A9C-CBB3-438F-8F68-D28B6AF4A901}">
        <xltc2:checksum>3589133452</xltc2:checksum>
        <xltc2:hyperlink startIndex="89" length="27" url="http://www.e-lactancia.org,"/>
      </x:ext>
    </extLst>
  </threadedComment>
  <threadedComment ref="F21" dT="2023-09-11T13:30:19.38" personId="{0F5AED8D-3B2A-4D2F-B15B-D81AAFEA106C}" id="{D4484729-B2B4-4FD6-9485-701B75690F4A}" done="1">
    <text>Infant formulas are commercial products that attempt to be similar to the nutrients in breastmilk.</text>
  </threadedComment>
  <threadedComment ref="H21" dT="2023-09-11T13:34:07.21" personId="{0F5AED8D-3B2A-4D2F-B15B-D81AAFEA106C}" id="{843B5797-AE3A-4718-9D3C-7C0BC6E28455}" done="1">
    <text>Only the parents of the baby have the right to decide whether to breastfeed exclusively, breastfeed and supplement with formula, or even replace breast milk entirely.</text>
  </threadedComment>
  <threadedComment ref="L21" dT="2023-09-11T13:38:34.48" personId="{0F5AED8D-3B2A-4D2F-B15B-D81AAFEA106C}" id="{C16DC746-A2B7-4910-901C-3BAA81F8937E}" done="1">
    <text xml:space="preserve">Suggest changing this completely:  
Whatever the infant feeding method, it should be Available, Feasible, Affordable, Sustainable, and Safe.  Do you have any further questions about breast milk and/or breastfeeding that I can help you with?
</text>
  </threadedComment>
  <threadedComment ref="D24" dT="2023-09-11T13:43:50.12" personId="{0F5AED8D-3B2A-4D2F-B15B-D81AAFEA106C}" id="{DBB00F0D-B44F-4725-BBDA-02881D6F7106}">
    <text>This is not even a question.  And the answers do not speak to it.</text>
  </threadedComment>
  <threadedComment ref="F44" dT="2023-09-11T14:22:03.34" personId="{34B821F6-0B93-1D42-ADA1-FEAB0E4CE8F6}" id="{F326B74F-A4C5-C248-A887-0ED8BC44D0DE}">
    <text>Changes</text>
  </threadedComment>
  <threadedComment ref="J44" dT="2023-09-11T14:21:43.94" personId="{34B821F6-0B93-1D42-ADA1-FEAB0E4CE8F6}" id="{2BBFC21B-EA56-1247-BCD5-DDA267A8361B}">
    <text>Slight change to make it easier to understand</text>
  </threadedComment>
  <threadedComment ref="J48" dT="2023-09-11T14:33:22.68" personId="{34B821F6-0B93-1D42-ADA1-FEAB0E4CE8F6}" id="{27748CAC-43CD-954E-80F0-3167CFB2E09B}">
    <text>Adjusted the answers a bit</text>
  </threadedComment>
  <threadedComment ref="H60" dT="2023-09-11T14:48:09.22" personId="{34B821F6-0B93-1D42-ADA1-FEAB0E4CE8F6}" id="{5ADF52D0-8FB2-B24F-9F90-6E2270BA9BCF}">
    <text>Adjusted</text>
  </threadedComment>
  <threadedComment ref="B69" dT="2023-09-11T14:53:14.91" personId="{34B821F6-0B93-1D42-ADA1-FEAB0E4CE8F6}" id="{223DC7F4-A169-FD40-BE14-A9A033AEDFDF}">
    <text xml:space="preserve">Adjusted language
</text>
  </threadedComment>
  <threadedComment ref="D69" dT="2023-09-11T12:56:20.71" personId="{360F85A8-9832-4280-A1F7-23DA60F9AD7D}" id="{B9BA3EB7-65AF-47B0-8051-3E0A210E2354}">
    <text>no answers for this set of questions</text>
  </threadedComment>
  <threadedComment ref="D69" dT="2023-09-11T15:20:40.86" personId="{34B821F6-0B93-1D42-ADA1-FEAB0E4CE8F6}" id="{BE5F8164-5E25-D241-AEFB-77B93C2FD9F9}" parentId="{B9BA3EB7-65AF-47B0-8051-3E0A210E2354}">
    <text xml:space="preserve">Added some answers
</text>
  </threadedComment>
  <threadedComment ref="F69" dT="2023-09-11T14:22:03.34" personId="{34B821F6-0B93-1D42-ADA1-FEAB0E4CE8F6}" id="{938EF5BA-A468-4349-9004-23D57641FE3C}">
    <text>Changes</text>
  </threadedComment>
  <threadedComment ref="H74" dT="2023-09-11T14:53:30.72" personId="{34B821F6-0B93-1D42-ADA1-FEAB0E4CE8F6}" id="{06A480E6-7A54-1F4B-9BF3-8387706BDD3D}">
    <text>Removed Fahrenheit scale</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3-09-11T12:54:42.24" personId="{0F5AED8D-3B2A-4D2F-B15B-D81AAFEA106C}" id="{18495803-23F1-174A-BC5A-D6F3E5AC72CC}">
    <text xml:space="preserve">Only Answer 4 is related to this question.
</text>
  </threadedComment>
</ThreadedComments>
</file>

<file path=xl/threadedComments/threadedComment3.xml><?xml version="1.0" encoding="utf-8"?>
<ThreadedComments xmlns="http://schemas.microsoft.com/office/spreadsheetml/2018/threadedcomments" xmlns:x="http://schemas.openxmlformats.org/spreadsheetml/2006/main">
  <threadedComment ref="S1" dT="2023-09-11T13:04:07.41" personId="{0F5AED8D-3B2A-4D2F-B15B-D81AAFEA106C}" id="{F2F2F87A-9F12-FD45-BB29-24D69D86E881}" done="1">
    <text>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ext>
  </threadedComment>
  <threadedComment ref="S1" dT="2023-09-11T13:53:27.13" personId="{34B821F6-0B93-1D42-ADA1-FEAB0E4CE8F6}" id="{E667DC60-CEBF-C84C-83D5-8FCA4B6CED5D}" parentId="{F2F2F87A-9F12-FD45-BB29-24D69D86E881}">
    <text>Changed pacifier to dummy</text>
  </threadedComment>
  <threadedComment ref="D2" dT="2023-09-11T13:06:17.38" personId="{0F5AED8D-3B2A-4D2F-B15B-D81AAFEA106C}" id="{7DBCE293-5C17-0C4C-BD16-6890F377040C}" done="1">
    <text>If you were restricting your diet during pregnancy (for example to prevent infections in your baby), you don't need to continue restricting your diet during breastfeeding. 🍽🤱</text>
  </threadedComment>
  <threadedComment ref="I2" dT="2023-09-11T13:10:56.63" personId="{0F5AED8D-3B2A-4D2F-B15B-D81AAFEA106C}" id="{6A600383-3B19-494E-89CE-2A7BF2512664}">
    <text>Suggest this actually be Answer part 3, and then direct to cell F15</text>
  </threadedComment>
  <threadedComment ref="D3" dT="2023-09-11T13:23:03.96" personId="{0F5AED8D-3B2A-4D2F-B15B-D81AAFEA106C}" id="{17DBAC63-F7BC-1B44-8C80-1920B12657BC}" done="1">
    <text>If you have any questions about medicines or treatments during breastfeeding, please see http://www.e-lactancia.org, or speak to your local healthcare provider.</text>
    <extLst>
      <x:ext xmlns:xltc2="http://schemas.microsoft.com/office/spreadsheetml/2020/threadedcomments2" uri="{F7C98A9C-CBB3-438F-8F68-D28B6AF4A901}">
        <xltc2:checksum>3589133452</xltc2:checksum>
        <xltc2:hyperlink startIndex="89" length="27" url="http://www.e-lactancia.org,"/>
      </x:ext>
    </extLst>
  </threadedComment>
  <threadedComment ref="D4" dT="2023-09-11T13:30:19.38" personId="{0F5AED8D-3B2A-4D2F-B15B-D81AAFEA106C}" id="{212D60B4-AEBB-3245-BB8E-9CF258F4E147}" done="1">
    <text>Infant formulas are commercial products that attempt to be similar to the nutrients in breastmilk.</text>
  </threadedComment>
  <threadedComment ref="I4" dT="2023-09-11T13:34:07.21" personId="{0F5AED8D-3B2A-4D2F-B15B-D81AAFEA106C}" id="{07531E5F-8324-2A4D-9964-1CAA1EC15F41}" done="1">
    <text>Only the parents of the baby have the right to decide whether to breastfeed exclusively, breastfeed and supplement with formula, or even replace breast milk entirely.</text>
  </threadedComment>
  <threadedComment ref="S4" dT="2023-09-11T13:38:34.48" personId="{0F5AED8D-3B2A-4D2F-B15B-D81AAFEA106C}" id="{CF1123A8-8B1B-904B-B747-2ED978327969}" done="1">
    <text xml:space="preserve">Suggest changing this completely:  
Whatever the infant feeding method, it should be Available, Feasible, Affordable, Sustainable, and Safe.  Do you have any further questions about breast milk and/or breastfeeding that I can help you with?
</text>
  </threadedComment>
  <threadedComment ref="D10" dT="2023-09-11T14:22:03.34" personId="{34B821F6-0B93-1D42-ADA1-FEAB0E4CE8F6}" id="{C279D46C-11B3-044C-9E35-DC5F9CEE548A}">
    <text>Changes</text>
  </threadedComment>
  <threadedComment ref="N10" dT="2023-09-11T14:21:43.94" personId="{34B821F6-0B93-1D42-ADA1-FEAB0E4CE8F6}" id="{F2BD60A8-3580-8C4B-8199-242559B602A6}">
    <text>Slight change to make it easier to understand</text>
  </threadedComment>
  <threadedComment ref="N11" dT="2023-09-11T14:33:22.68" personId="{34B821F6-0B93-1D42-ADA1-FEAB0E4CE8F6}" id="{A84ACFAF-1DCC-F549-B0E4-FA113120303B}">
    <text>Adjusted the answers a bit</text>
  </threadedComment>
  <threadedComment ref="I15" dT="2023-09-11T14:48:09.22" personId="{34B821F6-0B93-1D42-ADA1-FEAB0E4CE8F6}" id="{4A90CCCC-4484-464D-9CD1-2E1742E268CC}">
    <text>Adjusted</text>
  </threadedComment>
  <threadedComment ref="D17" dT="2023-09-11T14:22:03.34" personId="{34B821F6-0B93-1D42-ADA1-FEAB0E4CE8F6}" id="{84E9AD8F-0F4D-8E4E-937F-F0999EFB91DD}">
    <text>Changes</text>
  </threadedComment>
  <threadedComment ref="I19" dT="2023-09-11T14:53:30.72" personId="{34B821F6-0B93-1D42-ADA1-FEAB0E4CE8F6}" id="{BEE31117-80DD-9649-BE34-DAF450B7B22A}">
    <text>Removed Fahrenheit scale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e-lactancia.org/"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www.e-lactancia.org/" TargetMode="Externa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hyperlink" Target="http://sosamamentacaopt.blogspot.pt/" TargetMode="External"/><Relationship Id="rId2" Type="http://schemas.openxmlformats.org/officeDocument/2006/relationships/hyperlink" Target="http://sosamamentacaopt.blogspot.pt/" TargetMode="External"/><Relationship Id="rId1" Type="http://schemas.openxmlformats.org/officeDocument/2006/relationships/hyperlink" Target="http://www.e-lactancia.org/" TargetMode="External"/><Relationship Id="rId4" Type="http://schemas.openxmlformats.org/officeDocument/2006/relationships/hyperlink" Target="https://www.llli.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89"/>
  <sheetViews>
    <sheetView workbookViewId="0">
      <selection activeCell="X6" sqref="X6"/>
    </sheetView>
  </sheetViews>
  <sheetFormatPr defaultColWidth="12.625" defaultRowHeight="14.1"/>
  <cols>
    <col min="1" max="1" width="20.875" style="81" customWidth="1"/>
    <col min="2" max="2" width="19.125" style="86" customWidth="1"/>
    <col min="3" max="3" width="9" style="1"/>
    <col min="4" max="5" width="27.625" style="1" customWidth="1"/>
    <col min="6" max="6" width="44.5" style="1" customWidth="1"/>
    <col min="7" max="7" width="13" style="1" customWidth="1"/>
    <col min="8" max="8" width="33.375" style="1" customWidth="1"/>
    <col min="9" max="9" width="14.125" style="1" customWidth="1"/>
    <col min="10" max="10" width="36" style="1" customWidth="1"/>
    <col min="11" max="11" width="13.125" style="1" customWidth="1"/>
    <col min="12" max="12" width="45.625" style="1" customWidth="1"/>
    <col min="13" max="13" width="11.375" style="1" customWidth="1"/>
    <col min="14" max="14" width="24.625" style="1" customWidth="1"/>
    <col min="15" max="15" width="12.625" style="1"/>
    <col min="16" max="16" width="24.875" style="1" customWidth="1"/>
    <col min="17" max="17" width="12.5" style="1" customWidth="1"/>
    <col min="18" max="18" width="17" style="1" customWidth="1"/>
    <col min="19" max="19" width="13.375" style="1" customWidth="1"/>
    <col min="20" max="20" width="17" style="63" customWidth="1"/>
    <col min="21" max="21" width="16.125" style="63" customWidth="1"/>
    <col min="22" max="22" width="16.375" style="63" bestFit="1" customWidth="1"/>
    <col min="23" max="23" width="16.5" style="63" customWidth="1"/>
    <col min="24" max="24" width="33" style="1" customWidth="1"/>
    <col min="25" max="25" width="12.625" style="1"/>
    <col min="26" max="26" width="28.5" style="1" customWidth="1"/>
    <col min="27" max="27" width="12.625" style="1"/>
    <col min="28" max="28" width="26.625" style="1" customWidth="1"/>
    <col min="29" max="29" width="17.625" style="1" customWidth="1"/>
    <col min="30" max="30" width="27.875" style="1" customWidth="1"/>
    <col min="31" max="16384" width="12.625" style="1"/>
  </cols>
  <sheetData>
    <row r="1" spans="1:35" ht="14.25" customHeight="1">
      <c r="A1" s="87"/>
      <c r="B1" s="87"/>
      <c r="D1" s="69"/>
      <c r="E1" s="41"/>
      <c r="F1" s="41"/>
      <c r="G1" s="41"/>
      <c r="H1" s="42"/>
      <c r="I1" s="42"/>
      <c r="J1" s="42"/>
      <c r="K1" s="42"/>
      <c r="L1" s="41"/>
      <c r="M1" s="41"/>
      <c r="N1" s="41"/>
      <c r="O1" s="41"/>
      <c r="P1" s="41"/>
      <c r="Q1" s="41"/>
      <c r="R1" s="41"/>
      <c r="S1" s="41"/>
      <c r="T1" s="168" t="s">
        <v>0</v>
      </c>
      <c r="U1" s="169"/>
      <c r="V1" s="169"/>
      <c r="W1" s="170"/>
      <c r="X1" s="41"/>
      <c r="Y1" s="41"/>
      <c r="Z1" s="41"/>
      <c r="AA1" s="41"/>
      <c r="AB1" s="41"/>
      <c r="AC1" s="41"/>
      <c r="AD1" s="41"/>
      <c r="AE1" s="41"/>
      <c r="AF1" s="174" t="s">
        <v>0</v>
      </c>
      <c r="AG1" s="175"/>
      <c r="AH1" s="175"/>
      <c r="AI1" s="176"/>
    </row>
    <row r="2" spans="1:35" s="90" customFormat="1" ht="45">
      <c r="A2" s="88" t="s">
        <v>1</v>
      </c>
      <c r="B2" s="95" t="s">
        <v>2</v>
      </c>
      <c r="C2" s="89" t="s">
        <v>3</v>
      </c>
      <c r="D2" s="82" t="s">
        <v>4</v>
      </c>
      <c r="E2" s="78" t="s">
        <v>5</v>
      </c>
      <c r="F2" s="78" t="s">
        <v>6</v>
      </c>
      <c r="G2" s="78" t="s">
        <v>7</v>
      </c>
      <c r="H2" s="83" t="s">
        <v>8</v>
      </c>
      <c r="I2" s="78" t="s">
        <v>7</v>
      </c>
      <c r="J2" s="83" t="s">
        <v>9</v>
      </c>
      <c r="K2" s="78" t="s">
        <v>7</v>
      </c>
      <c r="L2" s="78" t="s">
        <v>10</v>
      </c>
      <c r="M2" s="78" t="s">
        <v>7</v>
      </c>
      <c r="N2" s="78" t="s">
        <v>11</v>
      </c>
      <c r="O2" s="78" t="s">
        <v>7</v>
      </c>
      <c r="P2" s="78" t="s">
        <v>12</v>
      </c>
      <c r="Q2" s="78" t="s">
        <v>7</v>
      </c>
      <c r="R2" s="78" t="s">
        <v>13</v>
      </c>
      <c r="S2" s="78" t="s">
        <v>7</v>
      </c>
      <c r="T2" s="78" t="s">
        <v>14</v>
      </c>
      <c r="U2" s="78" t="s">
        <v>15</v>
      </c>
      <c r="V2" s="78" t="s">
        <v>16</v>
      </c>
      <c r="W2" s="78" t="s">
        <v>17</v>
      </c>
      <c r="X2" s="78" t="s">
        <v>18</v>
      </c>
      <c r="Y2" s="78" t="s">
        <v>7</v>
      </c>
      <c r="Z2" s="78"/>
      <c r="AA2" s="78" t="s">
        <v>7</v>
      </c>
      <c r="AB2" s="84"/>
      <c r="AC2" s="78" t="s">
        <v>7</v>
      </c>
      <c r="AD2" s="84"/>
      <c r="AE2" s="78" t="s">
        <v>7</v>
      </c>
      <c r="AF2" s="78" t="s">
        <v>19</v>
      </c>
      <c r="AG2" s="78" t="s">
        <v>20</v>
      </c>
      <c r="AH2" s="78" t="s">
        <v>21</v>
      </c>
      <c r="AI2" s="85" t="s">
        <v>22</v>
      </c>
    </row>
    <row r="3" spans="1:35" ht="14.25" customHeight="1">
      <c r="A3" s="120" t="s">
        <v>23</v>
      </c>
      <c r="B3" s="165" t="s">
        <v>24</v>
      </c>
      <c r="C3" s="141" t="s">
        <v>25</v>
      </c>
      <c r="D3" s="72" t="s">
        <v>26</v>
      </c>
      <c r="E3" s="11" t="s">
        <v>26</v>
      </c>
      <c r="F3" s="130" t="s">
        <v>27</v>
      </c>
      <c r="G3" s="100">
        <v>12</v>
      </c>
      <c r="H3" s="130" t="s">
        <v>28</v>
      </c>
      <c r="I3" s="100">
        <v>13</v>
      </c>
      <c r="J3" s="130" t="s">
        <v>29</v>
      </c>
      <c r="K3" s="103">
        <v>137</v>
      </c>
      <c r="L3" s="130" t="s">
        <v>30</v>
      </c>
      <c r="M3" s="100">
        <v>120</v>
      </c>
      <c r="N3" s="11"/>
      <c r="O3" s="11"/>
      <c r="P3" s="11"/>
      <c r="Q3" s="11"/>
      <c r="R3" s="11"/>
      <c r="S3" s="11"/>
      <c r="T3" s="177" t="s">
        <v>31</v>
      </c>
      <c r="U3" s="177" t="s">
        <v>32</v>
      </c>
      <c r="V3" s="177" t="s">
        <v>33</v>
      </c>
      <c r="W3" s="177"/>
      <c r="X3" s="11"/>
      <c r="Y3" s="11"/>
      <c r="Z3" s="11"/>
      <c r="AA3" s="11"/>
      <c r="AB3" s="11"/>
      <c r="AC3" s="11"/>
      <c r="AD3" s="11"/>
      <c r="AE3" s="11"/>
      <c r="AF3" s="48"/>
      <c r="AG3" s="48"/>
      <c r="AH3" s="48"/>
      <c r="AI3" s="77"/>
    </row>
    <row r="4" spans="1:35" ht="14.25" customHeight="1">
      <c r="A4" s="118"/>
      <c r="B4" s="166"/>
      <c r="C4" s="141"/>
      <c r="D4" s="70" t="s">
        <v>34</v>
      </c>
      <c r="E4" s="3" t="s">
        <v>34</v>
      </c>
      <c r="F4" s="109"/>
      <c r="G4" s="101"/>
      <c r="H4" s="109"/>
      <c r="I4" s="101"/>
      <c r="J4" s="109"/>
      <c r="K4" s="104"/>
      <c r="L4" s="109"/>
      <c r="M4" s="101"/>
      <c r="N4" s="3"/>
      <c r="O4" s="3"/>
      <c r="P4" s="3"/>
      <c r="Q4" s="3"/>
      <c r="R4" s="3"/>
      <c r="S4" s="3"/>
      <c r="T4" s="126"/>
      <c r="U4" s="126"/>
      <c r="V4" s="126"/>
      <c r="W4" s="126"/>
      <c r="X4" s="3"/>
      <c r="Y4" s="3"/>
      <c r="Z4" s="3"/>
      <c r="AA4" s="3"/>
      <c r="AB4" s="3"/>
      <c r="AC4" s="3"/>
      <c r="AD4" s="3"/>
      <c r="AE4" s="3"/>
      <c r="AF4" s="44"/>
      <c r="AG4" s="44"/>
      <c r="AH4" s="44"/>
      <c r="AI4" s="45"/>
    </row>
    <row r="5" spans="1:35" ht="14.25" customHeight="1">
      <c r="A5" s="118"/>
      <c r="B5" s="166"/>
      <c r="C5" s="141"/>
      <c r="D5" s="70" t="s">
        <v>35</v>
      </c>
      <c r="E5" s="3" t="s">
        <v>35</v>
      </c>
      <c r="F5" s="109"/>
      <c r="G5" s="101"/>
      <c r="H5" s="109"/>
      <c r="I5" s="101"/>
      <c r="J5" s="109"/>
      <c r="K5" s="104"/>
      <c r="L5" s="109"/>
      <c r="M5" s="101"/>
      <c r="N5" s="3"/>
      <c r="O5" s="3"/>
      <c r="P5" s="3"/>
      <c r="Q5" s="3"/>
      <c r="R5" s="3"/>
      <c r="S5" s="3"/>
      <c r="T5" s="126"/>
      <c r="U5" s="126"/>
      <c r="V5" s="126"/>
      <c r="W5" s="126"/>
      <c r="X5" s="3"/>
      <c r="Y5" s="3"/>
      <c r="Z5" s="3"/>
      <c r="AA5" s="3"/>
      <c r="AB5" s="3"/>
      <c r="AC5" s="3"/>
      <c r="AD5" s="3"/>
      <c r="AE5" s="3"/>
      <c r="AF5" s="44"/>
      <c r="AG5" s="44"/>
      <c r="AH5" s="44"/>
      <c r="AI5" s="45"/>
    </row>
    <row r="6" spans="1:35" ht="14.25" customHeight="1">
      <c r="A6" s="118"/>
      <c r="B6" s="166"/>
      <c r="C6" s="141"/>
      <c r="D6" s="70" t="s">
        <v>36</v>
      </c>
      <c r="E6" s="3" t="s">
        <v>36</v>
      </c>
      <c r="F6" s="109"/>
      <c r="G6" s="101"/>
      <c r="H6" s="109"/>
      <c r="I6" s="101"/>
      <c r="J6" s="109"/>
      <c r="K6" s="104"/>
      <c r="L6" s="109"/>
      <c r="M6" s="101"/>
      <c r="N6" s="3"/>
      <c r="O6" s="3"/>
      <c r="P6" s="3"/>
      <c r="Q6" s="3"/>
      <c r="R6" s="3"/>
      <c r="S6" s="3"/>
      <c r="T6" s="126"/>
      <c r="U6" s="126"/>
      <c r="V6" s="126"/>
      <c r="W6" s="126"/>
      <c r="X6" s="3"/>
      <c r="Y6" s="3"/>
      <c r="Z6" s="3"/>
      <c r="AA6" s="3"/>
      <c r="AB6" s="3"/>
      <c r="AC6" s="3"/>
      <c r="AD6" s="3"/>
      <c r="AE6" s="3"/>
      <c r="AF6" s="44"/>
      <c r="AG6" s="44"/>
      <c r="AH6" s="44"/>
      <c r="AI6" s="45"/>
    </row>
    <row r="7" spans="1:35" ht="14.25" customHeight="1">
      <c r="A7" s="118"/>
      <c r="B7" s="166"/>
      <c r="C7" s="141"/>
      <c r="D7" s="70" t="s">
        <v>37</v>
      </c>
      <c r="E7" s="3" t="s">
        <v>37</v>
      </c>
      <c r="F7" s="109"/>
      <c r="G7" s="101"/>
      <c r="H7" s="109"/>
      <c r="I7" s="101"/>
      <c r="J7" s="109"/>
      <c r="K7" s="104"/>
      <c r="L7" s="109"/>
      <c r="M7" s="101"/>
      <c r="N7" s="3"/>
      <c r="O7" s="3"/>
      <c r="P7" s="3"/>
      <c r="Q7" s="3"/>
      <c r="R7" s="3"/>
      <c r="S7" s="3"/>
      <c r="T7" s="126"/>
      <c r="U7" s="126"/>
      <c r="V7" s="126"/>
      <c r="W7" s="126"/>
      <c r="X7" s="3"/>
      <c r="Y7" s="3"/>
      <c r="Z7" s="3"/>
      <c r="AA7" s="3"/>
      <c r="AB7" s="3"/>
      <c r="AC7" s="3"/>
      <c r="AD7" s="3"/>
      <c r="AE7" s="3"/>
      <c r="AF7" s="44"/>
      <c r="AG7" s="44"/>
      <c r="AH7" s="44"/>
      <c r="AI7" s="45"/>
    </row>
    <row r="8" spans="1:35" s="76" customFormat="1" ht="27.95">
      <c r="A8" s="119"/>
      <c r="B8" s="167"/>
      <c r="C8" s="141"/>
      <c r="D8" s="71" t="s">
        <v>38</v>
      </c>
      <c r="E8" s="6" t="s">
        <v>39</v>
      </c>
      <c r="F8" s="110"/>
      <c r="G8" s="102"/>
      <c r="H8" s="110"/>
      <c r="I8" s="102"/>
      <c r="J8" s="110"/>
      <c r="K8" s="105"/>
      <c r="L8" s="110"/>
      <c r="M8" s="102"/>
      <c r="N8" s="6"/>
      <c r="O8" s="6"/>
      <c r="P8" s="6"/>
      <c r="Q8" s="6"/>
      <c r="R8" s="6"/>
      <c r="S8" s="6"/>
      <c r="T8" s="127"/>
      <c r="U8" s="127"/>
      <c r="V8" s="127"/>
      <c r="W8" s="127"/>
      <c r="X8" s="6"/>
      <c r="Y8" s="6"/>
      <c r="Z8" s="6"/>
      <c r="AA8" s="6"/>
      <c r="AB8" s="6"/>
      <c r="AC8" s="6"/>
      <c r="AD8" s="6"/>
      <c r="AE8" s="6"/>
      <c r="AF8" s="7"/>
      <c r="AG8" s="46"/>
      <c r="AH8" s="46"/>
      <c r="AI8" s="47"/>
    </row>
    <row r="9" spans="1:35" ht="14.25" customHeight="1">
      <c r="A9" s="120" t="s">
        <v>40</v>
      </c>
      <c r="B9" s="114" t="s">
        <v>41</v>
      </c>
      <c r="C9" s="141" t="s">
        <v>42</v>
      </c>
      <c r="D9" s="72" t="s">
        <v>43</v>
      </c>
      <c r="E9" s="11" t="s">
        <v>43</v>
      </c>
      <c r="F9" s="130" t="s">
        <v>44</v>
      </c>
      <c r="G9" s="100">
        <v>14</v>
      </c>
      <c r="H9" s="155" t="s">
        <v>45</v>
      </c>
      <c r="I9" s="171">
        <v>15</v>
      </c>
      <c r="J9" s="130" t="s">
        <v>46</v>
      </c>
      <c r="K9" s="103">
        <v>16</v>
      </c>
      <c r="L9" s="11"/>
      <c r="M9" s="11"/>
      <c r="N9" s="11"/>
      <c r="O9" s="11"/>
      <c r="P9" s="11"/>
      <c r="Q9" s="11"/>
      <c r="R9" s="11"/>
      <c r="S9" s="11"/>
      <c r="T9" s="177" t="s">
        <v>47</v>
      </c>
      <c r="U9" s="177" t="s">
        <v>33</v>
      </c>
      <c r="V9" s="177" t="s">
        <v>32</v>
      </c>
      <c r="W9" s="177"/>
      <c r="X9" s="11"/>
      <c r="Y9" s="11"/>
      <c r="Z9" s="11"/>
      <c r="AA9" s="11"/>
      <c r="AB9" s="11"/>
      <c r="AC9" s="11"/>
      <c r="AD9" s="11"/>
      <c r="AE9" s="11"/>
      <c r="AF9" s="48"/>
      <c r="AG9" s="48"/>
      <c r="AH9" s="48"/>
      <c r="AI9" s="77"/>
    </row>
    <row r="10" spans="1:35" ht="14.25" customHeight="1">
      <c r="A10" s="118"/>
      <c r="B10" s="115"/>
      <c r="C10" s="141"/>
      <c r="D10" s="70" t="s">
        <v>48</v>
      </c>
      <c r="E10" s="3" t="s">
        <v>48</v>
      </c>
      <c r="F10" s="109"/>
      <c r="G10" s="101"/>
      <c r="H10" s="156"/>
      <c r="I10" s="172"/>
      <c r="J10" s="109"/>
      <c r="K10" s="104"/>
      <c r="L10" s="3"/>
      <c r="M10" s="3"/>
      <c r="N10" s="3"/>
      <c r="O10" s="3"/>
      <c r="P10" s="3"/>
      <c r="Q10" s="3"/>
      <c r="R10" s="3"/>
      <c r="S10" s="3"/>
      <c r="T10" s="126"/>
      <c r="U10" s="126"/>
      <c r="V10" s="126"/>
      <c r="W10" s="126"/>
      <c r="X10" s="3"/>
      <c r="Y10" s="3"/>
      <c r="Z10" s="3"/>
      <c r="AA10" s="3"/>
      <c r="AB10" s="3"/>
      <c r="AC10" s="3"/>
      <c r="AD10" s="3"/>
      <c r="AE10" s="3"/>
      <c r="AF10" s="44"/>
      <c r="AG10" s="44"/>
      <c r="AH10" s="44"/>
      <c r="AI10" s="45"/>
    </row>
    <row r="11" spans="1:35" ht="14.25" customHeight="1">
      <c r="A11" s="118"/>
      <c r="B11" s="115"/>
      <c r="C11" s="141"/>
      <c r="D11" s="70" t="s">
        <v>49</v>
      </c>
      <c r="E11" s="3" t="s">
        <v>49</v>
      </c>
      <c r="F11" s="109"/>
      <c r="G11" s="101"/>
      <c r="H11" s="156"/>
      <c r="I11" s="172"/>
      <c r="J11" s="109"/>
      <c r="K11" s="104"/>
      <c r="L11" s="3"/>
      <c r="M11" s="3"/>
      <c r="N11" s="3"/>
      <c r="O11" s="3"/>
      <c r="P11" s="3"/>
      <c r="Q11" s="3"/>
      <c r="R11" s="3"/>
      <c r="S11" s="3"/>
      <c r="T11" s="126"/>
      <c r="U11" s="126"/>
      <c r="V11" s="126"/>
      <c r="W11" s="126"/>
      <c r="X11" s="3"/>
      <c r="Y11" s="3"/>
      <c r="Z11" s="3"/>
      <c r="AA11" s="3"/>
      <c r="AB11" s="3"/>
      <c r="AC11" s="3"/>
      <c r="AD11" s="3"/>
      <c r="AE11" s="3"/>
      <c r="AF11" s="44"/>
      <c r="AG11" s="44"/>
      <c r="AH11" s="44"/>
      <c r="AI11" s="45"/>
    </row>
    <row r="12" spans="1:35" ht="14.25" customHeight="1">
      <c r="A12" s="118"/>
      <c r="B12" s="115"/>
      <c r="C12" s="141"/>
      <c r="D12" s="70" t="s">
        <v>50</v>
      </c>
      <c r="E12" s="3" t="s">
        <v>50</v>
      </c>
      <c r="F12" s="109"/>
      <c r="G12" s="101"/>
      <c r="H12" s="156"/>
      <c r="I12" s="172"/>
      <c r="J12" s="109"/>
      <c r="K12" s="104"/>
      <c r="L12" s="3"/>
      <c r="M12" s="3"/>
      <c r="N12" s="3"/>
      <c r="O12" s="3"/>
      <c r="P12" s="3"/>
      <c r="Q12" s="3"/>
      <c r="R12" s="3"/>
      <c r="S12" s="3"/>
      <c r="T12" s="126"/>
      <c r="U12" s="126"/>
      <c r="V12" s="126"/>
      <c r="W12" s="126"/>
      <c r="X12" s="3"/>
      <c r="Y12" s="3"/>
      <c r="Z12" s="3"/>
      <c r="AA12" s="3"/>
      <c r="AB12" s="3"/>
      <c r="AC12" s="3"/>
      <c r="AD12" s="3"/>
      <c r="AE12" s="3"/>
      <c r="AF12" s="44"/>
      <c r="AG12" s="44"/>
      <c r="AH12" s="44"/>
      <c r="AI12" s="45"/>
    </row>
    <row r="13" spans="1:35" ht="14.25" customHeight="1">
      <c r="A13" s="118"/>
      <c r="B13" s="115"/>
      <c r="C13" s="141"/>
      <c r="D13" s="70" t="s">
        <v>51</v>
      </c>
      <c r="E13" s="3" t="s">
        <v>51</v>
      </c>
      <c r="F13" s="109"/>
      <c r="G13" s="101"/>
      <c r="H13" s="156"/>
      <c r="I13" s="172"/>
      <c r="J13" s="109"/>
      <c r="K13" s="104"/>
      <c r="L13" s="3"/>
      <c r="M13" s="3"/>
      <c r="N13" s="3"/>
      <c r="O13" s="3"/>
      <c r="P13" s="3"/>
      <c r="Q13" s="3"/>
      <c r="R13" s="3"/>
      <c r="S13" s="3"/>
      <c r="T13" s="126"/>
      <c r="U13" s="126"/>
      <c r="V13" s="126"/>
      <c r="W13" s="126"/>
      <c r="X13" s="3"/>
      <c r="Y13" s="3"/>
      <c r="Z13" s="3"/>
      <c r="AA13" s="3"/>
      <c r="AB13" s="3"/>
      <c r="AC13" s="3"/>
      <c r="AD13" s="3"/>
      <c r="AE13" s="3"/>
      <c r="AF13" s="44"/>
      <c r="AG13" s="44"/>
      <c r="AH13" s="44"/>
      <c r="AI13" s="45"/>
    </row>
    <row r="14" spans="1:35">
      <c r="A14" s="119"/>
      <c r="B14" s="116"/>
      <c r="C14" s="141"/>
      <c r="D14" s="71" t="s">
        <v>52</v>
      </c>
      <c r="E14" s="6" t="s">
        <v>52</v>
      </c>
      <c r="F14" s="110"/>
      <c r="G14" s="102"/>
      <c r="H14" s="157"/>
      <c r="I14" s="173"/>
      <c r="J14" s="110"/>
      <c r="K14" s="105"/>
      <c r="L14" s="6"/>
      <c r="M14" s="6"/>
      <c r="N14" s="6"/>
      <c r="O14" s="6"/>
      <c r="P14" s="6"/>
      <c r="Q14" s="6"/>
      <c r="R14" s="6"/>
      <c r="S14" s="6"/>
      <c r="T14" s="127"/>
      <c r="U14" s="127"/>
      <c r="V14" s="127"/>
      <c r="W14" s="127"/>
      <c r="X14" s="6"/>
      <c r="Y14" s="6"/>
      <c r="Z14" s="6"/>
      <c r="AA14" s="6"/>
      <c r="AB14" s="6"/>
      <c r="AC14" s="6"/>
      <c r="AD14" s="6"/>
      <c r="AE14" s="6"/>
      <c r="AF14" s="7"/>
      <c r="AG14" s="46"/>
      <c r="AH14" s="46"/>
      <c r="AI14" s="47"/>
    </row>
    <row r="15" spans="1:35" ht="14.25" customHeight="1">
      <c r="A15" s="120" t="s">
        <v>53</v>
      </c>
      <c r="B15" s="114" t="s">
        <v>54</v>
      </c>
      <c r="C15" s="141" t="s">
        <v>55</v>
      </c>
      <c r="D15" s="70" t="s">
        <v>56</v>
      </c>
      <c r="E15" s="3" t="s">
        <v>56</v>
      </c>
      <c r="F15" s="130" t="s">
        <v>57</v>
      </c>
      <c r="G15" s="100">
        <v>6</v>
      </c>
      <c r="H15" s="3"/>
      <c r="I15" s="100"/>
      <c r="J15" s="3"/>
      <c r="K15" s="103"/>
      <c r="L15" s="3"/>
      <c r="M15" s="3"/>
      <c r="N15" s="3"/>
      <c r="O15" s="3"/>
      <c r="P15" s="3"/>
      <c r="Q15" s="3"/>
      <c r="R15" s="3"/>
      <c r="S15" s="3"/>
      <c r="T15" s="178" t="s">
        <v>58</v>
      </c>
      <c r="U15" s="177" t="s">
        <v>59</v>
      </c>
      <c r="V15" s="177" t="s">
        <v>47</v>
      </c>
      <c r="W15" s="177"/>
      <c r="X15" s="3"/>
      <c r="Y15" s="3"/>
      <c r="Z15" s="3"/>
      <c r="AA15" s="3"/>
      <c r="AB15" s="3"/>
      <c r="AC15" s="3"/>
      <c r="AD15" s="3"/>
      <c r="AE15" s="3"/>
      <c r="AF15" s="44"/>
      <c r="AG15" s="44"/>
      <c r="AH15" s="44"/>
      <c r="AI15" s="45"/>
    </row>
    <row r="16" spans="1:35" ht="14.25" customHeight="1">
      <c r="A16" s="118"/>
      <c r="B16" s="115"/>
      <c r="C16" s="141"/>
      <c r="D16" s="70" t="s">
        <v>60</v>
      </c>
      <c r="E16" s="3" t="s">
        <v>60</v>
      </c>
      <c r="F16" s="109"/>
      <c r="G16" s="101"/>
      <c r="H16" s="3"/>
      <c r="I16" s="101"/>
      <c r="J16" s="3"/>
      <c r="K16" s="104"/>
      <c r="L16" s="3"/>
      <c r="M16" s="3"/>
      <c r="N16" s="3"/>
      <c r="O16" s="3"/>
      <c r="P16" s="3"/>
      <c r="Q16" s="3"/>
      <c r="R16" s="3"/>
      <c r="S16" s="3"/>
      <c r="T16" s="179"/>
      <c r="U16" s="126"/>
      <c r="V16" s="126"/>
      <c r="W16" s="126"/>
      <c r="X16" s="3"/>
      <c r="Y16" s="3"/>
      <c r="Z16" s="3"/>
      <c r="AA16" s="3"/>
      <c r="AB16" s="3"/>
      <c r="AC16" s="3"/>
      <c r="AD16" s="3"/>
      <c r="AE16" s="3"/>
      <c r="AF16" s="44"/>
      <c r="AG16" s="44"/>
      <c r="AH16" s="44"/>
      <c r="AI16" s="45"/>
    </row>
    <row r="17" spans="1:35" ht="14.25" customHeight="1">
      <c r="A17" s="118"/>
      <c r="B17" s="115"/>
      <c r="C17" s="141"/>
      <c r="D17" s="70" t="s">
        <v>61</v>
      </c>
      <c r="E17" s="3" t="s">
        <v>62</v>
      </c>
      <c r="F17" s="109"/>
      <c r="G17" s="101"/>
      <c r="H17" s="3"/>
      <c r="I17" s="101"/>
      <c r="J17" s="3"/>
      <c r="K17" s="104"/>
      <c r="L17" s="3"/>
      <c r="M17" s="3"/>
      <c r="N17" s="3"/>
      <c r="O17" s="3"/>
      <c r="P17" s="3"/>
      <c r="Q17" s="3"/>
      <c r="R17" s="3"/>
      <c r="S17" s="3"/>
      <c r="T17" s="179"/>
      <c r="U17" s="126"/>
      <c r="V17" s="126"/>
      <c r="W17" s="126"/>
      <c r="X17" s="3"/>
      <c r="Y17" s="3"/>
      <c r="Z17" s="3"/>
      <c r="AA17" s="3"/>
      <c r="AB17" s="3"/>
      <c r="AC17" s="3"/>
      <c r="AD17" s="3"/>
      <c r="AE17" s="3"/>
      <c r="AF17" s="44"/>
      <c r="AG17" s="44"/>
      <c r="AH17" s="44"/>
      <c r="AI17" s="45"/>
    </row>
    <row r="18" spans="1:35" ht="14.25" customHeight="1">
      <c r="A18" s="118"/>
      <c r="B18" s="115"/>
      <c r="C18" s="141"/>
      <c r="D18" s="70" t="s">
        <v>63</v>
      </c>
      <c r="E18" s="3" t="s">
        <v>63</v>
      </c>
      <c r="F18" s="109"/>
      <c r="G18" s="101"/>
      <c r="H18" s="3"/>
      <c r="I18" s="101"/>
      <c r="J18" s="3"/>
      <c r="K18" s="104"/>
      <c r="L18" s="3"/>
      <c r="M18" s="3"/>
      <c r="N18" s="3"/>
      <c r="O18" s="3"/>
      <c r="P18" s="3"/>
      <c r="Q18" s="3"/>
      <c r="R18" s="3"/>
      <c r="S18" s="3"/>
      <c r="T18" s="179"/>
      <c r="U18" s="126"/>
      <c r="V18" s="126"/>
      <c r="W18" s="126"/>
      <c r="X18" s="3"/>
      <c r="Y18" s="3"/>
      <c r="Z18" s="3"/>
      <c r="AA18" s="3"/>
      <c r="AB18" s="3"/>
      <c r="AC18" s="3"/>
      <c r="AD18" s="3"/>
      <c r="AE18" s="3"/>
      <c r="AF18" s="44"/>
      <c r="AG18" s="44"/>
      <c r="AH18" s="44"/>
      <c r="AI18" s="45"/>
    </row>
    <row r="19" spans="1:35" ht="14.25" customHeight="1">
      <c r="A19" s="118"/>
      <c r="B19" s="115"/>
      <c r="C19" s="141"/>
      <c r="D19" s="70" t="s">
        <v>64</v>
      </c>
      <c r="E19" s="3" t="s">
        <v>64</v>
      </c>
      <c r="F19" s="109"/>
      <c r="G19" s="101"/>
      <c r="H19" s="3"/>
      <c r="I19" s="101"/>
      <c r="J19" s="3"/>
      <c r="K19" s="104"/>
      <c r="L19" s="3"/>
      <c r="M19" s="3"/>
      <c r="N19" s="3"/>
      <c r="O19" s="3"/>
      <c r="P19" s="3"/>
      <c r="Q19" s="3"/>
      <c r="R19" s="3"/>
      <c r="S19" s="3"/>
      <c r="T19" s="179"/>
      <c r="U19" s="126"/>
      <c r="V19" s="126"/>
      <c r="W19" s="126"/>
      <c r="X19" s="3"/>
      <c r="Y19" s="3"/>
      <c r="Z19" s="3"/>
      <c r="AA19" s="3"/>
      <c r="AB19" s="3"/>
      <c r="AC19" s="3"/>
      <c r="AD19" s="3"/>
      <c r="AE19" s="3"/>
      <c r="AF19" s="44"/>
      <c r="AG19" s="44"/>
      <c r="AH19" s="44"/>
      <c r="AI19" s="45"/>
    </row>
    <row r="20" spans="1:35">
      <c r="A20" s="119"/>
      <c r="B20" s="116"/>
      <c r="C20" s="141"/>
      <c r="D20" s="71" t="s">
        <v>65</v>
      </c>
      <c r="E20" s="6" t="s">
        <v>66</v>
      </c>
      <c r="F20" s="110"/>
      <c r="G20" s="102"/>
      <c r="H20" s="6"/>
      <c r="I20" s="102"/>
      <c r="J20" s="6"/>
      <c r="K20" s="105"/>
      <c r="L20" s="6"/>
      <c r="M20" s="6"/>
      <c r="N20" s="6"/>
      <c r="O20" s="6"/>
      <c r="P20" s="6"/>
      <c r="Q20" s="6"/>
      <c r="R20" s="6"/>
      <c r="S20" s="6"/>
      <c r="T20" s="180"/>
      <c r="U20" s="127"/>
      <c r="V20" s="127"/>
      <c r="W20" s="127"/>
      <c r="X20" s="6"/>
      <c r="Y20" s="6"/>
      <c r="Z20" s="6"/>
      <c r="AA20" s="6"/>
      <c r="AB20" s="6"/>
      <c r="AC20" s="6"/>
      <c r="AD20" s="6"/>
      <c r="AE20" s="6"/>
      <c r="AF20" s="7"/>
      <c r="AG20" s="46"/>
      <c r="AH20" s="46"/>
      <c r="AI20" s="47"/>
    </row>
    <row r="21" spans="1:35" ht="24.75" customHeight="1">
      <c r="A21" s="120" t="s">
        <v>67</v>
      </c>
      <c r="B21" s="114" t="s">
        <v>68</v>
      </c>
      <c r="C21" s="141" t="s">
        <v>69</v>
      </c>
      <c r="D21" s="70" t="s">
        <v>70</v>
      </c>
      <c r="E21" s="3" t="s">
        <v>71</v>
      </c>
      <c r="F21" s="130" t="s">
        <v>72</v>
      </c>
      <c r="G21" s="100">
        <v>100</v>
      </c>
      <c r="H21" s="130" t="s">
        <v>73</v>
      </c>
      <c r="I21" s="100">
        <v>101</v>
      </c>
      <c r="J21" s="130" t="s">
        <v>74</v>
      </c>
      <c r="K21" s="103">
        <v>102</v>
      </c>
      <c r="L21" s="130" t="s">
        <v>75</v>
      </c>
      <c r="M21" s="100">
        <v>103</v>
      </c>
      <c r="N21" s="3"/>
      <c r="O21" s="3"/>
      <c r="P21" s="3"/>
      <c r="Q21" s="3"/>
      <c r="R21" s="3"/>
      <c r="S21" s="3"/>
      <c r="T21" s="177" t="s">
        <v>76</v>
      </c>
      <c r="U21" s="177" t="s">
        <v>77</v>
      </c>
      <c r="V21" s="177" t="s">
        <v>78</v>
      </c>
      <c r="W21" s="177"/>
      <c r="X21" s="3"/>
      <c r="Y21" s="3"/>
      <c r="Z21" s="3"/>
      <c r="AA21" s="3"/>
      <c r="AB21" s="3"/>
      <c r="AC21" s="3"/>
      <c r="AD21" s="3"/>
      <c r="AE21" s="3"/>
      <c r="AF21" s="44"/>
      <c r="AG21" s="44"/>
      <c r="AH21" s="44"/>
      <c r="AI21" s="45"/>
    </row>
    <row r="22" spans="1:35" ht="27.95">
      <c r="A22" s="118"/>
      <c r="B22" s="115"/>
      <c r="C22" s="141"/>
      <c r="D22" s="70" t="s">
        <v>79</v>
      </c>
      <c r="E22" s="3" t="s">
        <v>79</v>
      </c>
      <c r="F22" s="109"/>
      <c r="G22" s="101"/>
      <c r="H22" s="109"/>
      <c r="I22" s="101"/>
      <c r="J22" s="109"/>
      <c r="K22" s="104"/>
      <c r="L22" s="109"/>
      <c r="M22" s="101"/>
      <c r="N22" s="3"/>
      <c r="O22" s="3"/>
      <c r="P22" s="3"/>
      <c r="Q22" s="3"/>
      <c r="R22" s="3"/>
      <c r="S22" s="3"/>
      <c r="T22" s="126"/>
      <c r="U22" s="126"/>
      <c r="V22" s="126"/>
      <c r="W22" s="126"/>
      <c r="X22" s="3"/>
      <c r="Y22" s="3"/>
      <c r="Z22" s="3"/>
      <c r="AA22" s="3"/>
      <c r="AB22" s="3"/>
      <c r="AC22" s="3"/>
      <c r="AD22" s="3"/>
      <c r="AE22" s="3"/>
      <c r="AF22" s="44"/>
      <c r="AG22" s="44"/>
      <c r="AH22" s="44"/>
      <c r="AI22" s="45"/>
    </row>
    <row r="23" spans="1:35" ht="18.75" customHeight="1">
      <c r="A23" s="118"/>
      <c r="B23" s="115"/>
      <c r="C23" s="141"/>
      <c r="D23" s="70" t="s">
        <v>80</v>
      </c>
      <c r="E23" s="3" t="s">
        <v>80</v>
      </c>
      <c r="F23" s="109"/>
      <c r="G23" s="101"/>
      <c r="H23" s="109"/>
      <c r="I23" s="101"/>
      <c r="J23" s="109"/>
      <c r="K23" s="104"/>
      <c r="L23" s="109"/>
      <c r="M23" s="101"/>
      <c r="N23" s="3"/>
      <c r="O23" s="3"/>
      <c r="P23" s="3"/>
      <c r="Q23" s="3"/>
      <c r="R23" s="3"/>
      <c r="S23" s="3"/>
      <c r="T23" s="126"/>
      <c r="U23" s="126"/>
      <c r="V23" s="126"/>
      <c r="W23" s="126"/>
      <c r="X23" s="3"/>
      <c r="Y23" s="3"/>
      <c r="Z23" s="3"/>
      <c r="AA23" s="3"/>
      <c r="AB23" s="3"/>
      <c r="AC23" s="3"/>
      <c r="AD23" s="3"/>
      <c r="AE23" s="3"/>
      <c r="AF23" s="44"/>
      <c r="AG23" s="44"/>
      <c r="AH23" s="44"/>
      <c r="AI23" s="45"/>
    </row>
    <row r="24" spans="1:35" ht="19.5" customHeight="1">
      <c r="A24" s="118"/>
      <c r="B24" s="115"/>
      <c r="C24" s="141"/>
      <c r="D24" s="70" t="s">
        <v>81</v>
      </c>
      <c r="E24" s="3" t="s">
        <v>82</v>
      </c>
      <c r="F24" s="109"/>
      <c r="G24" s="101"/>
      <c r="H24" s="109"/>
      <c r="I24" s="101"/>
      <c r="J24" s="109"/>
      <c r="K24" s="104"/>
      <c r="L24" s="109"/>
      <c r="M24" s="101"/>
      <c r="N24" s="3"/>
      <c r="O24" s="3"/>
      <c r="P24" s="3"/>
      <c r="Q24" s="3"/>
      <c r="R24" s="3"/>
      <c r="S24" s="3"/>
      <c r="T24" s="126"/>
      <c r="U24" s="126"/>
      <c r="V24" s="126"/>
      <c r="W24" s="126"/>
      <c r="X24" s="3"/>
      <c r="Y24" s="3"/>
      <c r="Z24" s="3"/>
      <c r="AA24" s="3"/>
      <c r="AB24" s="3"/>
      <c r="AC24" s="3"/>
      <c r="AD24" s="3"/>
      <c r="AE24" s="3"/>
      <c r="AF24" s="44"/>
      <c r="AG24" s="44"/>
      <c r="AH24" s="44"/>
      <c r="AI24" s="45"/>
    </row>
    <row r="25" spans="1:35" ht="27.95">
      <c r="A25" s="118"/>
      <c r="B25" s="115"/>
      <c r="C25" s="141"/>
      <c r="D25" s="70" t="s">
        <v>83</v>
      </c>
      <c r="E25" s="3" t="s">
        <v>83</v>
      </c>
      <c r="F25" s="109"/>
      <c r="G25" s="101"/>
      <c r="H25" s="109"/>
      <c r="I25" s="101"/>
      <c r="J25" s="109"/>
      <c r="K25" s="104"/>
      <c r="L25" s="109"/>
      <c r="M25" s="101"/>
      <c r="N25" s="3"/>
      <c r="O25" s="3"/>
      <c r="P25" s="3"/>
      <c r="Q25" s="3"/>
      <c r="R25" s="3"/>
      <c r="S25" s="3"/>
      <c r="T25" s="126"/>
      <c r="U25" s="126"/>
      <c r="V25" s="126"/>
      <c r="W25" s="126"/>
      <c r="X25" s="3"/>
      <c r="Y25" s="3"/>
      <c r="Z25" s="3"/>
      <c r="AA25" s="3"/>
      <c r="AB25" s="3"/>
      <c r="AC25" s="3"/>
      <c r="AD25" s="3"/>
      <c r="AE25" s="3"/>
      <c r="AF25" s="44"/>
      <c r="AG25" s="44"/>
      <c r="AH25" s="44"/>
      <c r="AI25" s="45"/>
    </row>
    <row r="26" spans="1:35" ht="27.95">
      <c r="A26" s="119"/>
      <c r="B26" s="116"/>
      <c r="C26" s="141"/>
      <c r="D26" s="71" t="s">
        <v>84</v>
      </c>
      <c r="E26" s="6" t="s">
        <v>84</v>
      </c>
      <c r="F26" s="110"/>
      <c r="G26" s="102"/>
      <c r="H26" s="110"/>
      <c r="I26" s="102"/>
      <c r="J26" s="110"/>
      <c r="K26" s="105"/>
      <c r="L26" s="110"/>
      <c r="M26" s="102"/>
      <c r="N26" s="6"/>
      <c r="O26" s="6"/>
      <c r="P26" s="6"/>
      <c r="Q26" s="6"/>
      <c r="R26" s="6"/>
      <c r="S26" s="6"/>
      <c r="T26" s="127"/>
      <c r="U26" s="127"/>
      <c r="V26" s="127"/>
      <c r="W26" s="127"/>
      <c r="X26" s="6"/>
      <c r="Y26" s="6"/>
      <c r="Z26" s="6"/>
      <c r="AA26" s="6"/>
      <c r="AB26" s="6"/>
      <c r="AC26" s="6"/>
      <c r="AD26" s="6"/>
      <c r="AE26" s="6"/>
      <c r="AF26" s="7"/>
      <c r="AG26" s="46"/>
      <c r="AH26" s="46"/>
      <c r="AI26" s="47"/>
    </row>
    <row r="27" spans="1:35" ht="14.25" customHeight="1">
      <c r="A27" s="120" t="s">
        <v>85</v>
      </c>
      <c r="B27" s="163" t="s">
        <v>86</v>
      </c>
      <c r="C27" s="141" t="s">
        <v>87</v>
      </c>
      <c r="D27" s="70" t="s">
        <v>88</v>
      </c>
      <c r="E27" s="3" t="s">
        <v>88</v>
      </c>
      <c r="F27" s="130" t="s">
        <v>89</v>
      </c>
      <c r="G27" s="100">
        <v>124</v>
      </c>
      <c r="H27" s="130" t="s">
        <v>90</v>
      </c>
      <c r="I27" s="100">
        <v>125</v>
      </c>
      <c r="J27" s="130" t="s">
        <v>91</v>
      </c>
      <c r="K27" s="103">
        <v>126</v>
      </c>
      <c r="L27" s="130" t="s">
        <v>92</v>
      </c>
      <c r="M27" s="100">
        <v>127</v>
      </c>
      <c r="N27" s="3"/>
      <c r="O27" s="3"/>
      <c r="P27" s="3"/>
      <c r="Q27" s="3"/>
      <c r="R27" s="3"/>
      <c r="S27" s="3"/>
      <c r="T27" s="177" t="s">
        <v>78</v>
      </c>
      <c r="U27" s="177" t="s">
        <v>77</v>
      </c>
      <c r="V27" s="177" t="s">
        <v>93</v>
      </c>
      <c r="W27" s="177"/>
      <c r="X27" s="3"/>
      <c r="Y27" s="3"/>
      <c r="Z27" s="3"/>
      <c r="AA27" s="3"/>
      <c r="AB27" s="3"/>
      <c r="AC27" s="3"/>
      <c r="AD27" s="3"/>
      <c r="AE27" s="3"/>
      <c r="AF27" s="44"/>
      <c r="AG27" s="44"/>
      <c r="AH27" s="44"/>
      <c r="AI27" s="45"/>
    </row>
    <row r="28" spans="1:35" ht="51" customHeight="1">
      <c r="A28" s="119"/>
      <c r="B28" s="164"/>
      <c r="C28" s="141"/>
      <c r="D28" s="71" t="s">
        <v>94</v>
      </c>
      <c r="E28" s="6" t="s">
        <v>94</v>
      </c>
      <c r="F28" s="110"/>
      <c r="G28" s="102"/>
      <c r="H28" s="110"/>
      <c r="I28" s="102"/>
      <c r="J28" s="110"/>
      <c r="K28" s="105"/>
      <c r="L28" s="110"/>
      <c r="M28" s="102"/>
      <c r="N28" s="6"/>
      <c r="O28" s="6"/>
      <c r="P28" s="6"/>
      <c r="Q28" s="6"/>
      <c r="R28" s="6"/>
      <c r="S28" s="6"/>
      <c r="T28" s="127"/>
      <c r="U28" s="127"/>
      <c r="V28" s="127"/>
      <c r="W28" s="127"/>
      <c r="X28" s="6"/>
      <c r="Y28" s="6"/>
      <c r="Z28" s="6"/>
      <c r="AA28" s="6"/>
      <c r="AB28" s="6"/>
      <c r="AC28" s="6"/>
      <c r="AD28" s="6"/>
      <c r="AE28" s="6"/>
      <c r="AF28" s="7"/>
      <c r="AG28" s="46"/>
      <c r="AH28" s="46"/>
      <c r="AI28" s="47"/>
    </row>
    <row r="29" spans="1:35" ht="14.25" customHeight="1">
      <c r="A29" s="120" t="s">
        <v>95</v>
      </c>
      <c r="B29" s="114" t="s">
        <v>96</v>
      </c>
      <c r="C29" s="141" t="s">
        <v>97</v>
      </c>
      <c r="D29" s="70" t="s">
        <v>98</v>
      </c>
      <c r="E29" s="3" t="s">
        <v>98</v>
      </c>
      <c r="F29" s="130" t="s">
        <v>99</v>
      </c>
      <c r="G29" s="100">
        <v>17</v>
      </c>
      <c r="H29" s="130" t="s">
        <v>100</v>
      </c>
      <c r="I29" s="100">
        <v>18</v>
      </c>
      <c r="J29" s="130" t="s">
        <v>101</v>
      </c>
      <c r="K29" s="103">
        <v>19</v>
      </c>
      <c r="L29" s="130" t="s">
        <v>102</v>
      </c>
      <c r="M29" s="100">
        <v>20</v>
      </c>
      <c r="N29" s="3"/>
      <c r="O29" s="3"/>
      <c r="P29" s="3"/>
      <c r="Q29" s="3"/>
      <c r="R29" s="3"/>
      <c r="S29" s="3"/>
      <c r="T29" s="177" t="s">
        <v>76</v>
      </c>
      <c r="U29" s="177" t="s">
        <v>103</v>
      </c>
      <c r="V29" s="177" t="s">
        <v>33</v>
      </c>
      <c r="W29" s="177"/>
      <c r="X29" s="3"/>
      <c r="Y29" s="3"/>
      <c r="Z29" s="3"/>
      <c r="AA29" s="3"/>
      <c r="AB29" s="3"/>
      <c r="AC29" s="3"/>
      <c r="AD29" s="3"/>
      <c r="AE29" s="3"/>
      <c r="AF29" s="44"/>
      <c r="AG29" s="44"/>
      <c r="AH29" s="44"/>
      <c r="AI29" s="45"/>
    </row>
    <row r="30" spans="1:35" ht="14.25" customHeight="1">
      <c r="A30" s="118"/>
      <c r="B30" s="115"/>
      <c r="C30" s="141"/>
      <c r="D30" s="70"/>
      <c r="E30" s="3"/>
      <c r="F30" s="109"/>
      <c r="G30" s="101"/>
      <c r="H30" s="109"/>
      <c r="I30" s="101"/>
      <c r="J30" s="109"/>
      <c r="K30" s="104"/>
      <c r="L30" s="109"/>
      <c r="M30" s="101"/>
      <c r="N30" s="3"/>
      <c r="O30" s="3"/>
      <c r="P30" s="3"/>
      <c r="Q30" s="3"/>
      <c r="R30" s="3"/>
      <c r="S30" s="3"/>
      <c r="T30" s="126"/>
      <c r="U30" s="126"/>
      <c r="V30" s="126"/>
      <c r="W30" s="126"/>
      <c r="X30" s="3"/>
      <c r="Y30" s="3"/>
      <c r="Z30" s="3"/>
      <c r="AA30" s="3"/>
      <c r="AB30" s="3"/>
      <c r="AC30" s="3"/>
      <c r="AD30" s="3"/>
      <c r="AE30" s="3"/>
      <c r="AF30" s="44"/>
      <c r="AG30" s="44"/>
      <c r="AH30" s="44"/>
      <c r="AI30" s="45"/>
    </row>
    <row r="31" spans="1:35" ht="14.25" customHeight="1">
      <c r="A31" s="118"/>
      <c r="B31" s="115"/>
      <c r="C31" s="141"/>
      <c r="D31" s="70" t="s">
        <v>104</v>
      </c>
      <c r="E31" s="3" t="s">
        <v>105</v>
      </c>
      <c r="F31" s="109"/>
      <c r="G31" s="101"/>
      <c r="H31" s="109"/>
      <c r="I31" s="101"/>
      <c r="J31" s="109"/>
      <c r="K31" s="104"/>
      <c r="L31" s="109"/>
      <c r="M31" s="101"/>
      <c r="N31" s="3"/>
      <c r="O31" s="3"/>
      <c r="P31" s="3"/>
      <c r="Q31" s="3"/>
      <c r="R31" s="3"/>
      <c r="S31" s="3"/>
      <c r="T31" s="126"/>
      <c r="U31" s="126"/>
      <c r="V31" s="126"/>
      <c r="W31" s="126"/>
      <c r="X31" s="3"/>
      <c r="Y31" s="3"/>
      <c r="Z31" s="3"/>
      <c r="AA31" s="3"/>
      <c r="AB31" s="3"/>
      <c r="AC31" s="3"/>
      <c r="AD31" s="3"/>
      <c r="AE31" s="3"/>
      <c r="AF31" s="44"/>
      <c r="AG31" s="44"/>
      <c r="AH31" s="44"/>
      <c r="AI31" s="45"/>
    </row>
    <row r="32" spans="1:35" ht="27.95">
      <c r="A32" s="118"/>
      <c r="B32" s="115"/>
      <c r="C32" s="141"/>
      <c r="D32" s="70" t="s">
        <v>106</v>
      </c>
      <c r="E32" s="3" t="s">
        <v>106</v>
      </c>
      <c r="F32" s="109"/>
      <c r="G32" s="101"/>
      <c r="H32" s="109"/>
      <c r="I32" s="101"/>
      <c r="J32" s="109"/>
      <c r="K32" s="104"/>
      <c r="L32" s="109"/>
      <c r="M32" s="101"/>
      <c r="N32" s="3"/>
      <c r="O32" s="3"/>
      <c r="P32" s="3"/>
      <c r="Q32" s="3"/>
      <c r="R32" s="3"/>
      <c r="S32" s="3"/>
      <c r="T32" s="126"/>
      <c r="U32" s="126"/>
      <c r="V32" s="126"/>
      <c r="W32" s="126"/>
      <c r="X32" s="3"/>
      <c r="Y32" s="3"/>
      <c r="Z32" s="3"/>
      <c r="AA32" s="3"/>
      <c r="AB32" s="3"/>
      <c r="AC32" s="3"/>
      <c r="AD32" s="3"/>
      <c r="AE32" s="3"/>
      <c r="AF32" s="44"/>
      <c r="AG32" s="44"/>
      <c r="AH32" s="44"/>
      <c r="AI32" s="45"/>
    </row>
    <row r="33" spans="1:35" s="76" customFormat="1" ht="27.95">
      <c r="A33" s="119"/>
      <c r="B33" s="116"/>
      <c r="C33" s="191"/>
      <c r="D33" s="71" t="s">
        <v>107</v>
      </c>
      <c r="E33" s="6" t="s">
        <v>107</v>
      </c>
      <c r="F33" s="109"/>
      <c r="G33" s="102"/>
      <c r="H33" s="109"/>
      <c r="I33" s="102"/>
      <c r="J33" s="109"/>
      <c r="K33" s="105"/>
      <c r="L33" s="109"/>
      <c r="M33" s="102"/>
      <c r="N33" s="6"/>
      <c r="O33" s="6"/>
      <c r="P33" s="6"/>
      <c r="Q33" s="6"/>
      <c r="R33" s="6"/>
      <c r="S33" s="6"/>
      <c r="T33" s="127"/>
      <c r="U33" s="127"/>
      <c r="V33" s="127"/>
      <c r="W33" s="127"/>
      <c r="X33" s="6"/>
      <c r="Y33" s="6"/>
      <c r="Z33" s="6"/>
      <c r="AA33" s="6"/>
      <c r="AB33" s="6"/>
      <c r="AC33" s="6"/>
      <c r="AD33" s="6"/>
      <c r="AE33" s="6"/>
      <c r="AF33" s="7"/>
      <c r="AG33" s="46"/>
      <c r="AH33" s="46"/>
      <c r="AI33" s="47"/>
    </row>
    <row r="34" spans="1:35" ht="63.75" customHeight="1">
      <c r="A34" s="120" t="s">
        <v>108</v>
      </c>
      <c r="B34" s="114" t="s">
        <v>109</v>
      </c>
      <c r="C34" s="192" t="s">
        <v>110</v>
      </c>
      <c r="D34" s="161" t="s">
        <v>111</v>
      </c>
      <c r="E34" s="161" t="s">
        <v>112</v>
      </c>
      <c r="F34" s="161" t="s">
        <v>113</v>
      </c>
      <c r="G34" s="64"/>
      <c r="H34" s="161" t="s">
        <v>114</v>
      </c>
      <c r="I34" s="106">
        <v>72</v>
      </c>
      <c r="J34" s="64"/>
      <c r="K34" s="65"/>
      <c r="L34" s="64"/>
      <c r="M34" s="64"/>
      <c r="N34" s="64"/>
      <c r="O34" s="64"/>
      <c r="P34" s="64"/>
      <c r="Q34" s="64"/>
      <c r="R34" s="64"/>
      <c r="S34" s="64"/>
      <c r="T34" s="181" t="s">
        <v>93</v>
      </c>
      <c r="U34" s="177" t="s">
        <v>76</v>
      </c>
      <c r="V34" s="177" t="s">
        <v>78</v>
      </c>
      <c r="W34" s="122"/>
      <c r="X34" s="11"/>
      <c r="Y34" s="11"/>
      <c r="Z34" s="11"/>
      <c r="AA34" s="11"/>
      <c r="AB34" s="11"/>
      <c r="AC34" s="11"/>
      <c r="AD34" s="11"/>
      <c r="AE34" s="11"/>
      <c r="AF34" s="48"/>
      <c r="AG34" s="48"/>
      <c r="AH34" s="48"/>
      <c r="AI34" s="77"/>
    </row>
    <row r="35" spans="1:35">
      <c r="A35" s="118"/>
      <c r="B35" s="115"/>
      <c r="C35" s="141"/>
      <c r="D35" s="161"/>
      <c r="E35" s="161"/>
      <c r="F35" s="161"/>
      <c r="G35" s="64">
        <v>71</v>
      </c>
      <c r="H35" s="161"/>
      <c r="I35" s="107"/>
      <c r="J35" s="64"/>
      <c r="K35" s="65"/>
      <c r="L35" s="64"/>
      <c r="M35" s="64"/>
      <c r="N35" s="64"/>
      <c r="O35" s="64"/>
      <c r="P35" s="64"/>
      <c r="Q35" s="64"/>
      <c r="R35" s="64"/>
      <c r="S35" s="64"/>
      <c r="T35" s="182"/>
      <c r="U35" s="126"/>
      <c r="V35" s="126"/>
      <c r="W35" s="123"/>
      <c r="X35" s="3"/>
      <c r="Y35" s="3"/>
      <c r="Z35" s="3"/>
      <c r="AA35" s="3"/>
      <c r="AB35" s="3"/>
      <c r="AC35" s="3"/>
      <c r="AD35" s="3"/>
      <c r="AE35" s="3"/>
      <c r="AF35" s="44"/>
      <c r="AG35" s="44"/>
      <c r="AH35" s="44"/>
      <c r="AI35" s="45"/>
    </row>
    <row r="36" spans="1:35" ht="14.25" customHeight="1">
      <c r="A36" s="118"/>
      <c r="B36" s="115"/>
      <c r="C36" s="141"/>
      <c r="D36" s="162"/>
      <c r="E36" s="162"/>
      <c r="F36" s="162"/>
      <c r="G36" s="67"/>
      <c r="H36" s="162"/>
      <c r="I36" s="108"/>
      <c r="J36" s="67"/>
      <c r="K36" s="68"/>
      <c r="L36" s="67"/>
      <c r="M36" s="67"/>
      <c r="N36" s="67"/>
      <c r="O36" s="67"/>
      <c r="P36" s="67"/>
      <c r="Q36" s="67"/>
      <c r="R36" s="67"/>
      <c r="S36" s="67"/>
      <c r="T36" s="183"/>
      <c r="U36" s="127"/>
      <c r="V36" s="127"/>
      <c r="W36" s="140"/>
      <c r="X36" s="3"/>
      <c r="Y36" s="3"/>
      <c r="Z36" s="3"/>
      <c r="AA36" s="3"/>
      <c r="AB36" s="3"/>
      <c r="AC36" s="3"/>
      <c r="AD36" s="3"/>
      <c r="AE36" s="3"/>
      <c r="AF36" s="44"/>
      <c r="AG36" s="44"/>
      <c r="AH36" s="44"/>
      <c r="AI36" s="45"/>
    </row>
    <row r="37" spans="1:35" ht="35.1" customHeight="1">
      <c r="A37" s="118"/>
      <c r="B37" s="115"/>
      <c r="C37" s="141" t="s">
        <v>115</v>
      </c>
      <c r="D37" s="72" t="s">
        <v>116</v>
      </c>
      <c r="E37" s="11" t="s">
        <v>116</v>
      </c>
      <c r="F37" s="109" t="s">
        <v>117</v>
      </c>
      <c r="G37" s="11">
        <v>104</v>
      </c>
      <c r="H37" s="109" t="s">
        <v>118</v>
      </c>
      <c r="I37" s="100">
        <v>105</v>
      </c>
      <c r="J37" s="109" t="s">
        <v>119</v>
      </c>
      <c r="K37" s="103">
        <v>106</v>
      </c>
      <c r="L37" s="109" t="s">
        <v>120</v>
      </c>
      <c r="M37" s="11">
        <v>107</v>
      </c>
      <c r="N37" s="109" t="s">
        <v>121</v>
      </c>
      <c r="O37" s="11">
        <v>108</v>
      </c>
      <c r="P37" s="109" t="s">
        <v>122</v>
      </c>
      <c r="Q37" s="11">
        <v>109</v>
      </c>
      <c r="R37" s="11"/>
      <c r="S37" s="11"/>
      <c r="T37" s="126" t="s">
        <v>76</v>
      </c>
      <c r="U37" s="126" t="s">
        <v>77</v>
      </c>
      <c r="V37" s="126" t="s">
        <v>93</v>
      </c>
      <c r="W37" s="123"/>
      <c r="X37" s="3"/>
      <c r="Y37" s="3"/>
      <c r="Z37" s="3"/>
      <c r="AA37" s="3"/>
      <c r="AB37" s="3"/>
      <c r="AC37" s="3"/>
      <c r="AD37" s="3"/>
      <c r="AE37" s="3"/>
      <c r="AF37" s="44"/>
      <c r="AG37" s="44"/>
      <c r="AH37" s="44"/>
      <c r="AI37" s="45"/>
    </row>
    <row r="38" spans="1:35" ht="33.950000000000003" customHeight="1">
      <c r="A38" s="118"/>
      <c r="B38" s="115"/>
      <c r="C38" s="141"/>
      <c r="D38" s="70" t="s">
        <v>123</v>
      </c>
      <c r="E38" s="3" t="s">
        <v>123</v>
      </c>
      <c r="F38" s="109"/>
      <c r="G38" s="3"/>
      <c r="H38" s="109"/>
      <c r="I38" s="101"/>
      <c r="J38" s="109"/>
      <c r="K38" s="104"/>
      <c r="L38" s="109"/>
      <c r="M38" s="3"/>
      <c r="N38" s="109"/>
      <c r="O38" s="3"/>
      <c r="P38" s="109"/>
      <c r="Q38" s="3"/>
      <c r="R38" s="3"/>
      <c r="S38" s="3"/>
      <c r="T38" s="126"/>
      <c r="U38" s="126"/>
      <c r="V38" s="126"/>
      <c r="W38" s="123"/>
      <c r="X38" s="3"/>
      <c r="Y38" s="3"/>
      <c r="Z38" s="3"/>
      <c r="AA38" s="3"/>
      <c r="AB38" s="3"/>
      <c r="AC38" s="3"/>
      <c r="AD38" s="3"/>
      <c r="AE38" s="3"/>
      <c r="AF38" s="44"/>
      <c r="AG38" s="44"/>
      <c r="AH38" s="44"/>
      <c r="AI38" s="45"/>
    </row>
    <row r="39" spans="1:35" ht="28.5" customHeight="1">
      <c r="A39" s="118"/>
      <c r="B39" s="115"/>
      <c r="C39" s="141"/>
      <c r="D39" s="73" t="s">
        <v>124</v>
      </c>
      <c r="E39" s="12" t="s">
        <v>124</v>
      </c>
      <c r="F39" s="109"/>
      <c r="G39" s="3"/>
      <c r="H39" s="109"/>
      <c r="I39" s="101"/>
      <c r="J39" s="109"/>
      <c r="K39" s="104"/>
      <c r="L39" s="109"/>
      <c r="M39" s="3"/>
      <c r="N39" s="109"/>
      <c r="O39" s="3"/>
      <c r="P39" s="109"/>
      <c r="Q39" s="3"/>
      <c r="R39" s="3"/>
      <c r="S39" s="3"/>
      <c r="T39" s="126"/>
      <c r="U39" s="126"/>
      <c r="V39" s="126"/>
      <c r="W39" s="123"/>
      <c r="X39" s="3"/>
      <c r="Y39" s="3"/>
      <c r="Z39" s="3"/>
      <c r="AA39" s="3"/>
      <c r="AB39" s="3"/>
      <c r="AC39" s="3"/>
      <c r="AD39" s="3"/>
      <c r="AE39" s="3"/>
      <c r="AF39" s="44"/>
      <c r="AG39" s="44"/>
      <c r="AH39" s="44"/>
      <c r="AI39" s="45"/>
    </row>
    <row r="40" spans="1:35" ht="59.25" customHeight="1">
      <c r="A40" s="119"/>
      <c r="B40" s="116"/>
      <c r="C40" s="141"/>
      <c r="D40" s="71" t="s">
        <v>125</v>
      </c>
      <c r="E40" s="6" t="s">
        <v>125</v>
      </c>
      <c r="F40" s="110"/>
      <c r="G40" s="6"/>
      <c r="H40" s="110"/>
      <c r="I40" s="102"/>
      <c r="J40" s="110"/>
      <c r="K40" s="105"/>
      <c r="L40" s="110"/>
      <c r="M40" s="6"/>
      <c r="N40" s="110"/>
      <c r="O40" s="6"/>
      <c r="P40" s="110"/>
      <c r="Q40" s="6"/>
      <c r="R40" s="6"/>
      <c r="S40" s="6"/>
      <c r="T40" s="127"/>
      <c r="U40" s="127"/>
      <c r="V40" s="127"/>
      <c r="W40" s="140"/>
      <c r="X40" s="6"/>
      <c r="Y40" s="6"/>
      <c r="Z40" s="6"/>
      <c r="AA40" s="6"/>
      <c r="AB40" s="6"/>
      <c r="AC40" s="6"/>
      <c r="AD40" s="6"/>
      <c r="AE40" s="6"/>
      <c r="AF40" s="7"/>
      <c r="AG40" s="46"/>
      <c r="AH40" s="46"/>
      <c r="AI40" s="47"/>
    </row>
    <row r="41" spans="1:35">
      <c r="A41" s="118" t="s">
        <v>126</v>
      </c>
      <c r="B41" s="115" t="s">
        <v>127</v>
      </c>
      <c r="C41" s="141" t="s">
        <v>128</v>
      </c>
      <c r="D41" s="72" t="s">
        <v>129</v>
      </c>
      <c r="E41" s="11" t="s">
        <v>129</v>
      </c>
      <c r="F41" s="109" t="s">
        <v>130</v>
      </c>
      <c r="G41" s="11">
        <v>122</v>
      </c>
      <c r="H41" s="11"/>
      <c r="I41" s="11"/>
      <c r="J41" s="11"/>
      <c r="K41" s="66"/>
      <c r="L41" s="11"/>
      <c r="M41" s="11"/>
      <c r="N41" s="11"/>
      <c r="O41" s="11"/>
      <c r="P41" s="11"/>
      <c r="Q41" s="11"/>
      <c r="R41" s="11"/>
      <c r="S41" s="11"/>
      <c r="T41" s="126" t="s">
        <v>131</v>
      </c>
      <c r="U41" s="126"/>
      <c r="V41" s="126"/>
      <c r="W41" s="57"/>
      <c r="X41" s="130" t="s">
        <v>132</v>
      </c>
      <c r="Y41" s="3"/>
      <c r="Z41" s="3"/>
      <c r="AA41" s="3"/>
      <c r="AB41" s="3"/>
      <c r="AC41" s="3"/>
      <c r="AD41" s="3"/>
      <c r="AE41" s="3"/>
      <c r="AF41" s="44"/>
      <c r="AG41" s="44"/>
      <c r="AH41" s="44"/>
      <c r="AI41" s="45"/>
    </row>
    <row r="42" spans="1:35" ht="27.95">
      <c r="A42" s="118"/>
      <c r="B42" s="115"/>
      <c r="C42" s="141"/>
      <c r="D42" s="70" t="s">
        <v>133</v>
      </c>
      <c r="E42" s="3" t="s">
        <v>133</v>
      </c>
      <c r="F42" s="109"/>
      <c r="G42" s="3"/>
      <c r="H42" s="3"/>
      <c r="I42" s="3"/>
      <c r="J42" s="3"/>
      <c r="K42" s="43"/>
      <c r="L42" s="3"/>
      <c r="M42" s="3"/>
      <c r="N42" s="3"/>
      <c r="O42" s="3"/>
      <c r="P42" s="3"/>
      <c r="Q42" s="3"/>
      <c r="R42" s="3"/>
      <c r="S42" s="3"/>
      <c r="T42" s="126"/>
      <c r="U42" s="126"/>
      <c r="V42" s="126"/>
      <c r="W42" s="58"/>
      <c r="X42" s="109"/>
      <c r="Y42" s="3"/>
      <c r="Z42" s="3"/>
      <c r="AA42" s="3"/>
      <c r="AB42" s="3"/>
      <c r="AC42" s="3"/>
      <c r="AD42" s="3"/>
      <c r="AE42" s="3"/>
      <c r="AF42" s="44"/>
      <c r="AG42" s="44"/>
      <c r="AH42" s="44"/>
      <c r="AI42" s="45"/>
    </row>
    <row r="43" spans="1:35" ht="42" customHeight="1">
      <c r="A43" s="119"/>
      <c r="B43" s="116"/>
      <c r="C43" s="141"/>
      <c r="D43" s="71" t="s">
        <v>134</v>
      </c>
      <c r="E43" s="6" t="s">
        <v>134</v>
      </c>
      <c r="F43" s="110"/>
      <c r="G43" s="6"/>
      <c r="H43" s="6"/>
      <c r="I43" s="6"/>
      <c r="J43" s="6"/>
      <c r="K43" s="2"/>
      <c r="L43" s="6"/>
      <c r="M43" s="6"/>
      <c r="N43" s="6"/>
      <c r="O43" s="6"/>
      <c r="P43" s="6"/>
      <c r="Q43" s="6"/>
      <c r="R43" s="6"/>
      <c r="S43" s="6"/>
      <c r="T43" s="127"/>
      <c r="U43" s="127"/>
      <c r="V43" s="127"/>
      <c r="W43" s="59"/>
      <c r="X43" s="110"/>
      <c r="Y43" s="6"/>
      <c r="Z43" s="6"/>
      <c r="AA43" s="6"/>
      <c r="AB43" s="6"/>
      <c r="AC43" s="6"/>
      <c r="AD43" s="6"/>
      <c r="AE43" s="6"/>
      <c r="AF43" s="7"/>
      <c r="AG43" s="46"/>
      <c r="AH43" s="46"/>
      <c r="AI43" s="47"/>
    </row>
    <row r="44" spans="1:35" ht="33" customHeight="1">
      <c r="A44" s="120" t="s">
        <v>135</v>
      </c>
      <c r="B44" s="114" t="s">
        <v>136</v>
      </c>
      <c r="C44" s="141" t="s">
        <v>137</v>
      </c>
      <c r="D44" s="70" t="s">
        <v>138</v>
      </c>
      <c r="E44" s="3" t="s">
        <v>138</v>
      </c>
      <c r="F44" s="130" t="s">
        <v>139</v>
      </c>
      <c r="G44" s="3">
        <v>41</v>
      </c>
      <c r="H44" s="130" t="s">
        <v>140</v>
      </c>
      <c r="I44" s="3">
        <v>42</v>
      </c>
      <c r="J44" s="130" t="s">
        <v>141</v>
      </c>
      <c r="K44" s="43">
        <v>43</v>
      </c>
      <c r="L44" s="130" t="s">
        <v>142</v>
      </c>
      <c r="M44" s="3">
        <v>44</v>
      </c>
      <c r="N44" s="3"/>
      <c r="O44" s="3"/>
      <c r="P44" s="3"/>
      <c r="Q44" s="3"/>
      <c r="R44" s="3"/>
      <c r="S44" s="3"/>
      <c r="T44" s="177" t="s">
        <v>143</v>
      </c>
      <c r="U44" s="177" t="s">
        <v>103</v>
      </c>
      <c r="V44" s="177" t="s">
        <v>33</v>
      </c>
      <c r="W44" s="177"/>
      <c r="X44" s="3"/>
      <c r="Y44" s="3"/>
      <c r="Z44" s="3"/>
      <c r="AA44" s="3"/>
      <c r="AB44" s="3"/>
      <c r="AC44" s="3"/>
      <c r="AD44" s="3"/>
      <c r="AE44" s="3"/>
      <c r="AF44" s="44"/>
      <c r="AG44" s="44"/>
      <c r="AH44" s="44"/>
      <c r="AI44" s="45"/>
    </row>
    <row r="45" spans="1:35" ht="14.25" customHeight="1">
      <c r="A45" s="118"/>
      <c r="B45" s="115"/>
      <c r="C45" s="141"/>
      <c r="D45" s="70" t="s">
        <v>144</v>
      </c>
      <c r="E45" s="3" t="s">
        <v>144</v>
      </c>
      <c r="F45" s="109"/>
      <c r="G45" s="3"/>
      <c r="H45" s="109"/>
      <c r="I45" s="3"/>
      <c r="J45" s="109"/>
      <c r="K45" s="43"/>
      <c r="L45" s="109"/>
      <c r="M45" s="3"/>
      <c r="N45" s="3"/>
      <c r="O45" s="3"/>
      <c r="P45" s="3"/>
      <c r="Q45" s="3"/>
      <c r="R45" s="3"/>
      <c r="S45" s="3"/>
      <c r="T45" s="126"/>
      <c r="U45" s="126"/>
      <c r="V45" s="126"/>
      <c r="W45" s="126"/>
      <c r="X45" s="3"/>
      <c r="Y45" s="3"/>
      <c r="Z45" s="3"/>
      <c r="AA45" s="3"/>
      <c r="AB45" s="3"/>
      <c r="AC45" s="3"/>
      <c r="AD45" s="3"/>
      <c r="AE45" s="3"/>
      <c r="AF45" s="44"/>
      <c r="AG45" s="44"/>
      <c r="AH45" s="44"/>
      <c r="AI45" s="45"/>
    </row>
    <row r="46" spans="1:35" ht="14.25" customHeight="1">
      <c r="A46" s="118"/>
      <c r="B46" s="115"/>
      <c r="C46" s="141"/>
      <c r="D46" s="70" t="s">
        <v>145</v>
      </c>
      <c r="E46" s="3" t="s">
        <v>145</v>
      </c>
      <c r="F46" s="109"/>
      <c r="G46" s="3"/>
      <c r="H46" s="109"/>
      <c r="I46" s="3"/>
      <c r="J46" s="109"/>
      <c r="K46" s="43"/>
      <c r="L46" s="109"/>
      <c r="M46" s="3"/>
      <c r="N46" s="3"/>
      <c r="O46" s="3"/>
      <c r="P46" s="3"/>
      <c r="Q46" s="3"/>
      <c r="R46" s="3"/>
      <c r="S46" s="3"/>
      <c r="T46" s="126"/>
      <c r="U46" s="126"/>
      <c r="V46" s="126"/>
      <c r="W46" s="126"/>
      <c r="X46" s="3"/>
      <c r="Y46" s="3"/>
      <c r="Z46" s="3"/>
      <c r="AA46" s="3"/>
      <c r="AB46" s="3"/>
      <c r="AC46" s="3"/>
      <c r="AD46" s="3"/>
      <c r="AE46" s="3"/>
      <c r="AF46" s="44"/>
      <c r="AG46" s="44"/>
      <c r="AH46" s="44"/>
      <c r="AI46" s="45"/>
    </row>
    <row r="47" spans="1:35">
      <c r="A47" s="119"/>
      <c r="B47" s="116"/>
      <c r="C47" s="141"/>
      <c r="D47" s="71" t="s">
        <v>146</v>
      </c>
      <c r="E47" s="6" t="s">
        <v>146</v>
      </c>
      <c r="F47" s="110"/>
      <c r="G47" s="6"/>
      <c r="H47" s="110"/>
      <c r="I47" s="6"/>
      <c r="J47" s="110"/>
      <c r="K47" s="2"/>
      <c r="L47" s="110"/>
      <c r="M47" s="6"/>
      <c r="N47" s="6"/>
      <c r="O47" s="6"/>
      <c r="P47" s="6"/>
      <c r="Q47" s="6"/>
      <c r="R47" s="6"/>
      <c r="S47" s="6"/>
      <c r="T47" s="127"/>
      <c r="U47" s="127"/>
      <c r="V47" s="127"/>
      <c r="W47" s="127"/>
      <c r="X47" s="6"/>
      <c r="Y47" s="6"/>
      <c r="Z47" s="6"/>
      <c r="AA47" s="6"/>
      <c r="AB47" s="6"/>
      <c r="AC47" s="6"/>
      <c r="AD47" s="6"/>
      <c r="AE47" s="6"/>
      <c r="AF47" s="7"/>
      <c r="AG47" s="46"/>
      <c r="AH47" s="46"/>
      <c r="AI47" s="47"/>
    </row>
    <row r="48" spans="1:35" ht="29.25" customHeight="1">
      <c r="A48" s="120" t="s">
        <v>147</v>
      </c>
      <c r="B48" s="114" t="s">
        <v>148</v>
      </c>
      <c r="C48" s="141" t="s">
        <v>149</v>
      </c>
      <c r="D48" s="70" t="s">
        <v>150</v>
      </c>
      <c r="E48" s="3" t="s">
        <v>150</v>
      </c>
      <c r="F48" s="130" t="s">
        <v>151</v>
      </c>
      <c r="G48" s="3">
        <v>145</v>
      </c>
      <c r="H48" s="130" t="s">
        <v>152</v>
      </c>
      <c r="I48" s="3">
        <v>146</v>
      </c>
      <c r="J48" s="130" t="s">
        <v>153</v>
      </c>
      <c r="K48" s="43">
        <v>147</v>
      </c>
      <c r="L48" s="130" t="s">
        <v>154</v>
      </c>
      <c r="M48" s="6">
        <v>148</v>
      </c>
      <c r="N48" s="130" t="s">
        <v>155</v>
      </c>
      <c r="O48" s="6">
        <v>149</v>
      </c>
      <c r="P48" s="130" t="s">
        <v>156</v>
      </c>
      <c r="Q48" s="6">
        <v>150</v>
      </c>
      <c r="R48" s="130" t="s">
        <v>157</v>
      </c>
      <c r="S48" s="130">
        <v>151</v>
      </c>
      <c r="T48" s="177" t="s">
        <v>93</v>
      </c>
      <c r="U48" s="177" t="s">
        <v>78</v>
      </c>
      <c r="V48" s="177" t="s">
        <v>158</v>
      </c>
      <c r="W48" s="58"/>
      <c r="X48" s="3"/>
      <c r="Y48" s="3"/>
      <c r="Z48" s="3"/>
      <c r="AA48" s="3"/>
      <c r="AB48" s="3"/>
      <c r="AC48" s="3"/>
      <c r="AD48" s="3"/>
      <c r="AE48" s="3"/>
      <c r="AF48" s="44"/>
      <c r="AG48" s="44"/>
      <c r="AH48" s="44"/>
      <c r="AI48" s="45"/>
    </row>
    <row r="49" spans="1:35" ht="14.25" customHeight="1">
      <c r="A49" s="118"/>
      <c r="B49" s="115"/>
      <c r="C49" s="141"/>
      <c r="D49" s="70" t="s">
        <v>159</v>
      </c>
      <c r="E49" s="3" t="s">
        <v>159</v>
      </c>
      <c r="F49" s="109"/>
      <c r="G49" s="3"/>
      <c r="H49" s="109"/>
      <c r="I49" s="3"/>
      <c r="J49" s="109"/>
      <c r="K49" s="43"/>
      <c r="L49" s="109"/>
      <c r="M49" s="6"/>
      <c r="N49" s="109"/>
      <c r="O49" s="6"/>
      <c r="P49" s="109"/>
      <c r="Q49" s="6"/>
      <c r="R49" s="109"/>
      <c r="S49" s="109"/>
      <c r="T49" s="126"/>
      <c r="U49" s="126"/>
      <c r="V49" s="126"/>
      <c r="W49" s="58"/>
      <c r="X49" s="3"/>
      <c r="Y49" s="3"/>
      <c r="Z49" s="3"/>
      <c r="AA49" s="3"/>
      <c r="AB49" s="3"/>
      <c r="AC49" s="3"/>
      <c r="AD49" s="3"/>
      <c r="AE49" s="3"/>
      <c r="AF49" s="44"/>
      <c r="AG49" s="44"/>
      <c r="AH49" s="44"/>
      <c r="AI49" s="45"/>
    </row>
    <row r="50" spans="1:35" ht="32.1" customHeight="1">
      <c r="A50" s="118"/>
      <c r="B50" s="115"/>
      <c r="C50" s="141"/>
      <c r="D50" s="70" t="s">
        <v>160</v>
      </c>
      <c r="E50" s="3" t="s">
        <v>160</v>
      </c>
      <c r="F50" s="109"/>
      <c r="G50" s="3"/>
      <c r="H50" s="109"/>
      <c r="I50" s="3"/>
      <c r="J50" s="109"/>
      <c r="K50" s="43"/>
      <c r="L50" s="109"/>
      <c r="M50" s="6"/>
      <c r="N50" s="109"/>
      <c r="O50" s="6"/>
      <c r="P50" s="109"/>
      <c r="Q50" s="6"/>
      <c r="R50" s="109"/>
      <c r="S50" s="109"/>
      <c r="T50" s="126"/>
      <c r="U50" s="126"/>
      <c r="V50" s="126"/>
      <c r="W50" s="58"/>
      <c r="X50" s="3"/>
      <c r="Y50" s="3"/>
      <c r="Z50" s="3"/>
      <c r="AA50" s="3"/>
      <c r="AB50" s="3"/>
      <c r="AC50" s="3"/>
      <c r="AD50" s="3"/>
      <c r="AE50" s="3"/>
      <c r="AF50" s="44"/>
      <c r="AG50" s="44"/>
      <c r="AH50" s="44"/>
      <c r="AI50" s="45"/>
    </row>
    <row r="51" spans="1:35" ht="66" customHeight="1">
      <c r="A51" s="119"/>
      <c r="B51" s="116"/>
      <c r="C51" s="141"/>
      <c r="D51" s="71" t="s">
        <v>161</v>
      </c>
      <c r="E51" s="6" t="s">
        <v>161</v>
      </c>
      <c r="F51" s="110"/>
      <c r="G51" s="6"/>
      <c r="H51" s="110"/>
      <c r="I51" s="6"/>
      <c r="J51" s="110"/>
      <c r="K51" s="2"/>
      <c r="L51" s="110"/>
      <c r="M51" s="6"/>
      <c r="N51" s="110"/>
      <c r="O51" s="6"/>
      <c r="P51" s="110"/>
      <c r="Q51" s="6"/>
      <c r="R51" s="110"/>
      <c r="S51" s="110"/>
      <c r="T51" s="127"/>
      <c r="U51" s="127"/>
      <c r="V51" s="127"/>
      <c r="W51" s="59"/>
      <c r="X51" s="6"/>
      <c r="Y51" s="6"/>
      <c r="Z51" s="6"/>
      <c r="AA51" s="6"/>
      <c r="AB51" s="6"/>
      <c r="AC51" s="6"/>
      <c r="AD51" s="6"/>
      <c r="AE51" s="6"/>
      <c r="AF51" s="7"/>
      <c r="AG51" s="46"/>
      <c r="AH51" s="46"/>
      <c r="AI51" s="47"/>
    </row>
    <row r="52" spans="1:35" ht="14.25" customHeight="1">
      <c r="A52" s="120" t="s">
        <v>162</v>
      </c>
      <c r="B52" s="114" t="s">
        <v>163</v>
      </c>
      <c r="C52" s="141" t="s">
        <v>164</v>
      </c>
      <c r="D52" s="70" t="s">
        <v>165</v>
      </c>
      <c r="E52" s="3" t="s">
        <v>165</v>
      </c>
      <c r="F52" s="130" t="s">
        <v>166</v>
      </c>
      <c r="G52" s="3">
        <v>8</v>
      </c>
      <c r="H52" s="155" t="s">
        <v>167</v>
      </c>
      <c r="I52" s="8">
        <v>9</v>
      </c>
      <c r="J52" s="3"/>
      <c r="K52" s="43"/>
      <c r="L52" s="3"/>
      <c r="M52" s="3"/>
      <c r="N52" s="3"/>
      <c r="O52" s="3"/>
      <c r="P52" s="3"/>
      <c r="Q52" s="3"/>
      <c r="R52" s="3"/>
      <c r="S52" s="3"/>
      <c r="T52" s="177" t="s">
        <v>168</v>
      </c>
      <c r="U52" s="177" t="s">
        <v>169</v>
      </c>
      <c r="V52" s="177" t="s">
        <v>77</v>
      </c>
      <c r="W52" s="58"/>
      <c r="X52" s="3"/>
      <c r="Y52" s="3"/>
      <c r="Z52" s="3"/>
      <c r="AA52" s="3"/>
      <c r="AB52" s="3"/>
      <c r="AC52" s="3"/>
      <c r="AD52" s="3"/>
      <c r="AE52" s="3"/>
      <c r="AF52" s="44"/>
      <c r="AG52" s="44"/>
      <c r="AH52" s="44"/>
      <c r="AI52" s="45"/>
    </row>
    <row r="53" spans="1:35" ht="27.95">
      <c r="A53" s="118"/>
      <c r="B53" s="115"/>
      <c r="C53" s="141"/>
      <c r="D53" s="70" t="s">
        <v>170</v>
      </c>
      <c r="E53" s="3" t="s">
        <v>170</v>
      </c>
      <c r="F53" s="109"/>
      <c r="G53" s="3"/>
      <c r="H53" s="156"/>
      <c r="I53" s="8"/>
      <c r="J53" s="3"/>
      <c r="K53" s="43"/>
      <c r="L53" s="3"/>
      <c r="M53" s="3"/>
      <c r="N53" s="3"/>
      <c r="O53" s="3"/>
      <c r="P53" s="3"/>
      <c r="Q53" s="3"/>
      <c r="R53" s="3"/>
      <c r="S53" s="3"/>
      <c r="T53" s="126"/>
      <c r="U53" s="126"/>
      <c r="V53" s="126"/>
      <c r="W53" s="58"/>
      <c r="X53" s="3"/>
      <c r="Y53" s="3"/>
      <c r="Z53" s="3"/>
      <c r="AA53" s="3"/>
      <c r="AB53" s="3"/>
      <c r="AC53" s="3"/>
      <c r="AD53" s="3"/>
      <c r="AE53" s="3"/>
      <c r="AF53" s="44"/>
      <c r="AG53" s="44"/>
      <c r="AH53" s="44"/>
      <c r="AI53" s="45"/>
    </row>
    <row r="54" spans="1:35" ht="27.95">
      <c r="A54" s="119"/>
      <c r="B54" s="116"/>
      <c r="C54" s="141"/>
      <c r="D54" s="71" t="s">
        <v>171</v>
      </c>
      <c r="E54" s="6" t="s">
        <v>171</v>
      </c>
      <c r="F54" s="110"/>
      <c r="G54" s="6"/>
      <c r="H54" s="157"/>
      <c r="I54" s="9"/>
      <c r="J54" s="6"/>
      <c r="K54" s="2"/>
      <c r="L54" s="6"/>
      <c r="M54" s="6"/>
      <c r="N54" s="6"/>
      <c r="O54" s="6"/>
      <c r="P54" s="6"/>
      <c r="Q54" s="6"/>
      <c r="R54" s="6"/>
      <c r="S54" s="6"/>
      <c r="T54" s="127"/>
      <c r="U54" s="127"/>
      <c r="V54" s="127"/>
      <c r="W54" s="59"/>
      <c r="X54" s="6"/>
      <c r="Y54" s="6"/>
      <c r="Z54" s="6"/>
      <c r="AA54" s="6"/>
      <c r="AB54" s="6"/>
      <c r="AC54" s="6"/>
      <c r="AD54" s="6"/>
      <c r="AE54" s="6"/>
      <c r="AF54" s="7"/>
      <c r="AG54" s="46"/>
      <c r="AH54" s="46"/>
      <c r="AI54" s="47"/>
    </row>
    <row r="55" spans="1:35" ht="27.95">
      <c r="A55" s="120" t="s">
        <v>172</v>
      </c>
      <c r="B55" s="114" t="s">
        <v>173</v>
      </c>
      <c r="C55" s="141" t="s">
        <v>174</v>
      </c>
      <c r="D55" s="70" t="s">
        <v>175</v>
      </c>
      <c r="E55" s="3" t="s">
        <v>175</v>
      </c>
      <c r="F55" s="130" t="s">
        <v>176</v>
      </c>
      <c r="G55" s="3">
        <v>21</v>
      </c>
      <c r="H55" s="130" t="s">
        <v>177</v>
      </c>
      <c r="I55" s="3">
        <v>22</v>
      </c>
      <c r="J55" s="158" t="s">
        <v>178</v>
      </c>
      <c r="K55" s="43">
        <v>23</v>
      </c>
      <c r="L55" s="3"/>
      <c r="M55" s="3"/>
      <c r="N55" s="3"/>
      <c r="O55" s="3"/>
      <c r="P55" s="3"/>
      <c r="Q55" s="3"/>
      <c r="R55" s="3"/>
      <c r="S55" s="3"/>
      <c r="T55" s="177" t="s">
        <v>169</v>
      </c>
      <c r="U55" s="177" t="s">
        <v>179</v>
      </c>
      <c r="V55" s="177" t="s">
        <v>180</v>
      </c>
      <c r="W55" s="177" t="s">
        <v>181</v>
      </c>
      <c r="X55" s="3"/>
      <c r="Y55" s="3"/>
      <c r="Z55" s="3"/>
      <c r="AA55" s="3"/>
      <c r="AB55" s="3"/>
      <c r="AC55" s="3"/>
      <c r="AD55" s="3"/>
      <c r="AE55" s="3"/>
      <c r="AF55" s="44"/>
      <c r="AG55" s="44"/>
      <c r="AH55" s="44"/>
      <c r="AI55" s="45"/>
    </row>
    <row r="56" spans="1:35" ht="27.95">
      <c r="A56" s="119"/>
      <c r="B56" s="116"/>
      <c r="C56" s="141"/>
      <c r="D56" s="71" t="s">
        <v>182</v>
      </c>
      <c r="E56" s="6" t="s">
        <v>183</v>
      </c>
      <c r="F56" s="110"/>
      <c r="G56" s="6"/>
      <c r="H56" s="110"/>
      <c r="I56" s="6"/>
      <c r="J56" s="159"/>
      <c r="K56" s="2"/>
      <c r="L56" s="6"/>
      <c r="M56" s="6"/>
      <c r="N56" s="6"/>
      <c r="O56" s="6"/>
      <c r="P56" s="6"/>
      <c r="Q56" s="6"/>
      <c r="R56" s="6"/>
      <c r="S56" s="6"/>
      <c r="T56" s="127"/>
      <c r="U56" s="127"/>
      <c r="V56" s="127"/>
      <c r="W56" s="127"/>
      <c r="X56" s="6"/>
      <c r="Y56" s="6"/>
      <c r="Z56" s="6"/>
      <c r="AA56" s="6"/>
      <c r="AB56" s="6"/>
      <c r="AC56" s="6"/>
      <c r="AD56" s="6"/>
      <c r="AE56" s="6"/>
      <c r="AF56" s="7"/>
      <c r="AG56" s="46"/>
      <c r="AH56" s="46"/>
      <c r="AI56" s="47"/>
    </row>
    <row r="57" spans="1:35">
      <c r="A57" s="120" t="s">
        <v>184</v>
      </c>
      <c r="B57" s="143"/>
      <c r="C57" s="142" t="s">
        <v>185</v>
      </c>
      <c r="D57" s="70" t="s">
        <v>186</v>
      </c>
      <c r="E57" s="3" t="s">
        <v>186</v>
      </c>
      <c r="F57" s="130" t="s">
        <v>187</v>
      </c>
      <c r="G57" s="3">
        <v>129</v>
      </c>
      <c r="H57" s="130" t="s">
        <v>188</v>
      </c>
      <c r="I57" s="3">
        <v>130</v>
      </c>
      <c r="J57" s="3"/>
      <c r="K57" s="43"/>
      <c r="L57" s="3"/>
      <c r="M57" s="3"/>
      <c r="N57" s="3"/>
      <c r="O57" s="3"/>
      <c r="P57" s="3"/>
      <c r="Q57" s="3"/>
      <c r="R57" s="3"/>
      <c r="S57" s="3"/>
      <c r="T57" s="177" t="s">
        <v>93</v>
      </c>
      <c r="U57" s="177" t="s">
        <v>158</v>
      </c>
      <c r="V57" s="177" t="s">
        <v>78</v>
      </c>
      <c r="W57" s="122"/>
      <c r="X57" s="3"/>
      <c r="Y57" s="3"/>
      <c r="Z57" s="3"/>
      <c r="AA57" s="3"/>
      <c r="AB57" s="3"/>
      <c r="AC57" s="3"/>
      <c r="AD57" s="3"/>
      <c r="AE57" s="3"/>
      <c r="AF57" s="44"/>
      <c r="AG57" s="44"/>
      <c r="AH57" s="44"/>
      <c r="AI57" s="45"/>
    </row>
    <row r="58" spans="1:35" ht="42">
      <c r="A58" s="118"/>
      <c r="B58" s="144"/>
      <c r="C58" s="142"/>
      <c r="D58" s="70" t="s">
        <v>189</v>
      </c>
      <c r="E58" s="3" t="s">
        <v>190</v>
      </c>
      <c r="F58" s="109"/>
      <c r="G58" s="3"/>
      <c r="H58" s="109"/>
      <c r="I58" s="3"/>
      <c r="J58" s="3"/>
      <c r="K58" s="43"/>
      <c r="L58" s="3"/>
      <c r="M58" s="3"/>
      <c r="N58" s="3"/>
      <c r="O58" s="3"/>
      <c r="P58" s="3"/>
      <c r="Q58" s="3"/>
      <c r="R58" s="3"/>
      <c r="S58" s="3"/>
      <c r="T58" s="126"/>
      <c r="U58" s="126"/>
      <c r="V58" s="126"/>
      <c r="W58" s="123"/>
      <c r="X58" s="3"/>
      <c r="Y58" s="3"/>
      <c r="Z58" s="3"/>
      <c r="AA58" s="3"/>
      <c r="AB58" s="3"/>
      <c r="AC58" s="3"/>
      <c r="AD58" s="3"/>
      <c r="AE58" s="3"/>
      <c r="AF58" s="44"/>
      <c r="AG58" s="44"/>
      <c r="AH58" s="44"/>
      <c r="AI58" s="45"/>
    </row>
    <row r="59" spans="1:35" ht="42">
      <c r="A59" s="121"/>
      <c r="B59" s="145"/>
      <c r="C59" s="142"/>
      <c r="D59" s="71" t="s">
        <v>191</v>
      </c>
      <c r="E59" s="6" t="s">
        <v>192</v>
      </c>
      <c r="F59" s="131"/>
      <c r="G59" s="6"/>
      <c r="H59" s="131"/>
      <c r="I59" s="6"/>
      <c r="J59" s="6"/>
      <c r="K59" s="2"/>
      <c r="L59" s="6"/>
      <c r="M59" s="6"/>
      <c r="N59" s="6"/>
      <c r="O59" s="6"/>
      <c r="P59" s="6"/>
      <c r="Q59" s="6"/>
      <c r="R59" s="6"/>
      <c r="S59" s="6"/>
      <c r="T59" s="127"/>
      <c r="U59" s="127"/>
      <c r="V59" s="127"/>
      <c r="W59" s="124"/>
      <c r="X59" s="6"/>
      <c r="Y59" s="6"/>
      <c r="Z59" s="6"/>
      <c r="AA59" s="6"/>
      <c r="AB59" s="6"/>
      <c r="AC59" s="6"/>
      <c r="AD59" s="6"/>
      <c r="AE59" s="6"/>
      <c r="AF59" s="7"/>
      <c r="AG59" s="46"/>
      <c r="AH59" s="46"/>
      <c r="AI59" s="47"/>
    </row>
    <row r="60" spans="1:35" ht="27.95">
      <c r="A60" s="117" t="s">
        <v>193</v>
      </c>
      <c r="B60" s="114" t="s">
        <v>194</v>
      </c>
      <c r="C60" s="141" t="s">
        <v>132</v>
      </c>
      <c r="D60" s="70" t="s">
        <v>195</v>
      </c>
      <c r="E60" s="3" t="s">
        <v>195</v>
      </c>
      <c r="F60" s="149" t="s">
        <v>196</v>
      </c>
      <c r="G60" s="3">
        <v>27</v>
      </c>
      <c r="H60" s="152" t="s">
        <v>197</v>
      </c>
      <c r="I60" s="3">
        <v>28</v>
      </c>
      <c r="J60" s="160" t="s">
        <v>198</v>
      </c>
      <c r="K60" s="43">
        <v>29</v>
      </c>
      <c r="L60" s="160" t="s">
        <v>199</v>
      </c>
      <c r="M60" s="6">
        <v>30</v>
      </c>
      <c r="N60" s="130" t="s">
        <v>200</v>
      </c>
      <c r="O60" s="6">
        <v>31</v>
      </c>
      <c r="P60" s="130" t="s">
        <v>201</v>
      </c>
      <c r="Q60" s="6">
        <v>32</v>
      </c>
      <c r="R60" s="130" t="s">
        <v>202</v>
      </c>
      <c r="S60" s="130">
        <v>33</v>
      </c>
      <c r="T60" s="122" t="s">
        <v>203</v>
      </c>
      <c r="U60" s="177" t="s">
        <v>78</v>
      </c>
      <c r="V60" s="177" t="s">
        <v>77</v>
      </c>
      <c r="W60" s="58"/>
      <c r="X60" s="3"/>
      <c r="Y60" s="3"/>
      <c r="Z60" s="3"/>
      <c r="AA60" s="3"/>
      <c r="AB60" s="3"/>
      <c r="AC60" s="3"/>
      <c r="AD60" s="3"/>
      <c r="AE60" s="3"/>
      <c r="AF60" s="44"/>
      <c r="AG60" s="44"/>
      <c r="AH60" s="44"/>
      <c r="AI60" s="45"/>
    </row>
    <row r="61" spans="1:35" ht="14.25" customHeight="1">
      <c r="A61" s="118"/>
      <c r="B61" s="115"/>
      <c r="C61" s="141"/>
      <c r="D61" s="70" t="s">
        <v>204</v>
      </c>
      <c r="E61" s="3" t="s">
        <v>204</v>
      </c>
      <c r="F61" s="150"/>
      <c r="G61" s="3"/>
      <c r="H61" s="153"/>
      <c r="I61" s="3"/>
      <c r="J61" s="153"/>
      <c r="K61" s="43"/>
      <c r="L61" s="153"/>
      <c r="M61" s="6"/>
      <c r="N61" s="109"/>
      <c r="O61" s="6"/>
      <c r="P61" s="109"/>
      <c r="Q61" s="6"/>
      <c r="R61" s="109"/>
      <c r="S61" s="109"/>
      <c r="T61" s="123"/>
      <c r="U61" s="126"/>
      <c r="V61" s="126"/>
      <c r="W61" s="58"/>
      <c r="X61" s="3"/>
      <c r="Y61" s="3"/>
      <c r="Z61" s="3"/>
      <c r="AA61" s="3"/>
      <c r="AB61" s="3"/>
      <c r="AC61" s="3"/>
      <c r="AD61" s="3"/>
      <c r="AE61" s="3"/>
      <c r="AF61" s="44"/>
      <c r="AG61" s="44"/>
      <c r="AH61" s="44"/>
      <c r="AI61" s="45"/>
    </row>
    <row r="62" spans="1:35" ht="14.25" customHeight="1">
      <c r="A62" s="118"/>
      <c r="B62" s="115"/>
      <c r="C62" s="141"/>
      <c r="D62" s="70" t="s">
        <v>205</v>
      </c>
      <c r="E62" s="3" t="s">
        <v>205</v>
      </c>
      <c r="F62" s="150"/>
      <c r="G62" s="3"/>
      <c r="H62" s="153"/>
      <c r="I62" s="3"/>
      <c r="J62" s="153"/>
      <c r="K62" s="43"/>
      <c r="L62" s="153"/>
      <c r="M62" s="6"/>
      <c r="N62" s="109"/>
      <c r="O62" s="6"/>
      <c r="P62" s="109"/>
      <c r="Q62" s="6"/>
      <c r="R62" s="109"/>
      <c r="S62" s="109"/>
      <c r="T62" s="123"/>
      <c r="U62" s="126"/>
      <c r="V62" s="126"/>
      <c r="W62" s="58"/>
      <c r="X62" s="3"/>
      <c r="Y62" s="3"/>
      <c r="Z62" s="3"/>
      <c r="AA62" s="3"/>
      <c r="AB62" s="3"/>
      <c r="AC62" s="3"/>
      <c r="AD62" s="3"/>
      <c r="AE62" s="3"/>
      <c r="AF62" s="44"/>
      <c r="AG62" s="44"/>
      <c r="AH62" s="44"/>
      <c r="AI62" s="45"/>
    </row>
    <row r="63" spans="1:35" ht="27.95">
      <c r="A63" s="118"/>
      <c r="B63" s="115"/>
      <c r="C63" s="141"/>
      <c r="D63" s="70" t="s">
        <v>206</v>
      </c>
      <c r="E63" s="3" t="s">
        <v>206</v>
      </c>
      <c r="F63" s="150"/>
      <c r="G63" s="3"/>
      <c r="H63" s="153"/>
      <c r="I63" s="3"/>
      <c r="J63" s="153"/>
      <c r="K63" s="43"/>
      <c r="L63" s="153"/>
      <c r="M63" s="6"/>
      <c r="N63" s="109"/>
      <c r="O63" s="6"/>
      <c r="P63" s="109"/>
      <c r="Q63" s="6"/>
      <c r="R63" s="109"/>
      <c r="S63" s="109"/>
      <c r="T63" s="123"/>
      <c r="U63" s="126"/>
      <c r="V63" s="126"/>
      <c r="W63" s="58"/>
      <c r="X63" s="3"/>
      <c r="Y63" s="3"/>
      <c r="Z63" s="3"/>
      <c r="AA63" s="3"/>
      <c r="AB63" s="3"/>
      <c r="AC63" s="3"/>
      <c r="AD63" s="3"/>
      <c r="AE63" s="3"/>
      <c r="AF63" s="44"/>
      <c r="AG63" s="44"/>
      <c r="AH63" s="44"/>
      <c r="AI63" s="45"/>
    </row>
    <row r="64" spans="1:35" ht="27.95">
      <c r="A64" s="119"/>
      <c r="B64" s="116"/>
      <c r="C64" s="141"/>
      <c r="D64" s="71" t="s">
        <v>207</v>
      </c>
      <c r="E64" s="6" t="s">
        <v>207</v>
      </c>
      <c r="F64" s="151"/>
      <c r="G64" s="6"/>
      <c r="H64" s="154"/>
      <c r="I64" s="6"/>
      <c r="J64" s="154"/>
      <c r="K64" s="2"/>
      <c r="L64" s="154"/>
      <c r="M64" s="6"/>
      <c r="N64" s="110"/>
      <c r="O64" s="6"/>
      <c r="P64" s="110"/>
      <c r="Q64" s="6"/>
      <c r="R64" s="110"/>
      <c r="S64" s="110"/>
      <c r="T64" s="140"/>
      <c r="U64" s="127"/>
      <c r="V64" s="127"/>
      <c r="W64" s="59"/>
      <c r="X64" s="6"/>
      <c r="Y64" s="6"/>
      <c r="Z64" s="6"/>
      <c r="AA64" s="6"/>
      <c r="AB64" s="6"/>
      <c r="AC64" s="6"/>
      <c r="AD64" s="6"/>
      <c r="AE64" s="6"/>
      <c r="AF64" s="7"/>
      <c r="AG64" s="46"/>
      <c r="AH64" s="46"/>
      <c r="AI64" s="47"/>
    </row>
    <row r="65" spans="1:35" ht="39" customHeight="1">
      <c r="A65" s="120" t="s">
        <v>208</v>
      </c>
      <c r="B65" s="146"/>
      <c r="C65" s="142" t="s">
        <v>209</v>
      </c>
      <c r="D65" s="70" t="s">
        <v>210</v>
      </c>
      <c r="E65" s="3" t="s">
        <v>210</v>
      </c>
      <c r="F65" s="130" t="s">
        <v>211</v>
      </c>
      <c r="G65" s="3">
        <v>95</v>
      </c>
      <c r="H65" s="130" t="s">
        <v>212</v>
      </c>
      <c r="I65" s="3">
        <v>96</v>
      </c>
      <c r="J65" s="130" t="s">
        <v>213</v>
      </c>
      <c r="K65" s="43">
        <v>97</v>
      </c>
      <c r="L65" s="130" t="s">
        <v>214</v>
      </c>
      <c r="M65" s="6">
        <v>98</v>
      </c>
      <c r="N65" s="130" t="s">
        <v>215</v>
      </c>
      <c r="O65" s="3">
        <v>99</v>
      </c>
      <c r="P65" s="3"/>
      <c r="Q65" s="3"/>
      <c r="R65" s="3"/>
      <c r="S65" s="3"/>
      <c r="T65" s="122" t="s">
        <v>78</v>
      </c>
      <c r="U65" s="122" t="s">
        <v>77</v>
      </c>
      <c r="V65" s="177" t="s">
        <v>31</v>
      </c>
      <c r="W65" s="58"/>
      <c r="X65" s="3"/>
      <c r="Y65" s="3"/>
      <c r="Z65" s="3"/>
      <c r="AA65" s="3"/>
      <c r="AB65" s="3"/>
      <c r="AC65" s="3"/>
      <c r="AD65" s="3"/>
      <c r="AE65" s="3"/>
      <c r="AF65" s="44"/>
      <c r="AG65" s="44"/>
      <c r="AH65" s="44"/>
      <c r="AI65" s="45"/>
    </row>
    <row r="66" spans="1:35" ht="27.95">
      <c r="A66" s="118"/>
      <c r="B66" s="147"/>
      <c r="C66" s="142"/>
      <c r="D66" s="70" t="s">
        <v>216</v>
      </c>
      <c r="E66" s="3" t="s">
        <v>216</v>
      </c>
      <c r="F66" s="109"/>
      <c r="G66" s="3"/>
      <c r="H66" s="109"/>
      <c r="I66" s="3"/>
      <c r="J66" s="109"/>
      <c r="K66" s="43"/>
      <c r="L66" s="109"/>
      <c r="M66" s="6"/>
      <c r="N66" s="109"/>
      <c r="O66" s="3"/>
      <c r="P66" s="3"/>
      <c r="Q66" s="3"/>
      <c r="R66" s="3"/>
      <c r="S66" s="3"/>
      <c r="T66" s="123"/>
      <c r="U66" s="123"/>
      <c r="V66" s="126"/>
      <c r="W66" s="58"/>
      <c r="X66" s="3"/>
      <c r="Y66" s="3"/>
      <c r="Z66" s="3"/>
      <c r="AA66" s="3"/>
      <c r="AB66" s="3"/>
      <c r="AC66" s="3"/>
      <c r="AD66" s="3"/>
      <c r="AE66" s="3"/>
      <c r="AF66" s="44"/>
      <c r="AG66" s="44"/>
      <c r="AH66" s="44"/>
      <c r="AI66" s="45"/>
    </row>
    <row r="67" spans="1:35">
      <c r="A67" s="118"/>
      <c r="B67" s="147"/>
      <c r="C67" s="142"/>
      <c r="D67" s="70" t="s">
        <v>217</v>
      </c>
      <c r="E67" s="3" t="s">
        <v>217</v>
      </c>
      <c r="F67" s="109"/>
      <c r="G67" s="3"/>
      <c r="H67" s="109"/>
      <c r="I67" s="3"/>
      <c r="J67" s="109"/>
      <c r="K67" s="43"/>
      <c r="L67" s="109"/>
      <c r="M67" s="6"/>
      <c r="N67" s="109"/>
      <c r="O67" s="3"/>
      <c r="P67" s="3"/>
      <c r="Q67" s="3"/>
      <c r="R67" s="3"/>
      <c r="S67" s="3"/>
      <c r="T67" s="123"/>
      <c r="U67" s="123"/>
      <c r="V67" s="126"/>
      <c r="W67" s="58"/>
      <c r="X67" s="3"/>
      <c r="Y67" s="3"/>
      <c r="Z67" s="3"/>
      <c r="AA67" s="3"/>
      <c r="AB67" s="3"/>
      <c r="AC67" s="3"/>
      <c r="AD67" s="3"/>
      <c r="AE67" s="3"/>
      <c r="AF67" s="44"/>
      <c r="AG67" s="44"/>
      <c r="AH67" s="44"/>
      <c r="AI67" s="45"/>
    </row>
    <row r="68" spans="1:35" ht="32.25" customHeight="1" thickTop="1" thickBot="1">
      <c r="A68" s="119"/>
      <c r="B68" s="148"/>
      <c r="C68" s="142"/>
      <c r="D68" s="71" t="s">
        <v>218</v>
      </c>
      <c r="E68" s="6" t="s">
        <v>218</v>
      </c>
      <c r="F68" s="110"/>
      <c r="G68" s="3"/>
      <c r="H68" s="110"/>
      <c r="I68" s="3"/>
      <c r="J68" s="110"/>
      <c r="K68" s="43"/>
      <c r="L68" s="110"/>
      <c r="M68" s="6"/>
      <c r="N68" s="110"/>
      <c r="O68" s="6"/>
      <c r="P68" s="6"/>
      <c r="Q68" s="6"/>
      <c r="R68" s="6"/>
      <c r="S68" s="6"/>
      <c r="T68" s="140"/>
      <c r="U68" s="140"/>
      <c r="V68" s="127"/>
      <c r="W68" s="60"/>
      <c r="X68" s="6"/>
      <c r="Y68" s="6"/>
      <c r="Z68" s="6"/>
      <c r="AA68" s="6"/>
      <c r="AB68" s="6"/>
      <c r="AC68" s="6"/>
      <c r="AD68" s="6"/>
      <c r="AE68" s="6"/>
      <c r="AF68" s="46"/>
      <c r="AG68" s="46"/>
      <c r="AH68" s="46"/>
      <c r="AI68" s="47"/>
    </row>
    <row r="69" spans="1:35" ht="29.1" thickTop="1">
      <c r="A69" s="120" t="s">
        <v>219</v>
      </c>
      <c r="B69" s="114" t="s">
        <v>220</v>
      </c>
      <c r="C69" s="200" t="s">
        <v>221</v>
      </c>
      <c r="D69" s="70" t="s">
        <v>138</v>
      </c>
      <c r="E69" s="3" t="s">
        <v>138</v>
      </c>
      <c r="F69" s="130" t="s">
        <v>222</v>
      </c>
      <c r="G69" s="3"/>
      <c r="H69" s="100" t="s">
        <v>223</v>
      </c>
      <c r="I69" s="3"/>
      <c r="J69" s="100" t="s">
        <v>224</v>
      </c>
      <c r="K69" s="43"/>
      <c r="L69" s="100"/>
      <c r="M69" s="3"/>
      <c r="N69" s="100"/>
      <c r="O69" s="3"/>
      <c r="P69" s="100"/>
      <c r="Q69" s="3"/>
      <c r="R69" s="100"/>
      <c r="S69" s="3"/>
      <c r="T69" s="58"/>
      <c r="U69" s="58"/>
      <c r="V69" s="58"/>
      <c r="W69" s="58"/>
      <c r="X69" s="3"/>
      <c r="Y69" s="3"/>
      <c r="Z69" s="3"/>
      <c r="AA69" s="3"/>
      <c r="AB69" s="3"/>
      <c r="AC69" s="3"/>
      <c r="AD69" s="3"/>
      <c r="AE69" s="3"/>
      <c r="AF69" s="44"/>
      <c r="AG69" s="44"/>
      <c r="AH69" s="44"/>
      <c r="AI69" s="45"/>
    </row>
    <row r="70" spans="1:35" ht="14.25" customHeight="1">
      <c r="A70" s="118"/>
      <c r="B70" s="115"/>
      <c r="C70" s="200"/>
      <c r="D70" s="70" t="s">
        <v>144</v>
      </c>
      <c r="E70" s="3" t="s">
        <v>225</v>
      </c>
      <c r="F70" s="109"/>
      <c r="G70" s="3"/>
      <c r="H70" s="101"/>
      <c r="I70" s="3"/>
      <c r="J70" s="101"/>
      <c r="K70" s="43"/>
      <c r="L70" s="101"/>
      <c r="M70" s="3"/>
      <c r="N70" s="101"/>
      <c r="O70" s="3"/>
      <c r="P70" s="101"/>
      <c r="Q70" s="3"/>
      <c r="R70" s="101"/>
      <c r="S70" s="3"/>
      <c r="T70" s="58"/>
      <c r="U70" s="58"/>
      <c r="V70" s="58"/>
      <c r="W70" s="58"/>
      <c r="X70" s="3"/>
      <c r="Y70" s="3"/>
      <c r="Z70" s="3"/>
      <c r="AA70" s="3"/>
      <c r="AB70" s="3"/>
      <c r="AC70" s="3"/>
      <c r="AD70" s="3"/>
      <c r="AE70" s="3"/>
      <c r="AF70" s="44"/>
      <c r="AG70" s="44"/>
      <c r="AH70" s="44"/>
      <c r="AI70" s="45"/>
    </row>
    <row r="71" spans="1:35" ht="14.25" customHeight="1">
      <c r="A71" s="118"/>
      <c r="B71" s="115"/>
      <c r="C71" s="200"/>
      <c r="D71" s="70" t="s">
        <v>145</v>
      </c>
      <c r="E71" s="3" t="s">
        <v>145</v>
      </c>
      <c r="F71" s="109"/>
      <c r="G71" s="3"/>
      <c r="H71" s="101"/>
      <c r="I71" s="3"/>
      <c r="J71" s="101"/>
      <c r="K71" s="43"/>
      <c r="L71" s="101"/>
      <c r="M71" s="3"/>
      <c r="N71" s="101"/>
      <c r="O71" s="3"/>
      <c r="P71" s="101"/>
      <c r="Q71" s="3"/>
      <c r="R71" s="101"/>
      <c r="S71" s="3"/>
      <c r="T71" s="58"/>
      <c r="U71" s="58"/>
      <c r="V71" s="58"/>
      <c r="W71" s="58"/>
      <c r="X71" s="3"/>
      <c r="Y71" s="3"/>
      <c r="Z71" s="3"/>
      <c r="AA71" s="3"/>
      <c r="AB71" s="3"/>
      <c r="AC71" s="3"/>
      <c r="AD71" s="3"/>
      <c r="AE71" s="3"/>
      <c r="AF71" s="44"/>
      <c r="AG71" s="44"/>
      <c r="AH71" s="44"/>
      <c r="AI71" s="45"/>
    </row>
    <row r="72" spans="1:35" ht="14.25" customHeight="1" thickBot="1">
      <c r="A72" s="118"/>
      <c r="B72" s="115"/>
      <c r="C72" s="200"/>
      <c r="D72" s="74" t="s">
        <v>146</v>
      </c>
      <c r="E72" s="10" t="s">
        <v>146</v>
      </c>
      <c r="F72" s="110"/>
      <c r="G72" s="3"/>
      <c r="H72" s="139"/>
      <c r="I72" s="3"/>
      <c r="J72" s="139"/>
      <c r="K72" s="43"/>
      <c r="L72" s="139"/>
      <c r="M72" s="10"/>
      <c r="N72" s="139"/>
      <c r="O72" s="10"/>
      <c r="P72" s="139"/>
      <c r="Q72" s="10"/>
      <c r="R72" s="139"/>
      <c r="S72" s="10"/>
      <c r="T72" s="61"/>
      <c r="U72" s="61"/>
      <c r="V72" s="61"/>
      <c r="W72" s="61"/>
      <c r="X72" s="10"/>
      <c r="Y72" s="10"/>
      <c r="Z72" s="10"/>
      <c r="AA72" s="10"/>
      <c r="AB72" s="10"/>
      <c r="AC72" s="10"/>
      <c r="AD72" s="10"/>
      <c r="AE72" s="10"/>
      <c r="AF72" s="50"/>
      <c r="AG72" s="50"/>
      <c r="AH72" s="50"/>
      <c r="AI72" s="51"/>
    </row>
    <row r="73" spans="1:35" ht="64.5" customHeight="1" thickTop="1" thickBot="1">
      <c r="A73" s="118"/>
      <c r="B73" s="115"/>
      <c r="C73" s="79" t="s">
        <v>226</v>
      </c>
      <c r="D73" s="74" t="s">
        <v>227</v>
      </c>
      <c r="E73" s="10" t="s">
        <v>227</v>
      </c>
      <c r="F73" s="10" t="s">
        <v>228</v>
      </c>
      <c r="G73" s="3">
        <v>56</v>
      </c>
      <c r="H73" s="10" t="s">
        <v>229</v>
      </c>
      <c r="I73" s="3">
        <v>57</v>
      </c>
      <c r="J73" s="10" t="s">
        <v>230</v>
      </c>
      <c r="K73" s="43">
        <v>59</v>
      </c>
      <c r="L73" s="10" t="s">
        <v>231</v>
      </c>
      <c r="M73" s="10">
        <v>60</v>
      </c>
      <c r="N73" s="10" t="s">
        <v>232</v>
      </c>
      <c r="O73" s="10">
        <v>61</v>
      </c>
      <c r="P73" s="10"/>
      <c r="Q73" s="10"/>
      <c r="R73" s="10"/>
      <c r="S73" s="10"/>
      <c r="T73" s="61" t="s">
        <v>233</v>
      </c>
      <c r="U73" s="61" t="s">
        <v>234</v>
      </c>
      <c r="V73" s="61" t="s">
        <v>235</v>
      </c>
      <c r="W73" s="61"/>
      <c r="X73" s="10"/>
      <c r="Y73" s="10"/>
      <c r="Z73" s="10"/>
      <c r="AA73" s="10"/>
      <c r="AB73" s="10"/>
      <c r="AC73" s="10"/>
      <c r="AD73" s="10"/>
      <c r="AE73" s="10"/>
      <c r="AF73" s="50"/>
      <c r="AG73" s="50"/>
      <c r="AH73" s="50"/>
      <c r="AI73" s="51"/>
    </row>
    <row r="74" spans="1:35" ht="14.25" customHeight="1">
      <c r="A74" s="118"/>
      <c r="B74" s="115"/>
      <c r="C74" s="200" t="s">
        <v>236</v>
      </c>
      <c r="D74" s="70" t="s">
        <v>237</v>
      </c>
      <c r="E74" s="3" t="s">
        <v>237</v>
      </c>
      <c r="F74" s="135" t="s">
        <v>238</v>
      </c>
      <c r="G74" s="3">
        <v>65</v>
      </c>
      <c r="H74" s="135" t="s">
        <v>239</v>
      </c>
      <c r="I74" s="3">
        <v>66</v>
      </c>
      <c r="J74" s="135" t="s">
        <v>240</v>
      </c>
      <c r="K74" s="43">
        <v>67</v>
      </c>
      <c r="L74" s="135" t="s">
        <v>241</v>
      </c>
      <c r="M74" s="10">
        <v>68</v>
      </c>
      <c r="N74" s="135" t="s">
        <v>242</v>
      </c>
      <c r="O74" s="10">
        <v>69</v>
      </c>
      <c r="P74" s="135" t="s">
        <v>243</v>
      </c>
      <c r="Q74" s="3">
        <v>70</v>
      </c>
      <c r="R74" s="52"/>
      <c r="S74" s="52"/>
      <c r="T74" s="137" t="s">
        <v>234</v>
      </c>
      <c r="U74" s="137" t="s">
        <v>235</v>
      </c>
      <c r="V74" s="137" t="s">
        <v>244</v>
      </c>
      <c r="W74" s="137"/>
      <c r="X74" s="52"/>
      <c r="Y74" s="52"/>
      <c r="Z74" s="52"/>
      <c r="AA74" s="52"/>
      <c r="AB74" s="52"/>
      <c r="AC74" s="52"/>
      <c r="AD74" s="3"/>
      <c r="AE74" s="3"/>
      <c r="AF74" s="44"/>
      <c r="AG74" s="44"/>
      <c r="AH74" s="44"/>
      <c r="AI74" s="45"/>
    </row>
    <row r="75" spans="1:35" ht="84" customHeight="1">
      <c r="A75" s="118"/>
      <c r="B75" s="115"/>
      <c r="C75" s="200"/>
      <c r="D75" s="74" t="s">
        <v>245</v>
      </c>
      <c r="E75" s="10" t="s">
        <v>246</v>
      </c>
      <c r="F75" s="136"/>
      <c r="G75" s="3"/>
      <c r="H75" s="136"/>
      <c r="I75" s="3"/>
      <c r="J75" s="136"/>
      <c r="K75" s="43"/>
      <c r="L75" s="136"/>
      <c r="M75" s="10"/>
      <c r="N75" s="136"/>
      <c r="O75" s="10"/>
      <c r="P75" s="136"/>
      <c r="Q75" s="10"/>
      <c r="R75" s="53"/>
      <c r="S75" s="53"/>
      <c r="T75" s="138"/>
      <c r="U75" s="138"/>
      <c r="V75" s="138"/>
      <c r="W75" s="138"/>
      <c r="X75" s="10"/>
      <c r="Y75" s="10"/>
      <c r="Z75" s="10"/>
      <c r="AA75" s="10"/>
      <c r="AB75" s="10"/>
      <c r="AC75" s="10"/>
      <c r="AD75" s="10"/>
      <c r="AE75" s="10"/>
      <c r="AF75" s="50"/>
      <c r="AG75" s="50"/>
      <c r="AH75" s="50"/>
      <c r="AI75" s="51"/>
    </row>
    <row r="76" spans="1:35" ht="24.95" customHeight="1">
      <c r="A76" s="118"/>
      <c r="B76" s="115"/>
      <c r="C76" s="200" t="s">
        <v>247</v>
      </c>
      <c r="D76" s="70" t="s">
        <v>248</v>
      </c>
      <c r="E76" s="3" t="s">
        <v>248</v>
      </c>
      <c r="F76" s="135" t="s">
        <v>249</v>
      </c>
      <c r="G76" s="3">
        <v>131</v>
      </c>
      <c r="H76" s="135" t="s">
        <v>250</v>
      </c>
      <c r="I76" s="3">
        <v>132</v>
      </c>
      <c r="J76" s="135" t="s">
        <v>251</v>
      </c>
      <c r="K76" s="43">
        <v>133</v>
      </c>
      <c r="L76" s="135" t="s">
        <v>252</v>
      </c>
      <c r="M76" s="3">
        <v>134</v>
      </c>
      <c r="N76" s="3"/>
      <c r="O76" s="3"/>
      <c r="P76" s="3"/>
      <c r="Q76" s="3"/>
      <c r="R76" s="52"/>
      <c r="S76" s="52"/>
      <c r="T76" s="137" t="s">
        <v>235</v>
      </c>
      <c r="U76" s="137" t="s">
        <v>244</v>
      </c>
      <c r="V76" s="137" t="s">
        <v>233</v>
      </c>
      <c r="W76" s="137"/>
      <c r="X76" s="3"/>
      <c r="Y76" s="3"/>
      <c r="Z76" s="3"/>
      <c r="AA76" s="3"/>
      <c r="AB76" s="3"/>
      <c r="AC76" s="3"/>
      <c r="AD76" s="3"/>
      <c r="AE76" s="3"/>
      <c r="AF76" s="44"/>
      <c r="AG76" s="44"/>
      <c r="AH76" s="44"/>
      <c r="AI76" s="45"/>
    </row>
    <row r="77" spans="1:35" ht="35.1" customHeight="1">
      <c r="A77" s="118"/>
      <c r="B77" s="115"/>
      <c r="C77" s="200"/>
      <c r="D77" s="70" t="s">
        <v>253</v>
      </c>
      <c r="E77" s="3" t="s">
        <v>253</v>
      </c>
      <c r="F77" s="109"/>
      <c r="G77" s="3"/>
      <c r="H77" s="109"/>
      <c r="I77" s="3"/>
      <c r="J77" s="109"/>
      <c r="K77" s="43"/>
      <c r="L77" s="109"/>
      <c r="M77" s="3"/>
      <c r="N77" s="3"/>
      <c r="O77" s="3"/>
      <c r="P77" s="3"/>
      <c r="Q77" s="3"/>
      <c r="R77" s="52"/>
      <c r="S77" s="52"/>
      <c r="T77" s="123"/>
      <c r="U77" s="123"/>
      <c r="V77" s="123"/>
      <c r="W77" s="123"/>
      <c r="X77" s="3"/>
      <c r="Y77" s="3"/>
      <c r="Z77" s="3"/>
      <c r="AA77" s="3"/>
      <c r="AB77" s="3"/>
      <c r="AC77" s="3"/>
      <c r="AD77" s="3"/>
      <c r="AE77" s="3"/>
      <c r="AF77" s="44"/>
      <c r="AG77" s="44"/>
      <c r="AH77" s="44"/>
      <c r="AI77" s="45"/>
    </row>
    <row r="78" spans="1:35" ht="54.75" customHeight="1">
      <c r="A78" s="119"/>
      <c r="B78" s="116"/>
      <c r="C78" s="200"/>
      <c r="D78" s="71" t="s">
        <v>254</v>
      </c>
      <c r="E78" s="6" t="s">
        <v>254</v>
      </c>
      <c r="F78" s="131"/>
      <c r="G78" s="6"/>
      <c r="H78" s="131"/>
      <c r="I78" s="6"/>
      <c r="J78" s="131"/>
      <c r="K78" s="2"/>
      <c r="L78" s="131"/>
      <c r="M78" s="6"/>
      <c r="N78" s="6"/>
      <c r="O78" s="6"/>
      <c r="P78" s="6"/>
      <c r="Q78" s="6"/>
      <c r="R78" s="40"/>
      <c r="S78" s="40"/>
      <c r="T78" s="124"/>
      <c r="U78" s="124"/>
      <c r="V78" s="138"/>
      <c r="W78" s="124"/>
      <c r="X78" s="6"/>
      <c r="Y78" s="6"/>
      <c r="Z78" s="6"/>
      <c r="AA78" s="6"/>
      <c r="AB78" s="6"/>
      <c r="AC78" s="6"/>
      <c r="AD78" s="6"/>
      <c r="AE78" s="6"/>
      <c r="AF78" s="7"/>
      <c r="AG78" s="46"/>
      <c r="AH78" s="46"/>
      <c r="AI78" s="47"/>
    </row>
    <row r="79" spans="1:35" ht="39" customHeight="1">
      <c r="A79" s="120" t="s">
        <v>255</v>
      </c>
      <c r="B79" s="114" t="s">
        <v>256</v>
      </c>
      <c r="C79" s="141" t="s">
        <v>257</v>
      </c>
      <c r="D79" s="70" t="s">
        <v>258</v>
      </c>
      <c r="E79" s="3" t="s">
        <v>258</v>
      </c>
      <c r="F79" s="128" t="s">
        <v>259</v>
      </c>
      <c r="G79" s="3">
        <v>73</v>
      </c>
      <c r="H79" s="132" t="s">
        <v>260</v>
      </c>
      <c r="I79" s="3">
        <v>74</v>
      </c>
      <c r="J79" s="132" t="s">
        <v>261</v>
      </c>
      <c r="K79" s="43">
        <v>75</v>
      </c>
      <c r="L79" s="132" t="s">
        <v>262</v>
      </c>
      <c r="M79" s="3">
        <v>76</v>
      </c>
      <c r="N79" s="3"/>
      <c r="O79" s="3"/>
      <c r="P79" s="3"/>
      <c r="Q79" s="3"/>
      <c r="R79" s="3"/>
      <c r="S79" s="3"/>
      <c r="T79" s="125" t="s">
        <v>263</v>
      </c>
      <c r="U79" s="58"/>
      <c r="V79" s="58"/>
      <c r="W79" s="58"/>
      <c r="X79" s="130" t="s">
        <v>264</v>
      </c>
      <c r="Y79" s="130">
        <v>79</v>
      </c>
      <c r="Z79" s="130" t="s">
        <v>265</v>
      </c>
      <c r="AA79" s="6">
        <v>80</v>
      </c>
      <c r="AB79" s="130" t="s">
        <v>266</v>
      </c>
      <c r="AC79" s="130">
        <v>81</v>
      </c>
      <c r="AD79" s="130" t="s">
        <v>267</v>
      </c>
      <c r="AE79" s="130">
        <v>82</v>
      </c>
      <c r="AF79" s="187" t="s">
        <v>179</v>
      </c>
      <c r="AG79" s="184" t="s">
        <v>268</v>
      </c>
      <c r="AH79" s="184" t="s">
        <v>31</v>
      </c>
      <c r="AI79" s="45"/>
    </row>
    <row r="80" spans="1:35" ht="27.95" customHeight="1">
      <c r="A80" s="118"/>
      <c r="B80" s="115"/>
      <c r="C80" s="141"/>
      <c r="D80" s="70" t="s">
        <v>269</v>
      </c>
      <c r="E80" s="3" t="s">
        <v>269</v>
      </c>
      <c r="F80" s="109"/>
      <c r="G80" s="3"/>
      <c r="H80" s="133"/>
      <c r="I80" s="3"/>
      <c r="J80" s="133"/>
      <c r="K80" s="43"/>
      <c r="L80" s="133"/>
      <c r="M80" s="3"/>
      <c r="N80" s="3"/>
      <c r="O80" s="3"/>
      <c r="P80" s="3"/>
      <c r="Q80" s="3"/>
      <c r="R80" s="3"/>
      <c r="S80" s="3"/>
      <c r="T80" s="126"/>
      <c r="U80" s="58"/>
      <c r="V80" s="58"/>
      <c r="W80" s="58"/>
      <c r="X80" s="109"/>
      <c r="Y80" s="109"/>
      <c r="Z80" s="109"/>
      <c r="AA80" s="6"/>
      <c r="AB80" s="109"/>
      <c r="AC80" s="109"/>
      <c r="AD80" s="109"/>
      <c r="AE80" s="109"/>
      <c r="AF80" s="188"/>
      <c r="AG80" s="185"/>
      <c r="AH80" s="185"/>
      <c r="AI80" s="45"/>
    </row>
    <row r="81" spans="1:35" ht="42" customHeight="1">
      <c r="A81" s="119"/>
      <c r="B81" s="116"/>
      <c r="C81" s="141"/>
      <c r="D81" s="71" t="s">
        <v>270</v>
      </c>
      <c r="E81" s="6" t="s">
        <v>270</v>
      </c>
      <c r="F81" s="110"/>
      <c r="G81" s="6"/>
      <c r="H81" s="134"/>
      <c r="I81" s="6"/>
      <c r="J81" s="134"/>
      <c r="K81" s="2"/>
      <c r="L81" s="134"/>
      <c r="M81" s="6"/>
      <c r="N81" s="6"/>
      <c r="O81" s="6"/>
      <c r="P81" s="6"/>
      <c r="Q81" s="6"/>
      <c r="R81" s="6"/>
      <c r="S81" s="6"/>
      <c r="T81" s="127"/>
      <c r="U81" s="59"/>
      <c r="V81" s="59"/>
      <c r="W81" s="59"/>
      <c r="X81" s="110"/>
      <c r="Y81" s="110"/>
      <c r="Z81" s="110"/>
      <c r="AA81" s="6"/>
      <c r="AB81" s="110"/>
      <c r="AC81" s="110"/>
      <c r="AD81" s="110"/>
      <c r="AE81" s="110"/>
      <c r="AF81" s="189"/>
      <c r="AG81" s="190"/>
      <c r="AH81" s="190"/>
      <c r="AI81" s="47"/>
    </row>
    <row r="82" spans="1:35">
      <c r="A82" s="120" t="s">
        <v>271</v>
      </c>
      <c r="B82" s="114" t="s">
        <v>272</v>
      </c>
      <c r="C82" s="141" t="s">
        <v>273</v>
      </c>
      <c r="D82" s="70" t="s">
        <v>274</v>
      </c>
      <c r="E82" s="3" t="s">
        <v>274</v>
      </c>
      <c r="F82" s="130" t="s">
        <v>275</v>
      </c>
      <c r="G82" s="3">
        <v>83</v>
      </c>
      <c r="H82" s="130" t="s">
        <v>276</v>
      </c>
      <c r="I82" s="3">
        <v>84</v>
      </c>
      <c r="J82" s="130" t="s">
        <v>277</v>
      </c>
      <c r="K82" s="43">
        <v>85</v>
      </c>
      <c r="L82" s="130" t="s">
        <v>278</v>
      </c>
      <c r="M82" s="3">
        <v>86</v>
      </c>
      <c r="N82" s="3"/>
      <c r="O82" s="3"/>
      <c r="P82" s="3"/>
      <c r="Q82" s="3"/>
      <c r="R82" s="3"/>
      <c r="S82" s="3"/>
      <c r="T82" s="122" t="s">
        <v>263</v>
      </c>
      <c r="U82" s="58"/>
      <c r="V82" s="58"/>
      <c r="W82" s="58"/>
      <c r="X82" s="130" t="s">
        <v>279</v>
      </c>
      <c r="Y82" s="130">
        <v>88</v>
      </c>
      <c r="Z82" s="130" t="s">
        <v>280</v>
      </c>
      <c r="AA82" s="3">
        <v>89</v>
      </c>
      <c r="AB82" s="130" t="s">
        <v>281</v>
      </c>
      <c r="AC82" s="130">
        <v>93</v>
      </c>
      <c r="AD82" s="130" t="s">
        <v>282</v>
      </c>
      <c r="AE82" s="130">
        <v>94</v>
      </c>
      <c r="AF82" s="184" t="s">
        <v>283</v>
      </c>
      <c r="AG82" s="184" t="s">
        <v>268</v>
      </c>
      <c r="AH82" s="184" t="s">
        <v>284</v>
      </c>
      <c r="AI82" s="45"/>
    </row>
    <row r="83" spans="1:35" ht="27.95">
      <c r="A83" s="118"/>
      <c r="B83" s="115"/>
      <c r="C83" s="141"/>
      <c r="D83" s="70" t="s">
        <v>285</v>
      </c>
      <c r="E83" s="3" t="s">
        <v>285</v>
      </c>
      <c r="F83" s="109"/>
      <c r="G83" s="3"/>
      <c r="H83" s="109"/>
      <c r="I83" s="3"/>
      <c r="J83" s="109"/>
      <c r="K83" s="43"/>
      <c r="L83" s="109"/>
      <c r="M83" s="3"/>
      <c r="N83" s="3"/>
      <c r="O83" s="3"/>
      <c r="P83" s="3"/>
      <c r="Q83" s="3"/>
      <c r="R83" s="3"/>
      <c r="S83" s="3"/>
      <c r="T83" s="123"/>
      <c r="U83" s="58"/>
      <c r="V83" s="58"/>
      <c r="W83" s="58"/>
      <c r="X83" s="109"/>
      <c r="Y83" s="109"/>
      <c r="Z83" s="109"/>
      <c r="AA83" s="3"/>
      <c r="AB83" s="109"/>
      <c r="AC83" s="109"/>
      <c r="AD83" s="109"/>
      <c r="AE83" s="109"/>
      <c r="AF83" s="185"/>
      <c r="AG83" s="185"/>
      <c r="AH83" s="185"/>
      <c r="AI83" s="45"/>
    </row>
    <row r="84" spans="1:35" s="76" customFormat="1" ht="73.5" customHeight="1">
      <c r="A84" s="121"/>
      <c r="B84" s="129"/>
      <c r="C84" s="141"/>
      <c r="D84" s="71" t="s">
        <v>286</v>
      </c>
      <c r="E84" s="6" t="s">
        <v>287</v>
      </c>
      <c r="F84" s="110"/>
      <c r="G84" s="6"/>
      <c r="H84" s="131"/>
      <c r="I84" s="6"/>
      <c r="J84" s="131"/>
      <c r="K84" s="2"/>
      <c r="L84" s="131"/>
      <c r="M84" s="6"/>
      <c r="N84" s="6"/>
      <c r="O84" s="6"/>
      <c r="P84" s="6"/>
      <c r="Q84" s="6"/>
      <c r="R84" s="6"/>
      <c r="S84" s="6"/>
      <c r="T84" s="124"/>
      <c r="U84" s="59"/>
      <c r="V84" s="59"/>
      <c r="W84" s="59"/>
      <c r="X84" s="131"/>
      <c r="Y84" s="110"/>
      <c r="Z84" s="131"/>
      <c r="AA84" s="6"/>
      <c r="AB84" s="131"/>
      <c r="AC84" s="110"/>
      <c r="AD84" s="131"/>
      <c r="AE84" s="110"/>
      <c r="AF84" s="186"/>
      <c r="AG84" s="186"/>
      <c r="AH84" s="186"/>
      <c r="AI84" s="47"/>
    </row>
    <row r="85" spans="1:35" ht="72" thickTop="1" thickBot="1">
      <c r="A85" s="91" t="s">
        <v>288</v>
      </c>
      <c r="B85" s="80" t="s">
        <v>289</v>
      </c>
      <c r="C85" s="79" t="s">
        <v>290</v>
      </c>
      <c r="D85" s="92" t="s">
        <v>291</v>
      </c>
      <c r="E85" s="4" t="s">
        <v>291</v>
      </c>
      <c r="F85" s="4" t="s">
        <v>292</v>
      </c>
      <c r="G85" s="4">
        <v>154</v>
      </c>
      <c r="H85" s="4" t="s">
        <v>293</v>
      </c>
      <c r="I85" s="4">
        <v>155</v>
      </c>
      <c r="J85" s="4" t="s">
        <v>294</v>
      </c>
      <c r="K85" s="93">
        <v>156</v>
      </c>
      <c r="L85" s="4"/>
      <c r="M85" s="4"/>
      <c r="N85" s="4"/>
      <c r="O85" s="4"/>
      <c r="P85" s="4"/>
      <c r="Q85" s="4"/>
      <c r="R85" s="4"/>
      <c r="S85" s="4"/>
      <c r="T85" s="56" t="s">
        <v>295</v>
      </c>
      <c r="U85" s="56"/>
      <c r="V85" s="56"/>
      <c r="W85" s="56"/>
      <c r="X85" s="4"/>
      <c r="Y85" s="4"/>
      <c r="Z85" s="4"/>
      <c r="AA85" s="4"/>
      <c r="AB85" s="4"/>
      <c r="AC85" s="4"/>
      <c r="AD85" s="4"/>
      <c r="AE85" s="4"/>
      <c r="AF85" s="5"/>
      <c r="AG85" s="49"/>
      <c r="AH85" s="49"/>
      <c r="AI85" s="94"/>
    </row>
    <row r="86" spans="1:35" ht="14.25" customHeight="1" thickTop="1">
      <c r="A86" s="111" t="s">
        <v>296</v>
      </c>
      <c r="B86" s="114" t="s">
        <v>297</v>
      </c>
      <c r="C86" s="198" t="s">
        <v>298</v>
      </c>
      <c r="D86" s="70" t="s">
        <v>299</v>
      </c>
      <c r="E86" s="3" t="s">
        <v>299</v>
      </c>
      <c r="F86" s="194" t="s">
        <v>300</v>
      </c>
      <c r="G86" s="3"/>
      <c r="H86" s="130" t="s">
        <v>301</v>
      </c>
      <c r="I86" s="3"/>
      <c r="J86" s="100" t="s">
        <v>302</v>
      </c>
      <c r="K86" s="43"/>
      <c r="L86" s="3"/>
      <c r="M86" s="3"/>
      <c r="N86" s="3"/>
      <c r="O86" s="3"/>
      <c r="P86" s="3"/>
      <c r="Q86" s="3"/>
      <c r="R86" s="3"/>
      <c r="S86" s="3"/>
      <c r="T86" s="58"/>
      <c r="U86" s="58"/>
      <c r="V86" s="58"/>
      <c r="W86" s="58"/>
      <c r="X86" s="3"/>
      <c r="Y86" s="3"/>
      <c r="Z86" s="3"/>
      <c r="AA86" s="3"/>
      <c r="AB86" s="3"/>
      <c r="AC86" s="3"/>
      <c r="AD86" s="3"/>
      <c r="AE86" s="3"/>
      <c r="AF86" s="44"/>
      <c r="AG86" s="44"/>
      <c r="AH86" s="44"/>
      <c r="AI86" s="45"/>
    </row>
    <row r="87" spans="1:35" ht="14.25" customHeight="1">
      <c r="A87" s="112"/>
      <c r="B87" s="115"/>
      <c r="C87" s="198"/>
      <c r="D87" s="70" t="s">
        <v>303</v>
      </c>
      <c r="E87" s="3" t="s">
        <v>303</v>
      </c>
      <c r="F87" s="133"/>
      <c r="G87" s="3"/>
      <c r="H87" s="109"/>
      <c r="I87" s="3"/>
      <c r="J87" s="101"/>
      <c r="K87" s="43"/>
      <c r="L87" s="3"/>
      <c r="M87" s="3"/>
      <c r="N87" s="3"/>
      <c r="O87" s="3"/>
      <c r="P87" s="3"/>
      <c r="Q87" s="3"/>
      <c r="R87" s="3"/>
      <c r="S87" s="3"/>
      <c r="T87" s="58"/>
      <c r="U87" s="58"/>
      <c r="V87" s="58"/>
      <c r="W87" s="58"/>
      <c r="X87" s="3"/>
      <c r="Y87" s="3"/>
      <c r="Z87" s="3"/>
      <c r="AA87" s="3"/>
      <c r="AB87" s="3"/>
      <c r="AC87" s="3"/>
      <c r="AD87" s="3"/>
      <c r="AE87" s="3"/>
      <c r="AF87" s="44"/>
      <c r="AG87" s="44"/>
      <c r="AH87" s="44"/>
      <c r="AI87" s="45"/>
    </row>
    <row r="88" spans="1:35" ht="14.25" customHeight="1">
      <c r="A88" s="112"/>
      <c r="B88" s="115"/>
      <c r="C88" s="198"/>
      <c r="D88" s="70" t="s">
        <v>304</v>
      </c>
      <c r="E88" s="3" t="s">
        <v>304</v>
      </c>
      <c r="F88" s="133"/>
      <c r="G88" s="52"/>
      <c r="H88" s="109"/>
      <c r="I88" s="52"/>
      <c r="J88" s="101"/>
      <c r="K88" s="43"/>
      <c r="L88" s="52"/>
      <c r="M88" s="52"/>
      <c r="N88" s="52"/>
      <c r="O88" s="52"/>
      <c r="P88" s="52"/>
      <c r="Q88" s="52"/>
      <c r="R88" s="52"/>
      <c r="S88" s="52"/>
      <c r="T88" s="58"/>
      <c r="U88" s="58"/>
      <c r="V88" s="58"/>
      <c r="W88" s="58"/>
      <c r="X88" s="52"/>
      <c r="Y88" s="52"/>
      <c r="Z88" s="52"/>
      <c r="AA88" s="52"/>
      <c r="AB88" s="52"/>
      <c r="AC88" s="52"/>
      <c r="AD88" s="52"/>
      <c r="AE88" s="52"/>
      <c r="AF88" s="44"/>
      <c r="AG88" s="44"/>
      <c r="AH88" s="44"/>
      <c r="AI88" s="45"/>
    </row>
    <row r="89" spans="1:35" ht="27.95">
      <c r="A89" s="113"/>
      <c r="B89" s="193"/>
      <c r="C89" s="199"/>
      <c r="D89" s="75" t="s">
        <v>305</v>
      </c>
      <c r="E89" s="13" t="s">
        <v>305</v>
      </c>
      <c r="F89" s="195"/>
      <c r="G89" s="13"/>
      <c r="H89" s="196"/>
      <c r="I89" s="13"/>
      <c r="J89" s="197"/>
      <c r="K89" s="14"/>
      <c r="L89" s="13"/>
      <c r="M89" s="13"/>
      <c r="N89" s="13"/>
      <c r="O89" s="13"/>
      <c r="P89" s="13"/>
      <c r="Q89" s="13"/>
      <c r="R89" s="13"/>
      <c r="S89" s="13"/>
      <c r="T89" s="62"/>
      <c r="U89" s="62"/>
      <c r="V89" s="62"/>
      <c r="W89" s="62"/>
      <c r="X89" s="13"/>
      <c r="Y89" s="13"/>
      <c r="Z89" s="13"/>
      <c r="AA89" s="13"/>
      <c r="AB89" s="13"/>
      <c r="AC89" s="13"/>
      <c r="AD89" s="13"/>
      <c r="AE89" s="13"/>
      <c r="AF89" s="15"/>
      <c r="AG89" s="54"/>
      <c r="AH89" s="54"/>
      <c r="AI89" s="55"/>
    </row>
  </sheetData>
  <mergeCells count="268">
    <mergeCell ref="C79:C81"/>
    <mergeCell ref="C82:C84"/>
    <mergeCell ref="B86:B89"/>
    <mergeCell ref="F86:F89"/>
    <mergeCell ref="H86:H89"/>
    <mergeCell ref="J86:J89"/>
    <mergeCell ref="C86:C89"/>
    <mergeCell ref="C69:C72"/>
    <mergeCell ref="C74:C75"/>
    <mergeCell ref="C76:C78"/>
    <mergeCell ref="J69:J72"/>
    <mergeCell ref="H79:H81"/>
    <mergeCell ref="J79:J81"/>
    <mergeCell ref="C27:C28"/>
    <mergeCell ref="C29:C33"/>
    <mergeCell ref="C41:C43"/>
    <mergeCell ref="C44:C47"/>
    <mergeCell ref="C48:C51"/>
    <mergeCell ref="C52:C54"/>
    <mergeCell ref="B48:B51"/>
    <mergeCell ref="B44:B47"/>
    <mergeCell ref="B41:B43"/>
    <mergeCell ref="B29:B33"/>
    <mergeCell ref="C34:C36"/>
    <mergeCell ref="C37:C40"/>
    <mergeCell ref="U74:U75"/>
    <mergeCell ref="V74:V75"/>
    <mergeCell ref="W74:W75"/>
    <mergeCell ref="J76:J78"/>
    <mergeCell ref="L76:L78"/>
    <mergeCell ref="T76:T78"/>
    <mergeCell ref="U76:U78"/>
    <mergeCell ref="V76:V78"/>
    <mergeCell ref="W76:W78"/>
    <mergeCell ref="N74:N75"/>
    <mergeCell ref="P74:P75"/>
    <mergeCell ref="L74:L75"/>
    <mergeCell ref="AF82:AF84"/>
    <mergeCell ref="AG82:AG84"/>
    <mergeCell ref="AH82:AH84"/>
    <mergeCell ref="X79:X81"/>
    <mergeCell ref="Y79:Y81"/>
    <mergeCell ref="Z79:Z81"/>
    <mergeCell ref="AB79:AB81"/>
    <mergeCell ref="AC79:AC81"/>
    <mergeCell ref="AD79:AD81"/>
    <mergeCell ref="AE79:AE81"/>
    <mergeCell ref="AF79:AF81"/>
    <mergeCell ref="AG79:AG81"/>
    <mergeCell ref="X82:X84"/>
    <mergeCell ref="Y82:Y84"/>
    <mergeCell ref="Z82:Z84"/>
    <mergeCell ref="AB82:AB84"/>
    <mergeCell ref="AC82:AC84"/>
    <mergeCell ref="AD82:AD84"/>
    <mergeCell ref="AE82:AE84"/>
    <mergeCell ref="AH79:AH81"/>
    <mergeCell ref="U65:U68"/>
    <mergeCell ref="V65:V68"/>
    <mergeCell ref="T55:T56"/>
    <mergeCell ref="U55:U56"/>
    <mergeCell ref="V55:V56"/>
    <mergeCell ref="W55:W56"/>
    <mergeCell ref="P60:P64"/>
    <mergeCell ref="R60:R64"/>
    <mergeCell ref="S60:S64"/>
    <mergeCell ref="T60:T64"/>
    <mergeCell ref="U60:U64"/>
    <mergeCell ref="T57:T59"/>
    <mergeCell ref="U57:U59"/>
    <mergeCell ref="V57:V59"/>
    <mergeCell ref="W57:W59"/>
    <mergeCell ref="R48:R51"/>
    <mergeCell ref="S48:S51"/>
    <mergeCell ref="T48:T51"/>
    <mergeCell ref="U48:U51"/>
    <mergeCell ref="V48:V51"/>
    <mergeCell ref="T52:T54"/>
    <mergeCell ref="U52:U54"/>
    <mergeCell ref="V52:V54"/>
    <mergeCell ref="V60:V64"/>
    <mergeCell ref="T41:T43"/>
    <mergeCell ref="U41:U43"/>
    <mergeCell ref="V41:V43"/>
    <mergeCell ref="X41:X43"/>
    <mergeCell ref="J44:J47"/>
    <mergeCell ref="L44:L47"/>
    <mergeCell ref="T44:T47"/>
    <mergeCell ref="U44:U47"/>
    <mergeCell ref="V44:V47"/>
    <mergeCell ref="W44:W47"/>
    <mergeCell ref="T34:T36"/>
    <mergeCell ref="U34:U36"/>
    <mergeCell ref="V34:V36"/>
    <mergeCell ref="W34:W36"/>
    <mergeCell ref="L37:L40"/>
    <mergeCell ref="T37:T40"/>
    <mergeCell ref="U37:U40"/>
    <mergeCell ref="V37:V40"/>
    <mergeCell ref="W37:W40"/>
    <mergeCell ref="J27:J28"/>
    <mergeCell ref="L27:L28"/>
    <mergeCell ref="T27:T28"/>
    <mergeCell ref="U27:U28"/>
    <mergeCell ref="V27:V28"/>
    <mergeCell ref="W27:W28"/>
    <mergeCell ref="J29:J33"/>
    <mergeCell ref="L29:L33"/>
    <mergeCell ref="T29:T33"/>
    <mergeCell ref="U29:U33"/>
    <mergeCell ref="V29:V33"/>
    <mergeCell ref="W29:W33"/>
    <mergeCell ref="M27:M28"/>
    <mergeCell ref="K27:K28"/>
    <mergeCell ref="T15:T20"/>
    <mergeCell ref="U15:U20"/>
    <mergeCell ref="V15:V20"/>
    <mergeCell ref="W15:W20"/>
    <mergeCell ref="J21:J26"/>
    <mergeCell ref="L21:L26"/>
    <mergeCell ref="T21:T26"/>
    <mergeCell ref="U21:U26"/>
    <mergeCell ref="V21:V26"/>
    <mergeCell ref="W21:W26"/>
    <mergeCell ref="M21:M26"/>
    <mergeCell ref="K15:K20"/>
    <mergeCell ref="K21:K26"/>
    <mergeCell ref="AF1:AI1"/>
    <mergeCell ref="J3:J8"/>
    <mergeCell ref="L3:L8"/>
    <mergeCell ref="T3:T8"/>
    <mergeCell ref="U3:U8"/>
    <mergeCell ref="V3:V8"/>
    <mergeCell ref="W3:W8"/>
    <mergeCell ref="J9:J14"/>
    <mergeCell ref="T9:T14"/>
    <mergeCell ref="U9:U14"/>
    <mergeCell ref="V9:V14"/>
    <mergeCell ref="W9:W14"/>
    <mergeCell ref="M3:M8"/>
    <mergeCell ref="K3:K8"/>
    <mergeCell ref="K9:K14"/>
    <mergeCell ref="B3:B8"/>
    <mergeCell ref="A3:A8"/>
    <mergeCell ref="F3:F8"/>
    <mergeCell ref="G3:G8"/>
    <mergeCell ref="H3:H8"/>
    <mergeCell ref="I3:I8"/>
    <mergeCell ref="T1:W1"/>
    <mergeCell ref="C3:C8"/>
    <mergeCell ref="C9:C14"/>
    <mergeCell ref="I9:I14"/>
    <mergeCell ref="I21:I26"/>
    <mergeCell ref="B27:B28"/>
    <mergeCell ref="A27:A28"/>
    <mergeCell ref="F27:F28"/>
    <mergeCell ref="G27:G28"/>
    <mergeCell ref="H27:H28"/>
    <mergeCell ref="I27:I28"/>
    <mergeCell ref="B9:B14"/>
    <mergeCell ref="B15:B20"/>
    <mergeCell ref="A15:A20"/>
    <mergeCell ref="F15:F20"/>
    <mergeCell ref="B21:B26"/>
    <mergeCell ref="A21:A26"/>
    <mergeCell ref="A9:A14"/>
    <mergeCell ref="F9:F14"/>
    <mergeCell ref="G9:G14"/>
    <mergeCell ref="H9:H14"/>
    <mergeCell ref="F21:F26"/>
    <mergeCell ref="G21:G26"/>
    <mergeCell ref="H21:H26"/>
    <mergeCell ref="G15:G20"/>
    <mergeCell ref="I15:I20"/>
    <mergeCell ref="C15:C20"/>
    <mergeCell ref="C21:C26"/>
    <mergeCell ref="A29:A33"/>
    <mergeCell ref="F29:F33"/>
    <mergeCell ref="H29:H33"/>
    <mergeCell ref="B34:B40"/>
    <mergeCell ref="A34:A40"/>
    <mergeCell ref="D34:D36"/>
    <mergeCell ref="E34:E36"/>
    <mergeCell ref="F34:F36"/>
    <mergeCell ref="H34:H36"/>
    <mergeCell ref="F37:F40"/>
    <mergeCell ref="H37:H40"/>
    <mergeCell ref="G29:G33"/>
    <mergeCell ref="P48:P51"/>
    <mergeCell ref="L65:L68"/>
    <mergeCell ref="C55:C56"/>
    <mergeCell ref="C57:C59"/>
    <mergeCell ref="C60:C64"/>
    <mergeCell ref="C65:C68"/>
    <mergeCell ref="B57:B59"/>
    <mergeCell ref="B65:B68"/>
    <mergeCell ref="F57:F59"/>
    <mergeCell ref="F60:F64"/>
    <mergeCell ref="H60:H64"/>
    <mergeCell ref="F55:F56"/>
    <mergeCell ref="H55:H56"/>
    <mergeCell ref="H57:H59"/>
    <mergeCell ref="H52:H54"/>
    <mergeCell ref="F52:F54"/>
    <mergeCell ref="J55:J56"/>
    <mergeCell ref="L60:L64"/>
    <mergeCell ref="N60:N64"/>
    <mergeCell ref="J65:J68"/>
    <mergeCell ref="N65:N68"/>
    <mergeCell ref="J60:J64"/>
    <mergeCell ref="F44:F47"/>
    <mergeCell ref="H44:H47"/>
    <mergeCell ref="A41:A43"/>
    <mergeCell ref="F41:F43"/>
    <mergeCell ref="A44:A47"/>
    <mergeCell ref="J48:J51"/>
    <mergeCell ref="L48:L51"/>
    <mergeCell ref="N48:N51"/>
    <mergeCell ref="A48:A51"/>
    <mergeCell ref="F48:F51"/>
    <mergeCell ref="H48:H51"/>
    <mergeCell ref="T82:T84"/>
    <mergeCell ref="T79:T81"/>
    <mergeCell ref="F79:F81"/>
    <mergeCell ref="B82:B84"/>
    <mergeCell ref="F82:F84"/>
    <mergeCell ref="H82:H84"/>
    <mergeCell ref="L79:L81"/>
    <mergeCell ref="F65:F68"/>
    <mergeCell ref="H65:H68"/>
    <mergeCell ref="F74:F75"/>
    <mergeCell ref="H74:H75"/>
    <mergeCell ref="J74:J75"/>
    <mergeCell ref="F76:F78"/>
    <mergeCell ref="H76:H78"/>
    <mergeCell ref="J82:J84"/>
    <mergeCell ref="L82:L84"/>
    <mergeCell ref="T74:T75"/>
    <mergeCell ref="F69:F72"/>
    <mergeCell ref="H69:H72"/>
    <mergeCell ref="L69:L72"/>
    <mergeCell ref="N69:N72"/>
    <mergeCell ref="P69:P72"/>
    <mergeCell ref="T65:T68"/>
    <mergeCell ref="R69:R72"/>
    <mergeCell ref="A86:A89"/>
    <mergeCell ref="B60:B64"/>
    <mergeCell ref="A60:A64"/>
    <mergeCell ref="A65:A68"/>
    <mergeCell ref="B69:B78"/>
    <mergeCell ref="A69:A78"/>
    <mergeCell ref="B79:B81"/>
    <mergeCell ref="A79:A81"/>
    <mergeCell ref="B52:B54"/>
    <mergeCell ref="B55:B56"/>
    <mergeCell ref="A55:A56"/>
    <mergeCell ref="A82:A84"/>
    <mergeCell ref="A57:A59"/>
    <mergeCell ref="A52:A54"/>
    <mergeCell ref="I29:I33"/>
    <mergeCell ref="K29:K33"/>
    <mergeCell ref="M29:M33"/>
    <mergeCell ref="K37:K40"/>
    <mergeCell ref="I37:I40"/>
    <mergeCell ref="I34:I36"/>
    <mergeCell ref="J37:J40"/>
    <mergeCell ref="N37:N40"/>
    <mergeCell ref="P37:P40"/>
  </mergeCells>
  <hyperlinks>
    <hyperlink ref="T15" r:id="rId1" xr:uid="{92F49DA7-6EBF-4D85-9494-1F0F602799D5}"/>
  </hyperlinks>
  <pageMargins left="0" right="0" top="0" bottom="0" header="0" footer="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C69F6-72DA-6A44-88A6-FDD0E6C59BFB}">
  <sheetPr>
    <outlinePr summaryBelow="0" summaryRight="0"/>
  </sheetPr>
  <dimension ref="A1:G20"/>
  <sheetViews>
    <sheetView tabSelected="1" zoomScale="137" workbookViewId="0">
      <selection activeCell="B1" sqref="B1:G1048576"/>
    </sheetView>
  </sheetViews>
  <sheetFormatPr defaultColWidth="9" defaultRowHeight="14.25" customHeight="1"/>
  <cols>
    <col min="1" max="1" width="20.875" style="202" customWidth="1"/>
    <col min="2" max="2" width="39.75" style="202" bestFit="1" customWidth="1"/>
    <col min="3" max="3" width="37.875" style="202" bestFit="1" customWidth="1"/>
    <col min="4" max="4" width="44.125" style="202" bestFit="1" customWidth="1"/>
    <col min="5" max="5" width="48.25" style="202" bestFit="1" customWidth="1"/>
    <col min="6" max="6" width="53.125" style="202" bestFit="1" customWidth="1"/>
    <col min="7" max="7" width="70.5" style="202" bestFit="1" customWidth="1"/>
    <col min="8" max="9" width="12.625" style="202"/>
    <col min="10" max="16384" width="9" style="202"/>
  </cols>
  <sheetData>
    <row r="1" spans="1:7" ht="14.25" customHeight="1">
      <c r="A1" s="202" t="s">
        <v>306</v>
      </c>
      <c r="B1" s="202" t="s">
        <v>23</v>
      </c>
      <c r="C1" s="202" t="s">
        <v>307</v>
      </c>
      <c r="D1" s="202" t="s">
        <v>308</v>
      </c>
      <c r="E1" s="202" t="s">
        <v>24</v>
      </c>
      <c r="F1" s="202" t="s">
        <v>309</v>
      </c>
      <c r="G1" s="202" t="s">
        <v>310</v>
      </c>
    </row>
    <row r="2" spans="1:7" ht="14.25" customHeight="1">
      <c r="A2" s="202" t="s">
        <v>311</v>
      </c>
      <c r="B2" s="202" t="s">
        <v>40</v>
      </c>
      <c r="C2" s="202" t="s">
        <v>312</v>
      </c>
      <c r="D2" s="202" t="s">
        <v>313</v>
      </c>
      <c r="E2" s="202" t="s">
        <v>41</v>
      </c>
      <c r="F2" s="202" t="s">
        <v>314</v>
      </c>
      <c r="G2" s="202" t="s">
        <v>315</v>
      </c>
    </row>
    <row r="3" spans="1:7" ht="14.25" customHeight="1">
      <c r="A3" s="202" t="s">
        <v>316</v>
      </c>
      <c r="B3" s="202" t="s">
        <v>317</v>
      </c>
      <c r="C3" s="202" t="s">
        <v>318</v>
      </c>
      <c r="D3" s="202" t="s">
        <v>319</v>
      </c>
      <c r="E3" s="202" t="s">
        <v>54</v>
      </c>
      <c r="F3" s="202" t="s">
        <v>320</v>
      </c>
      <c r="G3" s="202" t="s">
        <v>321</v>
      </c>
    </row>
    <row r="4" spans="1:7" ht="24.75" customHeight="1">
      <c r="A4" s="202" t="s">
        <v>322</v>
      </c>
      <c r="B4" s="202" t="s">
        <v>323</v>
      </c>
      <c r="C4" s="202" t="s">
        <v>324</v>
      </c>
      <c r="D4" s="202" t="s">
        <v>325</v>
      </c>
      <c r="E4" s="202" t="s">
        <v>68</v>
      </c>
      <c r="F4" s="202" t="s">
        <v>326</v>
      </c>
      <c r="G4" s="202" t="s">
        <v>327</v>
      </c>
    </row>
    <row r="5" spans="1:7" ht="14.25" customHeight="1">
      <c r="A5" s="202" t="s">
        <v>328</v>
      </c>
      <c r="B5" s="202" t="s">
        <v>329</v>
      </c>
      <c r="C5" s="202" t="s">
        <v>330</v>
      </c>
      <c r="D5" s="202" t="s">
        <v>331</v>
      </c>
      <c r="E5" s="202" t="s">
        <v>86</v>
      </c>
      <c r="F5" s="202" t="s">
        <v>332</v>
      </c>
      <c r="G5" s="202" t="s">
        <v>333</v>
      </c>
    </row>
    <row r="6" spans="1:7" ht="14.25" customHeight="1">
      <c r="A6" s="202" t="s">
        <v>334</v>
      </c>
      <c r="B6" s="202" t="s">
        <v>335</v>
      </c>
      <c r="C6" s="202" t="s">
        <v>336</v>
      </c>
      <c r="D6" s="202" t="s">
        <v>337</v>
      </c>
      <c r="E6" s="202" t="s">
        <v>96</v>
      </c>
      <c r="F6" s="202" t="s">
        <v>338</v>
      </c>
      <c r="G6" s="202" t="s">
        <v>339</v>
      </c>
    </row>
    <row r="7" spans="1:7" ht="63.75" customHeight="1">
      <c r="A7" s="202" t="s">
        <v>340</v>
      </c>
      <c r="B7" s="202" t="s">
        <v>108</v>
      </c>
      <c r="C7" s="202" t="s">
        <v>341</v>
      </c>
      <c r="D7" s="202" t="s">
        <v>342</v>
      </c>
      <c r="E7" s="202" t="s">
        <v>109</v>
      </c>
      <c r="F7" s="202" t="s">
        <v>343</v>
      </c>
      <c r="G7" s="202" t="s">
        <v>344</v>
      </c>
    </row>
    <row r="8" spans="1:7" ht="14.25" customHeight="1">
      <c r="A8" s="202" t="s">
        <v>345</v>
      </c>
      <c r="B8" s="202" t="s">
        <v>126</v>
      </c>
      <c r="C8" s="202" t="s">
        <v>346</v>
      </c>
      <c r="D8" s="202" t="s">
        <v>347</v>
      </c>
      <c r="E8" s="202" t="s">
        <v>127</v>
      </c>
      <c r="F8" s="202" t="s">
        <v>348</v>
      </c>
      <c r="G8" s="202" t="s">
        <v>349</v>
      </c>
    </row>
    <row r="9" spans="1:7" ht="33" customHeight="1">
      <c r="A9" s="202" t="s">
        <v>350</v>
      </c>
      <c r="B9" s="202" t="s">
        <v>135</v>
      </c>
      <c r="C9" s="202" t="s">
        <v>351</v>
      </c>
      <c r="D9" s="202" t="s">
        <v>352</v>
      </c>
      <c r="E9" s="202" t="s">
        <v>136</v>
      </c>
      <c r="F9" s="202" t="s">
        <v>353</v>
      </c>
      <c r="G9" s="202" t="s">
        <v>354</v>
      </c>
    </row>
    <row r="10" spans="1:7" ht="29.25" customHeight="1">
      <c r="A10" s="202" t="s">
        <v>355</v>
      </c>
      <c r="B10" s="202" t="s">
        <v>147</v>
      </c>
      <c r="C10" s="202" t="s">
        <v>356</v>
      </c>
      <c r="D10" s="202" t="s">
        <v>357</v>
      </c>
      <c r="E10" s="202" t="s">
        <v>148</v>
      </c>
      <c r="F10" s="202" t="s">
        <v>358</v>
      </c>
      <c r="G10" s="202" t="s">
        <v>359</v>
      </c>
    </row>
    <row r="11" spans="1:7" ht="14.25" customHeight="1">
      <c r="A11" s="202" t="s">
        <v>360</v>
      </c>
      <c r="B11" s="202" t="s">
        <v>162</v>
      </c>
      <c r="C11" s="202" t="s">
        <v>361</v>
      </c>
      <c r="D11" s="202" t="s">
        <v>362</v>
      </c>
      <c r="E11" s="202" t="s">
        <v>163</v>
      </c>
      <c r="F11" s="202" t="s">
        <v>363</v>
      </c>
      <c r="G11" s="202" t="s">
        <v>364</v>
      </c>
    </row>
    <row r="12" spans="1:7" ht="15" customHeight="1">
      <c r="A12" s="202" t="s">
        <v>365</v>
      </c>
      <c r="B12" s="202" t="s">
        <v>172</v>
      </c>
      <c r="C12" s="202" t="s">
        <v>366</v>
      </c>
      <c r="D12" s="202" t="s">
        <v>367</v>
      </c>
      <c r="E12" s="202" t="s">
        <v>173</v>
      </c>
      <c r="F12" s="202" t="s">
        <v>368</v>
      </c>
    </row>
    <row r="13" spans="1:7" ht="14.25" customHeight="1">
      <c r="A13" s="202" t="s">
        <v>369</v>
      </c>
      <c r="B13" s="202" t="s">
        <v>184</v>
      </c>
      <c r="C13" s="202" t="s">
        <v>370</v>
      </c>
      <c r="D13" s="202" t="s">
        <v>371</v>
      </c>
    </row>
    <row r="14" spans="1:7" ht="24" customHeight="1">
      <c r="A14" s="202" t="s">
        <v>372</v>
      </c>
      <c r="B14" s="202" t="s">
        <v>193</v>
      </c>
      <c r="C14" s="202" t="s">
        <v>373</v>
      </c>
      <c r="D14" s="202" t="s">
        <v>374</v>
      </c>
      <c r="E14" s="202" t="s">
        <v>194</v>
      </c>
      <c r="F14" s="202" t="s">
        <v>375</v>
      </c>
      <c r="G14" s="202" t="s">
        <v>376</v>
      </c>
    </row>
    <row r="15" spans="1:7" ht="39" customHeight="1">
      <c r="A15" s="202" t="s">
        <v>377</v>
      </c>
      <c r="B15" s="202" t="s">
        <v>378</v>
      </c>
      <c r="C15" s="202" t="s">
        <v>379</v>
      </c>
      <c r="D15" s="202" t="s">
        <v>380</v>
      </c>
    </row>
    <row r="16" spans="1:7" ht="24" customHeight="1">
      <c r="A16" s="202" t="s">
        <v>381</v>
      </c>
      <c r="B16" s="202" t="s">
        <v>219</v>
      </c>
      <c r="C16" s="202" t="s">
        <v>382</v>
      </c>
      <c r="D16" s="202" t="s">
        <v>383</v>
      </c>
      <c r="E16" s="202" t="s">
        <v>220</v>
      </c>
      <c r="F16" s="202" t="s">
        <v>384</v>
      </c>
      <c r="G16" s="202" t="s">
        <v>385</v>
      </c>
    </row>
    <row r="17" spans="1:7" ht="39" customHeight="1">
      <c r="A17" s="202" t="s">
        <v>386</v>
      </c>
      <c r="B17" s="202" t="s">
        <v>255</v>
      </c>
      <c r="C17" s="202" t="s">
        <v>387</v>
      </c>
      <c r="D17" s="202" t="s">
        <v>388</v>
      </c>
      <c r="E17" s="202" t="s">
        <v>256</v>
      </c>
      <c r="F17" s="202" t="s">
        <v>389</v>
      </c>
      <c r="G17" s="202" t="s">
        <v>390</v>
      </c>
    </row>
    <row r="18" spans="1:7" ht="14.25" customHeight="1">
      <c r="A18" s="202" t="s">
        <v>391</v>
      </c>
      <c r="B18" s="202" t="s">
        <v>271</v>
      </c>
      <c r="C18" s="202" t="s">
        <v>392</v>
      </c>
      <c r="D18" s="202" t="s">
        <v>393</v>
      </c>
      <c r="E18" s="202" t="s">
        <v>272</v>
      </c>
      <c r="F18" s="202" t="s">
        <v>394</v>
      </c>
    </row>
    <row r="19" spans="1:7">
      <c r="A19" s="202" t="s">
        <v>395</v>
      </c>
      <c r="B19" s="202" t="s">
        <v>288</v>
      </c>
      <c r="C19" s="202" t="s">
        <v>396</v>
      </c>
      <c r="E19" s="202" t="s">
        <v>289</v>
      </c>
      <c r="F19" s="202" t="s">
        <v>397</v>
      </c>
      <c r="G19" s="202" t="s">
        <v>398</v>
      </c>
    </row>
    <row r="20" spans="1:7" ht="14.25" customHeight="1">
      <c r="A20" s="202" t="s">
        <v>399</v>
      </c>
      <c r="B20" s="202" t="s">
        <v>400</v>
      </c>
      <c r="C20" s="202" t="s">
        <v>401</v>
      </c>
      <c r="D20" s="202" t="s">
        <v>402</v>
      </c>
      <c r="E20" s="202" t="s">
        <v>297</v>
      </c>
      <c r="F20" s="202" t="s">
        <v>403</v>
      </c>
      <c r="G20" s="202" t="s">
        <v>404</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A3229-8D23-4626-B0F8-D25D305F358F}">
  <dimension ref="A1:F87"/>
  <sheetViews>
    <sheetView workbookViewId="0">
      <selection activeCell="E1" activeCellId="2" sqref="B1:B1048576 D1:D1048576 E1:E1048576"/>
    </sheetView>
  </sheetViews>
  <sheetFormatPr defaultRowHeight="14.25"/>
  <cols>
    <col min="1" max="2" width="27.625" style="247" customWidth="1"/>
    <col min="3" max="3" width="12.625" style="247"/>
    <col min="4" max="4" width="20.875" style="206" customWidth="1"/>
    <col min="5" max="5" width="42.375" style="208" customWidth="1"/>
    <col min="6" max="6" width="31.375" style="208" customWidth="1"/>
    <col min="7" max="16384" width="9" style="208"/>
  </cols>
  <sheetData>
    <row r="1" spans="1:6" ht="24">
      <c r="A1" s="203" t="s">
        <v>26</v>
      </c>
      <c r="B1" s="204" t="s">
        <v>26</v>
      </c>
      <c r="C1" s="206" t="s">
        <v>25</v>
      </c>
      <c r="D1" s="207" t="s">
        <v>306</v>
      </c>
      <c r="E1" s="203" t="s">
        <v>405</v>
      </c>
      <c r="F1" s="205" t="s">
        <v>406</v>
      </c>
    </row>
    <row r="2" spans="1:6" ht="14.25" customHeight="1">
      <c r="A2" s="209" t="s">
        <v>34</v>
      </c>
      <c r="B2" s="210" t="s">
        <v>34</v>
      </c>
      <c r="C2" s="206" t="s">
        <v>25</v>
      </c>
      <c r="D2" s="207" t="s">
        <v>306</v>
      </c>
      <c r="E2" s="209" t="s">
        <v>407</v>
      </c>
      <c r="F2" s="205" t="s">
        <v>408</v>
      </c>
    </row>
    <row r="3" spans="1:6" ht="14.25" customHeight="1">
      <c r="A3" s="209" t="s">
        <v>35</v>
      </c>
      <c r="B3" s="210" t="s">
        <v>35</v>
      </c>
      <c r="C3" s="206" t="s">
        <v>25</v>
      </c>
      <c r="D3" s="207" t="s">
        <v>306</v>
      </c>
      <c r="E3" s="209" t="s">
        <v>409</v>
      </c>
      <c r="F3" s="205" t="s">
        <v>410</v>
      </c>
    </row>
    <row r="4" spans="1:6" ht="14.25" customHeight="1">
      <c r="A4" s="209" t="s">
        <v>36</v>
      </c>
      <c r="B4" s="210" t="s">
        <v>36</v>
      </c>
      <c r="C4" s="206" t="s">
        <v>25</v>
      </c>
      <c r="D4" s="207" t="s">
        <v>306</v>
      </c>
      <c r="E4" s="209" t="s">
        <v>411</v>
      </c>
      <c r="F4" s="205" t="s">
        <v>412</v>
      </c>
    </row>
    <row r="5" spans="1:6" ht="14.25" customHeight="1">
      <c r="A5" s="209" t="s">
        <v>37</v>
      </c>
      <c r="B5" s="210" t="s">
        <v>37</v>
      </c>
      <c r="C5" s="206" t="s">
        <v>25</v>
      </c>
      <c r="D5" s="207" t="s">
        <v>306</v>
      </c>
      <c r="E5" s="209" t="s">
        <v>413</v>
      </c>
      <c r="F5" s="205" t="s">
        <v>414</v>
      </c>
    </row>
    <row r="6" spans="1:6" ht="24">
      <c r="A6" s="211" t="s">
        <v>38</v>
      </c>
      <c r="B6" s="212" t="s">
        <v>39</v>
      </c>
      <c r="C6" s="214" t="s">
        <v>25</v>
      </c>
      <c r="D6" s="215" t="s">
        <v>306</v>
      </c>
      <c r="E6" s="211" t="s">
        <v>415</v>
      </c>
      <c r="F6" s="213" t="s">
        <v>416</v>
      </c>
    </row>
    <row r="7" spans="1:6">
      <c r="A7" s="203" t="s">
        <v>43</v>
      </c>
      <c r="B7" s="204" t="s">
        <v>43</v>
      </c>
      <c r="C7" s="206" t="s">
        <v>42</v>
      </c>
      <c r="D7" s="216" t="s">
        <v>311</v>
      </c>
      <c r="E7" s="203" t="s">
        <v>417</v>
      </c>
      <c r="F7" s="205" t="s">
        <v>418</v>
      </c>
    </row>
    <row r="8" spans="1:6" ht="14.25" customHeight="1">
      <c r="A8" s="209" t="s">
        <v>48</v>
      </c>
      <c r="B8" s="210" t="s">
        <v>48</v>
      </c>
      <c r="C8" s="206" t="s">
        <v>42</v>
      </c>
      <c r="D8" s="216" t="s">
        <v>311</v>
      </c>
      <c r="E8" s="209" t="s">
        <v>419</v>
      </c>
      <c r="F8" s="205" t="s">
        <v>420</v>
      </c>
    </row>
    <row r="9" spans="1:6" ht="14.25" customHeight="1">
      <c r="A9" s="209" t="s">
        <v>49</v>
      </c>
      <c r="B9" s="210" t="s">
        <v>49</v>
      </c>
      <c r="C9" s="206" t="s">
        <v>42</v>
      </c>
      <c r="D9" s="216" t="s">
        <v>311</v>
      </c>
      <c r="E9" s="209" t="s">
        <v>421</v>
      </c>
      <c r="F9" s="205" t="s">
        <v>422</v>
      </c>
    </row>
    <row r="10" spans="1:6" ht="14.25" customHeight="1">
      <c r="A10" s="209" t="s">
        <v>50</v>
      </c>
      <c r="B10" s="210" t="s">
        <v>50</v>
      </c>
      <c r="C10" s="206" t="s">
        <v>42</v>
      </c>
      <c r="D10" s="216" t="s">
        <v>311</v>
      </c>
      <c r="E10" s="209" t="s">
        <v>423</v>
      </c>
      <c r="F10" s="205" t="s">
        <v>424</v>
      </c>
    </row>
    <row r="11" spans="1:6" ht="14.25" customHeight="1">
      <c r="A11" s="209" t="s">
        <v>51</v>
      </c>
      <c r="B11" s="210" t="s">
        <v>51</v>
      </c>
      <c r="C11" s="206" t="s">
        <v>42</v>
      </c>
      <c r="D11" s="216" t="s">
        <v>311</v>
      </c>
      <c r="E11" s="209" t="s">
        <v>425</v>
      </c>
      <c r="F11" s="205" t="s">
        <v>426</v>
      </c>
    </row>
    <row r="12" spans="1:6" ht="14.25" customHeight="1">
      <c r="A12" s="211" t="s">
        <v>52</v>
      </c>
      <c r="B12" s="217" t="s">
        <v>427</v>
      </c>
      <c r="C12" s="214" t="s">
        <v>42</v>
      </c>
      <c r="D12" s="219" t="s">
        <v>311</v>
      </c>
      <c r="E12" s="211" t="s">
        <v>428</v>
      </c>
      <c r="F12" s="218" t="s">
        <v>429</v>
      </c>
    </row>
    <row r="13" spans="1:6">
      <c r="A13" s="209" t="s">
        <v>56</v>
      </c>
      <c r="B13" s="210" t="s">
        <v>56</v>
      </c>
      <c r="C13" s="220" t="s">
        <v>55</v>
      </c>
      <c r="D13" s="219" t="s">
        <v>316</v>
      </c>
      <c r="E13" s="209" t="s">
        <v>430</v>
      </c>
      <c r="F13" s="205" t="s">
        <v>431</v>
      </c>
    </row>
    <row r="14" spans="1:6" ht="14.25" customHeight="1">
      <c r="A14" s="209" t="s">
        <v>60</v>
      </c>
      <c r="B14" s="210" t="s">
        <v>60</v>
      </c>
      <c r="C14" s="220" t="s">
        <v>55</v>
      </c>
      <c r="D14" s="219" t="s">
        <v>316</v>
      </c>
      <c r="E14" s="209" t="s">
        <v>432</v>
      </c>
      <c r="F14" s="205" t="s">
        <v>433</v>
      </c>
    </row>
    <row r="15" spans="1:6" ht="14.25" customHeight="1">
      <c r="A15" s="209" t="s">
        <v>61</v>
      </c>
      <c r="B15" s="221" t="s">
        <v>62</v>
      </c>
      <c r="C15" s="220" t="s">
        <v>55</v>
      </c>
      <c r="D15" s="219" t="s">
        <v>316</v>
      </c>
      <c r="E15" s="209" t="s">
        <v>434</v>
      </c>
      <c r="F15" s="222" t="s">
        <v>435</v>
      </c>
    </row>
    <row r="16" spans="1:6" ht="14.25" customHeight="1">
      <c r="A16" s="209" t="s">
        <v>63</v>
      </c>
      <c r="B16" s="210" t="s">
        <v>63</v>
      </c>
      <c r="C16" s="220" t="s">
        <v>55</v>
      </c>
      <c r="D16" s="219" t="s">
        <v>316</v>
      </c>
      <c r="E16" s="209" t="s">
        <v>436</v>
      </c>
      <c r="F16" s="223" t="s">
        <v>437</v>
      </c>
    </row>
    <row r="17" spans="1:6" ht="14.25" customHeight="1">
      <c r="A17" s="209" t="s">
        <v>64</v>
      </c>
      <c r="B17" s="210" t="s">
        <v>438</v>
      </c>
      <c r="C17" s="220" t="s">
        <v>55</v>
      </c>
      <c r="D17" s="219" t="s">
        <v>316</v>
      </c>
      <c r="E17" s="209" t="s">
        <v>439</v>
      </c>
      <c r="F17" s="205" t="s">
        <v>440</v>
      </c>
    </row>
    <row r="18" spans="1:6" ht="14.25" customHeight="1">
      <c r="A18" s="211" t="s">
        <v>65</v>
      </c>
      <c r="B18" s="212" t="s">
        <v>66</v>
      </c>
      <c r="C18" s="220" t="s">
        <v>55</v>
      </c>
      <c r="D18" s="219" t="s">
        <v>316</v>
      </c>
      <c r="E18" s="211" t="s">
        <v>441</v>
      </c>
      <c r="F18" s="213" t="s">
        <v>442</v>
      </c>
    </row>
    <row r="19" spans="1:6" ht="24">
      <c r="A19" s="209" t="s">
        <v>70</v>
      </c>
      <c r="B19" s="210" t="s">
        <v>71</v>
      </c>
      <c r="C19" s="214" t="s">
        <v>69</v>
      </c>
      <c r="D19" s="219" t="s">
        <v>322</v>
      </c>
      <c r="E19" s="209" t="s">
        <v>443</v>
      </c>
      <c r="F19" s="223" t="s">
        <v>444</v>
      </c>
    </row>
    <row r="20" spans="1:6" ht="24">
      <c r="A20" s="209" t="s">
        <v>79</v>
      </c>
      <c r="B20" s="210" t="s">
        <v>79</v>
      </c>
      <c r="C20" s="214" t="s">
        <v>69</v>
      </c>
      <c r="D20" s="219" t="s">
        <v>322</v>
      </c>
      <c r="E20" s="209" t="s">
        <v>445</v>
      </c>
      <c r="F20" s="205" t="s">
        <v>446</v>
      </c>
    </row>
    <row r="21" spans="1:6" ht="14.25" customHeight="1">
      <c r="A21" s="209" t="s">
        <v>80</v>
      </c>
      <c r="B21" s="210" t="s">
        <v>80</v>
      </c>
      <c r="C21" s="214" t="s">
        <v>69</v>
      </c>
      <c r="D21" s="219" t="s">
        <v>322</v>
      </c>
      <c r="E21" s="209" t="s">
        <v>447</v>
      </c>
      <c r="F21" s="223" t="s">
        <v>448</v>
      </c>
    </row>
    <row r="22" spans="1:6" ht="14.25" customHeight="1">
      <c r="A22" s="209" t="s">
        <v>81</v>
      </c>
      <c r="B22" s="221" t="s">
        <v>82</v>
      </c>
      <c r="C22" s="214" t="s">
        <v>69</v>
      </c>
      <c r="D22" s="219" t="s">
        <v>322</v>
      </c>
      <c r="E22" s="209" t="s">
        <v>449</v>
      </c>
      <c r="F22" s="222"/>
    </row>
    <row r="23" spans="1:6" ht="24">
      <c r="A23" s="209" t="s">
        <v>83</v>
      </c>
      <c r="B23" s="210" t="s">
        <v>83</v>
      </c>
      <c r="C23" s="214" t="s">
        <v>69</v>
      </c>
      <c r="D23" s="219" t="s">
        <v>322</v>
      </c>
      <c r="E23" s="209" t="s">
        <v>450</v>
      </c>
      <c r="F23" s="205" t="s">
        <v>451</v>
      </c>
    </row>
    <row r="24" spans="1:6" ht="24">
      <c r="A24" s="211" t="s">
        <v>84</v>
      </c>
      <c r="B24" s="217" t="s">
        <v>84</v>
      </c>
      <c r="C24" s="214" t="s">
        <v>69</v>
      </c>
      <c r="D24" s="219" t="s">
        <v>322</v>
      </c>
      <c r="E24" s="211" t="s">
        <v>452</v>
      </c>
      <c r="F24" s="218" t="s">
        <v>453</v>
      </c>
    </row>
    <row r="25" spans="1:6" ht="14.25" customHeight="1">
      <c r="A25" s="209" t="s">
        <v>88</v>
      </c>
      <c r="B25" s="210" t="s">
        <v>88</v>
      </c>
      <c r="C25" s="214" t="s">
        <v>87</v>
      </c>
      <c r="D25" s="219" t="s">
        <v>328</v>
      </c>
      <c r="E25" s="209" t="s">
        <v>454</v>
      </c>
      <c r="F25" s="205" t="s">
        <v>455</v>
      </c>
    </row>
    <row r="26" spans="1:6" ht="24">
      <c r="A26" s="211" t="s">
        <v>94</v>
      </c>
      <c r="B26" s="217" t="s">
        <v>94</v>
      </c>
      <c r="C26" s="214" t="s">
        <v>87</v>
      </c>
      <c r="D26" s="219" t="s">
        <v>328</v>
      </c>
      <c r="E26" s="211" t="s">
        <v>456</v>
      </c>
      <c r="F26" s="218" t="s">
        <v>457</v>
      </c>
    </row>
    <row r="27" spans="1:6" ht="24">
      <c r="A27" s="209" t="s">
        <v>98</v>
      </c>
      <c r="B27" s="210" t="s">
        <v>98</v>
      </c>
      <c r="C27" s="214" t="s">
        <v>97</v>
      </c>
      <c r="D27" s="219" t="s">
        <v>334</v>
      </c>
      <c r="E27" s="209" t="s">
        <v>458</v>
      </c>
      <c r="F27" s="205" t="s">
        <v>459</v>
      </c>
    </row>
    <row r="28" spans="1:6" ht="14.25" customHeight="1">
      <c r="A28" s="209" t="s">
        <v>104</v>
      </c>
      <c r="B28" s="221" t="s">
        <v>460</v>
      </c>
      <c r="C28" s="214" t="s">
        <v>97</v>
      </c>
      <c r="D28" s="219" t="s">
        <v>334</v>
      </c>
      <c r="E28" s="209" t="s">
        <v>461</v>
      </c>
      <c r="F28" s="222" t="s">
        <v>462</v>
      </c>
    </row>
    <row r="29" spans="1:6" ht="36" customHeight="1">
      <c r="A29" s="209" t="s">
        <v>106</v>
      </c>
      <c r="B29" s="210" t="s">
        <v>106</v>
      </c>
      <c r="C29" s="214" t="s">
        <v>97</v>
      </c>
      <c r="D29" s="219" t="s">
        <v>334</v>
      </c>
      <c r="E29" s="209" t="s">
        <v>463</v>
      </c>
      <c r="F29" s="205" t="s">
        <v>464</v>
      </c>
    </row>
    <row r="30" spans="1:6" ht="60" customHeight="1">
      <c r="A30" s="211" t="s">
        <v>107</v>
      </c>
      <c r="B30" s="217" t="s">
        <v>107</v>
      </c>
      <c r="C30" s="214" t="s">
        <v>97</v>
      </c>
      <c r="D30" s="219" t="s">
        <v>334</v>
      </c>
      <c r="E30" s="211" t="s">
        <v>465</v>
      </c>
      <c r="F30" s="218" t="s">
        <v>466</v>
      </c>
    </row>
    <row r="31" spans="1:6" ht="33.75" customHeight="1">
      <c r="A31" s="224" t="s">
        <v>111</v>
      </c>
      <c r="B31" s="225" t="s">
        <v>112</v>
      </c>
      <c r="C31" s="227" t="s">
        <v>110</v>
      </c>
      <c r="D31" s="219" t="s">
        <v>340</v>
      </c>
      <c r="E31" s="228" t="s">
        <v>467</v>
      </c>
      <c r="F31" s="229" t="s">
        <v>468</v>
      </c>
    </row>
    <row r="32" spans="1:6">
      <c r="A32" s="203" t="s">
        <v>116</v>
      </c>
      <c r="B32" s="204" t="s">
        <v>116</v>
      </c>
      <c r="C32" s="214" t="s">
        <v>115</v>
      </c>
      <c r="D32" s="219" t="s">
        <v>340</v>
      </c>
      <c r="E32" s="203" t="s">
        <v>469</v>
      </c>
      <c r="F32" s="205" t="s">
        <v>470</v>
      </c>
    </row>
    <row r="33" spans="1:6" ht="39.75" customHeight="1">
      <c r="A33" s="209" t="s">
        <v>123</v>
      </c>
      <c r="B33" s="210" t="s">
        <v>123</v>
      </c>
      <c r="C33" s="214" t="s">
        <v>115</v>
      </c>
      <c r="D33" s="219" t="s">
        <v>340</v>
      </c>
      <c r="E33" s="209" t="s">
        <v>471</v>
      </c>
      <c r="F33" s="205" t="s">
        <v>472</v>
      </c>
    </row>
    <row r="34" spans="1:6" ht="14.25" customHeight="1">
      <c r="A34" s="230" t="s">
        <v>124</v>
      </c>
      <c r="B34" s="231" t="s">
        <v>473</v>
      </c>
      <c r="C34" s="214" t="s">
        <v>115</v>
      </c>
      <c r="D34" s="219" t="s">
        <v>340</v>
      </c>
      <c r="E34" s="230" t="s">
        <v>474</v>
      </c>
      <c r="F34" s="232"/>
    </row>
    <row r="35" spans="1:6" ht="72" customHeight="1">
      <c r="A35" s="211" t="s">
        <v>125</v>
      </c>
      <c r="B35" s="217" t="s">
        <v>125</v>
      </c>
      <c r="C35" s="214" t="s">
        <v>115</v>
      </c>
      <c r="D35" s="219" t="s">
        <v>340</v>
      </c>
      <c r="E35" s="211" t="s">
        <v>475</v>
      </c>
      <c r="F35" s="218"/>
    </row>
    <row r="36" spans="1:6" ht="14.25" customHeight="1">
      <c r="A36" s="203" t="s">
        <v>129</v>
      </c>
      <c r="B36" s="204" t="s">
        <v>129</v>
      </c>
      <c r="C36" s="214" t="s">
        <v>128</v>
      </c>
      <c r="D36" s="219" t="s">
        <v>340</v>
      </c>
      <c r="E36" s="203" t="s">
        <v>476</v>
      </c>
      <c r="F36" s="205" t="s">
        <v>477</v>
      </c>
    </row>
    <row r="37" spans="1:6" ht="48" customHeight="1">
      <c r="A37" s="209" t="s">
        <v>133</v>
      </c>
      <c r="B37" s="210" t="s">
        <v>133</v>
      </c>
      <c r="C37" s="214" t="s">
        <v>128</v>
      </c>
      <c r="D37" s="219" t="s">
        <v>340</v>
      </c>
      <c r="E37" s="209" t="s">
        <v>478</v>
      </c>
      <c r="F37" s="205" t="s">
        <v>479</v>
      </c>
    </row>
    <row r="38" spans="1:6" ht="14.25" customHeight="1">
      <c r="A38" s="211" t="s">
        <v>134</v>
      </c>
      <c r="B38" s="217" t="s">
        <v>134</v>
      </c>
      <c r="C38" s="214" t="s">
        <v>128</v>
      </c>
      <c r="D38" s="219" t="s">
        <v>340</v>
      </c>
      <c r="E38" s="211" t="s">
        <v>480</v>
      </c>
      <c r="F38" s="218" t="s">
        <v>481</v>
      </c>
    </row>
    <row r="39" spans="1:6" ht="48" customHeight="1">
      <c r="A39" s="209" t="s">
        <v>138</v>
      </c>
      <c r="B39" s="210" t="s">
        <v>138</v>
      </c>
      <c r="C39" s="214" t="s">
        <v>137</v>
      </c>
      <c r="D39" s="215" t="s">
        <v>345</v>
      </c>
      <c r="E39" s="209" t="s">
        <v>482</v>
      </c>
      <c r="F39" s="205"/>
    </row>
    <row r="40" spans="1:6" ht="14.25" customHeight="1">
      <c r="A40" s="209" t="s">
        <v>144</v>
      </c>
      <c r="B40" s="210" t="s">
        <v>144</v>
      </c>
      <c r="C40" s="214" t="s">
        <v>137</v>
      </c>
      <c r="D40" s="215" t="s">
        <v>345</v>
      </c>
      <c r="E40" s="209" t="s">
        <v>483</v>
      </c>
      <c r="F40" s="205" t="s">
        <v>484</v>
      </c>
    </row>
    <row r="41" spans="1:6" ht="14.25" customHeight="1">
      <c r="A41" s="209" t="s">
        <v>145</v>
      </c>
      <c r="B41" s="210" t="s">
        <v>145</v>
      </c>
      <c r="C41" s="214" t="s">
        <v>137</v>
      </c>
      <c r="D41" s="215" t="s">
        <v>345</v>
      </c>
      <c r="E41" s="209" t="s">
        <v>485</v>
      </c>
      <c r="F41" s="205" t="s">
        <v>486</v>
      </c>
    </row>
    <row r="42" spans="1:6" ht="48" customHeight="1">
      <c r="A42" s="211" t="s">
        <v>146</v>
      </c>
      <c r="B42" s="217" t="s">
        <v>146</v>
      </c>
      <c r="C42" s="214" t="s">
        <v>137</v>
      </c>
      <c r="D42" s="215" t="s">
        <v>345</v>
      </c>
      <c r="E42" s="211" t="s">
        <v>487</v>
      </c>
      <c r="F42" s="218" t="s">
        <v>488</v>
      </c>
    </row>
    <row r="43" spans="1:6" ht="36" customHeight="1">
      <c r="A43" s="209" t="s">
        <v>150</v>
      </c>
      <c r="B43" s="210" t="s">
        <v>150</v>
      </c>
      <c r="C43" s="214" t="s">
        <v>149</v>
      </c>
      <c r="D43" s="219" t="s">
        <v>350</v>
      </c>
      <c r="E43" s="209" t="s">
        <v>489</v>
      </c>
      <c r="F43" s="205" t="s">
        <v>490</v>
      </c>
    </row>
    <row r="44" spans="1:6" ht="14.25" customHeight="1">
      <c r="A44" s="209" t="s">
        <v>159</v>
      </c>
      <c r="B44" s="210" t="s">
        <v>159</v>
      </c>
      <c r="C44" s="214" t="s">
        <v>149</v>
      </c>
      <c r="D44" s="219" t="s">
        <v>350</v>
      </c>
      <c r="E44" s="209" t="s">
        <v>491</v>
      </c>
      <c r="F44" s="205" t="s">
        <v>492</v>
      </c>
    </row>
    <row r="45" spans="1:6" ht="14.25" customHeight="1">
      <c r="A45" s="209" t="s">
        <v>160</v>
      </c>
      <c r="B45" s="210" t="s">
        <v>160</v>
      </c>
      <c r="C45" s="214" t="s">
        <v>149</v>
      </c>
      <c r="D45" s="219" t="s">
        <v>350</v>
      </c>
      <c r="E45" s="209" t="s">
        <v>493</v>
      </c>
      <c r="F45" s="205" t="s">
        <v>494</v>
      </c>
    </row>
    <row r="46" spans="1:6" ht="48" customHeight="1">
      <c r="A46" s="211" t="s">
        <v>161</v>
      </c>
      <c r="B46" s="217" t="s">
        <v>161</v>
      </c>
      <c r="C46" s="214" t="s">
        <v>149</v>
      </c>
      <c r="D46" s="219" t="s">
        <v>350</v>
      </c>
      <c r="E46" s="211" t="s">
        <v>495</v>
      </c>
      <c r="F46" s="218" t="s">
        <v>496</v>
      </c>
    </row>
    <row r="47" spans="1:6" ht="14.25" customHeight="1">
      <c r="A47" s="209" t="s">
        <v>165</v>
      </c>
      <c r="B47" s="210" t="s">
        <v>165</v>
      </c>
      <c r="C47" s="214" t="s">
        <v>164</v>
      </c>
      <c r="D47" s="219" t="s">
        <v>355</v>
      </c>
      <c r="E47" s="209" t="s">
        <v>497</v>
      </c>
      <c r="F47" s="205"/>
    </row>
    <row r="48" spans="1:6" ht="60" customHeight="1">
      <c r="A48" s="209" t="s">
        <v>170</v>
      </c>
      <c r="B48" s="210" t="s">
        <v>170</v>
      </c>
      <c r="C48" s="214" t="s">
        <v>164</v>
      </c>
      <c r="D48" s="219" t="s">
        <v>355</v>
      </c>
      <c r="E48" s="209" t="s">
        <v>498</v>
      </c>
      <c r="F48" s="205" t="s">
        <v>499</v>
      </c>
    </row>
    <row r="49" spans="1:6" ht="14.25" customHeight="1">
      <c r="A49" s="211" t="s">
        <v>171</v>
      </c>
      <c r="B49" s="217" t="s">
        <v>171</v>
      </c>
      <c r="C49" s="214" t="s">
        <v>164</v>
      </c>
      <c r="D49" s="219" t="s">
        <v>355</v>
      </c>
      <c r="E49" s="211" t="s">
        <v>500</v>
      </c>
      <c r="F49" s="218"/>
    </row>
    <row r="50" spans="1:6" ht="48" customHeight="1">
      <c r="A50" s="209" t="s">
        <v>175</v>
      </c>
      <c r="B50" s="210" t="s">
        <v>175</v>
      </c>
      <c r="C50" s="214" t="s">
        <v>174</v>
      </c>
      <c r="D50" s="219" t="s">
        <v>360</v>
      </c>
      <c r="E50" s="209" t="s">
        <v>501</v>
      </c>
      <c r="F50" s="205" t="s">
        <v>502</v>
      </c>
    </row>
    <row r="51" spans="1:6" ht="60" customHeight="1">
      <c r="A51" s="211" t="s">
        <v>182</v>
      </c>
      <c r="B51" s="212" t="s">
        <v>183</v>
      </c>
      <c r="C51" s="214" t="s">
        <v>174</v>
      </c>
      <c r="D51" s="219" t="s">
        <v>360</v>
      </c>
      <c r="E51" s="211" t="s">
        <v>503</v>
      </c>
      <c r="F51" s="213" t="s">
        <v>504</v>
      </c>
    </row>
    <row r="52" spans="1:6" ht="14.25" customHeight="1">
      <c r="A52" s="209" t="s">
        <v>186</v>
      </c>
      <c r="B52" s="210" t="s">
        <v>186</v>
      </c>
      <c r="C52" s="214" t="s">
        <v>185</v>
      </c>
      <c r="D52" s="219" t="s">
        <v>365</v>
      </c>
      <c r="E52" s="209" t="s">
        <v>505</v>
      </c>
      <c r="F52" s="205" t="s">
        <v>506</v>
      </c>
    </row>
    <row r="53" spans="1:6" ht="60" customHeight="1">
      <c r="A53" s="209" t="s">
        <v>189</v>
      </c>
      <c r="B53" s="221" t="s">
        <v>190</v>
      </c>
      <c r="C53" s="214" t="s">
        <v>185</v>
      </c>
      <c r="D53" s="219" t="s">
        <v>365</v>
      </c>
      <c r="E53" s="209" t="s">
        <v>507</v>
      </c>
      <c r="F53" s="222" t="s">
        <v>508</v>
      </c>
    </row>
    <row r="54" spans="1:6" ht="36">
      <c r="A54" s="211" t="s">
        <v>191</v>
      </c>
      <c r="B54" s="212" t="s">
        <v>192</v>
      </c>
      <c r="C54" s="214" t="s">
        <v>185</v>
      </c>
      <c r="D54" s="219" t="s">
        <v>365</v>
      </c>
      <c r="E54" s="211" t="s">
        <v>509</v>
      </c>
      <c r="F54" s="222" t="s">
        <v>510</v>
      </c>
    </row>
    <row r="55" spans="1:6" ht="48" customHeight="1">
      <c r="A55" s="209" t="s">
        <v>195</v>
      </c>
      <c r="B55" s="210" t="s">
        <v>195</v>
      </c>
      <c r="C55" s="214" t="s">
        <v>132</v>
      </c>
      <c r="D55" s="219" t="s">
        <v>369</v>
      </c>
      <c r="E55" s="209" t="s">
        <v>511</v>
      </c>
      <c r="F55" s="233" t="s">
        <v>512</v>
      </c>
    </row>
    <row r="56" spans="1:6" ht="14.25" customHeight="1">
      <c r="A56" s="209" t="s">
        <v>204</v>
      </c>
      <c r="B56" s="210" t="s">
        <v>204</v>
      </c>
      <c r="C56" s="214" t="s">
        <v>132</v>
      </c>
      <c r="D56" s="219" t="s">
        <v>369</v>
      </c>
      <c r="E56" s="209" t="s">
        <v>513</v>
      </c>
      <c r="F56" s="223"/>
    </row>
    <row r="57" spans="1:6" ht="14.25" customHeight="1">
      <c r="A57" s="209" t="s">
        <v>205</v>
      </c>
      <c r="B57" s="210" t="s">
        <v>205</v>
      </c>
      <c r="C57" s="214" t="s">
        <v>132</v>
      </c>
      <c r="D57" s="219" t="s">
        <v>369</v>
      </c>
      <c r="E57" s="209" t="s">
        <v>514</v>
      </c>
      <c r="F57" s="205" t="s">
        <v>515</v>
      </c>
    </row>
    <row r="58" spans="1:6" ht="48" customHeight="1">
      <c r="A58" s="209" t="s">
        <v>206</v>
      </c>
      <c r="B58" s="210" t="s">
        <v>206</v>
      </c>
      <c r="C58" s="214" t="s">
        <v>132</v>
      </c>
      <c r="D58" s="219" t="s">
        <v>369</v>
      </c>
      <c r="E58" s="209" t="s">
        <v>516</v>
      </c>
      <c r="F58" s="205" t="s">
        <v>517</v>
      </c>
    </row>
    <row r="59" spans="1:6" ht="36" customHeight="1">
      <c r="A59" s="211" t="s">
        <v>207</v>
      </c>
      <c r="B59" s="217" t="s">
        <v>207</v>
      </c>
      <c r="C59" s="214" t="s">
        <v>132</v>
      </c>
      <c r="D59" s="219" t="s">
        <v>369</v>
      </c>
      <c r="E59" s="211" t="s">
        <v>518</v>
      </c>
      <c r="F59" s="218" t="s">
        <v>519</v>
      </c>
    </row>
    <row r="60" spans="1:6" ht="48" customHeight="1">
      <c r="A60" s="209" t="s">
        <v>210</v>
      </c>
      <c r="B60" s="210" t="s">
        <v>210</v>
      </c>
      <c r="C60" s="214" t="s">
        <v>209</v>
      </c>
      <c r="D60" s="219" t="s">
        <v>372</v>
      </c>
      <c r="E60" s="209" t="s">
        <v>520</v>
      </c>
      <c r="F60" s="205" t="s">
        <v>521</v>
      </c>
    </row>
    <row r="61" spans="1:6" ht="14.25" customHeight="1">
      <c r="A61" s="209" t="s">
        <v>216</v>
      </c>
      <c r="B61" s="210" t="s">
        <v>216</v>
      </c>
      <c r="C61" s="214" t="s">
        <v>209</v>
      </c>
      <c r="D61" s="219" t="s">
        <v>372</v>
      </c>
      <c r="E61" s="209" t="s">
        <v>522</v>
      </c>
      <c r="F61" s="205" t="s">
        <v>523</v>
      </c>
    </row>
    <row r="62" spans="1:6" ht="24">
      <c r="A62" s="209" t="s">
        <v>217</v>
      </c>
      <c r="B62" s="210" t="s">
        <v>217</v>
      </c>
      <c r="C62" s="214" t="s">
        <v>209</v>
      </c>
      <c r="D62" s="219" t="s">
        <v>372</v>
      </c>
      <c r="E62" s="209" t="s">
        <v>524</v>
      </c>
      <c r="F62" s="205" t="s">
        <v>525</v>
      </c>
    </row>
    <row r="63" spans="1:6" ht="60" customHeight="1">
      <c r="A63" s="211" t="s">
        <v>218</v>
      </c>
      <c r="B63" s="217" t="s">
        <v>218</v>
      </c>
      <c r="C63" s="214" t="s">
        <v>209</v>
      </c>
      <c r="D63" s="219" t="s">
        <v>372</v>
      </c>
      <c r="E63" s="211" t="s">
        <v>526</v>
      </c>
      <c r="F63" s="218" t="s">
        <v>527</v>
      </c>
    </row>
    <row r="64" spans="1:6" ht="48" customHeight="1">
      <c r="A64" s="209" t="s">
        <v>138</v>
      </c>
      <c r="B64" s="210" t="s">
        <v>138</v>
      </c>
      <c r="C64" s="234" t="s">
        <v>221</v>
      </c>
      <c r="D64" s="219" t="s">
        <v>377</v>
      </c>
      <c r="E64" s="209" t="s">
        <v>528</v>
      </c>
      <c r="F64" s="205" t="s">
        <v>529</v>
      </c>
    </row>
    <row r="65" spans="1:6" ht="14.25" customHeight="1">
      <c r="A65" s="209" t="s">
        <v>144</v>
      </c>
      <c r="B65" s="221" t="s">
        <v>225</v>
      </c>
      <c r="C65" s="234" t="s">
        <v>221</v>
      </c>
      <c r="D65" s="219" t="s">
        <v>377</v>
      </c>
      <c r="E65" s="209" t="s">
        <v>530</v>
      </c>
      <c r="F65" s="222" t="s">
        <v>531</v>
      </c>
    </row>
    <row r="66" spans="1:6" ht="14.25" customHeight="1">
      <c r="A66" s="209" t="s">
        <v>145</v>
      </c>
      <c r="B66" s="210" t="s">
        <v>145</v>
      </c>
      <c r="C66" s="234" t="s">
        <v>221</v>
      </c>
      <c r="D66" s="219" t="s">
        <v>377</v>
      </c>
      <c r="E66" s="209" t="s">
        <v>532</v>
      </c>
      <c r="F66" s="235" t="s">
        <v>533</v>
      </c>
    </row>
    <row r="67" spans="1:6" ht="48" customHeight="1">
      <c r="A67" s="236" t="s">
        <v>146</v>
      </c>
      <c r="B67" s="237" t="s">
        <v>146</v>
      </c>
      <c r="C67" s="234" t="s">
        <v>221</v>
      </c>
      <c r="D67" s="219" t="s">
        <v>377</v>
      </c>
      <c r="E67" s="236" t="s">
        <v>487</v>
      </c>
      <c r="F67" s="205" t="s">
        <v>534</v>
      </c>
    </row>
    <row r="68" spans="1:6" ht="14.25" customHeight="1">
      <c r="A68" s="236" t="s">
        <v>227</v>
      </c>
      <c r="B68" s="237" t="s">
        <v>227</v>
      </c>
      <c r="C68" s="238" t="s">
        <v>226</v>
      </c>
      <c r="D68" s="219" t="s">
        <v>381</v>
      </c>
      <c r="E68" s="236" t="s">
        <v>535</v>
      </c>
      <c r="F68" s="237" t="s">
        <v>536</v>
      </c>
    </row>
    <row r="69" spans="1:6" ht="14.25" customHeight="1">
      <c r="A69" s="209" t="s">
        <v>237</v>
      </c>
      <c r="B69" s="210" t="s">
        <v>237</v>
      </c>
      <c r="C69" s="234" t="s">
        <v>236</v>
      </c>
      <c r="D69" s="219" t="s">
        <v>381</v>
      </c>
      <c r="E69" s="209" t="s">
        <v>537</v>
      </c>
      <c r="F69" s="205" t="s">
        <v>538</v>
      </c>
    </row>
    <row r="70" spans="1:6" ht="36" customHeight="1">
      <c r="A70" s="236" t="s">
        <v>245</v>
      </c>
      <c r="B70" s="239" t="s">
        <v>246</v>
      </c>
      <c r="C70" s="234" t="s">
        <v>236</v>
      </c>
      <c r="D70" s="219" t="s">
        <v>381</v>
      </c>
      <c r="E70" s="236" t="s">
        <v>539</v>
      </c>
      <c r="F70" s="240" t="s">
        <v>540</v>
      </c>
    </row>
    <row r="71" spans="1:6" ht="14.25" customHeight="1">
      <c r="A71" s="209" t="s">
        <v>248</v>
      </c>
      <c r="B71" s="210" t="s">
        <v>248</v>
      </c>
      <c r="C71" s="234" t="s">
        <v>247</v>
      </c>
      <c r="D71" s="219" t="s">
        <v>381</v>
      </c>
      <c r="E71" s="209" t="s">
        <v>541</v>
      </c>
      <c r="F71" s="205" t="s">
        <v>542</v>
      </c>
    </row>
    <row r="72" spans="1:6" ht="14.25" customHeight="1">
      <c r="A72" s="209" t="s">
        <v>253</v>
      </c>
      <c r="B72" s="210" t="s">
        <v>253</v>
      </c>
      <c r="C72" s="234" t="s">
        <v>247</v>
      </c>
      <c r="D72" s="219" t="s">
        <v>381</v>
      </c>
      <c r="E72" s="209" t="s">
        <v>543</v>
      </c>
      <c r="F72" s="205" t="s">
        <v>544</v>
      </c>
    </row>
    <row r="73" spans="1:6" ht="14.25" customHeight="1">
      <c r="A73" s="211" t="s">
        <v>254</v>
      </c>
      <c r="B73" s="217" t="s">
        <v>254</v>
      </c>
      <c r="C73" s="234" t="s">
        <v>247</v>
      </c>
      <c r="D73" s="219" t="s">
        <v>381</v>
      </c>
      <c r="E73" s="211" t="s">
        <v>545</v>
      </c>
      <c r="F73" s="218" t="s">
        <v>546</v>
      </c>
    </row>
    <row r="74" spans="1:6" ht="60" customHeight="1">
      <c r="A74" s="209" t="s">
        <v>258</v>
      </c>
      <c r="B74" s="210" t="s">
        <v>258</v>
      </c>
      <c r="C74" s="214" t="s">
        <v>257</v>
      </c>
      <c r="D74" s="219" t="s">
        <v>386</v>
      </c>
      <c r="E74" s="209" t="s">
        <v>547</v>
      </c>
      <c r="F74" s="205" t="s">
        <v>548</v>
      </c>
    </row>
    <row r="75" spans="1:6" ht="14.25" customHeight="1">
      <c r="A75" s="209" t="s">
        <v>269</v>
      </c>
      <c r="B75" s="210" t="s">
        <v>269</v>
      </c>
      <c r="C75" s="214" t="s">
        <v>257</v>
      </c>
      <c r="D75" s="219" t="s">
        <v>386</v>
      </c>
      <c r="E75" s="209" t="s">
        <v>549</v>
      </c>
      <c r="F75" s="205" t="s">
        <v>550</v>
      </c>
    </row>
    <row r="76" spans="1:6" ht="14.25" customHeight="1">
      <c r="A76" s="211" t="s">
        <v>270</v>
      </c>
      <c r="B76" s="217" t="s">
        <v>270</v>
      </c>
      <c r="C76" s="214" t="s">
        <v>257</v>
      </c>
      <c r="D76" s="219" t="s">
        <v>386</v>
      </c>
      <c r="E76" s="211" t="s">
        <v>551</v>
      </c>
      <c r="F76" s="218" t="s">
        <v>552</v>
      </c>
    </row>
    <row r="77" spans="1:6" ht="72" customHeight="1">
      <c r="A77" s="209" t="s">
        <v>274</v>
      </c>
      <c r="B77" s="221" t="s">
        <v>553</v>
      </c>
      <c r="C77" s="214" t="s">
        <v>273</v>
      </c>
      <c r="D77" s="219" t="s">
        <v>391</v>
      </c>
      <c r="E77" s="209" t="s">
        <v>554</v>
      </c>
      <c r="F77" s="222" t="s">
        <v>555</v>
      </c>
    </row>
    <row r="78" spans="1:6" ht="48" customHeight="1">
      <c r="A78" s="209" t="s">
        <v>285</v>
      </c>
      <c r="B78" s="210" t="s">
        <v>285</v>
      </c>
      <c r="C78" s="214" t="s">
        <v>273</v>
      </c>
      <c r="D78" s="219" t="s">
        <v>391</v>
      </c>
      <c r="E78" s="209" t="s">
        <v>556</v>
      </c>
      <c r="F78" s="205" t="s">
        <v>557</v>
      </c>
    </row>
    <row r="79" spans="1:6" ht="48" customHeight="1">
      <c r="A79" s="211" t="s">
        <v>286</v>
      </c>
      <c r="B79" s="212" t="s">
        <v>287</v>
      </c>
      <c r="C79" s="214" t="s">
        <v>273</v>
      </c>
      <c r="D79" s="219" t="s">
        <v>391</v>
      </c>
      <c r="E79" s="211" t="s">
        <v>558</v>
      </c>
      <c r="F79" s="213" t="s">
        <v>559</v>
      </c>
    </row>
    <row r="80" spans="1:6" ht="48" customHeight="1">
      <c r="A80" s="241" t="s">
        <v>291</v>
      </c>
      <c r="B80" s="218" t="s">
        <v>291</v>
      </c>
      <c r="C80" s="238" t="s">
        <v>290</v>
      </c>
      <c r="D80" s="219" t="s">
        <v>395</v>
      </c>
      <c r="E80" s="241" t="s">
        <v>560</v>
      </c>
      <c r="F80" s="218" t="s">
        <v>561</v>
      </c>
    </row>
    <row r="81" spans="1:6" ht="24">
      <c r="A81" s="209" t="s">
        <v>299</v>
      </c>
      <c r="B81" s="210" t="s">
        <v>299</v>
      </c>
      <c r="C81" s="242" t="s">
        <v>298</v>
      </c>
      <c r="D81" s="243" t="s">
        <v>399</v>
      </c>
      <c r="E81" s="209" t="s">
        <v>562</v>
      </c>
      <c r="F81" s="205" t="s">
        <v>563</v>
      </c>
    </row>
    <row r="82" spans="1:6" ht="24">
      <c r="A82" s="209" t="s">
        <v>303</v>
      </c>
      <c r="B82" s="210" t="s">
        <v>303</v>
      </c>
      <c r="C82" s="242" t="s">
        <v>298</v>
      </c>
      <c r="D82" s="243" t="s">
        <v>399</v>
      </c>
      <c r="E82" s="209" t="s">
        <v>564</v>
      </c>
      <c r="F82" s="205" t="s">
        <v>565</v>
      </c>
    </row>
    <row r="83" spans="1:6" ht="60" customHeight="1">
      <c r="A83" s="209" t="s">
        <v>304</v>
      </c>
      <c r="B83" s="210" t="s">
        <v>304</v>
      </c>
      <c r="C83" s="242" t="s">
        <v>298</v>
      </c>
      <c r="D83" s="243" t="s">
        <v>399</v>
      </c>
      <c r="E83" s="209" t="s">
        <v>566</v>
      </c>
      <c r="F83" s="205" t="s">
        <v>567</v>
      </c>
    </row>
    <row r="84" spans="1:6" ht="36" customHeight="1">
      <c r="A84" s="244" t="s">
        <v>305</v>
      </c>
      <c r="B84" s="245" t="s">
        <v>305</v>
      </c>
      <c r="C84" s="242" t="s">
        <v>298</v>
      </c>
      <c r="D84" s="243" t="s">
        <v>399</v>
      </c>
      <c r="E84" s="244" t="s">
        <v>568</v>
      </c>
      <c r="F84" s="246" t="s">
        <v>569</v>
      </c>
    </row>
    <row r="85" spans="1:6" ht="14.25" customHeight="1">
      <c r="D85" s="248"/>
    </row>
    <row r="86" spans="1:6" ht="14.25" customHeight="1">
      <c r="D86" s="248"/>
    </row>
    <row r="87" spans="1:6" ht="14.25" customHeight="1">
      <c r="D87" s="24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A5187-44A8-4CCE-BD00-272B9CA7C38B}">
  <dimension ref="A1:BN24"/>
  <sheetViews>
    <sheetView workbookViewId="0">
      <selection activeCell="F3" sqref="F3"/>
    </sheetView>
  </sheetViews>
  <sheetFormatPr defaultRowHeight="14.25"/>
  <cols>
    <col min="1" max="1" width="12.625" style="247"/>
    <col min="2" max="2" width="9" style="247"/>
    <col min="3" max="3" width="16.75" style="247" customWidth="1"/>
    <col min="4" max="4" width="44.5" style="247" customWidth="1"/>
    <col min="5" max="5" width="13" style="247" customWidth="1"/>
    <col min="6" max="6" width="31" style="247" customWidth="1"/>
    <col min="7" max="7" width="29.875" style="247" customWidth="1"/>
    <col min="8" max="8" width="35.25" style="247" customWidth="1"/>
    <col min="9" max="9" width="33.375" style="247" customWidth="1"/>
    <col min="10" max="10" width="14.125" style="247" customWidth="1"/>
    <col min="11" max="11" width="35.75" style="247" customWidth="1"/>
    <col min="12" max="12" width="37.875" style="247" customWidth="1"/>
    <col min="13" max="13" width="39.25" style="247" customWidth="1"/>
    <col min="14" max="14" width="36" style="247" customWidth="1"/>
    <col min="15" max="15" width="13.125" style="247" customWidth="1"/>
    <col min="16" max="16" width="36.625" style="247" customWidth="1"/>
    <col min="17" max="17" width="32.875" style="247" customWidth="1"/>
    <col min="18" max="18" width="32.75" style="247" customWidth="1"/>
    <col min="19" max="19" width="45.625" style="247" customWidth="1"/>
    <col min="20" max="20" width="30.25" style="247" customWidth="1"/>
    <col min="21" max="21" width="50.875" style="247" customWidth="1"/>
    <col min="22" max="22" width="46.375" style="247" customWidth="1"/>
    <col min="23" max="23" width="48.125" style="247" customWidth="1"/>
    <col min="24" max="24" width="24.625" style="247" customWidth="1"/>
    <col min="25" max="25" width="12.625" style="247"/>
    <col min="26" max="26" width="41.375" style="247" customWidth="1"/>
    <col min="27" max="28" width="42.375" style="247" customWidth="1"/>
    <col min="29" max="29" width="46.375" style="247" customWidth="1"/>
    <col min="30" max="30" width="12.5" style="247" customWidth="1"/>
    <col min="31" max="31" width="37.375" style="247" customWidth="1"/>
    <col min="32" max="32" width="29.25" style="247" customWidth="1"/>
    <col min="33" max="33" width="31.75" style="247" customWidth="1"/>
    <col min="34" max="34" width="46.25" style="247" customWidth="1"/>
    <col min="35" max="35" width="36.75" style="247" customWidth="1"/>
    <col min="36" max="36" width="28.25" style="247" customWidth="1"/>
    <col min="37" max="37" width="24.875" style="247" customWidth="1"/>
    <col min="38" max="38" width="44" style="247" customWidth="1"/>
    <col min="39" max="39" width="17" style="247" customWidth="1"/>
    <col min="40" max="40" width="16.125" style="247" customWidth="1"/>
    <col min="41" max="41" width="16.375" style="247" bestFit="1" customWidth="1"/>
    <col min="42" max="42" width="16.5" style="247" customWidth="1"/>
    <col min="43" max="43" width="33" style="247" customWidth="1"/>
    <col min="44" max="44" width="12.625" style="247"/>
    <col min="45" max="45" width="36.75" style="247" customWidth="1"/>
    <col min="46" max="46" width="31.25" style="247" customWidth="1"/>
    <col min="47" max="47" width="29.5" style="247" customWidth="1"/>
    <col min="48" max="48" width="40.25" style="247" customWidth="1"/>
    <col min="49" max="49" width="12.625" style="247"/>
    <col min="50" max="50" width="38.625" style="247" customWidth="1"/>
    <col min="51" max="51" width="31.625" style="247" customWidth="1"/>
    <col min="52" max="52" width="32.75" style="247" customWidth="1"/>
    <col min="53" max="53" width="26.625" style="247" customWidth="1"/>
    <col min="54" max="54" width="34.75" style="247" customWidth="1"/>
    <col min="55" max="55" width="48" style="247" customWidth="1"/>
    <col min="56" max="56" width="45" style="247" customWidth="1"/>
    <col min="57" max="57" width="29.25" style="247" customWidth="1"/>
    <col min="58" max="58" width="38.25" style="247" customWidth="1"/>
    <col min="59" max="59" width="12.625" style="247"/>
    <col min="60" max="60" width="35.5" style="247" customWidth="1"/>
    <col min="61" max="61" width="40.125" style="247" customWidth="1"/>
    <col min="62" max="62" width="44.875" style="247" customWidth="1"/>
    <col min="63" max="64" width="12.625" style="247"/>
    <col min="65" max="66" width="9" style="247"/>
    <col min="67" max="16384" width="9" style="266"/>
  </cols>
  <sheetData>
    <row r="1" spans="1:66" ht="58.5" customHeight="1">
      <c r="A1" s="214" t="s">
        <v>25</v>
      </c>
      <c r="B1" s="206" t="s">
        <v>306</v>
      </c>
      <c r="C1" s="219" t="s">
        <v>23</v>
      </c>
      <c r="D1" s="250" t="s">
        <v>27</v>
      </c>
      <c r="E1" s="251">
        <v>12</v>
      </c>
      <c r="F1" s="252" t="s">
        <v>570</v>
      </c>
      <c r="G1" s="253" t="s">
        <v>571</v>
      </c>
      <c r="H1" s="254" t="s">
        <v>572</v>
      </c>
      <c r="I1" s="250" t="s">
        <v>28</v>
      </c>
      <c r="J1" s="255">
        <v>13</v>
      </c>
      <c r="K1" s="252" t="s">
        <v>573</v>
      </c>
      <c r="L1" s="256" t="s">
        <v>574</v>
      </c>
      <c r="M1" s="254" t="s">
        <v>575</v>
      </c>
      <c r="N1" s="250" t="s">
        <v>29</v>
      </c>
      <c r="O1" s="257">
        <v>137</v>
      </c>
      <c r="P1" s="252" t="s">
        <v>576</v>
      </c>
      <c r="Q1" s="256" t="s">
        <v>577</v>
      </c>
      <c r="R1" s="254" t="s">
        <v>578</v>
      </c>
      <c r="S1" s="250" t="s">
        <v>30</v>
      </c>
      <c r="T1" s="255">
        <v>120</v>
      </c>
      <c r="U1" s="252" t="s">
        <v>579</v>
      </c>
      <c r="V1" s="256" t="s">
        <v>580</v>
      </c>
      <c r="W1" s="254" t="s">
        <v>581</v>
      </c>
      <c r="X1" s="250"/>
      <c r="Y1" s="258"/>
      <c r="Z1" s="255"/>
      <c r="AA1" s="255"/>
      <c r="AB1" s="259"/>
      <c r="AC1" s="260"/>
      <c r="AD1" s="255"/>
      <c r="AE1" s="255"/>
      <c r="AF1" s="255"/>
      <c r="AG1" s="259"/>
      <c r="AH1" s="260"/>
      <c r="AI1" s="258"/>
      <c r="AJ1" s="255"/>
      <c r="AK1" s="255"/>
      <c r="AL1" s="259"/>
      <c r="AM1" s="261" t="s">
        <v>31</v>
      </c>
      <c r="AN1" s="262" t="s">
        <v>32</v>
      </c>
      <c r="AO1" s="262" t="s">
        <v>33</v>
      </c>
      <c r="AP1" s="262"/>
      <c r="AQ1" s="258"/>
      <c r="AR1" s="258"/>
      <c r="AS1" s="255"/>
      <c r="AT1" s="255"/>
      <c r="AU1" s="259"/>
      <c r="AV1" s="260"/>
      <c r="AW1" s="258"/>
      <c r="AX1" s="255"/>
      <c r="AY1" s="255"/>
      <c r="AZ1" s="259"/>
      <c r="BA1" s="260"/>
      <c r="BB1" s="258"/>
      <c r="BC1" s="255"/>
      <c r="BD1" s="255"/>
      <c r="BE1" s="259"/>
      <c r="BF1" s="260"/>
      <c r="BG1" s="258"/>
      <c r="BH1" s="255"/>
      <c r="BI1" s="255"/>
      <c r="BJ1" s="259"/>
      <c r="BK1" s="263"/>
      <c r="BL1" s="264"/>
      <c r="BM1" s="264"/>
      <c r="BN1" s="265"/>
    </row>
    <row r="2" spans="1:66" ht="72.75" customHeight="1">
      <c r="A2" s="214" t="s">
        <v>42</v>
      </c>
      <c r="B2" s="206" t="s">
        <v>311</v>
      </c>
      <c r="C2" s="219" t="s">
        <v>40</v>
      </c>
      <c r="D2" s="267" t="s">
        <v>582</v>
      </c>
      <c r="E2" s="251">
        <v>14</v>
      </c>
      <c r="F2" s="252" t="s">
        <v>583</v>
      </c>
      <c r="G2" s="256" t="s">
        <v>584</v>
      </c>
      <c r="H2" s="259" t="s">
        <v>585</v>
      </c>
      <c r="I2" s="268" t="s">
        <v>45</v>
      </c>
      <c r="J2" s="269">
        <v>15</v>
      </c>
      <c r="K2" s="252" t="s">
        <v>586</v>
      </c>
      <c r="L2" s="256" t="s">
        <v>587</v>
      </c>
      <c r="M2" s="254" t="s">
        <v>588</v>
      </c>
      <c r="N2" s="250" t="s">
        <v>46</v>
      </c>
      <c r="O2" s="257">
        <v>16</v>
      </c>
      <c r="P2" s="252" t="s">
        <v>589</v>
      </c>
      <c r="Q2" s="256" t="s">
        <v>590</v>
      </c>
      <c r="R2" s="254" t="s">
        <v>591</v>
      </c>
      <c r="S2" s="250"/>
      <c r="T2" s="255"/>
      <c r="U2" s="255"/>
      <c r="V2" s="255"/>
      <c r="W2" s="259"/>
      <c r="X2" s="250"/>
      <c r="Y2" s="258"/>
      <c r="Z2" s="255"/>
      <c r="AA2" s="255"/>
      <c r="AB2" s="259"/>
      <c r="AC2" s="260"/>
      <c r="AD2" s="255"/>
      <c r="AE2" s="255"/>
      <c r="AF2" s="255"/>
      <c r="AG2" s="259"/>
      <c r="AH2" s="260"/>
      <c r="AI2" s="258"/>
      <c r="AJ2" s="255"/>
      <c r="AK2" s="255"/>
      <c r="AL2" s="259"/>
      <c r="AM2" s="261" t="s">
        <v>47</v>
      </c>
      <c r="AN2" s="262" t="s">
        <v>33</v>
      </c>
      <c r="AO2" s="262" t="s">
        <v>32</v>
      </c>
      <c r="AP2" s="262"/>
      <c r="AQ2" s="258"/>
      <c r="AR2" s="258"/>
      <c r="AS2" s="255"/>
      <c r="AT2" s="255"/>
      <c r="AU2" s="259"/>
      <c r="AV2" s="260"/>
      <c r="AW2" s="258"/>
      <c r="AX2" s="255"/>
      <c r="AY2" s="255"/>
      <c r="AZ2" s="259"/>
      <c r="BA2" s="260"/>
      <c r="BB2" s="258"/>
      <c r="BC2" s="255"/>
      <c r="BD2" s="255"/>
      <c r="BE2" s="259"/>
      <c r="BF2" s="260"/>
      <c r="BG2" s="258"/>
      <c r="BH2" s="255"/>
      <c r="BI2" s="255"/>
      <c r="BJ2" s="259"/>
      <c r="BK2" s="263"/>
      <c r="BL2" s="264"/>
      <c r="BM2" s="264"/>
      <c r="BN2" s="265"/>
    </row>
    <row r="3" spans="1:66" ht="62.25" customHeight="1">
      <c r="A3" s="214" t="s">
        <v>55</v>
      </c>
      <c r="B3" s="206" t="s">
        <v>316</v>
      </c>
      <c r="C3" s="219" t="s">
        <v>317</v>
      </c>
      <c r="D3" s="267" t="s">
        <v>57</v>
      </c>
      <c r="E3" s="251">
        <v>6</v>
      </c>
      <c r="F3" s="252" t="s">
        <v>592</v>
      </c>
      <c r="G3" s="256" t="s">
        <v>593</v>
      </c>
      <c r="H3" s="254" t="s">
        <v>594</v>
      </c>
      <c r="I3" s="270"/>
      <c r="J3" s="255"/>
      <c r="K3" s="255"/>
      <c r="L3" s="255"/>
      <c r="M3" s="259"/>
      <c r="N3" s="270"/>
      <c r="O3" s="257"/>
      <c r="P3" s="255"/>
      <c r="Q3" s="255"/>
      <c r="R3" s="259"/>
      <c r="S3" s="250"/>
      <c r="T3" s="255"/>
      <c r="U3" s="255"/>
      <c r="V3" s="255"/>
      <c r="W3" s="259"/>
      <c r="X3" s="250"/>
      <c r="Y3" s="271"/>
      <c r="Z3" s="255"/>
      <c r="AA3" s="255"/>
      <c r="AB3" s="259"/>
      <c r="AC3" s="270"/>
      <c r="AD3" s="255"/>
      <c r="AE3" s="255"/>
      <c r="AF3" s="255"/>
      <c r="AG3" s="259"/>
      <c r="AH3" s="270"/>
      <c r="AI3" s="271"/>
      <c r="AJ3" s="255"/>
      <c r="AK3" s="255"/>
      <c r="AL3" s="259"/>
      <c r="AM3" s="272" t="s">
        <v>58</v>
      </c>
      <c r="AN3" s="262" t="s">
        <v>59</v>
      </c>
      <c r="AO3" s="262" t="s">
        <v>47</v>
      </c>
      <c r="AP3" s="262"/>
      <c r="AQ3" s="271"/>
      <c r="AR3" s="271"/>
      <c r="AS3" s="255"/>
      <c r="AT3" s="255"/>
      <c r="AU3" s="259"/>
      <c r="AV3" s="270"/>
      <c r="AW3" s="271"/>
      <c r="AX3" s="255"/>
      <c r="AY3" s="255"/>
      <c r="AZ3" s="259"/>
      <c r="BA3" s="270"/>
      <c r="BB3" s="271"/>
      <c r="BC3" s="255"/>
      <c r="BD3" s="255"/>
      <c r="BE3" s="259"/>
      <c r="BF3" s="270"/>
      <c r="BG3" s="271"/>
      <c r="BH3" s="255"/>
      <c r="BI3" s="255"/>
      <c r="BJ3" s="259"/>
      <c r="BK3" s="273"/>
      <c r="BL3" s="274"/>
      <c r="BM3" s="274"/>
      <c r="BN3" s="275"/>
    </row>
    <row r="4" spans="1:66" ht="52.5" customHeight="1">
      <c r="A4" s="214" t="s">
        <v>69</v>
      </c>
      <c r="B4" s="206" t="s">
        <v>322</v>
      </c>
      <c r="C4" s="219" t="s">
        <v>323</v>
      </c>
      <c r="D4" s="267" t="s">
        <v>72</v>
      </c>
      <c r="E4" s="251">
        <v>100</v>
      </c>
      <c r="F4" s="252" t="s">
        <v>595</v>
      </c>
      <c r="G4" s="256" t="s">
        <v>596</v>
      </c>
      <c r="H4" s="254" t="s">
        <v>597</v>
      </c>
      <c r="I4" s="267" t="s">
        <v>73</v>
      </c>
      <c r="J4" s="255">
        <v>101</v>
      </c>
      <c r="K4" s="255" t="s">
        <v>598</v>
      </c>
      <c r="L4" s="256" t="s">
        <v>599</v>
      </c>
      <c r="M4" s="254" t="s">
        <v>600</v>
      </c>
      <c r="N4" s="250" t="s">
        <v>74</v>
      </c>
      <c r="O4" s="257">
        <v>102</v>
      </c>
      <c r="P4" s="255" t="s">
        <v>601</v>
      </c>
      <c r="Q4" s="256" t="s">
        <v>602</v>
      </c>
      <c r="R4" s="254" t="s">
        <v>603</v>
      </c>
      <c r="S4" s="267" t="s">
        <v>75</v>
      </c>
      <c r="T4" s="255">
        <v>103</v>
      </c>
      <c r="U4" s="252" t="s">
        <v>604</v>
      </c>
      <c r="V4" s="256" t="s">
        <v>605</v>
      </c>
      <c r="W4" s="254" t="s">
        <v>606</v>
      </c>
      <c r="X4" s="250"/>
      <c r="Y4" s="271"/>
      <c r="Z4" s="255"/>
      <c r="AA4" s="255"/>
      <c r="AB4" s="259"/>
      <c r="AC4" s="270"/>
      <c r="AD4" s="255"/>
      <c r="AE4" s="255"/>
      <c r="AF4" s="255"/>
      <c r="AG4" s="259"/>
      <c r="AH4" s="270"/>
      <c r="AI4" s="271"/>
      <c r="AJ4" s="255"/>
      <c r="AK4" s="255"/>
      <c r="AL4" s="259"/>
      <c r="AM4" s="261" t="s">
        <v>76</v>
      </c>
      <c r="AN4" s="262" t="s">
        <v>77</v>
      </c>
      <c r="AO4" s="262" t="s">
        <v>78</v>
      </c>
      <c r="AP4" s="262"/>
      <c r="AQ4" s="271"/>
      <c r="AR4" s="271"/>
      <c r="AS4" s="255"/>
      <c r="AT4" s="255"/>
      <c r="AU4" s="259"/>
      <c r="AV4" s="270"/>
      <c r="AW4" s="271"/>
      <c r="AX4" s="255"/>
      <c r="AY4" s="255"/>
      <c r="AZ4" s="259"/>
      <c r="BA4" s="270"/>
      <c r="BB4" s="271"/>
      <c r="BC4" s="255"/>
      <c r="BD4" s="255"/>
      <c r="BE4" s="259"/>
      <c r="BF4" s="270"/>
      <c r="BG4" s="271"/>
      <c r="BH4" s="255"/>
      <c r="BI4" s="255"/>
      <c r="BJ4" s="259"/>
      <c r="BK4" s="273"/>
      <c r="BL4" s="274"/>
      <c r="BM4" s="274"/>
      <c r="BN4" s="275"/>
    </row>
    <row r="5" spans="1:66" ht="105" customHeight="1">
      <c r="A5" s="214" t="s">
        <v>87</v>
      </c>
      <c r="B5" s="206" t="s">
        <v>328</v>
      </c>
      <c r="C5" s="219" t="s">
        <v>85</v>
      </c>
      <c r="D5" s="250" t="s">
        <v>89</v>
      </c>
      <c r="E5" s="251">
        <v>124</v>
      </c>
      <c r="F5" s="255" t="s">
        <v>607</v>
      </c>
      <c r="G5" s="256" t="s">
        <v>608</v>
      </c>
      <c r="H5" s="254" t="s">
        <v>609</v>
      </c>
      <c r="I5" s="250" t="s">
        <v>90</v>
      </c>
      <c r="J5" s="255">
        <v>125</v>
      </c>
      <c r="K5" s="252" t="s">
        <v>610</v>
      </c>
      <c r="L5" s="256" t="s">
        <v>611</v>
      </c>
      <c r="M5" s="254" t="s">
        <v>612</v>
      </c>
      <c r="N5" s="250" t="s">
        <v>91</v>
      </c>
      <c r="O5" s="257">
        <v>126</v>
      </c>
      <c r="P5" s="252" t="s">
        <v>613</v>
      </c>
      <c r="Q5" s="256" t="s">
        <v>614</v>
      </c>
      <c r="R5" s="254" t="s">
        <v>615</v>
      </c>
      <c r="S5" s="250" t="s">
        <v>92</v>
      </c>
      <c r="T5" s="255">
        <v>127</v>
      </c>
      <c r="U5" s="252" t="s">
        <v>616</v>
      </c>
      <c r="V5" s="256" t="s">
        <v>617</v>
      </c>
      <c r="W5" s="254" t="s">
        <v>618</v>
      </c>
      <c r="X5" s="250"/>
      <c r="Y5" s="271"/>
      <c r="Z5" s="255"/>
      <c r="AA5" s="255"/>
      <c r="AB5" s="259"/>
      <c r="AC5" s="270"/>
      <c r="AD5" s="255"/>
      <c r="AE5" s="255"/>
      <c r="AF5" s="255"/>
      <c r="AG5" s="259"/>
      <c r="AH5" s="270"/>
      <c r="AI5" s="271"/>
      <c r="AJ5" s="255"/>
      <c r="AK5" s="255"/>
      <c r="AL5" s="259"/>
      <c r="AM5" s="261" t="s">
        <v>78</v>
      </c>
      <c r="AN5" s="262" t="s">
        <v>77</v>
      </c>
      <c r="AO5" s="262" t="s">
        <v>93</v>
      </c>
      <c r="AP5" s="262"/>
      <c r="AQ5" s="271"/>
      <c r="AR5" s="271"/>
      <c r="AS5" s="255"/>
      <c r="AT5" s="255"/>
      <c r="AU5" s="259"/>
      <c r="AV5" s="270"/>
      <c r="AW5" s="271"/>
      <c r="AX5" s="255"/>
      <c r="AY5" s="255"/>
      <c r="AZ5" s="259"/>
      <c r="BA5" s="270"/>
      <c r="BB5" s="271"/>
      <c r="BC5" s="255"/>
      <c r="BD5" s="255"/>
      <c r="BE5" s="259"/>
      <c r="BF5" s="270"/>
      <c r="BG5" s="271"/>
      <c r="BH5" s="255"/>
      <c r="BI5" s="255"/>
      <c r="BJ5" s="259"/>
      <c r="BK5" s="273"/>
      <c r="BL5" s="274"/>
      <c r="BM5" s="274"/>
      <c r="BN5" s="275"/>
    </row>
    <row r="6" spans="1:66" ht="40.5" customHeight="1">
      <c r="A6" s="214" t="s">
        <v>97</v>
      </c>
      <c r="B6" s="206" t="s">
        <v>334</v>
      </c>
      <c r="C6" s="219" t="s">
        <v>335</v>
      </c>
      <c r="D6" s="250" t="s">
        <v>99</v>
      </c>
      <c r="E6" s="251">
        <v>17</v>
      </c>
      <c r="F6" s="252" t="s">
        <v>619</v>
      </c>
      <c r="G6" s="253" t="s">
        <v>620</v>
      </c>
      <c r="H6" s="254" t="s">
        <v>621</v>
      </c>
      <c r="I6" s="250" t="s">
        <v>100</v>
      </c>
      <c r="J6" s="255">
        <v>18</v>
      </c>
      <c r="K6" s="252" t="s">
        <v>622</v>
      </c>
      <c r="L6" s="253" t="s">
        <v>623</v>
      </c>
      <c r="M6" s="254" t="s">
        <v>624</v>
      </c>
      <c r="N6" s="250" t="s">
        <v>101</v>
      </c>
      <c r="O6" s="257">
        <v>19</v>
      </c>
      <c r="P6" s="252" t="s">
        <v>625</v>
      </c>
      <c r="Q6" s="253" t="s">
        <v>626</v>
      </c>
      <c r="R6" s="254" t="s">
        <v>627</v>
      </c>
      <c r="S6" s="250" t="s">
        <v>102</v>
      </c>
      <c r="T6" s="255">
        <v>20</v>
      </c>
      <c r="U6" s="252" t="s">
        <v>628</v>
      </c>
      <c r="V6" s="253" t="s">
        <v>629</v>
      </c>
      <c r="W6" s="254" t="s">
        <v>630</v>
      </c>
      <c r="X6" s="250"/>
      <c r="Y6" s="255"/>
      <c r="Z6" s="255"/>
      <c r="AA6" s="255"/>
      <c r="AB6" s="259"/>
      <c r="AC6" s="270"/>
      <c r="AD6" s="255"/>
      <c r="AE6" s="255"/>
      <c r="AF6" s="255"/>
      <c r="AG6" s="259"/>
      <c r="AH6" s="270"/>
      <c r="AI6" s="271"/>
      <c r="AJ6" s="255"/>
      <c r="AK6" s="255"/>
      <c r="AL6" s="259"/>
      <c r="AM6" s="261" t="s">
        <v>76</v>
      </c>
      <c r="AN6" s="262" t="s">
        <v>103</v>
      </c>
      <c r="AO6" s="262" t="s">
        <v>33</v>
      </c>
      <c r="AP6" s="262"/>
      <c r="AQ6" s="271"/>
      <c r="AR6" s="271"/>
      <c r="AS6" s="255"/>
      <c r="AT6" s="255"/>
      <c r="AU6" s="259"/>
      <c r="AV6" s="270"/>
      <c r="AW6" s="271"/>
      <c r="AX6" s="255"/>
      <c r="AY6" s="255"/>
      <c r="AZ6" s="259"/>
      <c r="BA6" s="270"/>
      <c r="BB6" s="271"/>
      <c r="BC6" s="255"/>
      <c r="BD6" s="255"/>
      <c r="BE6" s="259"/>
      <c r="BF6" s="270"/>
      <c r="BG6" s="271"/>
      <c r="BH6" s="255"/>
      <c r="BI6" s="255"/>
      <c r="BJ6" s="259"/>
      <c r="BK6" s="273"/>
      <c r="BL6" s="274"/>
      <c r="BM6" s="274"/>
      <c r="BN6" s="275"/>
    </row>
    <row r="7" spans="1:66" ht="14.25" customHeight="1">
      <c r="A7" s="227" t="s">
        <v>110</v>
      </c>
      <c r="B7" s="227" t="s">
        <v>340</v>
      </c>
      <c r="C7" s="276" t="s">
        <v>631</v>
      </c>
      <c r="D7" s="277" t="s">
        <v>113</v>
      </c>
      <c r="E7" s="278">
        <v>71</v>
      </c>
      <c r="F7" s="279" t="s">
        <v>632</v>
      </c>
      <c r="G7" s="256" t="s">
        <v>633</v>
      </c>
      <c r="H7" s="280" t="s">
        <v>634</v>
      </c>
      <c r="I7" s="224" t="s">
        <v>114</v>
      </c>
      <c r="J7" s="277">
        <v>72</v>
      </c>
      <c r="K7" s="279" t="s">
        <v>635</v>
      </c>
      <c r="L7" s="256" t="s">
        <v>636</v>
      </c>
      <c r="M7" s="280" t="s">
        <v>637</v>
      </c>
      <c r="N7" s="224"/>
      <c r="O7" s="281"/>
      <c r="P7" s="224"/>
      <c r="Q7" s="224"/>
      <c r="R7" s="226"/>
      <c r="S7" s="224"/>
      <c r="T7" s="277"/>
      <c r="U7" s="224"/>
      <c r="V7" s="224"/>
      <c r="W7" s="226"/>
      <c r="X7" s="224"/>
      <c r="Y7" s="277"/>
      <c r="Z7" s="224"/>
      <c r="AA7" s="224"/>
      <c r="AB7" s="226"/>
      <c r="AC7" s="224"/>
      <c r="AD7" s="277"/>
      <c r="AE7" s="224"/>
      <c r="AF7" s="224"/>
      <c r="AG7" s="226"/>
      <c r="AH7" s="224"/>
      <c r="AI7" s="224"/>
      <c r="AJ7" s="224"/>
      <c r="AK7" s="224"/>
      <c r="AL7" s="226"/>
      <c r="AM7" s="261" t="s">
        <v>93</v>
      </c>
      <c r="AN7" s="262" t="s">
        <v>76</v>
      </c>
      <c r="AO7" s="262" t="s">
        <v>78</v>
      </c>
      <c r="AP7" s="282"/>
      <c r="AQ7" s="258"/>
      <c r="AR7" s="258"/>
      <c r="AS7" s="224"/>
      <c r="AT7" s="224"/>
      <c r="AU7" s="226"/>
      <c r="AV7" s="260"/>
      <c r="AW7" s="258"/>
      <c r="AX7" s="224"/>
      <c r="AY7" s="224"/>
      <c r="AZ7" s="226"/>
      <c r="BA7" s="260"/>
      <c r="BB7" s="258"/>
      <c r="BC7" s="224"/>
      <c r="BD7" s="224"/>
      <c r="BE7" s="226"/>
      <c r="BF7" s="260"/>
      <c r="BG7" s="258"/>
      <c r="BH7" s="224"/>
      <c r="BI7" s="224"/>
      <c r="BJ7" s="226"/>
      <c r="BK7" s="263"/>
      <c r="BL7" s="264"/>
      <c r="BM7" s="264"/>
      <c r="BN7" s="265"/>
    </row>
    <row r="8" spans="1:66" ht="14.25" customHeight="1">
      <c r="A8" s="214" t="s">
        <v>115</v>
      </c>
      <c r="B8" s="214" t="s">
        <v>340</v>
      </c>
      <c r="C8" s="283" t="s">
        <v>638</v>
      </c>
      <c r="D8" s="250" t="s">
        <v>117</v>
      </c>
      <c r="E8" s="251">
        <v>104</v>
      </c>
      <c r="F8" s="252" t="s">
        <v>639</v>
      </c>
      <c r="G8" s="253" t="s">
        <v>640</v>
      </c>
      <c r="H8" s="254" t="s">
        <v>641</v>
      </c>
      <c r="I8" s="284" t="s">
        <v>118</v>
      </c>
      <c r="J8" s="255">
        <v>105</v>
      </c>
      <c r="K8" s="252" t="s">
        <v>642</v>
      </c>
      <c r="L8" s="256" t="s">
        <v>643</v>
      </c>
      <c r="M8" s="254" t="s">
        <v>644</v>
      </c>
      <c r="N8" s="284" t="s">
        <v>119</v>
      </c>
      <c r="O8" s="257">
        <v>106</v>
      </c>
      <c r="P8" s="252" t="s">
        <v>645</v>
      </c>
      <c r="Q8" s="256" t="s">
        <v>646</v>
      </c>
      <c r="R8" s="254" t="s">
        <v>647</v>
      </c>
      <c r="S8" s="284" t="s">
        <v>120</v>
      </c>
      <c r="T8" s="255">
        <v>107</v>
      </c>
      <c r="U8" s="252" t="s">
        <v>648</v>
      </c>
      <c r="V8" s="285" t="s">
        <v>649</v>
      </c>
      <c r="W8" s="254" t="s">
        <v>650</v>
      </c>
      <c r="X8" s="284" t="s">
        <v>121</v>
      </c>
      <c r="Y8" s="255">
        <v>108</v>
      </c>
      <c r="Z8" s="252" t="s">
        <v>651</v>
      </c>
      <c r="AA8" s="256" t="s">
        <v>652</v>
      </c>
      <c r="AB8" s="286" t="s">
        <v>653</v>
      </c>
      <c r="AC8" s="284" t="s">
        <v>122</v>
      </c>
      <c r="AD8" s="255">
        <v>109</v>
      </c>
      <c r="AE8" s="252" t="s">
        <v>654</v>
      </c>
      <c r="AF8" s="256" t="s">
        <v>655</v>
      </c>
      <c r="AG8" s="254" t="s">
        <v>656</v>
      </c>
      <c r="AH8" s="260"/>
      <c r="AI8" s="258"/>
      <c r="AJ8" s="255"/>
      <c r="AK8" s="255"/>
      <c r="AL8" s="259"/>
      <c r="AM8" s="287" t="s">
        <v>76</v>
      </c>
      <c r="AN8" s="288" t="s">
        <v>77</v>
      </c>
      <c r="AO8" s="288" t="s">
        <v>93</v>
      </c>
      <c r="AP8" s="289"/>
      <c r="AQ8" s="271"/>
      <c r="AR8" s="271"/>
      <c r="AS8" s="255"/>
      <c r="AT8" s="255"/>
      <c r="AU8" s="259"/>
      <c r="AV8" s="270"/>
      <c r="AW8" s="271"/>
      <c r="AX8" s="255"/>
      <c r="AY8" s="255"/>
      <c r="AZ8" s="259"/>
      <c r="BA8" s="270"/>
      <c r="BB8" s="271"/>
      <c r="BC8" s="255"/>
      <c r="BD8" s="255"/>
      <c r="BE8" s="259"/>
      <c r="BF8" s="270"/>
      <c r="BG8" s="271"/>
      <c r="BH8" s="255"/>
      <c r="BI8" s="255"/>
      <c r="BJ8" s="259"/>
      <c r="BK8" s="273"/>
      <c r="BL8" s="274"/>
      <c r="BM8" s="274"/>
      <c r="BN8" s="275"/>
    </row>
    <row r="9" spans="1:66" ht="14.25" customHeight="1">
      <c r="A9" s="214" t="s">
        <v>128</v>
      </c>
      <c r="B9" s="206" t="s">
        <v>340</v>
      </c>
      <c r="C9" s="215" t="s">
        <v>126</v>
      </c>
      <c r="D9" s="250" t="s">
        <v>130</v>
      </c>
      <c r="E9" s="251">
        <v>122</v>
      </c>
      <c r="F9" s="255" t="s">
        <v>657</v>
      </c>
      <c r="G9" s="256" t="s">
        <v>658</v>
      </c>
      <c r="H9" s="290" t="s">
        <v>659</v>
      </c>
      <c r="I9" s="260"/>
      <c r="J9" s="255"/>
      <c r="K9" s="255"/>
      <c r="L9" s="255"/>
      <c r="M9" s="259"/>
      <c r="N9" s="260"/>
      <c r="O9" s="291"/>
      <c r="P9" s="255"/>
      <c r="Q9" s="255"/>
      <c r="R9" s="259"/>
      <c r="S9" s="250"/>
      <c r="T9" s="255"/>
      <c r="U9" s="255"/>
      <c r="V9" s="255"/>
      <c r="W9" s="259"/>
      <c r="X9" s="250"/>
      <c r="Y9" s="255"/>
      <c r="Z9" s="255"/>
      <c r="AA9" s="255"/>
      <c r="AB9" s="259"/>
      <c r="AC9" s="260"/>
      <c r="AD9" s="255"/>
      <c r="AE9" s="255"/>
      <c r="AF9" s="255"/>
      <c r="AG9" s="259"/>
      <c r="AH9" s="260"/>
      <c r="AI9" s="258"/>
      <c r="AJ9" s="255"/>
      <c r="AK9" s="255"/>
      <c r="AL9" s="259"/>
      <c r="AM9" s="287" t="s">
        <v>131</v>
      </c>
      <c r="AN9" s="288"/>
      <c r="AO9" s="288"/>
      <c r="AP9" s="264"/>
      <c r="AQ9" s="255" t="s">
        <v>132</v>
      </c>
      <c r="AR9" s="271"/>
      <c r="AS9" s="255"/>
      <c r="AT9" s="255"/>
      <c r="AU9" s="259"/>
      <c r="AV9" s="270"/>
      <c r="AW9" s="271"/>
      <c r="AX9" s="255"/>
      <c r="AY9" s="255"/>
      <c r="AZ9" s="259"/>
      <c r="BA9" s="270"/>
      <c r="BB9" s="271"/>
      <c r="BC9" s="255"/>
      <c r="BD9" s="255"/>
      <c r="BE9" s="259"/>
      <c r="BF9" s="270"/>
      <c r="BG9" s="271"/>
      <c r="BH9" s="255"/>
      <c r="BI9" s="255"/>
      <c r="BJ9" s="259"/>
      <c r="BK9" s="273"/>
      <c r="BL9" s="274"/>
      <c r="BM9" s="274"/>
      <c r="BN9" s="275"/>
    </row>
    <row r="10" spans="1:66" ht="14.25" customHeight="1">
      <c r="A10" s="214" t="s">
        <v>137</v>
      </c>
      <c r="B10" s="206" t="s">
        <v>345</v>
      </c>
      <c r="C10" s="219" t="s">
        <v>135</v>
      </c>
      <c r="D10" s="267" t="s">
        <v>139</v>
      </c>
      <c r="E10" s="251">
        <v>41</v>
      </c>
      <c r="F10" s="252" t="s">
        <v>660</v>
      </c>
      <c r="G10" s="256" t="s">
        <v>661</v>
      </c>
      <c r="H10" s="254" t="s">
        <v>662</v>
      </c>
      <c r="I10" s="250" t="s">
        <v>140</v>
      </c>
      <c r="J10" s="255">
        <v>42</v>
      </c>
      <c r="K10" s="252" t="s">
        <v>663</v>
      </c>
      <c r="L10" s="256" t="s">
        <v>664</v>
      </c>
      <c r="M10" s="254" t="s">
        <v>665</v>
      </c>
      <c r="N10" s="267" t="s">
        <v>141</v>
      </c>
      <c r="O10" s="257">
        <v>43</v>
      </c>
      <c r="P10" s="252" t="s">
        <v>666</v>
      </c>
      <c r="Q10" s="256" t="s">
        <v>667</v>
      </c>
      <c r="R10" s="254" t="s">
        <v>668</v>
      </c>
      <c r="S10" s="250" t="s">
        <v>142</v>
      </c>
      <c r="T10" s="255">
        <v>44</v>
      </c>
      <c r="U10" s="252" t="s">
        <v>669</v>
      </c>
      <c r="V10" s="256" t="s">
        <v>670</v>
      </c>
      <c r="W10" s="254" t="s">
        <v>671</v>
      </c>
      <c r="X10" s="250"/>
      <c r="Y10" s="255"/>
      <c r="Z10" s="255"/>
      <c r="AA10" s="255"/>
      <c r="AB10" s="259"/>
      <c r="AC10" s="270"/>
      <c r="AD10" s="271"/>
      <c r="AE10" s="255"/>
      <c r="AF10" s="255"/>
      <c r="AG10" s="259"/>
      <c r="AH10" s="270"/>
      <c r="AI10" s="271"/>
      <c r="AJ10" s="255"/>
      <c r="AK10" s="255"/>
      <c r="AL10" s="259"/>
      <c r="AM10" s="261" t="s">
        <v>143</v>
      </c>
      <c r="AN10" s="262" t="s">
        <v>103</v>
      </c>
      <c r="AO10" s="262" t="s">
        <v>33</v>
      </c>
      <c r="AP10" s="262"/>
      <c r="AQ10" s="271"/>
      <c r="AR10" s="271"/>
      <c r="AS10" s="255"/>
      <c r="AT10" s="255"/>
      <c r="AU10" s="259"/>
      <c r="AV10" s="270"/>
      <c r="AW10" s="271"/>
      <c r="AX10" s="255"/>
      <c r="AY10" s="255"/>
      <c r="AZ10" s="259"/>
      <c r="BA10" s="270"/>
      <c r="BB10" s="271"/>
      <c r="BC10" s="255"/>
      <c r="BD10" s="255"/>
      <c r="BE10" s="259"/>
      <c r="BF10" s="270"/>
      <c r="BG10" s="271"/>
      <c r="BH10" s="255"/>
      <c r="BI10" s="255"/>
      <c r="BJ10" s="259"/>
      <c r="BK10" s="273"/>
      <c r="BL10" s="274"/>
      <c r="BM10" s="274"/>
      <c r="BN10" s="275"/>
    </row>
    <row r="11" spans="1:66" ht="14.25" customHeight="1">
      <c r="A11" s="214" t="s">
        <v>149</v>
      </c>
      <c r="B11" s="206" t="s">
        <v>350</v>
      </c>
      <c r="C11" s="219" t="s">
        <v>147</v>
      </c>
      <c r="D11" s="250" t="s">
        <v>151</v>
      </c>
      <c r="E11" s="251">
        <v>145</v>
      </c>
      <c r="F11" s="252" t="s">
        <v>672</v>
      </c>
      <c r="G11" s="256" t="s">
        <v>673</v>
      </c>
      <c r="H11" s="254" t="s">
        <v>674</v>
      </c>
      <c r="I11" s="250" t="s">
        <v>152</v>
      </c>
      <c r="J11" s="255">
        <v>146</v>
      </c>
      <c r="K11" s="252" t="s">
        <v>675</v>
      </c>
      <c r="L11" s="256" t="s">
        <v>676</v>
      </c>
      <c r="M11" s="254" t="s">
        <v>677</v>
      </c>
      <c r="N11" s="267" t="s">
        <v>153</v>
      </c>
      <c r="O11" s="257">
        <v>147</v>
      </c>
      <c r="P11" s="252" t="s">
        <v>678</v>
      </c>
      <c r="Q11" s="256" t="s">
        <v>679</v>
      </c>
      <c r="R11" s="254" t="s">
        <v>680</v>
      </c>
      <c r="S11" s="267" t="s">
        <v>154</v>
      </c>
      <c r="T11" s="255">
        <v>148</v>
      </c>
      <c r="U11" s="252" t="s">
        <v>681</v>
      </c>
      <c r="V11" s="256" t="s">
        <v>682</v>
      </c>
      <c r="W11" s="254" t="s">
        <v>683</v>
      </c>
      <c r="X11" s="267" t="s">
        <v>155</v>
      </c>
      <c r="Y11" s="255">
        <v>149</v>
      </c>
      <c r="Z11" s="252" t="s">
        <v>684</v>
      </c>
      <c r="AA11" s="256" t="s">
        <v>679</v>
      </c>
      <c r="AB11" s="254" t="s">
        <v>685</v>
      </c>
      <c r="AC11" s="250" t="s">
        <v>156</v>
      </c>
      <c r="AD11" s="255">
        <v>150</v>
      </c>
      <c r="AE11" s="252" t="s">
        <v>686</v>
      </c>
      <c r="AF11" s="292" t="s">
        <v>687</v>
      </c>
      <c r="AG11" s="254" t="s">
        <v>688</v>
      </c>
      <c r="AH11" s="250" t="s">
        <v>157</v>
      </c>
      <c r="AI11" s="255">
        <v>151</v>
      </c>
      <c r="AJ11" s="252" t="s">
        <v>689</v>
      </c>
      <c r="AK11" s="256" t="s">
        <v>690</v>
      </c>
      <c r="AL11" s="254" t="s">
        <v>691</v>
      </c>
      <c r="AM11" s="261" t="s">
        <v>93</v>
      </c>
      <c r="AN11" s="262" t="s">
        <v>78</v>
      </c>
      <c r="AO11" s="262" t="s">
        <v>158</v>
      </c>
      <c r="AP11" s="274"/>
      <c r="AQ11" s="271"/>
      <c r="AR11" s="271"/>
      <c r="AS11" s="255"/>
      <c r="AT11" s="255"/>
      <c r="AU11" s="259"/>
      <c r="AV11" s="270"/>
      <c r="AW11" s="271"/>
      <c r="AX11" s="255"/>
      <c r="AY11" s="255"/>
      <c r="AZ11" s="259"/>
      <c r="BA11" s="270"/>
      <c r="BB11" s="271"/>
      <c r="BC11" s="255"/>
      <c r="BD11" s="255"/>
      <c r="BE11" s="259"/>
      <c r="BF11" s="270"/>
      <c r="BG11" s="271"/>
      <c r="BH11" s="255"/>
      <c r="BI11" s="255"/>
      <c r="BJ11" s="259"/>
      <c r="BK11" s="273"/>
      <c r="BL11" s="274"/>
      <c r="BM11" s="274"/>
      <c r="BN11" s="275"/>
    </row>
    <row r="12" spans="1:66" ht="14.25" customHeight="1">
      <c r="A12" s="214" t="s">
        <v>164</v>
      </c>
      <c r="B12" s="206" t="s">
        <v>355</v>
      </c>
      <c r="C12" s="219" t="s">
        <v>162</v>
      </c>
      <c r="D12" s="250" t="s">
        <v>166</v>
      </c>
      <c r="E12" s="251">
        <v>8</v>
      </c>
      <c r="F12" s="252" t="s">
        <v>692</v>
      </c>
      <c r="G12" s="256" t="s">
        <v>693</v>
      </c>
      <c r="H12" s="259"/>
      <c r="I12" s="293" t="s">
        <v>167</v>
      </c>
      <c r="J12" s="269">
        <v>9</v>
      </c>
      <c r="K12" s="252" t="s">
        <v>694</v>
      </c>
      <c r="L12" s="256" t="s">
        <v>695</v>
      </c>
      <c r="M12" s="259"/>
      <c r="N12" s="270"/>
      <c r="O12" s="294"/>
      <c r="P12" s="255"/>
      <c r="Q12" s="255"/>
      <c r="R12" s="259"/>
      <c r="S12" s="250"/>
      <c r="T12" s="255"/>
      <c r="U12" s="255"/>
      <c r="V12" s="255"/>
      <c r="W12" s="259"/>
      <c r="X12" s="250"/>
      <c r="Y12" s="255"/>
      <c r="Z12" s="255"/>
      <c r="AA12" s="255"/>
      <c r="AB12" s="259"/>
      <c r="AC12" s="270"/>
      <c r="AD12" s="271"/>
      <c r="AE12" s="255"/>
      <c r="AF12" s="255"/>
      <c r="AG12" s="259"/>
      <c r="AH12" s="270"/>
      <c r="AI12" s="271"/>
      <c r="AJ12" s="255"/>
      <c r="AK12" s="255"/>
      <c r="AL12" s="259"/>
      <c r="AM12" s="261" t="s">
        <v>168</v>
      </c>
      <c r="AN12" s="262" t="s">
        <v>169</v>
      </c>
      <c r="AO12" s="262" t="s">
        <v>77</v>
      </c>
      <c r="AP12" s="274"/>
      <c r="AQ12" s="271"/>
      <c r="AR12" s="271"/>
      <c r="AS12" s="255"/>
      <c r="AT12" s="255"/>
      <c r="AU12" s="259"/>
      <c r="AV12" s="270"/>
      <c r="AW12" s="271"/>
      <c r="AX12" s="255"/>
      <c r="AY12" s="255"/>
      <c r="AZ12" s="259"/>
      <c r="BA12" s="270"/>
      <c r="BB12" s="271"/>
      <c r="BC12" s="255"/>
      <c r="BD12" s="255"/>
      <c r="BE12" s="259"/>
      <c r="BF12" s="270"/>
      <c r="BG12" s="271"/>
      <c r="BH12" s="255"/>
      <c r="BI12" s="255"/>
      <c r="BJ12" s="259"/>
      <c r="BK12" s="273"/>
      <c r="BL12" s="274"/>
      <c r="BM12" s="274"/>
      <c r="BN12" s="275"/>
    </row>
    <row r="13" spans="1:66" ht="14.25" customHeight="1">
      <c r="A13" s="214" t="s">
        <v>174</v>
      </c>
      <c r="B13" s="206" t="s">
        <v>360</v>
      </c>
      <c r="C13" s="219" t="s">
        <v>172</v>
      </c>
      <c r="D13" s="250" t="s">
        <v>176</v>
      </c>
      <c r="E13" s="251">
        <v>21</v>
      </c>
      <c r="F13" s="252" t="s">
        <v>696</v>
      </c>
      <c r="G13" s="256" t="s">
        <v>697</v>
      </c>
      <c r="H13" s="254" t="s">
        <v>698</v>
      </c>
      <c r="I13" s="250" t="s">
        <v>177</v>
      </c>
      <c r="J13" s="255">
        <v>22</v>
      </c>
      <c r="K13" s="252" t="s">
        <v>699</v>
      </c>
      <c r="L13" s="256" t="s">
        <v>700</v>
      </c>
      <c r="M13" s="254" t="s">
        <v>701</v>
      </c>
      <c r="N13" s="295" t="s">
        <v>178</v>
      </c>
      <c r="O13" s="257">
        <v>23</v>
      </c>
      <c r="P13" s="252" t="s">
        <v>702</v>
      </c>
      <c r="Q13" s="253" t="s">
        <v>703</v>
      </c>
      <c r="R13" s="254" t="s">
        <v>704</v>
      </c>
      <c r="S13" s="250"/>
      <c r="T13" s="255"/>
      <c r="U13" s="255"/>
      <c r="V13" s="255"/>
      <c r="W13" s="259"/>
      <c r="X13" s="250"/>
      <c r="Y13" s="255"/>
      <c r="Z13" s="255"/>
      <c r="AA13" s="255"/>
      <c r="AB13" s="259"/>
      <c r="AC13" s="270"/>
      <c r="AD13" s="271"/>
      <c r="AE13" s="255"/>
      <c r="AF13" s="255"/>
      <c r="AG13" s="259"/>
      <c r="AH13" s="270"/>
      <c r="AI13" s="271"/>
      <c r="AJ13" s="255"/>
      <c r="AK13" s="255"/>
      <c r="AL13" s="259"/>
      <c r="AM13" s="261" t="s">
        <v>169</v>
      </c>
      <c r="AN13" s="262" t="s">
        <v>179</v>
      </c>
      <c r="AO13" s="262" t="s">
        <v>180</v>
      </c>
      <c r="AP13" s="262" t="s">
        <v>181</v>
      </c>
      <c r="AQ13" s="271"/>
      <c r="AR13" s="271"/>
      <c r="AS13" s="255"/>
      <c r="AT13" s="255"/>
      <c r="AU13" s="259"/>
      <c r="AV13" s="270"/>
      <c r="AW13" s="271"/>
      <c r="AX13" s="255"/>
      <c r="AY13" s="255"/>
      <c r="AZ13" s="259"/>
      <c r="BA13" s="270"/>
      <c r="BB13" s="271"/>
      <c r="BC13" s="255"/>
      <c r="BD13" s="255"/>
      <c r="BE13" s="259"/>
      <c r="BF13" s="270"/>
      <c r="BG13" s="271"/>
      <c r="BH13" s="255"/>
      <c r="BI13" s="255"/>
      <c r="BJ13" s="259"/>
      <c r="BK13" s="273"/>
      <c r="BL13" s="274"/>
      <c r="BM13" s="274"/>
      <c r="BN13" s="275"/>
    </row>
    <row r="14" spans="1:66" ht="39" customHeight="1">
      <c r="A14" s="214" t="s">
        <v>185</v>
      </c>
      <c r="B14" s="206" t="s">
        <v>365</v>
      </c>
      <c r="C14" s="219" t="s">
        <v>184</v>
      </c>
      <c r="D14" s="250" t="s">
        <v>187</v>
      </c>
      <c r="E14" s="251">
        <v>129</v>
      </c>
      <c r="F14" s="252" t="s">
        <v>705</v>
      </c>
      <c r="G14" s="256" t="s">
        <v>706</v>
      </c>
      <c r="H14" s="254" t="s">
        <v>707</v>
      </c>
      <c r="I14" s="250" t="s">
        <v>188</v>
      </c>
      <c r="J14" s="255">
        <v>130</v>
      </c>
      <c r="K14" s="252" t="s">
        <v>708</v>
      </c>
      <c r="L14" s="256" t="s">
        <v>709</v>
      </c>
      <c r="M14" s="254" t="s">
        <v>710</v>
      </c>
      <c r="N14" s="270"/>
      <c r="O14" s="257"/>
      <c r="P14" s="255"/>
      <c r="Q14" s="255"/>
      <c r="R14" s="259"/>
      <c r="S14" s="250"/>
      <c r="T14" s="255"/>
      <c r="U14" s="255"/>
      <c r="V14" s="255"/>
      <c r="W14" s="259"/>
      <c r="X14" s="250"/>
      <c r="Y14" s="255"/>
      <c r="Z14" s="255"/>
      <c r="AA14" s="255"/>
      <c r="AB14" s="259"/>
      <c r="AC14" s="270"/>
      <c r="AD14" s="271"/>
      <c r="AE14" s="255"/>
      <c r="AF14" s="255"/>
      <c r="AG14" s="259"/>
      <c r="AH14" s="270"/>
      <c r="AI14" s="271"/>
      <c r="AJ14" s="255"/>
      <c r="AK14" s="255"/>
      <c r="AL14" s="259"/>
      <c r="AM14" s="261" t="s">
        <v>93</v>
      </c>
      <c r="AN14" s="262" t="s">
        <v>158</v>
      </c>
      <c r="AO14" s="262" t="s">
        <v>78</v>
      </c>
      <c r="AP14" s="282"/>
      <c r="AQ14" s="271"/>
      <c r="AR14" s="271"/>
      <c r="AS14" s="255"/>
      <c r="AT14" s="255"/>
      <c r="AU14" s="259"/>
      <c r="AV14" s="270"/>
      <c r="AW14" s="271"/>
      <c r="AX14" s="255"/>
      <c r="AY14" s="255"/>
      <c r="AZ14" s="259"/>
      <c r="BA14" s="270"/>
      <c r="BB14" s="271"/>
      <c r="BC14" s="255"/>
      <c r="BD14" s="255"/>
      <c r="BE14" s="259"/>
      <c r="BF14" s="270"/>
      <c r="BG14" s="271"/>
      <c r="BH14" s="255"/>
      <c r="BI14" s="255"/>
      <c r="BJ14" s="259"/>
      <c r="BK14" s="273"/>
      <c r="BL14" s="274"/>
      <c r="BM14" s="274"/>
      <c r="BN14" s="275"/>
    </row>
    <row r="15" spans="1:66" ht="37.5" customHeight="1">
      <c r="A15" s="214" t="s">
        <v>132</v>
      </c>
      <c r="B15" s="206" t="s">
        <v>369</v>
      </c>
      <c r="C15" s="215" t="s">
        <v>193</v>
      </c>
      <c r="D15" s="296" t="s">
        <v>196</v>
      </c>
      <c r="E15" s="251">
        <v>27</v>
      </c>
      <c r="F15" s="252" t="s">
        <v>711</v>
      </c>
      <c r="G15" s="256" t="s">
        <v>712</v>
      </c>
      <c r="H15" s="254" t="s">
        <v>713</v>
      </c>
      <c r="I15" s="296" t="s">
        <v>197</v>
      </c>
      <c r="J15" s="255">
        <v>28</v>
      </c>
      <c r="K15" s="252" t="s">
        <v>714</v>
      </c>
      <c r="L15" s="253" t="s">
        <v>715</v>
      </c>
      <c r="M15" s="254" t="s">
        <v>716</v>
      </c>
      <c r="N15" s="297" t="s">
        <v>198</v>
      </c>
      <c r="O15" s="257">
        <v>29</v>
      </c>
      <c r="P15" s="252" t="s">
        <v>717</v>
      </c>
      <c r="Q15" s="253" t="s">
        <v>718</v>
      </c>
      <c r="R15" s="254" t="s">
        <v>719</v>
      </c>
      <c r="S15" s="297" t="s">
        <v>199</v>
      </c>
      <c r="T15" s="255">
        <v>30</v>
      </c>
      <c r="U15" s="252" t="s">
        <v>720</v>
      </c>
      <c r="V15" s="253" t="s">
        <v>721</v>
      </c>
      <c r="W15" s="254" t="s">
        <v>722</v>
      </c>
      <c r="X15" s="250" t="s">
        <v>200</v>
      </c>
      <c r="Y15" s="255">
        <v>31</v>
      </c>
      <c r="Z15" s="252" t="s">
        <v>723</v>
      </c>
      <c r="AA15" s="256" t="s">
        <v>724</v>
      </c>
      <c r="AB15" s="254" t="s">
        <v>725</v>
      </c>
      <c r="AC15" s="250" t="s">
        <v>201</v>
      </c>
      <c r="AD15" s="255">
        <v>32</v>
      </c>
      <c r="AE15" s="252" t="s">
        <v>726</v>
      </c>
      <c r="AF15" s="256" t="s">
        <v>727</v>
      </c>
      <c r="AG15" s="254" t="s">
        <v>728</v>
      </c>
      <c r="AH15" s="250" t="s">
        <v>202</v>
      </c>
      <c r="AI15" s="255">
        <v>33</v>
      </c>
      <c r="AJ15" s="252" t="s">
        <v>729</v>
      </c>
      <c r="AK15" s="253" t="s">
        <v>730</v>
      </c>
      <c r="AL15" s="254" t="s">
        <v>731</v>
      </c>
      <c r="AM15" s="298" t="s">
        <v>203</v>
      </c>
      <c r="AN15" s="262" t="s">
        <v>78</v>
      </c>
      <c r="AO15" s="262" t="s">
        <v>77</v>
      </c>
      <c r="AP15" s="274"/>
      <c r="AQ15" s="271"/>
      <c r="AR15" s="271"/>
      <c r="AS15" s="255"/>
      <c r="AT15" s="255"/>
      <c r="AU15" s="259"/>
      <c r="AV15" s="270"/>
      <c r="AW15" s="271"/>
      <c r="AX15" s="255"/>
      <c r="AY15" s="255"/>
      <c r="AZ15" s="259"/>
      <c r="BA15" s="270"/>
      <c r="BB15" s="271"/>
      <c r="BC15" s="255"/>
      <c r="BD15" s="255"/>
      <c r="BE15" s="259"/>
      <c r="BF15" s="270"/>
      <c r="BG15" s="271"/>
      <c r="BH15" s="255"/>
      <c r="BI15" s="255"/>
      <c r="BJ15" s="259"/>
      <c r="BK15" s="273"/>
      <c r="BL15" s="274"/>
      <c r="BM15" s="274"/>
      <c r="BN15" s="275"/>
    </row>
    <row r="16" spans="1:66" ht="54" customHeight="1">
      <c r="A16" s="214" t="s">
        <v>209</v>
      </c>
      <c r="B16" s="206" t="s">
        <v>372</v>
      </c>
      <c r="C16" s="219" t="s">
        <v>732</v>
      </c>
      <c r="D16" s="250" t="s">
        <v>211</v>
      </c>
      <c r="E16" s="299">
        <v>95</v>
      </c>
      <c r="F16" s="300" t="s">
        <v>733</v>
      </c>
      <c r="G16" s="256" t="s">
        <v>734</v>
      </c>
      <c r="H16" s="301" t="s">
        <v>735</v>
      </c>
      <c r="I16" s="250" t="s">
        <v>212</v>
      </c>
      <c r="J16" s="255">
        <v>96</v>
      </c>
      <c r="K16" s="302" t="s">
        <v>736</v>
      </c>
      <c r="L16" s="256" t="s">
        <v>737</v>
      </c>
      <c r="M16" s="301" t="s">
        <v>738</v>
      </c>
      <c r="N16" s="250" t="s">
        <v>213</v>
      </c>
      <c r="O16" s="257">
        <v>97</v>
      </c>
      <c r="P16" s="302" t="s">
        <v>739</v>
      </c>
      <c r="Q16" s="303" t="s">
        <v>740</v>
      </c>
      <c r="R16" s="301" t="s">
        <v>741</v>
      </c>
      <c r="S16" s="250" t="s">
        <v>214</v>
      </c>
      <c r="T16" s="255">
        <v>98</v>
      </c>
      <c r="U16" s="302" t="s">
        <v>742</v>
      </c>
      <c r="V16" s="256" t="s">
        <v>743</v>
      </c>
      <c r="W16" s="301" t="s">
        <v>744</v>
      </c>
      <c r="X16" s="250" t="s">
        <v>215</v>
      </c>
      <c r="Y16" s="255">
        <v>99</v>
      </c>
      <c r="Z16" s="302" t="s">
        <v>745</v>
      </c>
      <c r="AA16" s="303" t="s">
        <v>746</v>
      </c>
      <c r="AB16" s="301" t="s">
        <v>747</v>
      </c>
      <c r="AC16" s="270"/>
      <c r="AD16" s="255"/>
      <c r="AE16" s="304"/>
      <c r="AF16" s="304"/>
      <c r="AG16" s="305"/>
      <c r="AH16" s="270"/>
      <c r="AI16" s="271"/>
      <c r="AJ16" s="304"/>
      <c r="AK16" s="304"/>
      <c r="AL16" s="305"/>
      <c r="AM16" s="298" t="s">
        <v>78</v>
      </c>
      <c r="AN16" s="282" t="s">
        <v>77</v>
      </c>
      <c r="AO16" s="262" t="s">
        <v>31</v>
      </c>
      <c r="AP16" s="274"/>
      <c r="AQ16" s="271"/>
      <c r="AR16" s="271"/>
      <c r="AS16" s="304"/>
      <c r="AT16" s="304"/>
      <c r="AU16" s="305"/>
      <c r="AV16" s="270"/>
      <c r="AW16" s="271"/>
      <c r="AX16" s="304"/>
      <c r="AY16" s="304"/>
      <c r="AZ16" s="305"/>
      <c r="BA16" s="270"/>
      <c r="BB16" s="271"/>
      <c r="BC16" s="304"/>
      <c r="BD16" s="304"/>
      <c r="BE16" s="305"/>
      <c r="BF16" s="270"/>
      <c r="BG16" s="271"/>
      <c r="BH16" s="304"/>
      <c r="BI16" s="304"/>
      <c r="BJ16" s="305"/>
      <c r="BK16" s="273"/>
      <c r="BL16" s="274"/>
      <c r="BM16" s="274"/>
      <c r="BN16" s="275"/>
    </row>
    <row r="17" spans="1:66" ht="78.75" customHeight="1">
      <c r="A17" s="234" t="s">
        <v>221</v>
      </c>
      <c r="B17" s="234" t="s">
        <v>377</v>
      </c>
      <c r="C17" s="306" t="s">
        <v>748</v>
      </c>
      <c r="D17" s="307" t="s">
        <v>222</v>
      </c>
      <c r="E17" s="278"/>
      <c r="F17" s="250"/>
      <c r="G17" s="256" t="s">
        <v>661</v>
      </c>
      <c r="H17" s="259"/>
      <c r="I17" s="250" t="s">
        <v>223</v>
      </c>
      <c r="J17" s="255"/>
      <c r="K17" s="304"/>
      <c r="L17" s="304"/>
      <c r="M17" s="305"/>
      <c r="N17" s="250" t="s">
        <v>224</v>
      </c>
      <c r="O17" s="257"/>
      <c r="P17" s="304"/>
      <c r="Q17" s="304"/>
      <c r="R17" s="305"/>
      <c r="S17" s="250"/>
      <c r="T17" s="255"/>
      <c r="U17" s="308"/>
      <c r="V17" s="304"/>
      <c r="W17" s="305"/>
      <c r="X17" s="250"/>
      <c r="Y17" s="255"/>
      <c r="Z17" s="304"/>
      <c r="AA17" s="304"/>
      <c r="AB17" s="305"/>
      <c r="AC17" s="250"/>
      <c r="AD17" s="255"/>
      <c r="AE17" s="304"/>
      <c r="AF17" s="304"/>
      <c r="AG17" s="305"/>
      <c r="AH17" s="250"/>
      <c r="AI17" s="271"/>
      <c r="AJ17" s="304"/>
      <c r="AK17" s="304"/>
      <c r="AL17" s="305"/>
      <c r="AM17" s="273"/>
      <c r="AN17" s="274"/>
      <c r="AO17" s="274"/>
      <c r="AP17" s="274"/>
      <c r="AQ17" s="271"/>
      <c r="AR17" s="271"/>
      <c r="AS17" s="304"/>
      <c r="AT17" s="304"/>
      <c r="AU17" s="305"/>
      <c r="AV17" s="270"/>
      <c r="AW17" s="271"/>
      <c r="AX17" s="304"/>
      <c r="AY17" s="304"/>
      <c r="AZ17" s="305"/>
      <c r="BA17" s="270"/>
      <c r="BB17" s="271"/>
      <c r="BC17" s="304"/>
      <c r="BD17" s="304"/>
      <c r="BE17" s="305"/>
      <c r="BF17" s="270"/>
      <c r="BG17" s="271"/>
      <c r="BH17" s="304"/>
      <c r="BI17" s="304"/>
      <c r="BJ17" s="305"/>
      <c r="BK17" s="273"/>
      <c r="BL17" s="274"/>
      <c r="BM17" s="274"/>
      <c r="BN17" s="275"/>
    </row>
    <row r="18" spans="1:66" ht="77.25" customHeight="1">
      <c r="A18" s="309" t="s">
        <v>226</v>
      </c>
      <c r="B18" s="309" t="s">
        <v>381</v>
      </c>
      <c r="C18" s="310" t="s">
        <v>749</v>
      </c>
      <c r="D18" s="311" t="s">
        <v>228</v>
      </c>
      <c r="E18" s="218">
        <v>56</v>
      </c>
      <c r="F18" s="312" t="s">
        <v>750</v>
      </c>
      <c r="G18" s="313" t="s">
        <v>751</v>
      </c>
      <c r="H18" s="314" t="s">
        <v>752</v>
      </c>
      <c r="I18" s="311" t="s">
        <v>229</v>
      </c>
      <c r="J18" s="315">
        <v>57</v>
      </c>
      <c r="K18" s="312" t="s">
        <v>753</v>
      </c>
      <c r="L18" s="313" t="s">
        <v>754</v>
      </c>
      <c r="M18" s="314" t="s">
        <v>755</v>
      </c>
      <c r="N18" s="311" t="s">
        <v>230</v>
      </c>
      <c r="O18" s="316">
        <v>59</v>
      </c>
      <c r="P18" s="312" t="s">
        <v>756</v>
      </c>
      <c r="Q18" s="313" t="s">
        <v>757</v>
      </c>
      <c r="R18" s="314" t="s">
        <v>758</v>
      </c>
      <c r="S18" s="311" t="s">
        <v>231</v>
      </c>
      <c r="T18" s="317">
        <v>60</v>
      </c>
      <c r="U18" s="312" t="s">
        <v>759</v>
      </c>
      <c r="V18" s="313" t="s">
        <v>760</v>
      </c>
      <c r="W18" s="314" t="s">
        <v>761</v>
      </c>
      <c r="X18" s="311" t="s">
        <v>232</v>
      </c>
      <c r="Y18" s="317">
        <v>61</v>
      </c>
      <c r="Z18" s="312" t="s">
        <v>762</v>
      </c>
      <c r="AA18" s="313" t="s">
        <v>763</v>
      </c>
      <c r="AB18" s="314" t="s">
        <v>764</v>
      </c>
      <c r="AC18" s="311"/>
      <c r="AD18" s="317"/>
      <c r="AE18" s="315"/>
      <c r="AF18" s="315"/>
      <c r="AG18" s="318"/>
      <c r="AH18" s="311"/>
      <c r="AI18" s="317"/>
      <c r="AJ18" s="315"/>
      <c r="AK18" s="315"/>
      <c r="AL18" s="318"/>
      <c r="AM18" s="319" t="s">
        <v>233</v>
      </c>
      <c r="AN18" s="320" t="s">
        <v>234</v>
      </c>
      <c r="AO18" s="320" t="s">
        <v>235</v>
      </c>
      <c r="AP18" s="320"/>
      <c r="AQ18" s="317"/>
      <c r="AR18" s="317"/>
      <c r="AS18" s="315"/>
      <c r="AT18" s="315"/>
      <c r="AU18" s="318"/>
      <c r="AV18" s="311"/>
      <c r="AW18" s="317"/>
      <c r="AX18" s="315"/>
      <c r="AY18" s="315"/>
      <c r="AZ18" s="318"/>
      <c r="BA18" s="311"/>
      <c r="BB18" s="317"/>
      <c r="BC18" s="315"/>
      <c r="BD18" s="315"/>
      <c r="BE18" s="318"/>
      <c r="BF18" s="311"/>
      <c r="BG18" s="317"/>
      <c r="BH18" s="315"/>
      <c r="BI18" s="315"/>
      <c r="BJ18" s="318"/>
      <c r="BK18" s="319"/>
      <c r="BL18" s="320"/>
      <c r="BM18" s="320"/>
      <c r="BN18" s="321"/>
    </row>
    <row r="19" spans="1:66" ht="55.5" customHeight="1">
      <c r="A19" s="234" t="s">
        <v>236</v>
      </c>
      <c r="B19" s="234" t="s">
        <v>381</v>
      </c>
      <c r="C19" s="306" t="s">
        <v>765</v>
      </c>
      <c r="D19" s="322" t="s">
        <v>238</v>
      </c>
      <c r="E19" s="251">
        <v>65</v>
      </c>
      <c r="F19" s="252" t="s">
        <v>766</v>
      </c>
      <c r="G19" s="256" t="s">
        <v>767</v>
      </c>
      <c r="H19" s="254" t="s">
        <v>768</v>
      </c>
      <c r="I19" s="323" t="s">
        <v>239</v>
      </c>
      <c r="J19" s="304">
        <v>66</v>
      </c>
      <c r="K19" s="252" t="s">
        <v>769</v>
      </c>
      <c r="L19" s="256" t="s">
        <v>770</v>
      </c>
      <c r="M19" s="254" t="s">
        <v>771</v>
      </c>
      <c r="N19" s="322" t="s">
        <v>240</v>
      </c>
      <c r="O19" s="257">
        <v>67</v>
      </c>
      <c r="P19" s="252" t="s">
        <v>772</v>
      </c>
      <c r="Q19" s="256" t="s">
        <v>773</v>
      </c>
      <c r="R19" s="254" t="s">
        <v>774</v>
      </c>
      <c r="S19" s="322" t="s">
        <v>241</v>
      </c>
      <c r="T19" s="324">
        <v>68</v>
      </c>
      <c r="U19" s="252" t="s">
        <v>775</v>
      </c>
      <c r="V19" s="256" t="s">
        <v>776</v>
      </c>
      <c r="W19" s="254" t="s">
        <v>777</v>
      </c>
      <c r="X19" s="322" t="s">
        <v>242</v>
      </c>
      <c r="Y19" s="324">
        <v>69</v>
      </c>
      <c r="Z19" s="252" t="s">
        <v>778</v>
      </c>
      <c r="AA19" s="256" t="s">
        <v>779</v>
      </c>
      <c r="AB19" s="259" t="s">
        <v>780</v>
      </c>
      <c r="AC19" s="322" t="s">
        <v>243</v>
      </c>
      <c r="AD19" s="324">
        <v>70</v>
      </c>
      <c r="AE19" s="252" t="s">
        <v>781</v>
      </c>
      <c r="AF19" s="256" t="s">
        <v>782</v>
      </c>
      <c r="AG19" s="254" t="s">
        <v>783</v>
      </c>
      <c r="AH19" s="325"/>
      <c r="AI19" s="326"/>
      <c r="AJ19" s="255"/>
      <c r="AK19" s="255"/>
      <c r="AL19" s="259"/>
      <c r="AM19" s="327" t="s">
        <v>234</v>
      </c>
      <c r="AN19" s="328" t="s">
        <v>235</v>
      </c>
      <c r="AO19" s="328" t="s">
        <v>244</v>
      </c>
      <c r="AP19" s="328"/>
      <c r="AQ19" s="326"/>
      <c r="AR19" s="326"/>
      <c r="AS19" s="255"/>
      <c r="AT19" s="255"/>
      <c r="AU19" s="259"/>
      <c r="AV19" s="325"/>
      <c r="AW19" s="326"/>
      <c r="AX19" s="255"/>
      <c r="AY19" s="255"/>
      <c r="AZ19" s="259"/>
      <c r="BA19" s="325"/>
      <c r="BB19" s="326"/>
      <c r="BC19" s="255"/>
      <c r="BD19" s="255"/>
      <c r="BE19" s="259"/>
      <c r="BF19" s="270"/>
      <c r="BG19" s="271"/>
      <c r="BH19" s="255"/>
      <c r="BI19" s="255"/>
      <c r="BJ19" s="259"/>
      <c r="BK19" s="273"/>
      <c r="BL19" s="274"/>
      <c r="BM19" s="274"/>
      <c r="BN19" s="275"/>
    </row>
    <row r="20" spans="1:66" ht="105.75" customHeight="1">
      <c r="A20" s="234" t="s">
        <v>247</v>
      </c>
      <c r="B20" s="234" t="s">
        <v>381</v>
      </c>
      <c r="C20" s="306" t="s">
        <v>784</v>
      </c>
      <c r="D20" s="322" t="s">
        <v>249</v>
      </c>
      <c r="E20" s="251">
        <v>131</v>
      </c>
      <c r="F20" s="252" t="s">
        <v>785</v>
      </c>
      <c r="G20" s="256" t="s">
        <v>786</v>
      </c>
      <c r="H20" s="254" t="s">
        <v>787</v>
      </c>
      <c r="I20" s="322" t="s">
        <v>250</v>
      </c>
      <c r="J20" s="304">
        <v>132</v>
      </c>
      <c r="K20" s="312" t="s">
        <v>788</v>
      </c>
      <c r="L20" s="256" t="s">
        <v>789</v>
      </c>
      <c r="M20" s="314" t="s">
        <v>790</v>
      </c>
      <c r="N20" s="322" t="s">
        <v>251</v>
      </c>
      <c r="O20" s="257">
        <v>133</v>
      </c>
      <c r="P20" s="252" t="s">
        <v>791</v>
      </c>
      <c r="Q20" s="256" t="s">
        <v>792</v>
      </c>
      <c r="R20" s="254" t="s">
        <v>793</v>
      </c>
      <c r="S20" s="322" t="s">
        <v>252</v>
      </c>
      <c r="T20" s="324">
        <v>134</v>
      </c>
      <c r="U20" s="252" t="s">
        <v>794</v>
      </c>
      <c r="V20" s="256" t="s">
        <v>795</v>
      </c>
      <c r="W20" s="254" t="s">
        <v>796</v>
      </c>
      <c r="X20" s="270"/>
      <c r="Y20" s="324"/>
      <c r="Z20" s="255"/>
      <c r="AA20" s="255"/>
      <c r="AB20" s="259"/>
      <c r="AC20" s="270"/>
      <c r="AD20" s="324"/>
      <c r="AE20" s="255"/>
      <c r="AF20" s="255"/>
      <c r="AG20" s="259"/>
      <c r="AH20" s="325"/>
      <c r="AI20" s="326"/>
      <c r="AJ20" s="255"/>
      <c r="AK20" s="255"/>
      <c r="AL20" s="259"/>
      <c r="AM20" s="327" t="s">
        <v>235</v>
      </c>
      <c r="AN20" s="328" t="s">
        <v>244</v>
      </c>
      <c r="AO20" s="328" t="s">
        <v>233</v>
      </c>
      <c r="AP20" s="328"/>
      <c r="AQ20" s="271"/>
      <c r="AR20" s="271"/>
      <c r="AS20" s="255"/>
      <c r="AT20" s="255"/>
      <c r="AU20" s="259"/>
      <c r="AV20" s="270"/>
      <c r="AW20" s="271"/>
      <c r="AX20" s="255"/>
      <c r="AY20" s="255"/>
      <c r="AZ20" s="259"/>
      <c r="BA20" s="270"/>
      <c r="BB20" s="271"/>
      <c r="BC20" s="255"/>
      <c r="BD20" s="255"/>
      <c r="BE20" s="259"/>
      <c r="BF20" s="270"/>
      <c r="BG20" s="271"/>
      <c r="BH20" s="255"/>
      <c r="BI20" s="255"/>
      <c r="BJ20" s="259"/>
      <c r="BK20" s="273"/>
      <c r="BL20" s="274"/>
      <c r="BM20" s="274"/>
      <c r="BN20" s="275"/>
    </row>
    <row r="21" spans="1:66" ht="65.25" customHeight="1">
      <c r="A21" s="214" t="s">
        <v>257</v>
      </c>
      <c r="B21" s="206" t="s">
        <v>386</v>
      </c>
      <c r="C21" s="219" t="s">
        <v>255</v>
      </c>
      <c r="D21" s="250" t="s">
        <v>259</v>
      </c>
      <c r="E21" s="251">
        <v>73</v>
      </c>
      <c r="F21" s="252" t="s">
        <v>797</v>
      </c>
      <c r="G21" s="256" t="s">
        <v>798</v>
      </c>
      <c r="H21" s="254" t="s">
        <v>799</v>
      </c>
      <c r="I21" s="284" t="s">
        <v>260</v>
      </c>
      <c r="J21" s="255">
        <v>74</v>
      </c>
      <c r="K21" s="252" t="s">
        <v>800</v>
      </c>
      <c r="L21" s="256" t="s">
        <v>801</v>
      </c>
      <c r="M21" s="254" t="s">
        <v>802</v>
      </c>
      <c r="N21" s="284" t="s">
        <v>261</v>
      </c>
      <c r="O21" s="257">
        <v>75</v>
      </c>
      <c r="P21" s="252" t="s">
        <v>803</v>
      </c>
      <c r="Q21" s="256" t="s">
        <v>804</v>
      </c>
      <c r="R21" s="254" t="s">
        <v>805</v>
      </c>
      <c r="S21" s="284" t="s">
        <v>262</v>
      </c>
      <c r="T21" s="255">
        <v>76</v>
      </c>
      <c r="U21" s="252" t="s">
        <v>806</v>
      </c>
      <c r="V21" s="256" t="s">
        <v>807</v>
      </c>
      <c r="W21" s="254" t="s">
        <v>808</v>
      </c>
      <c r="X21" s="270"/>
      <c r="Y21" s="255"/>
      <c r="Z21" s="255"/>
      <c r="AA21" s="255"/>
      <c r="AB21" s="259"/>
      <c r="AC21" s="270"/>
      <c r="AD21" s="255"/>
      <c r="AE21" s="255"/>
      <c r="AF21" s="255"/>
      <c r="AG21" s="259"/>
      <c r="AH21" s="270"/>
      <c r="AI21" s="271"/>
      <c r="AJ21" s="255"/>
      <c r="AK21" s="255"/>
      <c r="AL21" s="259"/>
      <c r="AM21" s="329" t="s">
        <v>263</v>
      </c>
      <c r="AN21" s="274"/>
      <c r="AO21" s="274"/>
      <c r="AP21" s="274"/>
      <c r="AQ21" s="255" t="s">
        <v>264</v>
      </c>
      <c r="AR21" s="255">
        <v>79</v>
      </c>
      <c r="AS21" s="252" t="s">
        <v>809</v>
      </c>
      <c r="AT21" s="256" t="s">
        <v>810</v>
      </c>
      <c r="AU21" s="254" t="s">
        <v>811</v>
      </c>
      <c r="AV21" s="250" t="s">
        <v>265</v>
      </c>
      <c r="AW21" s="255">
        <v>80</v>
      </c>
      <c r="AX21" s="252" t="s">
        <v>812</v>
      </c>
      <c r="AY21" s="256" t="s">
        <v>813</v>
      </c>
      <c r="AZ21" s="254" t="s">
        <v>814</v>
      </c>
      <c r="BA21" s="250" t="s">
        <v>266</v>
      </c>
      <c r="BB21" s="255">
        <v>81</v>
      </c>
      <c r="BC21" s="252" t="s">
        <v>815</v>
      </c>
      <c r="BD21" s="256" t="s">
        <v>816</v>
      </c>
      <c r="BE21" s="254" t="s">
        <v>817</v>
      </c>
      <c r="BF21" s="250" t="s">
        <v>267</v>
      </c>
      <c r="BG21" s="255">
        <v>82</v>
      </c>
      <c r="BH21" s="252" t="s">
        <v>818</v>
      </c>
      <c r="BI21" s="256" t="s">
        <v>819</v>
      </c>
      <c r="BJ21" s="254" t="s">
        <v>820</v>
      </c>
      <c r="BK21" s="261" t="s">
        <v>179</v>
      </c>
      <c r="BL21" s="282" t="s">
        <v>268</v>
      </c>
      <c r="BM21" s="282" t="s">
        <v>31</v>
      </c>
      <c r="BN21" s="275"/>
    </row>
    <row r="22" spans="1:66" ht="90.75" customHeight="1">
      <c r="A22" s="214" t="s">
        <v>273</v>
      </c>
      <c r="B22" s="206" t="s">
        <v>391</v>
      </c>
      <c r="C22" s="219" t="s">
        <v>271</v>
      </c>
      <c r="D22" s="267" t="s">
        <v>275</v>
      </c>
      <c r="E22" s="251">
        <v>83</v>
      </c>
      <c r="F22" s="252" t="s">
        <v>821</v>
      </c>
      <c r="G22" s="256" t="s">
        <v>822</v>
      </c>
      <c r="H22" s="254" t="s">
        <v>823</v>
      </c>
      <c r="I22" s="250" t="s">
        <v>276</v>
      </c>
      <c r="J22" s="255">
        <v>84</v>
      </c>
      <c r="K22" s="252" t="s">
        <v>824</v>
      </c>
      <c r="L22" s="256" t="s">
        <v>825</v>
      </c>
      <c r="M22" s="254" t="s">
        <v>826</v>
      </c>
      <c r="N22" s="267" t="s">
        <v>277</v>
      </c>
      <c r="O22" s="257">
        <v>85</v>
      </c>
      <c r="P22" s="252" t="s">
        <v>827</v>
      </c>
      <c r="Q22" s="256" t="s">
        <v>828</v>
      </c>
      <c r="R22" s="254" t="s">
        <v>829</v>
      </c>
      <c r="S22" s="250" t="s">
        <v>278</v>
      </c>
      <c r="T22" s="255">
        <v>86</v>
      </c>
      <c r="U22" s="252" t="s">
        <v>830</v>
      </c>
      <c r="V22" s="256" t="s">
        <v>831</v>
      </c>
      <c r="W22" s="254" t="s">
        <v>832</v>
      </c>
      <c r="X22" s="270"/>
      <c r="Y22" s="255"/>
      <c r="Z22" s="255"/>
      <c r="AA22" s="255"/>
      <c r="AB22" s="259"/>
      <c r="AC22" s="270"/>
      <c r="AD22" s="255"/>
      <c r="AE22" s="255"/>
      <c r="AF22" s="255"/>
      <c r="AG22" s="259"/>
      <c r="AH22" s="270"/>
      <c r="AI22" s="271"/>
      <c r="AJ22" s="255"/>
      <c r="AK22" s="255"/>
      <c r="AL22" s="259"/>
      <c r="AM22" s="298" t="s">
        <v>263</v>
      </c>
      <c r="AN22" s="274"/>
      <c r="AO22" s="274"/>
      <c r="AP22" s="274"/>
      <c r="AQ22" s="255" t="s">
        <v>279</v>
      </c>
      <c r="AR22" s="255">
        <v>88</v>
      </c>
      <c r="AS22" s="252" t="s">
        <v>833</v>
      </c>
      <c r="AT22" s="256" t="s">
        <v>834</v>
      </c>
      <c r="AU22" s="254" t="s">
        <v>835</v>
      </c>
      <c r="AV22" s="250" t="s">
        <v>280</v>
      </c>
      <c r="AW22" s="255">
        <v>89</v>
      </c>
      <c r="AX22" s="252" t="s">
        <v>836</v>
      </c>
      <c r="AY22" s="256" t="s">
        <v>837</v>
      </c>
      <c r="AZ22" s="254" t="s">
        <v>838</v>
      </c>
      <c r="BA22" s="250" t="s">
        <v>281</v>
      </c>
      <c r="BB22" s="255">
        <v>93</v>
      </c>
      <c r="BC22" s="252" t="s">
        <v>839</v>
      </c>
      <c r="BD22" s="256" t="s">
        <v>840</v>
      </c>
      <c r="BE22" s="254" t="s">
        <v>841</v>
      </c>
      <c r="BF22" s="250" t="s">
        <v>282</v>
      </c>
      <c r="BG22" s="255">
        <v>94</v>
      </c>
      <c r="BH22" s="252" t="s">
        <v>842</v>
      </c>
      <c r="BI22" s="256" t="s">
        <v>843</v>
      </c>
      <c r="BJ22" s="254" t="s">
        <v>844</v>
      </c>
      <c r="BK22" s="298" t="s">
        <v>283</v>
      </c>
      <c r="BL22" s="282" t="s">
        <v>268</v>
      </c>
      <c r="BM22" s="282" t="s">
        <v>284</v>
      </c>
      <c r="BN22" s="275"/>
    </row>
    <row r="23" spans="1:66" ht="61.5">
      <c r="A23" s="309" t="s">
        <v>290</v>
      </c>
      <c r="B23" s="330" t="s">
        <v>395</v>
      </c>
      <c r="C23" s="331" t="s">
        <v>845</v>
      </c>
      <c r="D23" s="332" t="s">
        <v>292</v>
      </c>
      <c r="E23" s="218">
        <v>154</v>
      </c>
      <c r="F23" s="312" t="s">
        <v>846</v>
      </c>
      <c r="G23" s="313" t="s">
        <v>847</v>
      </c>
      <c r="H23" s="314" t="s">
        <v>848</v>
      </c>
      <c r="I23" s="332" t="s">
        <v>293</v>
      </c>
      <c r="J23" s="315">
        <v>155</v>
      </c>
      <c r="K23" s="312" t="s">
        <v>849</v>
      </c>
      <c r="L23" s="313" t="s">
        <v>850</v>
      </c>
      <c r="M23" s="314" t="s">
        <v>851</v>
      </c>
      <c r="N23" s="332" t="s">
        <v>294</v>
      </c>
      <c r="O23" s="333">
        <v>156</v>
      </c>
      <c r="P23" s="312" t="s">
        <v>852</v>
      </c>
      <c r="Q23" s="313" t="s">
        <v>853</v>
      </c>
      <c r="R23" s="314" t="s">
        <v>854</v>
      </c>
      <c r="S23" s="332"/>
      <c r="T23" s="315"/>
      <c r="U23" s="315"/>
      <c r="V23" s="315"/>
      <c r="W23" s="318"/>
      <c r="X23" s="332"/>
      <c r="Y23" s="315"/>
      <c r="Z23" s="315"/>
      <c r="AA23" s="315"/>
      <c r="AB23" s="318"/>
      <c r="AC23" s="332"/>
      <c r="AD23" s="315"/>
      <c r="AE23" s="315"/>
      <c r="AF23" s="315"/>
      <c r="AG23" s="318"/>
      <c r="AH23" s="332"/>
      <c r="AI23" s="315"/>
      <c r="AJ23" s="315"/>
      <c r="AK23" s="315"/>
      <c r="AL23" s="318"/>
      <c r="AM23" s="334" t="s">
        <v>295</v>
      </c>
      <c r="AN23" s="335"/>
      <c r="AO23" s="335"/>
      <c r="AP23" s="335"/>
      <c r="AQ23" s="315"/>
      <c r="AR23" s="315"/>
      <c r="AS23" s="315"/>
      <c r="AT23" s="315"/>
      <c r="AU23" s="318"/>
      <c r="AV23" s="332"/>
      <c r="AW23" s="315"/>
      <c r="AX23" s="315"/>
      <c r="AY23" s="315"/>
      <c r="AZ23" s="318"/>
      <c r="BA23" s="332"/>
      <c r="BB23" s="315"/>
      <c r="BC23" s="315"/>
      <c r="BD23" s="315"/>
      <c r="BE23" s="318"/>
      <c r="BF23" s="332"/>
      <c r="BG23" s="315"/>
      <c r="BH23" s="315"/>
      <c r="BI23" s="315"/>
      <c r="BJ23" s="318"/>
      <c r="BK23" s="334"/>
      <c r="BL23" s="336"/>
      <c r="BM23" s="336"/>
      <c r="BN23" s="337"/>
    </row>
    <row r="24" spans="1:66" ht="49.5" customHeight="1">
      <c r="A24" s="242" t="s">
        <v>298</v>
      </c>
      <c r="B24" s="247" t="s">
        <v>399</v>
      </c>
      <c r="C24" s="243" t="s">
        <v>296</v>
      </c>
      <c r="D24" s="267" t="s">
        <v>300</v>
      </c>
      <c r="E24" s="251"/>
      <c r="F24" s="255"/>
      <c r="H24" s="255"/>
      <c r="I24" s="267" t="s">
        <v>301</v>
      </c>
      <c r="J24" s="255"/>
      <c r="K24" s="255"/>
      <c r="L24" s="255" t="s">
        <v>855</v>
      </c>
      <c r="M24" s="259"/>
      <c r="N24" s="267" t="s">
        <v>302</v>
      </c>
      <c r="O24" s="257"/>
      <c r="P24" s="255"/>
      <c r="Q24" s="255" t="s">
        <v>856</v>
      </c>
      <c r="R24" s="259"/>
      <c r="S24" s="250"/>
      <c r="T24" s="255"/>
      <c r="U24" s="255"/>
      <c r="V24" s="255"/>
      <c r="W24" s="259"/>
      <c r="X24" s="270"/>
      <c r="Y24" s="255"/>
      <c r="Z24" s="255"/>
      <c r="AA24" s="255"/>
      <c r="AB24" s="259"/>
      <c r="AC24" s="270"/>
      <c r="AD24" s="255"/>
      <c r="AE24" s="255"/>
      <c r="AF24" s="255"/>
      <c r="AG24" s="259"/>
      <c r="AH24" s="270"/>
      <c r="AI24" s="271"/>
      <c r="AJ24" s="255"/>
      <c r="AK24" s="255"/>
      <c r="AL24" s="259"/>
      <c r="AM24" s="273"/>
      <c r="AN24" s="274"/>
      <c r="AO24" s="274"/>
      <c r="AP24" s="274"/>
      <c r="AQ24" s="271"/>
      <c r="AR24" s="271"/>
      <c r="AS24" s="255"/>
      <c r="AT24" s="255"/>
      <c r="AU24" s="259"/>
      <c r="AV24" s="270"/>
      <c r="AW24" s="271"/>
      <c r="AX24" s="255"/>
      <c r="AY24" s="255"/>
      <c r="AZ24" s="259"/>
      <c r="BA24" s="270"/>
      <c r="BB24" s="271"/>
      <c r="BC24" s="255"/>
      <c r="BD24" s="255"/>
      <c r="BE24" s="259"/>
      <c r="BF24" s="270"/>
      <c r="BG24" s="271"/>
      <c r="BH24" s="255"/>
      <c r="BI24" s="255"/>
      <c r="BJ24" s="259"/>
      <c r="BK24" s="273"/>
      <c r="BL24" s="274"/>
      <c r="BM24" s="274"/>
      <c r="BN24" s="275"/>
    </row>
  </sheetData>
  <hyperlinks>
    <hyperlink ref="AM3" r:id="rId1" xr:uid="{D96C028D-7C88-48F7-BE06-C563571D532B}"/>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89D45-3666-4083-B618-0E51DDF6F8B8}">
  <dimension ref="A1:AF1004"/>
  <sheetViews>
    <sheetView topLeftCell="D1" workbookViewId="0">
      <selection activeCell="D6" sqref="D6"/>
    </sheetView>
  </sheetViews>
  <sheetFormatPr defaultColWidth="11" defaultRowHeight="14.1"/>
  <cols>
    <col min="1" max="1" width="21.375" customWidth="1"/>
    <col min="2" max="2" width="9"/>
    <col min="3" max="3" width="15.5" customWidth="1"/>
    <col min="4" max="4" width="102.375" customWidth="1"/>
    <col min="5" max="5" width="14.625" customWidth="1"/>
    <col min="6" max="6" width="35.375" customWidth="1"/>
    <col min="7" max="8" width="9"/>
    <col min="9" max="9" width="32.375" customWidth="1"/>
    <col min="10" max="11" width="31.125" customWidth="1"/>
    <col min="12" max="12" width="29.125" customWidth="1"/>
  </cols>
  <sheetData>
    <row r="1" spans="1:32">
      <c r="A1" s="16"/>
      <c r="B1" s="16"/>
      <c r="C1" s="16"/>
      <c r="D1" s="17"/>
      <c r="E1" s="17"/>
      <c r="F1" s="17"/>
      <c r="G1" s="18"/>
      <c r="H1" s="17"/>
      <c r="I1" s="18"/>
      <c r="J1" s="18"/>
      <c r="K1" s="18"/>
      <c r="L1" s="18"/>
      <c r="M1" s="19"/>
      <c r="N1" s="19"/>
      <c r="O1" s="19"/>
      <c r="P1" s="19"/>
      <c r="Q1" s="19"/>
      <c r="R1" s="19"/>
      <c r="S1" s="19"/>
      <c r="T1" s="19"/>
      <c r="U1" s="19"/>
      <c r="V1" s="19"/>
      <c r="W1" s="19"/>
      <c r="X1" s="19"/>
      <c r="Y1" s="19"/>
      <c r="Z1" s="19"/>
      <c r="AA1" s="19"/>
      <c r="AB1" s="19"/>
      <c r="AC1" s="19"/>
      <c r="AD1" s="19"/>
      <c r="AE1" s="19"/>
      <c r="AF1" s="19"/>
    </row>
    <row r="2" spans="1:32">
      <c r="A2" s="201" t="s">
        <v>857</v>
      </c>
      <c r="B2" s="338"/>
      <c r="C2" s="338"/>
      <c r="D2" s="338"/>
      <c r="E2" s="338"/>
      <c r="F2" s="338"/>
      <c r="G2" s="338"/>
      <c r="I2" s="20"/>
      <c r="J2" s="20"/>
      <c r="K2" s="20"/>
      <c r="L2" s="20"/>
    </row>
    <row r="3" spans="1:32">
      <c r="A3" s="338"/>
      <c r="B3" s="338"/>
      <c r="C3" s="338"/>
      <c r="D3" s="338"/>
      <c r="E3" s="338"/>
      <c r="F3" s="338"/>
      <c r="G3" s="338"/>
      <c r="H3" s="21"/>
      <c r="I3" s="20"/>
      <c r="J3" s="20"/>
      <c r="K3" s="20"/>
      <c r="L3" s="20"/>
    </row>
    <row r="4" spans="1:32">
      <c r="A4" s="16"/>
      <c r="B4" s="16"/>
      <c r="C4" s="16"/>
      <c r="D4" s="17"/>
      <c r="E4" s="17"/>
      <c r="F4" s="17"/>
      <c r="G4" s="18"/>
      <c r="H4" s="17"/>
      <c r="I4" s="18"/>
      <c r="J4" s="18"/>
      <c r="K4" s="18"/>
      <c r="L4" s="18"/>
      <c r="M4" s="19"/>
      <c r="N4" s="19"/>
      <c r="O4" s="19"/>
      <c r="P4" s="19"/>
      <c r="Q4" s="19"/>
      <c r="R4" s="19"/>
      <c r="S4" s="19"/>
      <c r="T4" s="19"/>
      <c r="U4" s="19"/>
      <c r="V4" s="19"/>
      <c r="W4" s="19"/>
      <c r="X4" s="19"/>
      <c r="Y4" s="19"/>
      <c r="Z4" s="19"/>
      <c r="AA4" s="19"/>
      <c r="AB4" s="19"/>
      <c r="AC4" s="19"/>
      <c r="AD4" s="19"/>
      <c r="AE4" s="19"/>
      <c r="AF4" s="19"/>
    </row>
    <row r="5" spans="1:32" ht="33.950000000000003">
      <c r="A5" s="16" t="s">
        <v>858</v>
      </c>
      <c r="B5" s="16" t="s">
        <v>859</v>
      </c>
      <c r="C5" s="16" t="s">
        <v>860</v>
      </c>
      <c r="D5" s="17" t="s">
        <v>861</v>
      </c>
      <c r="E5" s="17" t="s">
        <v>862</v>
      </c>
      <c r="F5" s="17" t="s">
        <v>863</v>
      </c>
      <c r="G5" s="18"/>
      <c r="H5" s="17" t="s">
        <v>864</v>
      </c>
      <c r="I5" s="22" t="s">
        <v>865</v>
      </c>
      <c r="J5" s="22" t="s">
        <v>866</v>
      </c>
      <c r="K5" s="22" t="s">
        <v>867</v>
      </c>
      <c r="L5" s="22" t="s">
        <v>868</v>
      </c>
      <c r="M5" s="19"/>
      <c r="N5" s="19"/>
      <c r="O5" s="19"/>
      <c r="P5" s="19"/>
      <c r="Q5" s="19"/>
      <c r="R5" s="19"/>
      <c r="S5" s="19"/>
      <c r="T5" s="19"/>
      <c r="U5" s="19"/>
      <c r="V5" s="19"/>
      <c r="W5" s="19"/>
      <c r="X5" s="19"/>
      <c r="Y5" s="19"/>
      <c r="Z5" s="19"/>
      <c r="AA5" s="19"/>
      <c r="AB5" s="19"/>
      <c r="AC5" s="19"/>
      <c r="AD5" s="19"/>
      <c r="AE5" s="19"/>
      <c r="AF5" s="19"/>
    </row>
    <row r="6" spans="1:32" ht="57.75">
      <c r="A6" s="23" t="s">
        <v>869</v>
      </c>
      <c r="B6" s="24" t="s">
        <v>870</v>
      </c>
      <c r="C6" s="23" t="s">
        <v>871</v>
      </c>
      <c r="D6" s="25" t="s">
        <v>592</v>
      </c>
      <c r="E6" s="25"/>
      <c r="F6" s="26"/>
      <c r="G6" s="27"/>
      <c r="H6" s="28"/>
      <c r="I6" s="27"/>
      <c r="J6" s="29" t="str">
        <f ca="1">IFERROR(__xludf.DUMMYFUNCTION("GOOGLETRANSLATE(D6, ""pt"", ""zu"")"),"Kuyo yonke imibuzo ehlobene nemithi noma izindlela zokwelapha kanye nokuncelisa ibele, thintana ne-http: //ww.le-lactancia.org")</f>
        <v>Kuyo yonke imibuzo ehlobene nemithi noma izindlela zokwelapha kanye nokuncelisa ibele, thintana ne-http: //ww.le-lactancia.org</v>
      </c>
      <c r="K6" s="29"/>
      <c r="L6" s="20" t="str">
        <f ca="1">IFERROR(__xludf.DUMMYFUNCTION("GOOGLETRANSLATE(D6, ""pt"", ""af"")"),"Raadpleeg http://www.e-lactancia.org vir alle vrae wat verband hou met medisyne of behandelings en borsvoeding")</f>
        <v>Raadpleeg http://www.e-lactancia.org vir alle vrae wat verband hou met medisyne of behandelings en borsvoeding</v>
      </c>
      <c r="M6" s="30"/>
      <c r="N6" s="30"/>
      <c r="O6" s="30"/>
      <c r="P6" s="30"/>
      <c r="Q6" s="30"/>
      <c r="R6" s="30"/>
      <c r="S6" s="30"/>
      <c r="T6" s="30"/>
      <c r="U6" s="30"/>
      <c r="V6" s="30"/>
      <c r="W6" s="30"/>
      <c r="X6" s="30"/>
      <c r="Y6" s="30"/>
      <c r="Z6" s="30"/>
      <c r="AA6" s="30"/>
      <c r="AB6" s="30"/>
      <c r="AC6" s="30"/>
      <c r="AD6" s="30"/>
      <c r="AE6" s="30"/>
      <c r="AF6" s="30"/>
    </row>
    <row r="7" spans="1:32" ht="42">
      <c r="A7" s="23" t="s">
        <v>869</v>
      </c>
      <c r="B7" s="24" t="s">
        <v>872</v>
      </c>
      <c r="C7" s="23" t="s">
        <v>871</v>
      </c>
      <c r="D7" s="25" t="s">
        <v>873</v>
      </c>
      <c r="E7" s="31" t="s">
        <v>874</v>
      </c>
      <c r="F7" s="25"/>
      <c r="G7" s="27"/>
      <c r="H7" s="25"/>
      <c r="I7" s="27"/>
      <c r="J7" s="29" t="str">
        <f ca="1">IFERROR(__xludf.DUMMYFUNCTION("GOOGLETRANSLATE(D7, ""pt"", ""zu"")"),"Thintana nesiza 📚")</f>
        <v>Thintana nesiza 📚</v>
      </c>
      <c r="K7" s="29"/>
      <c r="L7" s="20" t="str">
        <f ca="1">IFERROR(__xludf.DUMMYFUNCTION("GOOGLETRANSLATE(D7, ""pt"", ""af"")"),"Raadpleeg die webwerf 📚")</f>
        <v>Raadpleeg die webwerf 📚</v>
      </c>
      <c r="M7" s="30"/>
      <c r="N7" s="30"/>
      <c r="O7" s="30"/>
      <c r="P7" s="30"/>
      <c r="Q7" s="30"/>
      <c r="R7" s="30"/>
      <c r="S7" s="30"/>
      <c r="T7" s="30"/>
      <c r="U7" s="30"/>
      <c r="V7" s="30"/>
      <c r="W7" s="30"/>
      <c r="X7" s="30"/>
      <c r="Y7" s="30"/>
      <c r="Z7" s="30"/>
      <c r="AA7" s="30"/>
      <c r="AB7" s="30"/>
      <c r="AC7" s="30"/>
      <c r="AD7" s="30"/>
      <c r="AE7" s="30"/>
      <c r="AF7" s="30"/>
    </row>
    <row r="8" spans="1:32" ht="69.95">
      <c r="A8" s="23" t="s">
        <v>869</v>
      </c>
      <c r="B8" s="24" t="s">
        <v>870</v>
      </c>
      <c r="C8" s="23" t="s">
        <v>875</v>
      </c>
      <c r="D8" s="25" t="s">
        <v>876</v>
      </c>
      <c r="E8" s="25"/>
      <c r="F8" s="26"/>
      <c r="G8" s="27"/>
      <c r="H8" s="28"/>
      <c r="I8" s="27"/>
      <c r="J8" s="29" t="str">
        <f ca="1">IFERROR(__xludf.DUMMYFUNCTION("GOOGLETRANSLATE(D8, ""pt"", ""zu"")"),"Izingono ze-Silicone / Latex aziluleki ⚠ ngoba azigcini nje ngokubonga isibambo esingewona ngokwemvelo kepha ziphazamise ukuncelisa ibele.")</f>
        <v>Izingono ze-Silicone / Latex aziluleki ⚠ ngoba azigcini nje ngokubonga isibambo esingewona ngokwemvelo kepha ziphazamise ukuncelisa ibele.</v>
      </c>
      <c r="K8" s="29"/>
      <c r="L8" s="20" t="str">
        <f ca="1">IFERROR(__xludf.DUMMYFUNCTION("GOOGLETRANSLATE(D8, ""pt"", ""af"")"),"Silikoon/latex -tepels is nie raadsaam nie ⚠ omdat dit nie net 'n onnatuurlike handvatsel modelleer nie, maar om borsvoeding te beïnvloed.")</f>
        <v>Silikoon/latex -tepels is nie raadsaam nie ⚠ omdat dit nie net 'n onnatuurlike handvatsel modelleer nie, maar om borsvoeding te beïnvloed.</v>
      </c>
      <c r="M8" s="30"/>
      <c r="N8" s="30"/>
      <c r="O8" s="30"/>
      <c r="P8" s="30"/>
      <c r="Q8" s="30"/>
      <c r="R8" s="30"/>
      <c r="S8" s="30"/>
      <c r="T8" s="30"/>
      <c r="U8" s="30"/>
      <c r="V8" s="30"/>
      <c r="W8" s="30"/>
      <c r="X8" s="30"/>
      <c r="Y8" s="30"/>
      <c r="Z8" s="30"/>
      <c r="AA8" s="30"/>
      <c r="AB8" s="30"/>
      <c r="AC8" s="30"/>
      <c r="AD8" s="30"/>
      <c r="AE8" s="30"/>
      <c r="AF8" s="30"/>
    </row>
    <row r="9" spans="1:32" ht="75">
      <c r="A9" s="23" t="s">
        <v>869</v>
      </c>
      <c r="B9" s="24" t="s">
        <v>870</v>
      </c>
      <c r="C9" s="23" t="s">
        <v>875</v>
      </c>
      <c r="D9" s="25" t="s">
        <v>694</v>
      </c>
      <c r="E9" s="25"/>
      <c r="F9" s="96"/>
      <c r="G9" s="27"/>
      <c r="H9" s="96"/>
      <c r="I9" s="27"/>
      <c r="J9" s="29" t="str">
        <f ca="1">IFERROR(__xludf.DUMMYFUNCTION("GOOGLETRANSLATE(D9, ""pt"", ""zu"")"),"Uma uyazi inqubo yokulungisa isibambo sengane ungahle uhlanzeke futhi uvele uyeke ukubeka ingono ye-silicone futhi ugcizelela ngesibambo. 🤱")</f>
        <v>Uma uyazi inqubo yokulungisa isibambo sengane ungahle uhlanzeke futhi uvele uyeke ukubeka ingono ye-silicone futhi ugcizelela ngesibambo. 🤱</v>
      </c>
      <c r="K9" s="29"/>
      <c r="L9" s="20" t="str">
        <f ca="1">IFERROR(__xludf.DUMMYFUNCTION("GOOGLETRANSLATE(D9, ""pt"", ""af"")"),"As u weet wat die tegniek is om die baba se handvatsel reg te stel, kan u suiwer en eenvoudig ophou om die silikoon -tepel te plaas en aan te dring met die handvatsel. 🤱")</f>
        <v>As u weet wat die tegniek is om die baba se handvatsel reg te stel, kan u suiwer en eenvoudig ophou om die silikoon -tepel te plaas en aan te dring met die handvatsel. 🤱</v>
      </c>
      <c r="M9" s="30"/>
      <c r="N9" s="30"/>
      <c r="O9" s="30"/>
      <c r="P9" s="30"/>
      <c r="Q9" s="30"/>
      <c r="R9" s="30"/>
      <c r="S9" s="30"/>
      <c r="T9" s="30"/>
      <c r="U9" s="30"/>
      <c r="V9" s="30"/>
      <c r="W9" s="30"/>
      <c r="X9" s="30"/>
      <c r="Y9" s="30"/>
      <c r="Z9" s="30"/>
      <c r="AA9" s="30"/>
      <c r="AB9" s="30"/>
      <c r="AC9" s="30"/>
      <c r="AD9" s="30"/>
      <c r="AE9" s="30"/>
      <c r="AF9" s="30"/>
    </row>
    <row r="10" spans="1:32" ht="45">
      <c r="A10" s="23" t="s">
        <v>869</v>
      </c>
      <c r="B10" s="24" t="s">
        <v>870</v>
      </c>
      <c r="C10" s="23" t="s">
        <v>875</v>
      </c>
      <c r="D10" s="25" t="s">
        <v>877</v>
      </c>
      <c r="E10" s="25"/>
      <c r="F10" s="25" t="s">
        <v>878</v>
      </c>
      <c r="G10" s="27"/>
      <c r="H10" s="25"/>
      <c r="I10" s="27" t="str">
        <f ca="1">IFERROR(__xludf.DUMMYFUNCTION("GOOGLETRANSLATE(F10, ""en"", ""zu"")"),"Uma unezinkinga ngokuthola i-latch enhle, kufanele uthintane nomeluleki we-lactation ukuthola usizo.")</f>
        <v>Uma unezinkinga ngokuthola i-latch enhle, kufanele uthintane nomeluleki we-lactation ukuthola usizo.</v>
      </c>
      <c r="J10" s="29" t="str">
        <f ca="1">IFERROR(__xludf.DUMMYFUNCTION("GOOGLETRANSLATE(D10, ""pt"", ""zu"")"),"Uma unakho noma ube nobunzima ngesibambo kufanele uthinte i-cam ukukusiza kulolu shintsho.")</f>
        <v>Uma unakho noma ube nobunzima ngesibambo kufanele uthinte i-cam ukukusiza kulolu shintsho.</v>
      </c>
      <c r="K10" s="29" t="str">
        <f ca="1">IFERROR(__xludf.DUMMYFUNCTION("GOOGLETRANSLATE(F10, ""en"", ""af"")"),"As u probleme het om 'n goeie grendel te kry, moet u 'n laktasiekonsultant kontak vir hulp.")</f>
        <v>As u probleme het om 'n goeie grendel te kry, moet u 'n laktasiekonsultant kontak vir hulp.</v>
      </c>
      <c r="L10" s="20" t="str">
        <f ca="1">IFERROR(__xludf.DUMMYFUNCTION("GOOGLETRANSLATE(D10, ""pt"", ""af"")"),"As u probleme ondervind met die handvatsel, moet u 'n nok kontak om u te help met hierdie oorgang.")</f>
        <v>As u probleme ondervind met die handvatsel, moet u 'n nok kontak om u te help met hierdie oorgang.</v>
      </c>
      <c r="M10" s="30"/>
      <c r="N10" s="30"/>
      <c r="O10" s="30"/>
      <c r="P10" s="30"/>
      <c r="Q10" s="30"/>
      <c r="R10" s="30"/>
      <c r="S10" s="30"/>
      <c r="T10" s="30"/>
      <c r="U10" s="30"/>
      <c r="V10" s="30"/>
      <c r="W10" s="30"/>
      <c r="X10" s="30"/>
      <c r="Y10" s="30"/>
      <c r="Z10" s="30"/>
      <c r="AA10" s="30"/>
      <c r="AB10" s="30"/>
      <c r="AC10" s="30"/>
      <c r="AD10" s="30"/>
      <c r="AE10" s="30"/>
      <c r="AF10" s="30"/>
    </row>
    <row r="11" spans="1:32" ht="27.95">
      <c r="A11" s="23" t="s">
        <v>869</v>
      </c>
      <c r="B11" s="24" t="s">
        <v>872</v>
      </c>
      <c r="C11" s="23" t="s">
        <v>875</v>
      </c>
      <c r="D11" s="25" t="s">
        <v>879</v>
      </c>
      <c r="E11" s="25" t="s">
        <v>880</v>
      </c>
      <c r="F11" s="25"/>
      <c r="G11" s="27"/>
      <c r="H11" s="25"/>
      <c r="I11" s="27"/>
      <c r="J11" s="29" t="str">
        <f ca="1">IFERROR(__xludf.DUMMYFUNCTION("GOOGLETRANSLATE(D11, ""pt"", ""zu"")"),"🔎enter cam")</f>
        <v>🔎enter cam</v>
      </c>
      <c r="K11" s="29"/>
      <c r="L11" s="20" t="str">
        <f ca="1">IFERROR(__xludf.DUMMYFUNCTION("GOOGLETRANSLATE(D11, ""pt"", ""af"")"),"🔎 Inenting Cam")</f>
        <v>🔎 Inenting Cam</v>
      </c>
      <c r="M11" s="30"/>
      <c r="N11" s="30"/>
      <c r="O11" s="30"/>
      <c r="P11" s="30"/>
      <c r="Q11" s="30"/>
      <c r="R11" s="30"/>
      <c r="S11" s="30"/>
      <c r="T11" s="30"/>
      <c r="U11" s="30"/>
      <c r="V11" s="30"/>
      <c r="W11" s="30"/>
      <c r="X11" s="30"/>
      <c r="Y11" s="30"/>
      <c r="Z11" s="30"/>
      <c r="AA11" s="30"/>
      <c r="AB11" s="30"/>
      <c r="AC11" s="30"/>
      <c r="AD11" s="30"/>
      <c r="AE11" s="30"/>
      <c r="AF11" s="30"/>
    </row>
    <row r="12" spans="1:32" ht="56.1">
      <c r="A12" s="23" t="s">
        <v>869</v>
      </c>
      <c r="B12" s="24" t="s">
        <v>870</v>
      </c>
      <c r="C12" s="23" t="s">
        <v>881</v>
      </c>
      <c r="D12" s="25" t="s">
        <v>882</v>
      </c>
      <c r="E12" s="25"/>
      <c r="F12" s="25" t="s">
        <v>27</v>
      </c>
      <c r="G12" s="27"/>
      <c r="H12" s="25"/>
      <c r="I12" s="27" t="str">
        <f ca="1">IFERROR(__xludf.DUMMYFUNCTION("GOOGLETRANSLATE(F12, ""en"", ""zu"")"),"Iningi lezesekeli ""ezincelisayo"" zinjalo impela: izesekeli! Futhi akudingekile!")</f>
        <v>Iningi lezesekeli "ezincelisayo" zinjalo impela: izesekeli! Futhi akudingekile!</v>
      </c>
      <c r="J12" s="29" t="str">
        <f ca="1">IFERROR(__xludf.DUMMYFUNCTION("GOOGLETRANSLATE(D12, ""pt"", ""zu"")"),"Iningi lezesekeli ""ezincelisayo"" zezesekeli ezilungile! Futhi ngokungadingekile!")</f>
        <v>Iningi lezesekeli "ezincelisayo" zezesekeli ezilungile! Futhi ngokungadingekile!</v>
      </c>
      <c r="K12" s="29" t="str">
        <f ca="1">IFERROR(__xludf.DUMMYFUNCTION("GOOGLETRANSLATE(F12, ""en"", ""af"")"),"Die oorgrote meerderheid van ""bykomstighede"" is presies dit: bykomstighede! En hulle is onnodig!")</f>
        <v>Die oorgrote meerderheid van "bykomstighede" is presies dit: bykomstighede! En hulle is onnodig!</v>
      </c>
      <c r="L12" s="20" t="str">
        <f ca="1">IFERROR(__xludf.DUMMYFUNCTION("GOOGLETRANSLATE(D12, ""pt"", ""af"")"),"Die oorgrote meerderheid ""bykomstighede"" wat borsvoed, is die regte bykomstighede! En onnodig!")</f>
        <v>Die oorgrote meerderheid "bykomstighede" wat borsvoed, is die regte bykomstighede! En onnodig!</v>
      </c>
      <c r="M12" s="30"/>
      <c r="N12" s="30"/>
      <c r="O12" s="30"/>
      <c r="P12" s="30"/>
      <c r="Q12" s="30"/>
      <c r="R12" s="30"/>
      <c r="S12" s="30"/>
      <c r="T12" s="30"/>
      <c r="U12" s="30"/>
      <c r="V12" s="30"/>
      <c r="W12" s="30"/>
      <c r="X12" s="30"/>
      <c r="Y12" s="30"/>
      <c r="Z12" s="30"/>
      <c r="AA12" s="30"/>
      <c r="AB12" s="30"/>
      <c r="AC12" s="30"/>
      <c r="AD12" s="30"/>
      <c r="AE12" s="30"/>
      <c r="AF12" s="30"/>
    </row>
    <row r="13" spans="1:32" ht="56.1">
      <c r="A13" s="23" t="s">
        <v>869</v>
      </c>
      <c r="B13" s="24" t="s">
        <v>870</v>
      </c>
      <c r="C13" s="23" t="s">
        <v>881</v>
      </c>
      <c r="D13" s="25" t="s">
        <v>883</v>
      </c>
      <c r="E13" s="25"/>
      <c r="F13" s="25" t="s">
        <v>28</v>
      </c>
      <c r="G13" s="27"/>
      <c r="H13" s="25"/>
      <c r="I13" s="27" t="str">
        <f ca="1">IFERROR(__xludf.DUMMYFUNCTION("GOOGLETRANSLATE(F13, ""en"", ""zu"")"),"Amaphakethe ahlengikazi namagobolondo ebele angasebenza uma ungavumeli izingono zakho umoya womile.")</f>
        <v>Amaphakethe ahlengikazi namagobolondo ebele angasebenza uma ungavumeli izingono zakho umoya womile.</v>
      </c>
      <c r="J13" s="29" t="str">
        <f ca="1">IFERROR(__xludf.DUMMYFUNCTION("GOOGLETRANSLATE(D13, ""pt"", ""zu"")"),"Amagobolondo nabavikeli bangakwenza uma ungavumeli ibele lome emoyeni.")</f>
        <v>Amagobolondo nabavikeli bangakwenza uma ungavumeli ibele lome emoyeni.</v>
      </c>
      <c r="K13" s="29" t="str">
        <f ca="1">IFERROR(__xludf.DUMMYFUNCTION("GOOGLETRANSLATE(F13, ""en"", ""af"")"),"Verpleegkussings en borsskille kan werk as u nie die tepels kan laat droog word nie.")</f>
        <v>Verpleegkussings en borsskille kan werk as u nie die tepels kan laat droog word nie.</v>
      </c>
      <c r="L13" s="20" t="str">
        <f ca="1">IFERROR(__xludf.DUMMYFUNCTION("GOOGLETRANSLATE(D13, ""pt"", ""af"")"),"Skulpe en beskermers kan dit doen as u nie die bors in die lug kan laat droog word nie.")</f>
        <v>Skulpe en beskermers kan dit doen as u nie die bors in die lug kan laat droog word nie.</v>
      </c>
      <c r="M13" s="30"/>
      <c r="N13" s="30"/>
      <c r="O13" s="30"/>
      <c r="P13" s="30"/>
      <c r="Q13" s="30"/>
      <c r="R13" s="30"/>
      <c r="S13" s="30"/>
      <c r="T13" s="30"/>
      <c r="U13" s="30"/>
      <c r="V13" s="30"/>
      <c r="W13" s="30"/>
      <c r="X13" s="30"/>
      <c r="Y13" s="30"/>
      <c r="Z13" s="30"/>
      <c r="AA13" s="30"/>
      <c r="AB13" s="30"/>
      <c r="AC13" s="30"/>
      <c r="AD13" s="30"/>
      <c r="AE13" s="30"/>
      <c r="AF13" s="30"/>
    </row>
    <row r="14" spans="1:32" ht="105">
      <c r="A14" s="23" t="s">
        <v>869</v>
      </c>
      <c r="B14" s="24" t="s">
        <v>870</v>
      </c>
      <c r="C14" s="23" t="s">
        <v>884</v>
      </c>
      <c r="D14" s="25" t="s">
        <v>583</v>
      </c>
      <c r="E14" s="25"/>
      <c r="F14" s="25" t="s">
        <v>885</v>
      </c>
      <c r="G14" s="27"/>
      <c r="H14" s="25"/>
      <c r="I14" s="27" t="str">
        <f ca="1">IFERROR(__xludf.DUMMYFUNCTION("GOOGLETRANSLATE(F14, ""en"", ""zu"")"),"Ukube ube nemikhawulo yokudla ngesikhathi sokukhulelwa (ngenxa ye-toxoplasmosis, ngokwesibonelo), awudingi ukuqhubeka nokukhawula ekudleni kwakho ngesikhathi sokuncelisa ibele. 🍽🤱")</f>
        <v>Ukube ube nemikhawulo yokudla ngesikhathi sokukhulelwa (ngenxa ye-toxoplasmosis, ngokwesibonelo), awudingi ukuqhubeka nokukhawula ekudleni kwakho ngesikhathi sokuncelisa ibele. 🍽🤱</v>
      </c>
      <c r="J14" s="29" t="str">
        <f ca="1">IFERROR(__xludf.DUMMYFUNCTION("GOOGLETRANSLATE(D14, ""pt"", ""zu"")"),"Lapho uncelisa futhi noma ngabe uke waba nemikhawulo yokudla ngesikhathi sokukhulelwa (i-toxoplasmosis engemihle, ngokwesibonelo) akudingeki uhlale ukhawulelwe ngesikhathi sokuncelisa ibele. 🍽🤱")</f>
        <v>Lapho uncelisa futhi noma ngabe uke waba nemikhawulo yokudla ngesikhathi sokukhulelwa (i-toxoplasmosis engemihle, ngokwesibonelo) akudingeki uhlale ukhawulelwe ngesikhathi sokuncelisa ibele. 🍽🤱</v>
      </c>
      <c r="K14" s="29" t="str">
        <f ca="1">IFERROR(__xludf.DUMMYFUNCTION("GOOGLETRANSLATE(F14, ""en"", ""af"")"),"As u dieetbeperkings tydens swangerskap gehad het (byvoorbeeld as gevolg van toksoplasmose), hoef u nie u dieet te beperk tydens borsvoeding nie. 🍽🤱")</f>
        <v>As u dieetbeperkings tydens swangerskap gehad het (byvoorbeeld as gevolg van toksoplasmose), hoef u nie u dieet te beperk tydens borsvoeding nie. 🍽🤱</v>
      </c>
      <c r="L14" s="20" t="str">
        <f ca="1">IFERROR(__xludf.DUMMYFUNCTION("GOOGLETRANSLATE(D14, ""pt"", ""af"")"),"As u borsvoed en selfs as u voedselbeperkings tydens swangerskap gehad het (byvoorbeeld negatiewe toksoplasmose), hoef dit nie beperk te bly tydens borsvoeding nie. 🍽🤱")</f>
        <v>As u borsvoed en selfs as u voedselbeperkings tydens swangerskap gehad het (byvoorbeeld negatiewe toksoplasmose), hoef dit nie beperk te bly tydens borsvoeding nie. 🍽🤱</v>
      </c>
      <c r="M14" s="30"/>
      <c r="N14" s="30"/>
      <c r="O14" s="30"/>
      <c r="P14" s="30"/>
      <c r="Q14" s="30"/>
      <c r="R14" s="30"/>
      <c r="S14" s="30"/>
      <c r="T14" s="30"/>
      <c r="U14" s="30"/>
      <c r="V14" s="30"/>
      <c r="W14" s="30"/>
      <c r="X14" s="30"/>
      <c r="Y14" s="30"/>
      <c r="Z14" s="30"/>
      <c r="AA14" s="30"/>
      <c r="AB14" s="30"/>
      <c r="AC14" s="30"/>
      <c r="AD14" s="30"/>
      <c r="AE14" s="30"/>
      <c r="AF14" s="30"/>
    </row>
    <row r="15" spans="1:32" ht="45">
      <c r="A15" s="23" t="s">
        <v>869</v>
      </c>
      <c r="B15" s="24" t="s">
        <v>870</v>
      </c>
      <c r="C15" s="23" t="s">
        <v>884</v>
      </c>
      <c r="D15" s="25" t="s">
        <v>586</v>
      </c>
      <c r="E15" s="25"/>
      <c r="F15" s="25" t="s">
        <v>45</v>
      </c>
      <c r="G15" s="27"/>
      <c r="H15" s="25"/>
      <c r="I15" s="27" t="str">
        <f ca="1">IFERROR(__xludf.DUMMYFUNCTION("GOOGLETRANSLATE(F15, ""en"", ""zu"")"),"Kulesi sigaba kuphela izidakamizwa, utshwala nemithi ethile yimikhawulo. ⛔")</f>
        <v>Kulesi sigaba kuphela izidakamizwa, utshwala nemithi ethile yimikhawulo. ⛔</v>
      </c>
      <c r="J15" s="29" t="str">
        <f ca="1">IFERROR(__xludf.DUMMYFUNCTION("GOOGLETRANSLATE(D15, ""pt"", ""zu"")"),"Kulesi sigaba kuphela izidakamizwa, utshwala kanye nemithi ethile yenqatshelwe. ⛔")</f>
        <v>Kulesi sigaba kuphela izidakamizwa, utshwala kanye nemithi ethile yenqatshelwe. ⛔</v>
      </c>
      <c r="K15" s="29" t="str">
        <f ca="1">IFERROR(__xludf.DUMMYFUNCTION("GOOGLETRANSLATE(F15, ""en"", ""af"")"),"Op hierdie stadium is slegs dwelms, alkohol en sommige medikasie buite die perke. ⛔")</f>
        <v>Op hierdie stadium is slegs dwelms, alkohol en sommige medikasie buite die perke. ⛔</v>
      </c>
      <c r="L15" s="20" t="str">
        <f ca="1">IFERROR(__xludf.DUMMYFUNCTION("GOOGLETRANSLATE(D15, ""pt"", ""af"")"),"In hierdie fase is slegs dwelms, alkohol en sommige medikasie enigsins verbode. ⛔")</f>
        <v>In hierdie fase is slegs dwelms, alkohol en sommige medikasie enigsins verbode. ⛔</v>
      </c>
      <c r="M15" s="30"/>
      <c r="N15" s="30"/>
      <c r="O15" s="30"/>
      <c r="P15" s="30"/>
      <c r="Q15" s="30"/>
      <c r="R15" s="30"/>
      <c r="S15" s="30"/>
      <c r="T15" s="30"/>
      <c r="U15" s="30"/>
      <c r="V15" s="30"/>
      <c r="W15" s="30"/>
      <c r="X15" s="30"/>
      <c r="Y15" s="30"/>
      <c r="Z15" s="30"/>
      <c r="AA15" s="30"/>
      <c r="AB15" s="30"/>
      <c r="AC15" s="30"/>
      <c r="AD15" s="30"/>
      <c r="AE15" s="30"/>
      <c r="AF15" s="30"/>
    </row>
    <row r="16" spans="1:32" ht="120">
      <c r="A16" s="23" t="s">
        <v>869</v>
      </c>
      <c r="B16" s="24" t="s">
        <v>870</v>
      </c>
      <c r="C16" s="23" t="s">
        <v>884</v>
      </c>
      <c r="D16" s="25" t="s">
        <v>589</v>
      </c>
      <c r="E16" s="25"/>
      <c r="F16" s="25" t="s">
        <v>46</v>
      </c>
      <c r="G16" s="27"/>
      <c r="H16" s="25"/>
      <c r="I16" s="27" t="str">
        <f ca="1">IFERROR(__xludf.DUMMYFUNCTION("GOOGLETRANSLATE(F16, ""en"", ""zu"")"),"Kodwa-ke, kungakuhle ukubheka lokho okuvuselelayo okufana nekhofi ☕ ne-chocolate 🍫 futhi ushokoledi")</f>
        <v>Kodwa-ke, kungakuhle ukubheka lokho okuvuselelayo okufana nekhofi ☕ ne-chocolate 🍫 futhi ushokoledi</v>
      </c>
      <c r="J16" s="29" t="str">
        <f ca="1">IFERROR(__xludf.DUMMYFUNCTION("GOOGLETRANSLATE(D16, ""pt"", ""zu"")"),"Kodwa-ke, kufanele babheke ukuthi ama-Excitants afana nekhofi")</f>
        <v>Kodwa-ke, kufanele babheke ukuthi ama-Excitants afana nekhofi</v>
      </c>
      <c r="K16" s="29" t="str">
        <f ca="1">IFERROR(__xludf.DUMMYFUNCTION("GOOGLETRANSLATE(F16, ""en"", ""af"")"),"Dit is egter raadsaam om in ag te neem dat stimulante soos koffie ☕ en sjokolade 🍫 na borsmelk deurgaan, so dit is die moeite werd om bedag op te hou hoeveel verbruik word en aanvaar dat die baba effens meer wakker sal wees na die volgende voeding.")</f>
        <v>Dit is egter raadsaam om in ag te neem dat stimulante soos koffie ☕ en sjokolade 🍫 na borsmelk deurgaan, so dit is die moeite werd om bedag op te hou hoeveel verbruik word en aanvaar dat die baba effens meer wakker sal wees na die volgende voeding.</v>
      </c>
      <c r="L16" s="20" t="str">
        <f ca="1">IFERROR(__xludf.DUMMYFUNCTION("GOOGLETRANSLATE(D16, ""pt"", ""af"")"),"Hulle moet egter in ag neem dat opwindende persone soos koffie ☕ en sjokolade 🍫 in melk deurgaan. Hulle moet binnekort versigtig wees in die hoeveelhede en aanvaar dat die baba effens meer wakker sal wees na die volgende borsvoeding.")</f>
        <v>Hulle moet egter in ag neem dat opwindende persone soos koffie ☕ en sjokolade 🍫 in melk deurgaan. Hulle moet binnekort versigtig wees in die hoeveelhede en aanvaar dat die baba effens meer wakker sal wees na die volgende borsvoeding.</v>
      </c>
      <c r="M16" s="30"/>
      <c r="N16" s="30"/>
      <c r="O16" s="30"/>
      <c r="P16" s="30"/>
      <c r="Q16" s="30"/>
      <c r="R16" s="30"/>
      <c r="S16" s="30"/>
      <c r="T16" s="30"/>
      <c r="U16" s="30"/>
      <c r="V16" s="30"/>
      <c r="W16" s="30"/>
      <c r="X16" s="30"/>
      <c r="Y16" s="30"/>
      <c r="Z16" s="30"/>
      <c r="AA16" s="30"/>
      <c r="AB16" s="30"/>
      <c r="AC16" s="30"/>
      <c r="AD16" s="30"/>
      <c r="AE16" s="30"/>
      <c r="AF16" s="30"/>
    </row>
    <row r="17" spans="1:32" ht="60">
      <c r="A17" s="23" t="s">
        <v>869</v>
      </c>
      <c r="B17" s="24" t="s">
        <v>870</v>
      </c>
      <c r="C17" s="23" t="s">
        <v>886</v>
      </c>
      <c r="D17" s="25" t="s">
        <v>619</v>
      </c>
      <c r="E17" s="25"/>
      <c r="F17" s="25" t="s">
        <v>99</v>
      </c>
      <c r="G17" s="27"/>
      <c r="H17" s="25"/>
      <c r="I17" s="27" t="str">
        <f ca="1">IFERROR(__xludf.DUMMYFUNCTION("GOOGLETRANSLATE(F17, ""en"", ""zu"")"),"Ngesikhathi sokuncelisa, azikho izinyathelo ezithile zokuphepha eziphathelene nokuhlanzeka kwebele. 🚿")</f>
        <v>Ngesikhathi sokuncelisa, azikho izinyathelo ezithile zokuphepha eziphathelene nokuhlanzeka kwebele. 🚿</v>
      </c>
      <c r="J17" s="29" t="str">
        <f ca="1">IFERROR(__xludf.DUMMYFUNCTION("GOOGLETRANSLATE(D17, ""pt"", ""zu"")"),"Ngesikhathi sokuncelisa ibele ukunakekelwa okuthile okudingekayo mayelana nokuhlanzeka kwebele 🚿.")</f>
        <v>Ngesikhathi sokuncelisa ibele ukunakekelwa okuthile okudingekayo mayelana nokuhlanzeka kwebele 🚿.</v>
      </c>
      <c r="K17" s="29" t="str">
        <f ca="1">IFERROR(__xludf.DUMMYFUNCTION("GOOGLETRANSLATE(F17, ""en"", ""af"")"),"Tydens borsvoeding is daar geen spesifieke voorsorgmaatreëls rakende borshigiëne nie. 🚿")</f>
        <v>Tydens borsvoeding is daar geen spesifieke voorsorgmaatreëls rakende borshigiëne nie. 🚿</v>
      </c>
      <c r="L17" s="20" t="str">
        <f ca="1">IFERROR(__xludf.DUMMYFUNCTION("GOOGLETRANSLATE(D17, ""pt"", ""af"")"),"Tydens borsvoeding is geen spesifieke sorg nodig met betrekking tot borshigiëne nie.")</f>
        <v>Tydens borsvoeding is geen spesifieke sorg nodig met betrekking tot borshigiëne nie.</v>
      </c>
      <c r="M17" s="30"/>
      <c r="N17" s="30"/>
      <c r="O17" s="30"/>
      <c r="P17" s="30"/>
      <c r="Q17" s="30"/>
      <c r="R17" s="30"/>
      <c r="S17" s="30"/>
      <c r="T17" s="30"/>
      <c r="U17" s="30"/>
      <c r="V17" s="30"/>
      <c r="W17" s="30"/>
      <c r="X17" s="30"/>
      <c r="Y17" s="30"/>
      <c r="Z17" s="30"/>
      <c r="AA17" s="30"/>
      <c r="AB17" s="30"/>
      <c r="AC17" s="30"/>
      <c r="AD17" s="30"/>
      <c r="AE17" s="30"/>
      <c r="AF17" s="30"/>
    </row>
    <row r="18" spans="1:32" ht="45">
      <c r="A18" s="23" t="s">
        <v>869</v>
      </c>
      <c r="B18" s="24" t="s">
        <v>870</v>
      </c>
      <c r="C18" s="23" t="s">
        <v>886</v>
      </c>
      <c r="D18" s="25" t="s">
        <v>622</v>
      </c>
      <c r="E18" s="25"/>
      <c r="F18" s="25" t="s">
        <v>887</v>
      </c>
      <c r="G18" s="27"/>
      <c r="H18" s="25"/>
      <c r="I18" s="27" t="str">
        <f ca="1">IFERROR(__xludf.DUMMYFUNCTION("GOOGLETRANSLATE(F18, ""en"", ""zu"")"),"Kufanele nje sigweme ukusebenzisa imikhiqizo yokugeza neyemizimba ngamakha aqinile. ⚠")</f>
        <v>Kufanele nje sigweme ukusebenzisa imikhiqizo yokugeza neyemizimba ngamakha aqinile. ⚠</v>
      </c>
      <c r="J18" s="29" t="str">
        <f ca="1">IFERROR(__xludf.DUMMYFUNCTION("GOOGLETRANSLATE(D18, ""pt"", ""zu"")"),"Kufanele nje sigweme ukusebenzisa imikhiqizo eqinile noma imikhiqizo yokugeza. ⚠")</f>
        <v>Kufanele nje sigweme ukusebenzisa imikhiqizo eqinile noma imikhiqizo yokugeza. ⚠</v>
      </c>
      <c r="K18" s="29" t="str">
        <f ca="1">IFERROR(__xludf.DUMMYFUNCTION("GOOGLETRANSLATE(F18, ""en"", ""af"")"),"Ons moet net vermy om bad- en liggaamsprodukte met sterk geure te gebruik. ⚠")</f>
        <v>Ons moet net vermy om bad- en liggaamsprodukte met sterk geure te gebruik. ⚠</v>
      </c>
      <c r="L18" s="20" t="str">
        <f ca="1">IFERROR(__xludf.DUMMYFUNCTION("GOOGLETRANSLATE(D18, ""pt"", ""af"")"),"Ons moet net vermy om sterk liggaams- of badprodukte te gebruik. ⚠")</f>
        <v>Ons moet net vermy om sterk liggaams- of badprodukte te gebruik. ⚠</v>
      </c>
      <c r="M18" s="30"/>
      <c r="N18" s="30"/>
      <c r="O18" s="30"/>
      <c r="P18" s="30"/>
      <c r="Q18" s="30"/>
      <c r="R18" s="30"/>
      <c r="S18" s="30"/>
      <c r="T18" s="30"/>
      <c r="U18" s="30"/>
      <c r="V18" s="30"/>
      <c r="W18" s="30"/>
      <c r="X18" s="30"/>
      <c r="Y18" s="30"/>
      <c r="Z18" s="30"/>
      <c r="AA18" s="30"/>
      <c r="AB18" s="30"/>
      <c r="AC18" s="30"/>
      <c r="AD18" s="30"/>
      <c r="AE18" s="30"/>
      <c r="AF18" s="30"/>
    </row>
    <row r="19" spans="1:32" ht="111.95">
      <c r="A19" s="23" t="s">
        <v>869</v>
      </c>
      <c r="B19" s="24" t="s">
        <v>870</v>
      </c>
      <c r="C19" s="23" t="s">
        <v>886</v>
      </c>
      <c r="D19" s="25" t="s">
        <v>625</v>
      </c>
      <c r="E19" s="25"/>
      <c r="F19" s="25" t="s">
        <v>101</v>
      </c>
      <c r="G19" s="27"/>
      <c r="H19" s="25"/>
      <c r="I19" s="27" t="str">
        <f ca="1">IFERROR(__xludf.DUMMYFUNCTION("GOOGLETRANSLATE(F19, ""en"", ""zu"")"),"I-moisturizer engcono kakhulu yokuvuselela amabele empeleni ubisi lwebele uqobo, ngakho-ke kuwumqondo omuhle ukusakaza amaconsi ambalwa okugcina 💧 emthonjeni wengono kanye ne-areola bese uwavumele ngemuva kokudla futhi ngaphambi kokugqoka.")</f>
        <v>I-moisturizer engcono kakhulu yokuvuselela amabele empeleni ubisi lwebele uqobo, ngakho-ke kuwumqondo omuhle ukusakaza amaconsi ambalwa okugcina 💧 emthonjeni wengono kanye ne-areola bese uwavumele ngemuva kokudla futhi ngaphambi kokugqoka.</v>
      </c>
      <c r="J19" s="29" t="str">
        <f ca="1">IFERROR(__xludf.DUMMYFUNCTION("GOOGLETRANSLATE(D19, ""pt"", ""zu"")"),"I-moisturizer engcono kakhulu kanye nebele elivuselelayo libisi lwebele, ngakho-ke kuyithiphu elihle ukususa amaconsi okugcina 💧 futhi asakaze embhedeni wokugcina no-areola, ngemuva kokuncelisa.")</f>
        <v>I-moisturizer engcono kakhulu kanye nebele elivuselelayo libisi lwebele, ngakho-ke kuyithiphu elihle ukususa amaconsi okugcina 💧 futhi asakaze embhedeni wokugcina no-areola, ngemuva kokuncelisa.</v>
      </c>
      <c r="K19" s="29" t="str">
        <f ca="1">IFERROR(__xludf.DUMMYFUNCTION("GOOGLETRANSLATE(F19, ""en"", ""af"")"),"Die beste regenererende bevogtiger vir borste is eintlik borsmelk self, so dit is 'n goeie idee om die laaste paar druppels op die tepel en areola te versprei en dit te laat droog word na voeding en voordat hy aangetrek word.")</f>
        <v>Die beste regenererende bevogtiger vir borste is eintlik borsmelk self, so dit is 'n goeie idee om die laaste paar druppels op die tepel en areola te versprei en dit te laat droog word na voeding en voordat hy aangetrek word.</v>
      </c>
      <c r="L19" s="20" t="str">
        <f ca="1">IFERROR(__xludf.DUMMYFUNCTION("GOOGLETRANSLATE(D19, ""pt"", ""af"")"),"Die beste bevogtiger en regenererende bors is selfs borsmelk, so dit is 'n goeie punt om die laaste druppels 💧 te verwyder en in die bek en areola te versprei, om dit te laat droog word voordat u dit dra, na die borsvoeding.")</f>
        <v>Die beste bevogtiger en regenererende bors is selfs borsmelk, so dit is 'n goeie punt om die laaste druppels 💧 te verwyder en in die bek en areola te versprei, om dit te laat droog word voordat u dit dra, na die borsvoeding.</v>
      </c>
      <c r="M19" s="30"/>
      <c r="N19" s="30"/>
      <c r="O19" s="30"/>
      <c r="P19" s="30"/>
      <c r="Q19" s="30"/>
      <c r="R19" s="30"/>
      <c r="S19" s="30"/>
      <c r="T19" s="30"/>
      <c r="U19" s="30"/>
      <c r="V19" s="30"/>
      <c r="W19" s="30"/>
      <c r="X19" s="30"/>
      <c r="Y19" s="30"/>
      <c r="Z19" s="30"/>
      <c r="AA19" s="30"/>
      <c r="AB19" s="30"/>
      <c r="AC19" s="30"/>
      <c r="AD19" s="30"/>
      <c r="AE19" s="30"/>
      <c r="AF19" s="30"/>
    </row>
    <row r="20" spans="1:32" ht="84">
      <c r="A20" s="23" t="s">
        <v>869</v>
      </c>
      <c r="B20" s="24" t="s">
        <v>870</v>
      </c>
      <c r="C20" s="23" t="s">
        <v>886</v>
      </c>
      <c r="D20" s="25" t="s">
        <v>628</v>
      </c>
      <c r="E20" s="25"/>
      <c r="F20" s="25" t="s">
        <v>102</v>
      </c>
      <c r="G20" s="27"/>
      <c r="H20" s="25"/>
      <c r="I20" s="27" t="str">
        <f ca="1">IFERROR(__xludf.DUMMYFUNCTION("GOOGLETRANSLATE(F20, ""en"", ""zu"")"),"Akunconyelwe ukusebenzisa noma yimaphi ama-Creams, hhayi ngisho nanolin, ngoba aphazamisa ukukhiqizwa okujwayelekile kwesifuba sezinto zayo zokuvikela.")</f>
        <v>Akunconyelwe ukusebenzisa noma yimaphi ama-Creams, hhayi ngisho nanolin, ngoba aphazamisa ukukhiqizwa okujwayelekile kwesifuba sezinto zayo zokuvikela.</v>
      </c>
      <c r="J20" s="29" t="str">
        <f ca="1">IFERROR(__xludf.DUMMYFUNCTION("GOOGLETRANSLATE(D20, ""pt"", ""zu"")"),"Akunconyelwe ukusebenzisa noma yiluphi ukhilimu, hhayi ngisho ne-lanoline, ngokuphazamiseka ngokukhiqizwa okujwayelekile kokuvikela isifuba uqobo.")</f>
        <v>Akunconyelwe ukusebenzisa noma yiluphi ukhilimu, hhayi ngisho ne-lanoline, ngokuphazamiseka ngokukhiqizwa okujwayelekile kokuvikela isifuba uqobo.</v>
      </c>
      <c r="K20" s="29" t="str">
        <f ca="1">IFERROR(__xludf.DUMMYFUNCTION("GOOGLETRANSLATE(F20, ""en"", ""af"")"),"Dit word nie aanbeveel om enige ys te gebruik nie, selfs nie lanolien nie, omdat dit die normale produksie van die bors van sy eie beskermende stowwe beïnvloed.")</f>
        <v>Dit word nie aanbeveel om enige ys te gebruik nie, selfs nie lanolien nie, omdat dit die normale produksie van die bors van sy eie beskermende stowwe beïnvloed.</v>
      </c>
      <c r="L20" s="20" t="str">
        <f ca="1">IFERROR(__xludf.DUMMYFUNCTION("GOOGLETRANSLATE(D20, ""pt"", ""af"")"),"Dit word nie aanbeveel om enige room, nie eens lanolien nie, toe te pas deur inmenging met die normale produksie van beskermende handhawing van die bors self.")</f>
        <v>Dit word nie aanbeveel om enige room, nie eens lanolien nie, toe te pas deur inmenging met die normale produksie van beskermende handhawing van die bors self.</v>
      </c>
      <c r="M20" s="30"/>
      <c r="N20" s="30"/>
      <c r="O20" s="30"/>
      <c r="P20" s="30"/>
      <c r="Q20" s="30"/>
      <c r="R20" s="30"/>
      <c r="S20" s="30"/>
      <c r="T20" s="30"/>
      <c r="U20" s="30"/>
      <c r="V20" s="30"/>
      <c r="W20" s="30"/>
      <c r="X20" s="30"/>
      <c r="Y20" s="30"/>
      <c r="Z20" s="30"/>
      <c r="AA20" s="30"/>
      <c r="AB20" s="30"/>
      <c r="AC20" s="30"/>
      <c r="AD20" s="30"/>
      <c r="AE20" s="30"/>
      <c r="AF20" s="30"/>
    </row>
    <row r="21" spans="1:32" ht="60">
      <c r="A21" s="23" t="s">
        <v>869</v>
      </c>
      <c r="B21" s="24" t="s">
        <v>870</v>
      </c>
      <c r="C21" s="23" t="s">
        <v>888</v>
      </c>
      <c r="D21" s="25" t="s">
        <v>696</v>
      </c>
      <c r="E21" s="25"/>
      <c r="F21" s="25" t="s">
        <v>176</v>
      </c>
      <c r="G21" s="27"/>
      <c r="H21" s="25"/>
      <c r="I21" s="27" t="str">
        <f ca="1">IFERROR(__xludf.DUMMYFUNCTION("GOOGLETRANSLATE(F21, ""en"", ""zu"")"),"Uma ingane inetha lakwa-latch efanele, khona-ke i-vacuum ephelele ebeleni futhi ngeke iginya noma yimuphi umoya.")</f>
        <v>Uma ingane inetha lakwa-latch efanele, khona-ke i-vacuum ephelele ebeleni futhi ngeke iginya noma yimuphi umoya.</v>
      </c>
      <c r="J21" s="29" t="str">
        <f ca="1">IFERROR(__xludf.DUMMYFUNCTION("GOOGLETRANSLATE(D21, ""pt"", ""zu"")"),"Uma ingane yenza ukubanjwa okulungile, isezingeni elifanele ngebele futhi aligwinyi noma yimuphi umoya. 🌬")</f>
        <v>Uma ingane yenza ukubanjwa okulungile, isezingeni elifanele ngebele futhi aligwinyi noma yimuphi umoya. 🌬</v>
      </c>
      <c r="K21" s="29" t="str">
        <f ca="1">IFERROR(__xludf.DUMMYFUNCTION("GOOGLETRANSLATE(F21, ""en"", ""af"")"),"As die baba 'n behoorlike grendel het, is dit 'n perfekte vakuum op die bors en hulle sal nie lug insluk nie.")</f>
        <v>As die baba 'n behoorlike grendel het, is dit 'n perfekte vakuum op die bors en hulle sal nie lug insluk nie.</v>
      </c>
      <c r="L21" s="20" t="str">
        <f ca="1">IFERROR(__xludf.DUMMYFUNCTION("GOOGLETRANSLATE(D21, ""pt"", ""af"")"),"As die baba 'n korrekte vangs maak, is dit in perfekte vakuum met die bors en sluk dit nie lug nie. 🌬")</f>
        <v>As die baba 'n korrekte vangs maak, is dit in perfekte vakuum met die bors en sluk dit nie lug nie. 🌬</v>
      </c>
      <c r="M21" s="30"/>
      <c r="N21" s="30"/>
      <c r="O21" s="30"/>
      <c r="P21" s="30"/>
      <c r="Q21" s="30"/>
      <c r="R21" s="30"/>
      <c r="S21" s="30"/>
      <c r="T21" s="30"/>
      <c r="U21" s="30"/>
      <c r="V21" s="30"/>
      <c r="W21" s="30"/>
      <c r="X21" s="30"/>
      <c r="Y21" s="30"/>
      <c r="Z21" s="30"/>
      <c r="AA21" s="30"/>
      <c r="AB21" s="30"/>
      <c r="AC21" s="30"/>
      <c r="AD21" s="30"/>
      <c r="AE21" s="30"/>
      <c r="AF21" s="30"/>
    </row>
    <row r="22" spans="1:32" ht="45">
      <c r="A22" s="23" t="s">
        <v>869</v>
      </c>
      <c r="B22" s="24" t="s">
        <v>870</v>
      </c>
      <c r="C22" s="23" t="s">
        <v>888</v>
      </c>
      <c r="D22" s="25" t="s">
        <v>699</v>
      </c>
      <c r="E22" s="25"/>
      <c r="F22" s="25" t="s">
        <v>177</v>
      </c>
      <c r="G22" s="27"/>
      <c r="H22" s="25"/>
      <c r="I22" s="27" t="str">
        <f ca="1">IFERROR(__xludf.DUMMYFUNCTION("GOOGLETRANSLATE(F22, ""en"", ""zu"")"),"Iningi lomoya ogwinywe ekukhaleni noma ekuphuzeni emabhodleleni. 🍼")</f>
        <v>Iningi lomoya ogwinywe ekukhaleni noma ekuphuzeni emabhodleleni. 🍼</v>
      </c>
      <c r="J22" s="29" t="str">
        <f ca="1">IFERROR(__xludf.DUMMYFUNCTION("GOOGLETRANSLATE(D22, ""pt"", ""zu"")"),"Iningi lomoya olingenwe livela ngesikhathi sokukhala noma ngokusebenzisa ama-bibs. 🍼")</f>
        <v>Iningi lomoya olingenwe livela ngesikhathi sokukhala noma ngokusebenzisa ama-bibs. 🍼</v>
      </c>
      <c r="K22" s="29" t="str">
        <f ca="1">IFERROR(__xludf.DUMMYFUNCTION("GOOGLETRANSLATE(F22, ""en"", ""af"")"),"Die meeste van die lug wat ingesluk word, is van huil of drink van bottels. 🍼")</f>
        <v>Die meeste van die lug wat ingesluk word, is van huil of drink van bottels. 🍼</v>
      </c>
      <c r="L22" s="20" t="str">
        <f ca="1">IFERROR(__xludf.DUMMYFUNCTION("GOOGLETRANSLATE(D22, ""pt"", ""af"")"),"Die meeste van die ingeneemde lug kom voor tydens huil of deur die gebruik van slabbe. 🍼")</f>
        <v>Die meeste van die ingeneemde lug kom voor tydens huil of deur die gebruik van slabbe. 🍼</v>
      </c>
      <c r="M22" s="30"/>
      <c r="N22" s="30"/>
      <c r="O22" s="30"/>
      <c r="P22" s="30"/>
      <c r="Q22" s="30"/>
      <c r="R22" s="30"/>
      <c r="S22" s="30"/>
      <c r="T22" s="30"/>
      <c r="U22" s="30"/>
      <c r="V22" s="30"/>
      <c r="W22" s="30"/>
      <c r="X22" s="30"/>
      <c r="Y22" s="30"/>
      <c r="Z22" s="30"/>
      <c r="AA22" s="30"/>
      <c r="AB22" s="30"/>
      <c r="AC22" s="30"/>
      <c r="AD22" s="30"/>
      <c r="AE22" s="30"/>
      <c r="AF22" s="30"/>
    </row>
    <row r="23" spans="1:32" ht="45">
      <c r="A23" s="23" t="s">
        <v>869</v>
      </c>
      <c r="B23" s="24" t="s">
        <v>870</v>
      </c>
      <c r="C23" s="23" t="s">
        <v>888</v>
      </c>
      <c r="D23" s="25" t="s">
        <v>702</v>
      </c>
      <c r="E23" s="25"/>
      <c r="F23" s="25" t="s">
        <v>889</v>
      </c>
      <c r="G23" s="27"/>
      <c r="H23" s="25"/>
      <c r="I23" s="27" t="str">
        <f ca="1">IFERROR(__xludf.DUMMYFUNCTION("GOOGLETRANSLATE(F23, ""en"", ""zu"")"),"Ngingakusiza nge-latch, noma i-colic, noma ungathinta ngqo ngomeluleki we-lactation. 🤱")</f>
        <v>Ngingakusiza nge-latch, noma i-colic, noma ungathinta ngqo ngomeluleki we-lactation. 🤱</v>
      </c>
      <c r="J23" s="29" t="str">
        <f ca="1">IFERROR(__xludf.DUMMYFUNCTION("GOOGLETRANSLATE(D23, ""pt"", ""zu"")"),"Ngingakusiza ngesibambo, kanye nama-cramps noma ungaqondile i-cam (umeluleki webele). 🤱")</f>
        <v>Ngingakusiza ngesibambo, kanye nama-cramps noma ungaqondile i-cam (umeluleki webele). 🤱</v>
      </c>
      <c r="K23" s="29" t="str">
        <f ca="1">IFERROR(__xludf.DUMMYFUNCTION("GOOGLETRANSLATE(F23, ""en"", ""af"")"),"Ek kan u help met die grendel of koliek, of u kan direk kontak met 'n laktasiekonsultant. 🤱")</f>
        <v>Ek kan u help met die grendel of koliek, of u kan direk kontak met 'n laktasiekonsultant. 🤱</v>
      </c>
      <c r="L23" s="20" t="str">
        <f ca="1">IFERROR(__xludf.DUMMYFUNCTION("GOOGLETRANSLATE(D23, ""pt"", ""af"")"),"Ek kan u help met die handvatsel, met die krampe, of u kan direk 'n nok (borsvoedkonsultant). 🤱")</f>
        <v>Ek kan u help met die handvatsel, met die krampe, of u kan direk 'n nok (borsvoedkonsultant). 🤱</v>
      </c>
      <c r="M23" s="30"/>
      <c r="N23" s="30"/>
      <c r="O23" s="30"/>
      <c r="P23" s="30"/>
      <c r="Q23" s="30"/>
      <c r="R23" s="30"/>
      <c r="S23" s="30"/>
      <c r="T23" s="30"/>
      <c r="U23" s="30"/>
      <c r="V23" s="30"/>
      <c r="W23" s="30"/>
      <c r="X23" s="30"/>
      <c r="Y23" s="30"/>
      <c r="Z23" s="30"/>
      <c r="AA23" s="30"/>
      <c r="AB23" s="30"/>
      <c r="AC23" s="30"/>
      <c r="AD23" s="30"/>
      <c r="AE23" s="30"/>
      <c r="AF23" s="30"/>
    </row>
    <row r="24" spans="1:32" ht="27.95">
      <c r="A24" s="23" t="s">
        <v>869</v>
      </c>
      <c r="B24" s="24" t="s">
        <v>872</v>
      </c>
      <c r="C24" s="23" t="s">
        <v>888</v>
      </c>
      <c r="D24" s="25" t="s">
        <v>373</v>
      </c>
      <c r="E24" s="25" t="s">
        <v>890</v>
      </c>
      <c r="F24" s="25"/>
      <c r="G24" s="27"/>
      <c r="H24" s="25"/>
      <c r="I24" s="27"/>
      <c r="J24" s="29" t="str">
        <f ca="1">IFERROR(__xludf.DUMMYFUNCTION("GOOGLETRANSLATE(D24, ""pt"", ""zu"")"),"Nqaka")</f>
        <v>Nqaka</v>
      </c>
      <c r="K24" s="29"/>
      <c r="L24" s="20" t="str">
        <f ca="1">IFERROR(__xludf.DUMMYFUNCTION("GOOGLETRANSLATE(D24, ""pt"", ""af"")"),"Vang")</f>
        <v>Vang</v>
      </c>
      <c r="M24" s="30"/>
      <c r="N24" s="30"/>
      <c r="O24" s="30"/>
      <c r="P24" s="30"/>
      <c r="Q24" s="30"/>
      <c r="R24" s="30"/>
      <c r="S24" s="30"/>
      <c r="T24" s="30"/>
      <c r="U24" s="30"/>
      <c r="V24" s="30"/>
      <c r="W24" s="30"/>
      <c r="X24" s="30"/>
      <c r="Y24" s="30"/>
      <c r="Z24" s="30"/>
      <c r="AA24" s="30"/>
      <c r="AB24" s="30"/>
      <c r="AC24" s="30"/>
      <c r="AD24" s="30"/>
      <c r="AE24" s="30"/>
      <c r="AF24" s="30"/>
    </row>
    <row r="25" spans="1:32" ht="27.95">
      <c r="A25" s="23" t="s">
        <v>869</v>
      </c>
      <c r="B25" s="24" t="s">
        <v>872</v>
      </c>
      <c r="C25" s="23" t="s">
        <v>888</v>
      </c>
      <c r="D25" s="25" t="s">
        <v>392</v>
      </c>
      <c r="E25" s="25" t="s">
        <v>891</v>
      </c>
      <c r="F25" s="25"/>
      <c r="G25" s="27"/>
      <c r="H25" s="25"/>
      <c r="I25" s="27"/>
      <c r="J25" s="29" t="str">
        <f ca="1">IFERROR(__xludf.DUMMYFUNCTION("GOOGLETRANSLATE(D25, ""pt"", ""zu"")"),"Ukufiphalazisa")</f>
        <v>Ukufiphalazisa</v>
      </c>
      <c r="K25" s="29"/>
      <c r="L25" s="20" t="str">
        <f ca="1">IFERROR(__xludf.DUMMYFUNCTION("GOOGLETRANSLATE(D25, ""pt"", ""af"")"),"Krampe")</f>
        <v>Krampe</v>
      </c>
      <c r="M25" s="30"/>
      <c r="N25" s="30"/>
      <c r="O25" s="30"/>
      <c r="P25" s="30"/>
      <c r="Q25" s="30"/>
      <c r="R25" s="30"/>
      <c r="S25" s="30"/>
      <c r="T25" s="30"/>
      <c r="U25" s="30"/>
      <c r="V25" s="30"/>
      <c r="W25" s="30"/>
      <c r="X25" s="30"/>
      <c r="Y25" s="30"/>
      <c r="Z25" s="30"/>
      <c r="AA25" s="30"/>
      <c r="AB25" s="30"/>
      <c r="AC25" s="30"/>
      <c r="AD25" s="30"/>
      <c r="AE25" s="30"/>
      <c r="AF25" s="30"/>
    </row>
    <row r="26" spans="1:32" ht="27.95">
      <c r="A26" s="23" t="s">
        <v>869</v>
      </c>
      <c r="B26" s="24" t="s">
        <v>872</v>
      </c>
      <c r="C26" s="23" t="s">
        <v>888</v>
      </c>
      <c r="D26" s="25" t="s">
        <v>892</v>
      </c>
      <c r="E26" s="25" t="s">
        <v>880</v>
      </c>
      <c r="F26" s="25"/>
      <c r="G26" s="27"/>
      <c r="H26" s="25"/>
      <c r="I26" s="27"/>
      <c r="J26" s="29" t="str">
        <f ca="1">IFERROR(__xludf.DUMMYFUNCTION("GOOGLETRANSLATE(D26, ""pt"", ""zu"")"),"🔎 Thola i-cam")</f>
        <v>🔎 Thola i-cam</v>
      </c>
      <c r="K26" s="29"/>
      <c r="L26" s="20" t="str">
        <f ca="1">IFERROR(__xludf.DUMMYFUNCTION("GOOGLETRANSLATE(D26, ""pt"", ""af"")"),"🔎 Soek 'n nok")</f>
        <v>🔎 Soek 'n nok</v>
      </c>
      <c r="M26" s="30"/>
      <c r="N26" s="30"/>
      <c r="O26" s="30"/>
      <c r="P26" s="30"/>
      <c r="Q26" s="30"/>
      <c r="R26" s="30"/>
      <c r="S26" s="30"/>
      <c r="T26" s="30"/>
      <c r="U26" s="30"/>
      <c r="V26" s="30"/>
      <c r="W26" s="30"/>
      <c r="X26" s="30"/>
      <c r="Y26" s="30"/>
      <c r="Z26" s="30"/>
      <c r="AA26" s="30"/>
      <c r="AB26" s="30"/>
      <c r="AC26" s="30"/>
      <c r="AD26" s="30"/>
      <c r="AE26" s="30"/>
      <c r="AF26" s="30"/>
    </row>
    <row r="27" spans="1:32" ht="30">
      <c r="A27" s="23" t="s">
        <v>869</v>
      </c>
      <c r="B27" s="24" t="s">
        <v>870</v>
      </c>
      <c r="C27" s="23" t="s">
        <v>890</v>
      </c>
      <c r="D27" s="25" t="s">
        <v>711</v>
      </c>
      <c r="E27" s="25"/>
      <c r="F27" s="25" t="s">
        <v>893</v>
      </c>
      <c r="G27" s="27"/>
      <c r="H27" s="25"/>
      <c r="I27" s="27" t="str">
        <f ca="1">IFERROR(__xludf.DUMMYFUNCTION("GOOGLETRANSLATE(F27, ""en"", ""zu"")"),"Ukuze uthole i-latch efanele, ingane iqondaniswe kahle. 🤱")</f>
        <v>Ukuze uthole i-latch efanele, ingane iqondaniswe kahle. 🤱</v>
      </c>
      <c r="J27" s="29" t="str">
        <f ca="1">IFERROR(__xludf.DUMMYFUNCTION("GOOGLETRANSLATE(D27, ""pt"", ""zu"")"),"Ekubambeni okulungile ingane iqondaniswe kahle. 🤱")</f>
        <v>Ekubambeni okulungile ingane iqondaniswe kahle. 🤱</v>
      </c>
      <c r="K27" s="29" t="str">
        <f ca="1">IFERROR(__xludf.DUMMYFUNCTION("GOOGLETRANSLATE(F27, ""en"", ""af"")"),"Vir 'n behoorlike grendel is die baba goed in lyn. 🤱")</f>
        <v>Vir 'n behoorlike grendel is die baba goed in lyn. 🤱</v>
      </c>
      <c r="L27" s="20" t="str">
        <f ca="1">IFERROR(__xludf.DUMMYFUNCTION("GOOGLETRANSLATE(D27, ""pt"", ""af"")"),"In 'n korrekte vangs is die baba goed in lyn. 🤱")</f>
        <v>In 'n korrekte vangs is die baba goed in lyn. 🤱</v>
      </c>
      <c r="M27" s="30"/>
      <c r="N27" s="30"/>
      <c r="O27" s="30"/>
      <c r="P27" s="30"/>
      <c r="Q27" s="30"/>
      <c r="R27" s="30"/>
      <c r="S27" s="30"/>
      <c r="T27" s="30"/>
      <c r="U27" s="30"/>
      <c r="V27" s="30"/>
      <c r="W27" s="30"/>
      <c r="X27" s="30"/>
      <c r="Y27" s="30"/>
      <c r="Z27" s="30"/>
      <c r="AA27" s="30"/>
      <c r="AB27" s="30"/>
      <c r="AC27" s="30"/>
      <c r="AD27" s="30"/>
      <c r="AE27" s="30"/>
      <c r="AF27" s="30"/>
    </row>
    <row r="28" spans="1:32" ht="42">
      <c r="A28" s="23" t="s">
        <v>869</v>
      </c>
      <c r="B28" s="24" t="s">
        <v>870</v>
      </c>
      <c r="C28" s="23" t="s">
        <v>890</v>
      </c>
      <c r="D28" s="25" t="s">
        <v>714</v>
      </c>
      <c r="E28" s="25"/>
      <c r="F28" s="25" t="s">
        <v>894</v>
      </c>
      <c r="G28" s="27"/>
      <c r="H28" s="25"/>
      <c r="I28" s="27" t="str">
        <f ca="1">IFERROR(__xludf.DUMMYFUNCTION("GOOGLETRANSLATE(F28, ""en"", ""zu"")"),"Ikhanda, intamo, okhalweni kanye nemilenze kufanele konke kufanele kuqondaniswe.")</f>
        <v>Ikhanda, intamo, okhalweni kanye nemilenze kufanele konke kufanele kuqondaniswe.</v>
      </c>
      <c r="J28" s="29" t="str">
        <f ca="1">IFERROR(__xludf.DUMMYFUNCTION("GOOGLETRANSLATE(D28, ""pt"", ""zu"")"),"Ikhanda, intamo, emuva nemilenze kuqondaniswe.")</f>
        <v>Ikhanda, intamo, emuva nemilenze kuqondaniswe.</v>
      </c>
      <c r="K28" s="29" t="str">
        <f ca="1">IFERROR(__xludf.DUMMYFUNCTION("GOOGLETRANSLATE(F28, ""en"", ""af"")"),"Die kop, nek, heupe en bene moet almal in lyn wees.")</f>
        <v>Die kop, nek, heupe en bene moet almal in lyn wees.</v>
      </c>
      <c r="L28" s="20" t="str">
        <f ca="1">IFERROR(__xludf.DUMMYFUNCTION("GOOGLETRANSLATE(D28, ""pt"", ""af"")"),"Kop, nek, rug en bene is in lyn.")</f>
        <v>Kop, nek, rug en bene is in lyn.</v>
      </c>
      <c r="M28" s="30"/>
      <c r="N28" s="30"/>
      <c r="O28" s="30"/>
      <c r="P28" s="30"/>
      <c r="Q28" s="30"/>
      <c r="R28" s="30"/>
      <c r="S28" s="30"/>
      <c r="T28" s="30"/>
      <c r="U28" s="30"/>
      <c r="V28" s="30"/>
      <c r="W28" s="30"/>
      <c r="X28" s="30"/>
      <c r="Y28" s="30"/>
      <c r="Z28" s="30"/>
      <c r="AA28" s="30"/>
      <c r="AB28" s="30"/>
      <c r="AC28" s="30"/>
      <c r="AD28" s="30"/>
      <c r="AE28" s="30"/>
      <c r="AF28" s="30"/>
    </row>
    <row r="29" spans="1:32" ht="60">
      <c r="A29" s="23" t="s">
        <v>869</v>
      </c>
      <c r="B29" s="24" t="s">
        <v>870</v>
      </c>
      <c r="C29" s="23" t="s">
        <v>890</v>
      </c>
      <c r="D29" s="25" t="s">
        <v>717</v>
      </c>
      <c r="E29" s="25"/>
      <c r="F29" s="25" t="s">
        <v>198</v>
      </c>
      <c r="G29" s="27"/>
      <c r="H29" s="25"/>
      <c r="I29" s="27" t="str">
        <f ca="1">IFERROR(__xludf.DUMMYFUNCTION("GOOGLETRANSLATE(F29, ""en"", ""zu"")"),"Futhi lokhu kuhlolwa kalula ngumuntu ongabona ingane ngaphandle umama oncelisa ibele. 😉")</f>
        <v>Futhi lokhu kuhlolwa kalula ngumuntu ongabona ingane ngaphandle umama oncelisa ibele. 😉</v>
      </c>
      <c r="J29" s="29" t="str">
        <f ca="1">IFERROR(__xludf.DUMMYFUNCTION("GOOGLETRANSLATE(D29, ""pt"", ""zu"")"),"Futhi lokhu kuhlolwa kalula umuntu ongabona ingane ngaphandle umama oncelisa ibele. 😉")</f>
        <v>Futhi lokhu kuhlolwa kalula umuntu ongabona ingane ngaphandle umama oncelisa ibele. 😉</v>
      </c>
      <c r="K29" s="29" t="str">
        <f ca="1">IFERROR(__xludf.DUMMYFUNCTION("GOOGLETRANSLATE(F29, ""en"", ""af"")"),"En dit word makliker beoordeel deur iemand wat die baba anders kan sien as die moeder wat borsvoed. 😉")</f>
        <v>En dit word makliker beoordeel deur iemand wat die baba anders kan sien as die moeder wat borsvoed. 😉</v>
      </c>
      <c r="L29" s="20" t="str">
        <f ca="1">IFERROR(__xludf.DUMMYFUNCTION("GOOGLETRANSLATE(D29, ""pt"", ""af"")"),"En dit word makliker geëvalueer deur iemand wat die baba anders kan sien as die moeder wat borsvoed. 😉")</f>
        <v>En dit word makliker geëvalueer deur iemand wat die baba anders kan sien as die moeder wat borsvoed. 😉</v>
      </c>
      <c r="M29" s="30"/>
      <c r="N29" s="30"/>
      <c r="O29" s="30"/>
      <c r="P29" s="30"/>
      <c r="Q29" s="30"/>
      <c r="R29" s="30"/>
      <c r="S29" s="30"/>
      <c r="T29" s="30"/>
      <c r="U29" s="30"/>
      <c r="V29" s="30"/>
      <c r="W29" s="30"/>
      <c r="X29" s="30"/>
      <c r="Y29" s="30"/>
      <c r="Z29" s="30"/>
      <c r="AA29" s="30"/>
      <c r="AB29" s="30"/>
      <c r="AC29" s="30"/>
      <c r="AD29" s="30"/>
      <c r="AE29" s="30"/>
      <c r="AF29" s="30"/>
    </row>
    <row r="30" spans="1:32" ht="111.95">
      <c r="A30" s="23" t="s">
        <v>869</v>
      </c>
      <c r="B30" s="24" t="s">
        <v>870</v>
      </c>
      <c r="C30" s="23" t="s">
        <v>890</v>
      </c>
      <c r="D30" s="25" t="s">
        <v>720</v>
      </c>
      <c r="E30" s="32"/>
      <c r="F30" s="25" t="s">
        <v>199</v>
      </c>
      <c r="G30" s="33"/>
      <c r="H30" s="32"/>
      <c r="I30" s="27" t="str">
        <f ca="1">IFERROR(__xludf.DUMMYFUNCTION("GOOGLETRANSLATE(F30, ""en"", ""zu"")"),"Umlomo wengane yakho kufanele uvuleke kakhulu, futhi izindebe zakhe eziphansi zaphenduka, futhi isilevu sayo siphumula ebeleni. Uma i-areola ibonakala, ingxenye engenhla kwezindebe zengane yakho kufanele ibe yingxenye ebonakalayo kunazo zonke.")</f>
        <v>Umlomo wengane yakho kufanele uvuleke kakhulu, futhi izindebe zakhe eziphansi zaphenduka, futhi isilevu sayo siphumula ebeleni. Uma i-areola ibonakala, ingxenye engenhla kwezindebe zengane yakho kufanele ibe yingxenye ebonakalayo kunazo zonke.</v>
      </c>
      <c r="J30" s="29" t="str">
        <f ca="1">IFERROR(__xludf.DUMMYFUNCTION("GOOGLETRANSLATE(D30, ""pt"", ""zu"")"),"Umlomo kufanele uvuleke kakhulu, i-bass lip yaphenduka, isilevu ngokumelene nesifuba futhi, uma kukhona i-areola ebonakalayo, ingxenye engenhla kwezindebe eziphezulu yingxenye ebonakalayo kakhulu.")</f>
        <v>Umlomo kufanele uvuleke kakhulu, i-bass lip yaphenduka, isilevu ngokumelene nesifuba futhi, uma kukhona i-areola ebonakalayo, ingxenye engenhla kwezindebe eziphezulu yingxenye ebonakalayo kakhulu.</v>
      </c>
      <c r="K30" s="29" t="str">
        <f ca="1">IFERROR(__xludf.DUMMYFUNCTION("GOOGLETRANSLATE(F30, ""en"", ""af"")"),"Die mond van jou baba moet wyd oop wees, met haar onderlip uitdraai, en haar ken rus op die bors. As die areola sigbaar is, moet die deel bokant u baba se bolip die sigbaarste wees.")</f>
        <v>Die mond van jou baba moet wyd oop wees, met haar onderlip uitdraai, en haar ken rus op die bors. As die areola sigbaar is, moet die deel bokant u baba se bolip die sigbaarste wees.</v>
      </c>
      <c r="L30" s="20" t="str">
        <f ca="1">IFERROR(__xludf.DUMMYFUNCTION("GOOGLETRANSLATE(D30, ""pt"", ""af"")"),"Die mond moet wyd oop wees, die baslip het gedraai, die ken teen die bors en as daar sigbare areola is, is die deel bokant die bolip die sigbaarste deel.")</f>
        <v>Die mond moet wyd oop wees, die baslip het gedraai, die ken teen die bors en as daar sigbare areola is, is die deel bokant die bolip die sigbaarste deel.</v>
      </c>
      <c r="M30" s="33"/>
      <c r="N30" s="33"/>
      <c r="O30" s="33"/>
      <c r="P30" s="33"/>
      <c r="Q30" s="33"/>
      <c r="R30" s="33"/>
      <c r="S30" s="33"/>
      <c r="T30" s="33"/>
      <c r="U30" s="33"/>
      <c r="V30" s="33"/>
      <c r="W30" s="33"/>
      <c r="X30" s="33"/>
      <c r="Y30" s="33"/>
      <c r="Z30" s="33"/>
      <c r="AA30" s="33"/>
      <c r="AB30" s="33"/>
      <c r="AC30" s="33"/>
      <c r="AD30" s="33"/>
      <c r="AE30" s="33"/>
      <c r="AF30" s="33"/>
    </row>
    <row r="31" spans="1:32" ht="60">
      <c r="A31" s="23" t="s">
        <v>869</v>
      </c>
      <c r="B31" s="24" t="s">
        <v>870</v>
      </c>
      <c r="C31" s="23" t="s">
        <v>890</v>
      </c>
      <c r="D31" s="25" t="s">
        <v>723</v>
      </c>
      <c r="E31" s="32"/>
      <c r="F31" s="25" t="s">
        <v>895</v>
      </c>
      <c r="G31" s="30"/>
      <c r="H31" s="25"/>
      <c r="I31" s="27" t="str">
        <f ca="1">IFERROR(__xludf.DUMMYFUNCTION("GOOGLETRANSLATE(F31, ""en"", ""zu"")"),"Isisu sengane kufanele sibe sesiswini sikamama. Ingane kufanele ifike ebeleni ngekhala lazo phambi kwengono.")</f>
        <v>Isisu sengane kufanele sibe sesiswini sikamama. Ingane kufanele ifike ebeleni ngekhala lazo phambi kwengono.</v>
      </c>
      <c r="J31" s="29" t="str">
        <f ca="1">IFERROR(__xludf.DUMMYFUNCTION("GOOGLETRANSLATE(D31, ""pt"", ""zu"")"),"Isisu sengane esithinta isisu sikanina kanye nengane kufanele sisondele esifubeni ngekhala lakhe phambi kwengono.")</f>
        <v>Isisu sengane esithinta isisu sikanina kanye nengane kufanele sisondele esifubeni ngekhala lakhe phambi kwengono.</v>
      </c>
      <c r="K31" s="29" t="str">
        <f ca="1">IFERROR(__xludf.DUMMYFUNCTION("GOOGLETRANSLATE(F31, ""en"", ""af"")"),"Die baba se buik moet op die moeder se maag wees. Die baba moet met hul neus voor die tepel na die bors kom.")</f>
        <v>Die baba se buik moet op die moeder se maag wees. Die baba moet met hul neus voor die tepel na die bors kom.</v>
      </c>
      <c r="L31" s="20" t="str">
        <f ca="1">IFERROR(__xludf.DUMMYFUNCTION("GOOGLETRANSLATE(D31, ""pt"", ""af"")"),"Die baba se maag raak aan sy moeder se maag en die baba moet die bors met sy neus voor die tepel nader.")</f>
        <v>Die baba se maag raak aan sy moeder se maag en die baba moet die bors met sy neus voor die tepel nader.</v>
      </c>
      <c r="M31" s="30"/>
      <c r="N31" s="30"/>
      <c r="O31" s="30"/>
      <c r="P31" s="30"/>
      <c r="Q31" s="30"/>
      <c r="R31" s="30"/>
      <c r="S31" s="30"/>
      <c r="T31" s="30"/>
      <c r="U31" s="30"/>
      <c r="V31" s="30"/>
      <c r="W31" s="30"/>
      <c r="X31" s="30"/>
      <c r="Y31" s="30"/>
      <c r="Z31" s="30"/>
      <c r="AA31" s="30"/>
      <c r="AB31" s="30"/>
      <c r="AC31" s="30"/>
      <c r="AD31" s="30"/>
      <c r="AE31" s="30"/>
      <c r="AF31" s="30"/>
    </row>
    <row r="32" spans="1:32" ht="90">
      <c r="A32" s="23" t="s">
        <v>869</v>
      </c>
      <c r="B32" s="24" t="s">
        <v>870</v>
      </c>
      <c r="C32" s="23" t="s">
        <v>890</v>
      </c>
      <c r="D32" s="25" t="s">
        <v>726</v>
      </c>
      <c r="E32" s="25"/>
      <c r="F32" s="25" t="s">
        <v>201</v>
      </c>
      <c r="G32" s="27"/>
      <c r="H32" s="25"/>
      <c r="I32" s="27" t="str">
        <f ca="1">IFERROR(__xludf.DUMMYFUNCTION("GOOGLETRANSLATE(F32, ""en"", ""zu"")"),"Uma kubuhlungu, ⚠ (okujwayelekile kumandla ambalwa okuqala), kuyinto evamile ngoba kukhulu kakhulu ngemizuzwana embalwa yokuqala bese ukhulula ngesikhathi sokudla.")</f>
        <v>Uma kubuhlungu, ⚠ (okujwayelekile kumandla ambalwa okuqala), kuyinto evamile ngoba kukhulu kakhulu ngemizuzwana embalwa yokuqala bese ukhulula ngesikhathi sokudla.</v>
      </c>
      <c r="J32" s="29" t="str">
        <f ca="1">IFERROR(__xludf.DUMMYFUNCTION("GOOGLETRANSLATE(D32, ""pt"", ""zu"")"),"Uma kunobuhlungu ⚠ (okujwayelekile ekuncebeni kokuqala kwebele) lokhu kukhulu ngokwengeziwe ngemizuzwana yokuqala futhi kunciphise ukuncelisa ibele.")</f>
        <v>Uma kunobuhlungu ⚠ (okujwayelekile ekuncebeni kokuqala kwebele) lokhu kukhulu ngokwengeziwe ngemizuzwana yokuqala futhi kunciphise ukuncelisa ibele.</v>
      </c>
      <c r="K32" s="29" t="str">
        <f ca="1">IFERROR(__xludf.DUMMYFUNCTION("GOOGLETRANSLATE(F32, ""en"", ""af"")"),"As dit pynlik is, ⚠ (wat normaal is vir die eerste paar voedings), is dit normaal dat dit vir die eerste paar sekondes intenser is en dan tydens die voeding gemaklik is.")</f>
        <v>As dit pynlik is, ⚠ (wat normaal is vir die eerste paar voedings), is dit normaal dat dit vir die eerste paar sekondes intenser is en dan tydens die voeding gemaklik is.</v>
      </c>
      <c r="L32" s="20" t="str">
        <f ca="1">IFERROR(__xludf.DUMMYFUNCTION("GOOGLETRANSLATE(D32, ""pt"", ""af"")"),"As daar pyn is ⚠ (normaal in die eerste borsvoeding), is dit in die eerste sekondes meer intens en verlig dit langs die borsvoeding.")</f>
        <v>As daar pyn is ⚠ (normaal in die eerste borsvoeding), is dit in die eerste sekondes meer intens en verlig dit langs die borsvoeding.</v>
      </c>
      <c r="M32" s="30"/>
      <c r="N32" s="30"/>
      <c r="O32" s="30"/>
      <c r="P32" s="30"/>
      <c r="Q32" s="30"/>
      <c r="R32" s="30"/>
      <c r="S32" s="30"/>
      <c r="T32" s="30"/>
      <c r="U32" s="30"/>
      <c r="V32" s="30"/>
      <c r="W32" s="30"/>
      <c r="X32" s="30"/>
      <c r="Y32" s="30"/>
      <c r="Z32" s="30"/>
      <c r="AA32" s="30"/>
      <c r="AB32" s="30"/>
      <c r="AC32" s="30"/>
      <c r="AD32" s="30"/>
      <c r="AE32" s="30"/>
      <c r="AF32" s="30"/>
    </row>
    <row r="33" spans="1:32" ht="45">
      <c r="A33" s="23" t="s">
        <v>869</v>
      </c>
      <c r="B33" s="24" t="s">
        <v>870</v>
      </c>
      <c r="C33" s="23" t="s">
        <v>890</v>
      </c>
      <c r="D33" s="25" t="s">
        <v>729</v>
      </c>
      <c r="E33" s="25"/>
      <c r="F33" s="25" t="s">
        <v>202</v>
      </c>
      <c r="G33" s="27"/>
      <c r="H33" s="25"/>
      <c r="I33" s="27" t="str">
        <f ca="1">IFERROR(__xludf.DUMMYFUNCTION("GOOGLETRANSLATE(F33, ""en"", ""zu"")"),"Lapho ubisi lugelezayo, kwesinye isikhathi ungabezwa ngokugwinya okunesigqi. 😊")</f>
        <v>Lapho ubisi lugelezayo, kwesinye isikhathi ungabezwa ngokugwinya okunesigqi. 😊</v>
      </c>
      <c r="J33" s="29" t="str">
        <f ca="1">IFERROR(__xludf.DUMMYFUNCTION("GOOGLETRANSLATE(D33, ""pt"", ""zu"")"),"Ngemuva kokukhuphuka kobisi kwesinye isikhathi singazwa ubisi ukuthi lugwinywe isigqi. 😊")</f>
        <v>Ngemuva kokukhuphuka kobisi kwesinye isikhathi singazwa ubisi ukuthi lugwinywe isigqi. 😊</v>
      </c>
      <c r="K33" s="29" t="str">
        <f ca="1">IFERROR(__xludf.DUMMYFUNCTION("GOOGLETRANSLATE(F33, ""en"", ""af"")"),"Sodra die melk vloei, kan jy soms ritmies insluk. 😊")</f>
        <v>Sodra die melk vloei, kan jy soms ritmies insluk. 😊</v>
      </c>
      <c r="L33" s="20" t="str">
        <f ca="1">IFERROR(__xludf.DUMMYFUNCTION("GOOGLETRANSLATE(D33, ""pt"", ""af"")"),"Na melkklim kan ons soms hoor hoe die melk ritmies ingesluk word. 😊")</f>
        <v>Na melkklim kan ons soms hoor hoe die melk ritmies ingesluk word. 😊</v>
      </c>
      <c r="M33" s="30"/>
      <c r="N33" s="30"/>
      <c r="O33" s="30"/>
      <c r="P33" s="30"/>
      <c r="Q33" s="30"/>
      <c r="R33" s="30"/>
      <c r="S33" s="30"/>
      <c r="T33" s="30"/>
      <c r="U33" s="30"/>
      <c r="V33" s="30"/>
      <c r="W33" s="30"/>
      <c r="X33" s="30"/>
      <c r="Y33" s="30"/>
      <c r="Z33" s="30"/>
      <c r="AA33" s="30"/>
      <c r="AB33" s="30"/>
      <c r="AC33" s="30"/>
      <c r="AD33" s="30"/>
      <c r="AE33" s="30"/>
      <c r="AF33" s="30"/>
    </row>
    <row r="34" spans="1:32" ht="27.95">
      <c r="A34" s="23" t="s">
        <v>869</v>
      </c>
      <c r="B34" s="24" t="s">
        <v>872</v>
      </c>
      <c r="C34" s="23" t="s">
        <v>890</v>
      </c>
      <c r="D34" s="25" t="s">
        <v>896</v>
      </c>
      <c r="E34" s="25" t="s">
        <v>897</v>
      </c>
      <c r="F34" s="25"/>
      <c r="G34" s="27"/>
      <c r="H34" s="25"/>
      <c r="I34" s="27"/>
      <c r="J34" s="29" t="str">
        <f ca="1">IFERROR(__xludf.DUMMYFUNCTION("GOOGLETRANSLATE(D34, ""pt"", ""zu"")"),"Ubuhlungu ekunceliseni ibele?")</f>
        <v>Ubuhlungu ekunceliseni ibele?</v>
      </c>
      <c r="K34" s="29"/>
      <c r="L34" s="20" t="str">
        <f ca="1">IFERROR(__xludf.DUMMYFUNCTION("GOOGLETRANSLATE(D34, ""pt"", ""af"")"),"Pyn in die borsvoeding?")</f>
        <v>Pyn in die borsvoeding?</v>
      </c>
      <c r="M34" s="30"/>
      <c r="N34" s="30"/>
      <c r="O34" s="30"/>
      <c r="P34" s="30"/>
      <c r="Q34" s="30"/>
      <c r="R34" s="30"/>
      <c r="S34" s="30"/>
      <c r="T34" s="30"/>
      <c r="U34" s="30"/>
      <c r="V34" s="30"/>
      <c r="W34" s="30"/>
      <c r="X34" s="30"/>
      <c r="Y34" s="30"/>
      <c r="Z34" s="30"/>
      <c r="AA34" s="30"/>
      <c r="AB34" s="30"/>
      <c r="AC34" s="30"/>
      <c r="AD34" s="30"/>
      <c r="AE34" s="30"/>
      <c r="AF34" s="30"/>
    </row>
    <row r="35" spans="1:32" ht="45">
      <c r="A35" s="23" t="s">
        <v>869</v>
      </c>
      <c r="B35" s="24" t="s">
        <v>870</v>
      </c>
      <c r="C35" s="23" t="s">
        <v>898</v>
      </c>
      <c r="D35" s="25" t="s">
        <v>899</v>
      </c>
      <c r="E35" s="25"/>
      <c r="F35" s="25" t="s">
        <v>900</v>
      </c>
      <c r="G35" s="27"/>
      <c r="H35" s="25"/>
      <c r="I35" s="27" t="str">
        <f ca="1">IFERROR(__xludf.DUMMYFUNCTION("GOOGLETRANSLATE(F35, ""en"", ""zu"")"),"Kubalulekile njalo ukwazi ukuveza ubisi ngaphandle kwengane nxazonke. 👈")</f>
        <v>Kubalulekile njalo ukwazi ukuveza ubisi ngaphandle kwengane nxazonke. 👈</v>
      </c>
      <c r="J35" s="29" t="str">
        <f ca="1">IFERROR(__xludf.DUMMYFUNCTION("GOOGLETRANSLATE(D35, ""pt"", ""zu"")"),"Ukwazi ukuthi ungayikhipha kanjani ubisi ngaphandle kwengane kuhlale kubalulekile. 👈")</f>
        <v>Ukwazi ukuthi ungayikhipha kanjani ubisi ngaphandle kwengane kuhlale kubalulekile. 👈</v>
      </c>
      <c r="K35" s="29" t="str">
        <f ca="1">IFERROR(__xludf.DUMMYFUNCTION("GOOGLETRANSLATE(F35, ""en"", ""af"")"),"Dit is altyd belangrik om te weet hoe om melk uit te druk sonder die baba. 👈")</f>
        <v>Dit is altyd belangrik om te weet hoe om melk uit te druk sonder die baba. 👈</v>
      </c>
      <c r="L35" s="20" t="str">
        <f ca="1">IFERROR(__xludf.DUMMYFUNCTION("GOOGLETRANSLATE(D35, ""pt"", ""af"")"),"Dit is altyd belangrik om te weet hoe om melk sonder die baba te onttrek. 👈")</f>
        <v>Dit is altyd belangrik om te weet hoe om melk sonder die baba te onttrek. 👈</v>
      </c>
      <c r="M35" s="30"/>
      <c r="N35" s="30"/>
      <c r="O35" s="30"/>
      <c r="P35" s="30"/>
      <c r="Q35" s="30"/>
      <c r="R35" s="30"/>
      <c r="S35" s="30"/>
      <c r="T35" s="30"/>
      <c r="U35" s="30"/>
      <c r="V35" s="30"/>
      <c r="W35" s="30"/>
      <c r="X35" s="30"/>
      <c r="Y35" s="30"/>
      <c r="Z35" s="30"/>
      <c r="AA35" s="30"/>
      <c r="AB35" s="30"/>
      <c r="AC35" s="30"/>
      <c r="AD35" s="30"/>
      <c r="AE35" s="30"/>
      <c r="AF35" s="30"/>
    </row>
    <row r="36" spans="1:32" ht="45">
      <c r="A36" s="23" t="s">
        <v>869</v>
      </c>
      <c r="B36" s="24" t="s">
        <v>870</v>
      </c>
      <c r="C36" s="23" t="s">
        <v>898</v>
      </c>
      <c r="D36" s="25" t="s">
        <v>901</v>
      </c>
      <c r="E36" s="25"/>
      <c r="F36" s="25" t="s">
        <v>902</v>
      </c>
      <c r="G36" s="27"/>
      <c r="H36" s="25"/>
      <c r="I36" s="27" t="str">
        <f ca="1">IFERROR(__xludf.DUMMYFUNCTION("GOOGLETRANSLATE(F36, ""en"", ""zu"")"),"Ungahlala uveza ubisi ngesandla kepha ungasebenzisa futhi amaphampu wesifu.")</f>
        <v>Ungahlala uveza ubisi ngesandla kepha ungasebenzisa futhi amaphampu wesifu.</v>
      </c>
      <c r="J36" s="29" t="str">
        <f ca="1">IFERROR(__xludf.DUMMYFUNCTION("GOOGLETRANSLATE(D36, ""pt"", ""zu"")"),"Kungenzeka njalo ukukhipha, kepha amaphampu noma ama-extractors nawo angasetshenziswa.")</f>
        <v>Kungenzeka njalo ukukhipha, kepha amaphampu noma ama-extractors nawo angasetshenziswa.</v>
      </c>
      <c r="K36" s="29" t="str">
        <f ca="1">IFERROR(__xludf.DUMMYFUNCTION("GOOGLETRANSLATE(F36, ""en"", ""af"")"),"U kan altyd melk met die hand uitdruk, maar u kan ook borspompe gebruik.")</f>
        <v>U kan altyd melk met die hand uitdruk, maar u kan ook borspompe gebruik.</v>
      </c>
      <c r="L36" s="20" t="str">
        <f ca="1">IFERROR(__xludf.DUMMYFUNCTION("GOOGLETRANSLATE(D36, ""pt"", ""af"")"),"Dit is altyd moontlik om byderhand te onttrek, maar pompe of onttrekkers kan ook gebruik word.")</f>
        <v>Dit is altyd moontlik om byderhand te onttrek, maar pompe of onttrekkers kan ook gebruik word.</v>
      </c>
      <c r="M36" s="30"/>
      <c r="N36" s="30"/>
      <c r="O36" s="30"/>
      <c r="P36" s="30"/>
      <c r="Q36" s="30"/>
      <c r="R36" s="30"/>
      <c r="S36" s="30"/>
      <c r="T36" s="30"/>
      <c r="U36" s="30"/>
      <c r="V36" s="30"/>
      <c r="W36" s="30"/>
      <c r="X36" s="30"/>
      <c r="Y36" s="30"/>
      <c r="Z36" s="30"/>
      <c r="AA36" s="30"/>
      <c r="AB36" s="30"/>
      <c r="AC36" s="30"/>
      <c r="AD36" s="30"/>
      <c r="AE36" s="30"/>
      <c r="AF36" s="30"/>
    </row>
    <row r="37" spans="1:32" ht="75">
      <c r="A37" s="23" t="s">
        <v>869</v>
      </c>
      <c r="B37" s="24" t="s">
        <v>870</v>
      </c>
      <c r="C37" s="23" t="s">
        <v>898</v>
      </c>
      <c r="D37" s="25" t="s">
        <v>903</v>
      </c>
      <c r="E37" s="25"/>
      <c r="F37" s="25" t="s">
        <v>904</v>
      </c>
      <c r="G37" s="27"/>
      <c r="H37" s="25"/>
      <c r="I37" s="27" t="str">
        <f ca="1">IFERROR(__xludf.DUMMYFUNCTION("GOOGLETRANSLATE(F37, ""en"", ""zu"")"),"QAPHELA: Ukusebenzisa ipompo akufanele kulimaze okunye noma ngaphansi, noma kungaba noma yikuphi okusheshayo noma kancane kunokuncelisa ibele. ⚠")</f>
        <v>QAPHELA: Ukusebenzisa ipompo akufanele kulimaze okunye noma ngaphansi, noma kungaba noma yikuphi okusheshayo noma kancane kunokuncelisa ibele. ⚠</v>
      </c>
      <c r="J37" s="29" t="str">
        <f ca="1">IFERROR(__xludf.DUMMYFUNCTION("GOOGLETRANSLATE(D37, ""pt"", ""zu"")"),"QAPHELA: Akufanele kulimaze okungaphezulu noma ngaphansi kwephampu, noma kusheshe noma kube kancane kunasentanjeni. ⚠")</f>
        <v>QAPHELA: Akufanele kulimaze okungaphezulu noma ngaphansi kwephampu, noma kusheshe noma kube kancane kunasentanjeni. ⚠</v>
      </c>
      <c r="K37" s="29" t="str">
        <f ca="1">IFERROR(__xludf.DUMMYFUNCTION("GOOGLETRANSLATE(F37, ""en"", ""af"")"),"Opmerking: die gebruik van 'n pomp is nie veronderstel om min of meer seer te maak nie, of vinniger of stadiger te wees as wat borsvoeding is nie. ⚠")</f>
        <v>Opmerking: die gebruik van 'n pomp is nie veronderstel om min of meer seer te maak nie, of vinniger of stadiger te wees as wat borsvoeding is nie. ⚠</v>
      </c>
      <c r="L37" s="20" t="str">
        <f ca="1">IFERROR(__xludf.DUMMYFUNCTION("GOOGLETRANSLATE(D37, ""pt"", ""af"")"),"Opmerking: dit is nie veronderstel om nie meer of minder met die pomp te beseer nie, en ook nie vinniger of stadiger te wees as met die baba nie. ⚠")</f>
        <v>Opmerking: dit is nie veronderstel om nie meer of minder met die pomp te beseer nie, en ook nie vinniger of stadiger te wees as met die baba nie. ⚠</v>
      </c>
      <c r="M37" s="30"/>
      <c r="N37" s="30"/>
      <c r="O37" s="30"/>
      <c r="P37" s="30"/>
      <c r="Q37" s="30"/>
      <c r="R37" s="30"/>
      <c r="S37" s="30"/>
      <c r="T37" s="30"/>
      <c r="U37" s="30"/>
      <c r="V37" s="30"/>
      <c r="W37" s="30"/>
      <c r="X37" s="30"/>
      <c r="Y37" s="30"/>
      <c r="Z37" s="30"/>
      <c r="AA37" s="30"/>
      <c r="AB37" s="30"/>
      <c r="AC37" s="30"/>
      <c r="AD37" s="30"/>
      <c r="AE37" s="30"/>
      <c r="AF37" s="30"/>
    </row>
    <row r="38" spans="1:32" ht="45">
      <c r="A38" s="23" t="s">
        <v>869</v>
      </c>
      <c r="B38" s="24" t="s">
        <v>870</v>
      </c>
      <c r="C38" s="23" t="s">
        <v>898</v>
      </c>
      <c r="D38" s="25" t="s">
        <v>905</v>
      </c>
      <c r="E38" s="25"/>
      <c r="F38" s="25" t="s">
        <v>906</v>
      </c>
      <c r="G38" s="27"/>
      <c r="H38" s="25"/>
      <c r="I38" s="27" t="str">
        <f ca="1">IFERROR(__xludf.DUMMYFUNCTION("GOOGLETRANSLATE(F38, ""en"", ""zu"")"),"Ama-Pump amahle alingise isigqi esijwayelekile sengane sokukhuthaza bese sincela.")</f>
        <v>Ama-Pump amahle alingise isigqi esijwayelekile sengane sokukhuthaza bese sincela.</v>
      </c>
      <c r="J38" s="29" t="str">
        <f ca="1">IFERROR(__xludf.DUMMYFUNCTION("GOOGLETRANSLATE(D38, ""pt"", ""zu"")"),"Ama-extactors amahle alingisa ijubane lengane ejwayelekile ukuvuselela bese uncela.")</f>
        <v>Ama-extactors amahle alingisa ijubane lengane ejwayelekile ukuvuselela bese uncela.</v>
      </c>
      <c r="K38" s="29" t="str">
        <f ca="1">IFERROR(__xludf.DUMMYFUNCTION("GOOGLETRANSLATE(F38, ""en"", ""af"")"),"Goeie pompe simuleer 'n baba se normale ritme van stimulasie en suig dan.")</f>
        <v>Goeie pompe simuleer 'n baba se normale ritme van stimulasie en suig dan.</v>
      </c>
      <c r="L38" s="20" t="str">
        <f ca="1">IFERROR(__xludf.DUMMYFUNCTION("GOOGLETRANSLATE(D38, ""pt"", ""af"")"),"Goeie uittreksels simuleer die baba se normale tempo om te stimuleer en dan te suig.")</f>
        <v>Goeie uittreksels simuleer die baba se normale tempo om te stimuleer en dan te suig.</v>
      </c>
      <c r="M38" s="30"/>
      <c r="N38" s="30"/>
      <c r="O38" s="30"/>
      <c r="P38" s="30"/>
      <c r="Q38" s="30"/>
      <c r="R38" s="30"/>
      <c r="S38" s="30"/>
      <c r="T38" s="30"/>
      <c r="U38" s="30"/>
      <c r="V38" s="30"/>
      <c r="W38" s="30"/>
      <c r="X38" s="30"/>
      <c r="Y38" s="30"/>
      <c r="Z38" s="30"/>
      <c r="AA38" s="30"/>
      <c r="AB38" s="30"/>
      <c r="AC38" s="30"/>
      <c r="AD38" s="30"/>
      <c r="AE38" s="30"/>
      <c r="AF38" s="30"/>
    </row>
    <row r="39" spans="1:32" ht="105">
      <c r="A39" s="23" t="s">
        <v>869</v>
      </c>
      <c r="B39" s="24" t="s">
        <v>870</v>
      </c>
      <c r="C39" s="23" t="s">
        <v>898</v>
      </c>
      <c r="D39" s="25" t="s">
        <v>907</v>
      </c>
      <c r="E39" s="25"/>
      <c r="F39" s="25" t="s">
        <v>908</v>
      </c>
      <c r="G39" s="27"/>
      <c r="H39" s="25"/>
      <c r="I39" s="27" t="str">
        <f ca="1">IFERROR(__xludf.DUMMYFUNCTION("GOOGLETRANSLATE(F39, ""en"", ""zu"")"),"Okokuqala kuhamba ngokushesha kepha ngamandla amancane okukhulisa (kuze kube yilapho ubisi luncishisiwe). Lapho-ke isigqi siyancipha futhi siqine kakhulu (kungathi ingane imunca futhi iyagwinya).")</f>
        <v>Okokuqala kuhamba ngokushesha kepha ngamandla amancane okukhulisa (kuze kube yilapho ubisi luncishisiwe). Lapho-ke isigqi siyancipha futhi siqine kakhulu (kungathi ingane imunca futhi iyagwinya).</v>
      </c>
      <c r="J39" s="29" t="str">
        <f ca="1">IFERROR(__xludf.DUMMYFUNCTION("GOOGLETRANSLATE(D39, ""pt"", ""zu"")"),"Ijubane lokuqala elisheshayo kepha amandla amancane okukhulisa (ngisho nokudonsa ubisi). Ngemuva kwalokho ijubane kodwa isigqi esikhulu kakhulu (njengokungathi ingane idonsa futhi i-Swallowing).")</f>
        <v>Ijubane lokuqala elisheshayo kepha amandla amancane okukhulisa (ngisho nokudonsa ubisi). Ngemuva kwalokho ijubane kodwa isigqi esikhulu kakhulu (njengokungathi ingane idonsa futhi i-Swallowing).</v>
      </c>
      <c r="K39" s="29" t="str">
        <f ca="1">IFERROR(__xludf.DUMMYFUNCTION("GOOGLETRANSLATE(F39, ""en"", ""af"")"),"Eerstens gaan dit vinniger, maar met min suigsterkte (tot die melkhout). Dan vertraag die ritme en is meer intens (asof die baba suig en sluk).")</f>
        <v>Eerstens gaan dit vinniger, maar met min suigsterkte (tot die melkhout). Dan vertraag die ritme en is meer intens (asof die baba suig en sluk).</v>
      </c>
      <c r="L39" s="20" t="str">
        <f ca="1">IFERROR(__xludf.DUMMYFUNCTION("GOOGLETRANSLATE(D39, ""pt"", ""af"")"),"Eerste vinnige tempo maar min suigsterkte (selfs druppel melk). Dan stadig, maar meer intense ritme (asof die baba trek en sluk).")</f>
        <v>Eerste vinnige tempo maar min suigsterkte (selfs druppel melk). Dan stadig, maar meer intense ritme (asof die baba trek en sluk).</v>
      </c>
      <c r="M39" s="30"/>
      <c r="N39" s="30"/>
      <c r="O39" s="30"/>
      <c r="P39" s="30"/>
      <c r="Q39" s="30"/>
      <c r="R39" s="30"/>
      <c r="S39" s="30"/>
      <c r="T39" s="30"/>
      <c r="U39" s="30"/>
      <c r="V39" s="30"/>
      <c r="W39" s="30"/>
      <c r="X39" s="30"/>
      <c r="Y39" s="30"/>
      <c r="Z39" s="30"/>
      <c r="AA39" s="30"/>
      <c r="AB39" s="30"/>
      <c r="AC39" s="30"/>
      <c r="AD39" s="30"/>
      <c r="AE39" s="30"/>
      <c r="AF39" s="30"/>
    </row>
    <row r="40" spans="1:32" ht="27.95">
      <c r="A40" s="23" t="s">
        <v>869</v>
      </c>
      <c r="B40" s="24" t="s">
        <v>872</v>
      </c>
      <c r="C40" s="23" t="s">
        <v>898</v>
      </c>
      <c r="D40" s="25" t="s">
        <v>909</v>
      </c>
      <c r="E40" s="25" t="s">
        <v>910</v>
      </c>
      <c r="F40" s="25"/>
      <c r="G40" s="27"/>
      <c r="H40" s="25"/>
      <c r="I40" s="27"/>
      <c r="J40" s="29" t="str">
        <f ca="1">IFERROR(__xludf.DUMMYFUNCTION("GOOGLETRANSLATE(D40, ""pt"", ""zu"")"),"Khipha ngesandla ✋")</f>
        <v>Khipha ngesandla ✋</v>
      </c>
      <c r="K40" s="29"/>
      <c r="L40" s="20" t="str">
        <f ca="1">IFERROR(__xludf.DUMMYFUNCTION("GOOGLETRANSLATE(D40, ""pt"", ""af"")"),"Uittreksel met die hand ✋")</f>
        <v>Uittreksel met die hand ✋</v>
      </c>
      <c r="M40" s="30"/>
      <c r="N40" s="30"/>
      <c r="O40" s="30"/>
      <c r="P40" s="30"/>
      <c r="Q40" s="30"/>
      <c r="R40" s="30"/>
      <c r="S40" s="30"/>
      <c r="T40" s="30"/>
      <c r="U40" s="30"/>
      <c r="V40" s="30"/>
      <c r="W40" s="30"/>
      <c r="X40" s="30"/>
      <c r="Y40" s="30"/>
      <c r="Z40" s="30"/>
      <c r="AA40" s="30"/>
      <c r="AB40" s="30"/>
      <c r="AC40" s="30"/>
      <c r="AD40" s="30"/>
      <c r="AE40" s="30"/>
      <c r="AF40" s="30"/>
    </row>
    <row r="41" spans="1:32" ht="60">
      <c r="A41" s="23" t="s">
        <v>869</v>
      </c>
      <c r="B41" s="24" t="s">
        <v>870</v>
      </c>
      <c r="C41" s="23" t="s">
        <v>910</v>
      </c>
      <c r="D41" s="25" t="s">
        <v>911</v>
      </c>
      <c r="E41" s="25"/>
      <c r="F41" s="25" t="s">
        <v>912</v>
      </c>
      <c r="G41" s="27"/>
      <c r="H41" s="25"/>
      <c r="I41" s="27" t="str">
        <f ca="1">IFERROR(__xludf.DUMMYFUNCTION("GOOGLETRANSLATE(F41, ""en"", ""zu"")"),"Bonke omama abancelisa 🤱 kufanele bazi ukuthi bangakhombisa kanjani ubisi ngesandla noma nini lapho bedingeka.")</f>
        <v>Bonke omama abancelisa 🤱 kufanele bazi ukuthi bangakhombisa kanjani ubisi ngesandla noma nini lapho bedingeka.</v>
      </c>
      <c r="J41" s="29" t="str">
        <f ca="1">IFERROR(__xludf.DUMMYFUNCTION("GOOGLETRANSLATE(D41, ""pt"", ""zu"")"),"Bonke omama abancelisa ukuncelisa kufanele bazi ukuthi bangayikhipha kanjani ngesandla ukuphakama kokhiye 🗝.")</f>
        <v>Bonke omama abancelisa ukuncelisa kufanele bazi ukuthi bangayikhipha kanjani ngesandla ukuphakama kokhiye 🗝.</v>
      </c>
      <c r="K41" s="29" t="str">
        <f ca="1">IFERROR(__xludf.DUMMYFUNCTION("GOOGLETRANSLATE(F41, ""en"", ""af"")"),"Alle moeders wat borsvoed, moet weet hoe om melk met die hand uit te druk waar nodig.")</f>
        <v>Alle moeders wat borsvoed, moet weet hoe om melk met die hand uit te druk waar nodig.</v>
      </c>
      <c r="L41" s="20" t="str">
        <f ca="1">IFERROR(__xludf.DUMMYFUNCTION("GOOGLETRANSLATE(D41, ""pt"", ""af"")"),"Alle borsvoedende moeders moet weet hoe om met die hand na sommige sleutelhoogtes te onttrek 🗝.")</f>
        <v>Alle borsvoedende moeders moet weet hoe om met die hand na sommige sleutelhoogtes te onttrek 🗝.</v>
      </c>
      <c r="M41" s="30"/>
      <c r="N41" s="30"/>
      <c r="O41" s="30"/>
      <c r="P41" s="30"/>
      <c r="Q41" s="30"/>
      <c r="R41" s="30"/>
      <c r="S41" s="30"/>
      <c r="T41" s="30"/>
      <c r="U41" s="30"/>
      <c r="V41" s="30"/>
      <c r="W41" s="30"/>
      <c r="X41" s="30"/>
      <c r="Y41" s="30"/>
      <c r="Z41" s="30"/>
      <c r="AA41" s="30"/>
      <c r="AB41" s="30"/>
      <c r="AC41" s="30"/>
      <c r="AD41" s="30"/>
      <c r="AE41" s="30"/>
      <c r="AF41" s="30"/>
    </row>
    <row r="42" spans="1:32" ht="75">
      <c r="A42" s="23" t="s">
        <v>869</v>
      </c>
      <c r="B42" s="24" t="s">
        <v>870</v>
      </c>
      <c r="C42" s="23" t="s">
        <v>910</v>
      </c>
      <c r="D42" s="25" t="s">
        <v>663</v>
      </c>
      <c r="E42" s="25"/>
      <c r="F42" s="25" t="s">
        <v>913</v>
      </c>
      <c r="G42" s="27"/>
      <c r="H42" s="25"/>
      <c r="I42" s="27" t="str">
        <f ca="1">IFERROR(__xludf.DUMMYFUNCTION("GOOGLETRANSLATE(F42, ""en"", ""zu"")"),"Kodwa-ke, izingane yibo kuphela abakwaziyo ukukhuthaza futhi bathule ngokuphelele isifuba, kepha lokhu akusho ukuthi ngeke sikwazi ukukwenza ngaphandle kwabo. 💪")</f>
        <v>Kodwa-ke, izingane yibo kuphela abakwaziyo ukukhuthaza futhi bathule ngokuphelele isifuba, kepha lokhu akusho ukuthi ngeke sikwazi ukukwenza ngaphandle kwabo. 💪</v>
      </c>
      <c r="J42" s="29" t="str">
        <f ca="1">IFERROR(__xludf.DUMMYFUNCTION("GOOGLETRANSLATE(D42, ""pt"", ""zu"")"),"Kodwa-ke, ingane nguyena kuphela ongavuselela futhi ayithumbiziseli ngokuphelele isifuba akusho ukuthi ngeke sikwenze lokho lapho kungekho. 💪")</f>
        <v>Kodwa-ke, ingane nguyena kuphela ongavuselela futhi ayithumbiziseli ngokuphelele isifuba akusho ukuthi ngeke sikwenze lokho lapho kungekho. 💪</v>
      </c>
      <c r="K42" s="29" t="str">
        <f ca="1">IFERROR(__xludf.DUMMYFUNCTION("GOOGLETRANSLATE(F42, ""en"", ""af"")"),"Babas is egter die enigste wat die bors werklik kan stimuleer en heeltemal leegmaak, maar dit beteken nie dat ons dit nie sonder hulle kan doen nie. 💪")</f>
        <v>Babas is egter die enigste wat die bors werklik kan stimuleer en heeltemal leegmaak, maar dit beteken nie dat ons dit nie sonder hulle kan doen nie. 💪</v>
      </c>
      <c r="L42" s="20" t="str">
        <f ca="1">IFERROR(__xludf.DUMMYFUNCTION("GOOGLETRANSLATE(D42, ""pt"", ""af"")"),"Die baba is egter die enigste wat die bors werklik kan stimuleer en heeltemal leegmaak, beteken nie dat ons dit nie in sy afwesigheid kan doen nie. 💪")</f>
        <v>Die baba is egter die enigste wat die bors werklik kan stimuleer en heeltemal leegmaak, beteken nie dat ons dit nie in sy afwesigheid kan doen nie. 💪</v>
      </c>
      <c r="M42" s="30"/>
      <c r="N42" s="30"/>
      <c r="O42" s="30"/>
      <c r="P42" s="30"/>
      <c r="Q42" s="30"/>
      <c r="R42" s="30"/>
      <c r="S42" s="30"/>
      <c r="T42" s="30"/>
      <c r="U42" s="30"/>
      <c r="V42" s="30"/>
      <c r="W42" s="30"/>
      <c r="X42" s="30"/>
      <c r="Y42" s="30"/>
      <c r="Z42" s="30"/>
      <c r="AA42" s="30"/>
      <c r="AB42" s="30"/>
      <c r="AC42" s="30"/>
      <c r="AD42" s="30"/>
      <c r="AE42" s="30"/>
      <c r="AF42" s="30"/>
    </row>
    <row r="43" spans="1:32" ht="111.95">
      <c r="A43" s="23" t="s">
        <v>869</v>
      </c>
      <c r="B43" s="24" t="s">
        <v>870</v>
      </c>
      <c r="C43" s="23" t="s">
        <v>910</v>
      </c>
      <c r="D43" s="25" t="s">
        <v>914</v>
      </c>
      <c r="E43" s="25"/>
      <c r="F43" s="25" t="s">
        <v>915</v>
      </c>
      <c r="G43" s="27"/>
      <c r="H43" s="25"/>
      <c r="I43" s="27" t="str">
        <f ca="1">IFERROR(__xludf.DUMMYFUNCTION("GOOGLETRANSLATE(F43, ""en"", ""zu"")"),"Nakhu ukuthi: Yenza ""c"" ngesithupha sakho kanye ne-Index Finger ezungeze i-areola yakho (lapho umbala wakho wesikhumba ushintsha) bese uqala ukudonsa emuva bese udlulisa umxhwele isithupha sakho.")</f>
        <v>Nakhu ukuthi: Yenza "c" ngesithupha sakho kanye ne-Index Finger ezungeze i-areola yakho (lapho umbala wakho wesikhumba ushintsha) bese uqala ukudonsa emuva bese udlulisa umxhwele isithupha sakho.</v>
      </c>
      <c r="J43" s="29" t="str">
        <f ca="1">IFERROR(__xludf.DUMMYFUNCTION("GOOGLETRANSLATE(D43, ""pt"", ""zu"")"),"Inqubo: Beka iminwe yakho, isithupha kanye nenkomba, ku-c bese uwabeka emngceleni we-areola (lapho isikhumba sishintsha umbala) bese sibheke phezulu bese sihlanganisa iminwe komunye nomunye.")</f>
        <v>Inqubo: Beka iminwe yakho, isithupha kanye nenkomba, ku-c bese uwabeka emngceleni we-areola (lapho isikhumba sishintsha umbala) bese sibheke phezulu bese sihlanganisa iminwe komunye nomunye.</v>
      </c>
      <c r="K43" s="29" t="str">
        <f ca="1">IFERROR(__xludf.DUMMYFUNCTION("GOOGLETRANSLATE(F43, ""en"", ""af"")"),"Hier is hoe: maak 'n 'c' met jou duim en wysvinger om jou areola (waar jou velkleur verander) en trek eers terug en dan stadig vorentoe, druk jou duim en wysvinger aanmekaar.")</f>
        <v>Hier is hoe: maak 'n 'c' met jou duim en wysvinger om jou areola (waar jou velkleur verander) en trek eers terug en dan stadig vorentoe, druk jou duim en wysvinger aanmekaar.</v>
      </c>
      <c r="L43" s="20" t="str">
        <f ca="1">IFERROR(__xludf.DUMMYFUNCTION("GOOGLETRANSLATE(D43, ""pt"", ""af"")"),"Tegniek: Plaas u vingers, duim en aanwyser, in C en plaas dit aan die grens van die areola (waar die vel van kleur verander) en in 'n eerste beweging teen die agterkant en dan die teenoorgestelde rigting en om die vingers teen mekaar te verbind.")</f>
        <v>Tegniek: Plaas u vingers, duim en aanwyser, in C en plaas dit aan die grens van die areola (waar die vel van kleur verander) en in 'n eerste beweging teen die agterkant en dan die teenoorgestelde rigting en om die vingers teen mekaar te verbind.</v>
      </c>
      <c r="M43" s="30"/>
      <c r="N43" s="30"/>
      <c r="O43" s="30"/>
      <c r="P43" s="30"/>
      <c r="Q43" s="30"/>
      <c r="R43" s="30"/>
      <c r="S43" s="30"/>
      <c r="T43" s="30"/>
      <c r="U43" s="30"/>
      <c r="V43" s="30"/>
      <c r="W43" s="30"/>
      <c r="X43" s="30"/>
      <c r="Y43" s="30"/>
      <c r="Z43" s="30"/>
      <c r="AA43" s="30"/>
      <c r="AB43" s="30"/>
      <c r="AC43" s="30"/>
      <c r="AD43" s="30"/>
      <c r="AE43" s="30"/>
      <c r="AF43" s="30"/>
    </row>
    <row r="44" spans="1:32" ht="30">
      <c r="A44" s="23" t="s">
        <v>869</v>
      </c>
      <c r="B44" s="24" t="s">
        <v>870</v>
      </c>
      <c r="C44" s="23" t="s">
        <v>910</v>
      </c>
      <c r="D44" s="25" t="s">
        <v>669</v>
      </c>
      <c r="E44" s="25"/>
      <c r="F44" s="25" t="s">
        <v>916</v>
      </c>
      <c r="G44" s="27"/>
      <c r="H44" s="25"/>
      <c r="I44" s="27" t="str">
        <f ca="1">IFERROR(__xludf.DUMMYFUNCTION("GOOGLETRANSLATE(F44, ""en"", ""zu"")"),"Ubisi luzophuma lucwebezele noma luncane kakhulu.💦🌊💧")</f>
        <v>Ubisi luzophuma lucwebezele noma luncane kakhulu.💦🌊💧</v>
      </c>
      <c r="J44" s="29" t="str">
        <f ca="1">IFERROR(__xludf.DUMMYFUNCTION("GOOGLETRANSLATE(D44, ""pt"", ""zu"")"),"Ubisi luzophuma uxhaswazi oluningi noma oluncane. 💦🌊💧")</f>
        <v>Ubisi luzophuma uxhaswazi oluningi noma oluncane. 💦🌊💧</v>
      </c>
      <c r="K44" s="29" t="str">
        <f ca="1">IFERROR(__xludf.DUMMYFUNCTION("GOOGLETRANSLATE(F44, ""en"", ""af"")"),"Die melk sal min of meer vloeiend uitkom.💦🌊💧")</f>
        <v>Die melk sal min of meer vloeiend uitkom.💦🌊💧</v>
      </c>
      <c r="L44" s="20" t="str">
        <f ca="1">IFERROR(__xludf.DUMMYFUNCTION("GOOGLETRANSLATE(D44, ""pt"", ""af"")"),"Melk sal min of meer vloeibaarheid uitkom. 💦🌊💧")</f>
        <v>Melk sal min of meer vloeibaarheid uitkom. 💦🌊💧</v>
      </c>
      <c r="M44" s="30"/>
      <c r="N44" s="30"/>
      <c r="O44" s="30"/>
      <c r="P44" s="30"/>
      <c r="Q44" s="30"/>
      <c r="R44" s="30"/>
      <c r="S44" s="30"/>
      <c r="T44" s="30"/>
      <c r="U44" s="30"/>
      <c r="V44" s="30"/>
      <c r="W44" s="30"/>
      <c r="X44" s="30"/>
      <c r="Y44" s="30"/>
      <c r="Z44" s="30"/>
      <c r="AA44" s="30"/>
      <c r="AB44" s="30"/>
      <c r="AC44" s="30"/>
      <c r="AD44" s="30"/>
      <c r="AE44" s="30"/>
      <c r="AF44" s="30"/>
    </row>
    <row r="45" spans="1:32" ht="27.95">
      <c r="A45" s="23" t="s">
        <v>869</v>
      </c>
      <c r="B45" s="24" t="s">
        <v>872</v>
      </c>
      <c r="C45" s="23" t="s">
        <v>910</v>
      </c>
      <c r="D45" s="25" t="s">
        <v>535</v>
      </c>
      <c r="E45" s="25" t="s">
        <v>917</v>
      </c>
      <c r="F45" s="25"/>
      <c r="G45" s="27"/>
      <c r="H45" s="25"/>
      <c r="I45" s="27"/>
      <c r="J45" s="29" t="str">
        <f ca="1">IFERROR(__xludf.DUMMYFUNCTION("GOOGLETRANSLATE(D45, ""pt"", ""zu"")"),"Ungagcina kanjani ubisi?")</f>
        <v>Ungagcina kanjani ubisi?</v>
      </c>
      <c r="K45" s="29"/>
      <c r="L45" s="20" t="str">
        <f ca="1">IFERROR(__xludf.DUMMYFUNCTION("GOOGLETRANSLATE(D45, ""pt"", ""af"")"),"Hoe om melk te hou?")</f>
        <v>Hoe om melk te hou?</v>
      </c>
      <c r="M45" s="30"/>
      <c r="N45" s="30"/>
      <c r="O45" s="30"/>
      <c r="P45" s="30"/>
      <c r="Q45" s="30"/>
      <c r="R45" s="30"/>
      <c r="S45" s="30"/>
      <c r="T45" s="30"/>
      <c r="U45" s="30"/>
      <c r="V45" s="30"/>
      <c r="W45" s="30"/>
      <c r="X45" s="30"/>
      <c r="Y45" s="30"/>
      <c r="Z45" s="30"/>
      <c r="AA45" s="30"/>
      <c r="AB45" s="30"/>
      <c r="AC45" s="30"/>
      <c r="AD45" s="30"/>
      <c r="AE45" s="30"/>
      <c r="AF45" s="30"/>
    </row>
    <row r="46" spans="1:32" ht="27.95">
      <c r="A46" s="23" t="s">
        <v>869</v>
      </c>
      <c r="B46" s="24" t="s">
        <v>872</v>
      </c>
      <c r="C46" s="23" t="s">
        <v>910</v>
      </c>
      <c r="D46" s="25" t="s">
        <v>918</v>
      </c>
      <c r="E46" s="25" t="s">
        <v>919</v>
      </c>
      <c r="F46" s="25"/>
      <c r="G46" s="27"/>
      <c r="H46" s="25"/>
      <c r="I46" s="27"/>
      <c r="J46" s="29" t="str">
        <f ca="1">IFERROR(__xludf.DUMMYFUNCTION("GOOGLETRANSLATE(D46, ""pt"", ""zu"")"),"Isikhathi sokongiwa kwemvelo")</f>
        <v>Isikhathi sokongiwa kwemvelo</v>
      </c>
      <c r="K46" s="29"/>
      <c r="L46" s="20" t="str">
        <f ca="1">IFERROR(__xludf.DUMMYFUNCTION("GOOGLETRANSLATE(D46, ""pt"", ""af"")"),"Bewaringstyd")</f>
        <v>Bewaringstyd</v>
      </c>
      <c r="M46" s="30"/>
      <c r="N46" s="30"/>
      <c r="O46" s="30"/>
      <c r="P46" s="30"/>
      <c r="Q46" s="30"/>
      <c r="R46" s="30"/>
      <c r="S46" s="30"/>
      <c r="T46" s="30"/>
      <c r="U46" s="30"/>
      <c r="V46" s="30"/>
      <c r="W46" s="30"/>
      <c r="X46" s="30"/>
      <c r="Y46" s="30"/>
      <c r="Z46" s="30"/>
      <c r="AA46" s="30"/>
      <c r="AB46" s="30"/>
      <c r="AC46" s="30"/>
      <c r="AD46" s="30"/>
      <c r="AE46" s="30"/>
      <c r="AF46" s="30"/>
    </row>
    <row r="47" spans="1:32" ht="30">
      <c r="A47" s="23" t="s">
        <v>869</v>
      </c>
      <c r="B47" s="24" t="s">
        <v>870</v>
      </c>
      <c r="C47" s="23" t="s">
        <v>920</v>
      </c>
      <c r="D47" s="25" t="s">
        <v>921</v>
      </c>
      <c r="E47" s="25"/>
      <c r="F47" s="25" t="s">
        <v>922</v>
      </c>
      <c r="G47" s="27"/>
      <c r="H47" s="25"/>
      <c r="I47" s="27" t="str">
        <f ca="1">IFERROR(__xludf.DUMMYFUNCTION("GOOGLETRANSLATE(F47, ""en"", ""zu"")"),"Ukuncelisa kanye nokubuyela emsebenzini 💼 akuhambelani.")</f>
        <v>Ukuncelisa kanye nokubuyela emsebenzini 💼 akuhambelani.</v>
      </c>
      <c r="J47" s="29" t="str">
        <f ca="1">IFERROR(__xludf.DUMMYFUNCTION("GOOGLETRANSLATE(D47, ""pt"", ""zu"")"),"Ukuncelisa kanye nokubuyela emsebenzini 💼 akuhambelani.")</f>
        <v>Ukuncelisa kanye nokubuyela emsebenzini 💼 akuhambelani.</v>
      </c>
      <c r="K47" s="29" t="str">
        <f ca="1">IFERROR(__xludf.DUMMYFUNCTION("GOOGLETRANSLATE(F47, ""en"", ""af"")"),"Borsvoeding en teruggaan werk toe 💼 is nie onversoenbaar nie.")</f>
        <v>Borsvoeding en teruggaan werk toe 💼 is nie onversoenbaar nie.</v>
      </c>
      <c r="L47" s="20" t="str">
        <f ca="1">IFERROR(__xludf.DUMMYFUNCTION("GOOGLETRANSLATE(D47, ""pt"", ""af"")"),"Borsvoeding en terugkeer werk toe 💼 is nie versoenbaar nie.")</f>
        <v>Borsvoeding en terugkeer werk toe 💼 is nie versoenbaar nie.</v>
      </c>
      <c r="M47" s="30"/>
      <c r="N47" s="30"/>
      <c r="O47" s="30"/>
      <c r="P47" s="30"/>
      <c r="Q47" s="30"/>
      <c r="R47" s="30"/>
      <c r="S47" s="30"/>
      <c r="T47" s="30"/>
      <c r="U47" s="30"/>
      <c r="V47" s="30"/>
      <c r="W47" s="30"/>
      <c r="X47" s="30"/>
      <c r="Y47" s="30"/>
      <c r="Z47" s="30"/>
      <c r="AA47" s="30"/>
      <c r="AB47" s="30"/>
      <c r="AC47" s="30"/>
      <c r="AD47" s="30"/>
      <c r="AE47" s="30"/>
      <c r="AF47" s="30"/>
    </row>
    <row r="48" spans="1:32" ht="60">
      <c r="A48" s="23" t="s">
        <v>869</v>
      </c>
      <c r="B48" s="24" t="s">
        <v>870</v>
      </c>
      <c r="C48" s="23" t="s">
        <v>920</v>
      </c>
      <c r="D48" s="25" t="s">
        <v>923</v>
      </c>
      <c r="E48" s="25"/>
      <c r="F48" s="25" t="s">
        <v>924</v>
      </c>
      <c r="G48" s="27"/>
      <c r="H48" s="25"/>
      <c r="I48" s="27" t="str">
        <f ca="1">IFERROR(__xludf.DUMMYFUNCTION("GOOGLETRANSLATE(F48, ""en"", ""zu"")"),"Udinga nje ukulungiswa okuthile futhi ulindele ubunzima obukhona, kepha cishe yonke into inesixazululo. 😉")</f>
        <v>Udinga nje ukulungiswa okuthile futhi ulindele ubunzima obukhona, kepha cishe yonke into inesixazululo. 😉</v>
      </c>
      <c r="J48" s="29" t="str">
        <f ca="1">IFERROR(__xludf.DUMMYFUNCTION("GOOGLETRANSLATE(D48, ""pt"", ""zu"")"),"Ukulungiselela nje okuthile nokulangazelela kobunzima obungaba khona kepha cishe yonke into inesixazululo. 😉")</f>
        <v>Ukulungiselela nje okuthile nokulangazelela kobunzima obungaba khona kepha cishe yonke into inesixazululo. 😉</v>
      </c>
      <c r="K48" s="29" t="str">
        <f ca="1">IFERROR(__xludf.DUMMYFUNCTION("GOOGLETRANSLATE(F48, ""en"", ""af"")"),"U het net 'n bietjie voorbereiding nodig en om die moontlike probleme te voorspel, maar byna alles het 'n oplossing. 😉")</f>
        <v>U het net 'n bietjie voorbereiding nodig en om die moontlike probleme te voorspel, maar byna alles het 'n oplossing. 😉</v>
      </c>
      <c r="L48" s="20" t="str">
        <f ca="1">IFERROR(__xludf.DUMMYFUNCTION("GOOGLETRANSLATE(D48, ""pt"", ""af"")"),"Net 'n bietjie voorbereiding en afwagting van moontlike probleme, maar byna alles het 'n oplossing. 😉")</f>
        <v>Net 'n bietjie voorbereiding en afwagting van moontlike probleme, maar byna alles het 'n oplossing. 😉</v>
      </c>
      <c r="M48" s="30"/>
      <c r="N48" s="30"/>
      <c r="O48" s="30"/>
      <c r="P48" s="30"/>
      <c r="Q48" s="30"/>
      <c r="R48" s="30"/>
      <c r="S48" s="30"/>
      <c r="T48" s="30"/>
      <c r="U48" s="30"/>
      <c r="V48" s="30"/>
      <c r="W48" s="30"/>
      <c r="X48" s="30"/>
      <c r="Y48" s="30"/>
      <c r="Z48" s="30"/>
      <c r="AA48" s="30"/>
      <c r="AB48" s="30"/>
      <c r="AC48" s="30"/>
      <c r="AD48" s="30"/>
      <c r="AE48" s="30"/>
      <c r="AF48" s="30"/>
    </row>
    <row r="49" spans="1:32" ht="195">
      <c r="A49" s="23" t="s">
        <v>869</v>
      </c>
      <c r="B49" s="24" t="s">
        <v>870</v>
      </c>
      <c r="C49" s="23" t="s">
        <v>920</v>
      </c>
      <c r="D49" s="25" t="s">
        <v>925</v>
      </c>
      <c r="E49" s="25"/>
      <c r="F49" s="25" t="s">
        <v>926</v>
      </c>
      <c r="G49" s="27"/>
      <c r="H49" s="25"/>
      <c r="I49" s="27" t="str">
        <f ca="1">IFERROR(__xludf.DUMMYFUNCTION("GOOGLETRANSLATE(F49, ""en"", ""zu"")"),"Ngokwesibonelo:
👉Is kukhona indawo lapho ungaba khona ubumfihlo ukupompa noma udinga ukuletha okuthile ukumboza?
Udinga ukuletha ukupholisa noma ukhona esiqandisini noma i-freezer?
👉Ikhona indawo yokugeza nokuhlanza ipompo nezesekeli futhi ugeze izan"&amp;"dla zakho noma kungcono ukuba nokusulwa kwe-disinfectant?")</f>
        <v>Ngokwesibonelo:
👉Is kukhona indawo lapho ungaba khona ubumfihlo ukupompa noma udinga ukuletha okuthile ukumboza?
Udinga ukuletha ukupholisa noma ukhona esiqandisini noma i-freezer?
👉Ikhona indawo yokugeza nokuhlanza ipompo nezesekeli futhi ugeze izandla zakho noma kungcono ukuba nokusulwa kwe-disinfectant?</v>
      </c>
      <c r="J49" s="29" t="str">
        <f ca="1">IFERROR(__xludf.DUMMYFUNCTION("GOOGLETRANSLATE(D49, ""pt"", ""zu"")"),"Ngokwesibonelo:
Ingabe ikhona indawo lapho kungenzeka khona ukukhipha ubisi ngobumfihlo noma udinga ukuletha i-flash ku-plug?
Ngabe udinga ukuletha isikhwama esibandayo sokugcina noma ukhona ifriji / i-Freezer?
Kukhona lapho ongawakha khona ipompo nezesek"&amp;"eli noma lapho ukugeza khona kahle noma kungcono ukuba namagciwane abulala amagciwane? """)</f>
        <v>Ngokwesibonelo:
Ingabe ikhona indawo lapho kungenzeka khona ukukhipha ubisi ngobumfihlo noma udinga ukuletha i-flash ku-plug?
Ngabe udinga ukuletha isikhwama esibandayo sokugcina noma ukhona ifriji / i-Freezer?
Kukhona lapho ongawakha khona ipompo nezesekeli noma lapho ukugeza khona kahle noma kungcono ukuba namagciwane abulala amagciwane? "</v>
      </c>
      <c r="K49" s="29" t="str">
        <f ca="1">IFERROR(__xludf.DUMMYFUNCTION("GOOGLETRANSLATE(F49, ""en"", ""af"")"),"Byvoorbeeld:
Is daar 'n plek waar u privaatheid kan hê om te pomp, of moet u iets saambring om te bedek?
Is u 'n koeler of is daar 'n yskas of vrieskas?
Is daar 'n plek om die pomp en bykomstighede te was en te ontsmet en u hande te was, of is dit bete"&amp;"r om ontsmettingsmiddels te hê?")</f>
        <v>Byvoorbeeld:
Is daar 'n plek waar u privaatheid kan hê om te pomp, of moet u iets saambring om te bedek?
Is u 'n koeler of is daar 'n yskas of vrieskas?
Is daar 'n plek om die pomp en bykomstighede te was en te ontsmet en u hande te was, of is dit beter om ontsmettingsmiddels te hê?</v>
      </c>
      <c r="L49" s="20" t="str">
        <f ca="1">IFERROR(__xludf.DUMMYFUNCTION("GOOGLETRANSLATE(D49, ""pt"", ""af"")"),"Byvoorbeeld:
Is daar 'n plek waar dit moontlik is om melk met privaatheid te onttrek, of moet u 'n flits saambring?
Moet u konserwatiewe koue sak saambring of is daar 'n yskas/vrieskas?
Daar is waar om die pomp en bykomstighede te ontsmet, of waar u u han"&amp;"de goed kon was, of is dit beter om hulpmiddels te ontsmet? '")</f>
        <v>Byvoorbeeld:
Is daar 'n plek waar dit moontlik is om melk met privaatheid te onttrek, of moet u 'n flits saambring?
Moet u konserwatiewe koue sak saambring of is daar 'n yskas/vrieskas?
Daar is waar om die pomp en bykomstighede te ontsmet, of waar u u hande goed kon was, of is dit beter om hulpmiddels te ontsmet? '</v>
      </c>
      <c r="M49" s="30"/>
      <c r="N49" s="30"/>
      <c r="O49" s="30"/>
      <c r="P49" s="30"/>
      <c r="Q49" s="30"/>
      <c r="R49" s="30"/>
      <c r="S49" s="30"/>
      <c r="T49" s="30"/>
      <c r="U49" s="30"/>
      <c r="V49" s="30"/>
      <c r="W49" s="30"/>
      <c r="X49" s="30"/>
      <c r="Y49" s="30"/>
      <c r="Z49" s="30"/>
      <c r="AA49" s="30"/>
      <c r="AB49" s="30"/>
      <c r="AC49" s="30"/>
      <c r="AD49" s="30"/>
      <c r="AE49" s="30"/>
      <c r="AF49" s="30"/>
    </row>
    <row r="50" spans="1:32" ht="60">
      <c r="A50" s="23" t="s">
        <v>869</v>
      </c>
      <c r="B50" s="24" t="s">
        <v>870</v>
      </c>
      <c r="C50" s="23" t="s">
        <v>920</v>
      </c>
      <c r="D50" s="25" t="s">
        <v>927</v>
      </c>
      <c r="E50" s="25"/>
      <c r="F50" s="25" t="s">
        <v>928</v>
      </c>
      <c r="G50" s="27"/>
      <c r="H50" s="25"/>
      <c r="I50" s="27" t="str">
        <f ca="1">IFERROR(__xludf.DUMMYFUNCTION("GOOGLETRANSLATE(F50, ""en"", ""zu"")"),"② Uma kungekudala uqala ukulungiselela ukubuyela emsebenzini, kukhululeke kakhulu!")</f>
        <v>② Uma kungekudala uqala ukulungiselela ukubuyela emsebenzini, kukhululeke kakhulu!</v>
      </c>
      <c r="J50" s="29" t="str">
        <f ca="1">IFERROR(__xludf.DUMMYFUNCTION("GOOGLETRANSLATE(D50, ""pt"", ""zu"")"),"Lapho ngokushesha nje ukuqala ukulungiselela ukubuyela emsebenzini, lokhu kuzoba nokuthula ngokwengeziwe!")</f>
        <v>Lapho ngokushesha nje ukuqala ukulungiselela ukubuyela emsebenzini, lokhu kuzoba nokuthula ngokwengeziwe!</v>
      </c>
      <c r="K50" s="29" t="str">
        <f ca="1">IFERROR(__xludf.DUMMYFUNCTION("GOOGLETRANSLATE(F50, ""en"", ""af"")"),"😉 Hoe gouer u begin voorberei om terug te gaan werk toe, hoe meer is u gemaklik!")</f>
        <v>😉 Hoe gouer u begin voorberei om terug te gaan werk toe, hoe meer is u gemaklik!</v>
      </c>
      <c r="L50" s="20" t="str">
        <f ca="1">IFERROR(__xludf.DUMMYFUNCTION("GOOGLETRANSLATE(D50, ""pt"", ""af"")"),"😉 Hoe gouer die begin om die terugkeer na die werk voor te berei, hoe rustiger sal dit wees!")</f>
        <v>😉 Hoe gouer die begin om die terugkeer na die werk voor te berei, hoe rustiger sal dit wees!</v>
      </c>
      <c r="M50" s="30"/>
      <c r="N50" s="30"/>
      <c r="O50" s="30"/>
      <c r="P50" s="30"/>
      <c r="Q50" s="30"/>
      <c r="R50" s="30"/>
      <c r="S50" s="30"/>
      <c r="T50" s="30"/>
      <c r="U50" s="30"/>
      <c r="V50" s="30"/>
      <c r="W50" s="30"/>
      <c r="X50" s="30"/>
      <c r="Y50" s="30"/>
      <c r="Z50" s="30"/>
      <c r="AA50" s="30"/>
      <c r="AB50" s="30"/>
      <c r="AC50" s="30"/>
      <c r="AD50" s="30"/>
      <c r="AE50" s="30"/>
      <c r="AF50" s="30"/>
    </row>
    <row r="51" spans="1:32" ht="27.95">
      <c r="A51" s="23" t="s">
        <v>869</v>
      </c>
      <c r="B51" s="24" t="s">
        <v>872</v>
      </c>
      <c r="C51" s="23" t="s">
        <v>920</v>
      </c>
      <c r="D51" s="25" t="s">
        <v>929</v>
      </c>
      <c r="E51" s="25" t="s">
        <v>910</v>
      </c>
      <c r="F51" s="25"/>
      <c r="G51" s="27"/>
      <c r="H51" s="25"/>
      <c r="I51" s="27"/>
      <c r="J51" s="29" t="str">
        <f ca="1">IFERROR(__xludf.DUMMYFUNCTION("GOOGLETRANSLATE(D51, ""pt"", ""zu"")"),"Khipha ubisi?")</f>
        <v>Khipha ubisi?</v>
      </c>
      <c r="K51" s="29"/>
      <c r="L51" s="20" t="str">
        <f ca="1">IFERROR(__xludf.DUMMYFUNCTION("GOOGLETRANSLATE(D51, ""pt"", ""af"")"),"Melk uittrek?")</f>
        <v>Melk uittrek?</v>
      </c>
      <c r="M51" s="30"/>
      <c r="N51" s="30"/>
      <c r="O51" s="30"/>
      <c r="P51" s="30"/>
      <c r="Q51" s="30"/>
      <c r="R51" s="30"/>
      <c r="S51" s="30"/>
      <c r="T51" s="30"/>
      <c r="U51" s="30"/>
      <c r="V51" s="30"/>
      <c r="W51" s="30"/>
      <c r="X51" s="30"/>
      <c r="Y51" s="30"/>
      <c r="Z51" s="30"/>
      <c r="AA51" s="30"/>
      <c r="AB51" s="30"/>
      <c r="AC51" s="30"/>
      <c r="AD51" s="30"/>
      <c r="AE51" s="30"/>
      <c r="AF51" s="30"/>
    </row>
    <row r="52" spans="1:32" ht="27.95">
      <c r="A52" s="23" t="s">
        <v>869</v>
      </c>
      <c r="B52" s="24" t="s">
        <v>872</v>
      </c>
      <c r="C52" s="23" t="s">
        <v>920</v>
      </c>
      <c r="D52" s="25" t="s">
        <v>930</v>
      </c>
      <c r="E52" s="25" t="s">
        <v>898</v>
      </c>
      <c r="F52" s="25"/>
      <c r="G52" s="27"/>
      <c r="H52" s="25"/>
      <c r="I52" s="27"/>
      <c r="J52" s="29" t="str">
        <f ca="1">IFERROR(__xludf.DUMMYFUNCTION("GOOGLETRANSLATE(D52, ""pt"", ""zu"")"),"Sebenzisa iphampu?")</f>
        <v>Sebenzisa iphampu?</v>
      </c>
      <c r="K52" s="29"/>
      <c r="L52" s="20" t="str">
        <f ca="1">IFERROR(__xludf.DUMMYFUNCTION("GOOGLETRANSLATE(D52, ""pt"", ""af"")"),"Gebruik pomp?")</f>
        <v>Gebruik pomp?</v>
      </c>
      <c r="M52" s="30"/>
      <c r="N52" s="30"/>
      <c r="O52" s="30"/>
      <c r="P52" s="30"/>
      <c r="Q52" s="30"/>
      <c r="R52" s="30"/>
      <c r="S52" s="30"/>
      <c r="T52" s="30"/>
      <c r="U52" s="30"/>
      <c r="V52" s="30"/>
      <c r="W52" s="30"/>
      <c r="X52" s="30"/>
      <c r="Y52" s="30"/>
      <c r="Z52" s="30"/>
      <c r="AA52" s="30"/>
      <c r="AB52" s="30"/>
      <c r="AC52" s="30"/>
      <c r="AD52" s="30"/>
      <c r="AE52" s="30"/>
      <c r="AF52" s="30"/>
    </row>
    <row r="53" spans="1:32" ht="27.95">
      <c r="A53" s="23" t="s">
        <v>869</v>
      </c>
      <c r="B53" s="24" t="s">
        <v>872</v>
      </c>
      <c r="C53" s="23" t="s">
        <v>920</v>
      </c>
      <c r="D53" s="25" t="s">
        <v>931</v>
      </c>
      <c r="E53" s="25" t="s">
        <v>917</v>
      </c>
      <c r="F53" s="25"/>
      <c r="G53" s="27"/>
      <c r="H53" s="25"/>
      <c r="I53" s="27"/>
      <c r="J53" s="29" t="str">
        <f ca="1">IFERROR(__xludf.DUMMYFUNCTION("GOOGLETRANSLATE(D53, ""pt"", ""zu"")"),"Lungisa ubisi?")</f>
        <v>Lungisa ubisi?</v>
      </c>
      <c r="K53" s="29"/>
      <c r="L53" s="20" t="str">
        <f ca="1">IFERROR(__xludf.DUMMYFUNCTION("GOOGLETRANSLATE(D53, ""pt"", ""af"")"),"Stoor melk?")</f>
        <v>Stoor melk?</v>
      </c>
      <c r="M53" s="30"/>
      <c r="N53" s="30"/>
      <c r="O53" s="30"/>
      <c r="P53" s="30"/>
      <c r="Q53" s="30"/>
      <c r="R53" s="30"/>
      <c r="S53" s="30"/>
      <c r="T53" s="30"/>
      <c r="U53" s="30"/>
      <c r="V53" s="30"/>
      <c r="W53" s="30"/>
      <c r="X53" s="30"/>
      <c r="Y53" s="30"/>
      <c r="Z53" s="30"/>
      <c r="AA53" s="30"/>
      <c r="AB53" s="30"/>
      <c r="AC53" s="30"/>
      <c r="AD53" s="30"/>
      <c r="AE53" s="30"/>
      <c r="AF53" s="30"/>
    </row>
    <row r="54" spans="1:32" ht="30">
      <c r="A54" s="23" t="s">
        <v>869</v>
      </c>
      <c r="B54" s="24" t="s">
        <v>870</v>
      </c>
      <c r="C54" s="23" t="s">
        <v>917</v>
      </c>
      <c r="D54" s="25" t="s">
        <v>932</v>
      </c>
      <c r="E54" s="25"/>
      <c r="F54" s="25" t="s">
        <v>933</v>
      </c>
      <c r="G54" s="27"/>
      <c r="H54" s="25"/>
      <c r="I54" s="27" t="str">
        <f ca="1">IFERROR(__xludf.DUMMYFUNCTION("GOOGLETRANSLATE(F54, ""en"", ""zu"")"),"Ukuba nobisi lwebele kubalulekile njalo. 👈")</f>
        <v>Ukuba nobisi lwebele kubalulekile njalo. 👈</v>
      </c>
      <c r="J54" s="29" t="str">
        <f ca="1">IFERROR(__xludf.DUMMYFUNCTION("GOOGLETRANSLATE(D54, ""pt"", ""zu"")"),"Ukuba nesitoko sobisi lwebele kuhlala kubalulekile. 👈")</f>
        <v>Ukuba nesitoko sobisi lwebele kuhlala kubalulekile. 👈</v>
      </c>
      <c r="K54" s="29" t="str">
        <f ca="1">IFERROR(__xludf.DUMMYFUNCTION("GOOGLETRANSLATE(F54, ""en"", ""af"")"),"Dit is altyd belangrik om 'n stukkie borsmelk te hê. 👈")</f>
        <v>Dit is altyd belangrik om 'n stukkie borsmelk te hê. 👈</v>
      </c>
      <c r="L54" s="20" t="str">
        <f ca="1">IFERROR(__xludf.DUMMYFUNCTION("GOOGLETRANSLATE(D54, ""pt"", ""af"")"),"Dit is altyd belangrik om 'n borsmelkvoorraad te hê. 👈")</f>
        <v>Dit is altyd belangrik om 'n borsmelkvoorraad te hê. 👈</v>
      </c>
      <c r="M54" s="30"/>
      <c r="N54" s="30"/>
      <c r="O54" s="30"/>
      <c r="P54" s="30"/>
      <c r="Q54" s="30"/>
      <c r="R54" s="30"/>
      <c r="S54" s="30"/>
      <c r="T54" s="30"/>
      <c r="U54" s="30"/>
      <c r="V54" s="30"/>
      <c r="W54" s="30"/>
      <c r="X54" s="30"/>
      <c r="Y54" s="30"/>
      <c r="Z54" s="30"/>
      <c r="AA54" s="30"/>
      <c r="AB54" s="30"/>
      <c r="AC54" s="30"/>
      <c r="AD54" s="30"/>
      <c r="AE54" s="30"/>
      <c r="AF54" s="30"/>
    </row>
    <row r="55" spans="1:32" ht="56.1">
      <c r="A55" s="23" t="s">
        <v>869</v>
      </c>
      <c r="B55" s="24" t="s">
        <v>870</v>
      </c>
      <c r="C55" s="23" t="s">
        <v>917</v>
      </c>
      <c r="D55" s="25" t="s">
        <v>934</v>
      </c>
      <c r="E55" s="25"/>
      <c r="F55" s="25" t="s">
        <v>935</v>
      </c>
      <c r="G55" s="27"/>
      <c r="H55" s="25"/>
      <c r="I55" s="27" t="str">
        <f ca="1">IFERROR(__xludf.DUMMYFUNCTION("GOOGLETRANSLATE(F55, ""en"", ""zu"")"),"Ikakhulukazi lapho omama bebuyela emsebenzini ngenkathi besancelisa ibele.")</f>
        <v>Ikakhulukazi lapho omama bebuyela emsebenzini ngenkathi besancelisa ibele.</v>
      </c>
      <c r="J55" s="29" t="str">
        <f ca="1">IFERROR(__xludf.DUMMYFUNCTION("GOOGLETRANSLATE(D55, ""pt"", ""zu"")"),"Ikakhulukazi lapho omama bebuyela emsebenzini ngesikhathi sokuncelisa ibele.")</f>
        <v>Ikakhulukazi lapho omama bebuyela emsebenzini ngesikhathi sokuncelisa ibele.</v>
      </c>
      <c r="K55" s="29" t="str">
        <f ca="1">IFERROR(__xludf.DUMMYFUNCTION("GOOGLETRANSLATE(F55, ""en"", ""af"")"),"Hoofsaaklik vir wanneer moeders teruggaan werk toe terwyl hulle nog borsvoed.")</f>
        <v>Hoofsaaklik vir wanneer moeders teruggaan werk toe terwyl hulle nog borsvoed.</v>
      </c>
      <c r="L55" s="20" t="str">
        <f ca="1">IFERROR(__xludf.DUMMYFUNCTION("GOOGLETRANSLATE(D55, ""pt"", ""af"")"),"Hoofsaaklik wanneer moeders gedurende die borsvoedingsperiode sal terugkeer werk toe.")</f>
        <v>Hoofsaaklik wanneer moeders gedurende die borsvoedingsperiode sal terugkeer werk toe.</v>
      </c>
      <c r="M55" s="30"/>
      <c r="N55" s="30"/>
      <c r="O55" s="30"/>
      <c r="P55" s="30"/>
      <c r="Q55" s="30"/>
      <c r="R55" s="30"/>
      <c r="S55" s="30"/>
      <c r="T55" s="30"/>
      <c r="U55" s="30"/>
      <c r="V55" s="30"/>
      <c r="W55" s="30"/>
      <c r="X55" s="30"/>
      <c r="Y55" s="30"/>
      <c r="Z55" s="30"/>
      <c r="AA55" s="30"/>
      <c r="AB55" s="30"/>
      <c r="AC55" s="30"/>
      <c r="AD55" s="30"/>
      <c r="AE55" s="30"/>
      <c r="AF55" s="30"/>
    </row>
    <row r="56" spans="1:32" ht="60">
      <c r="A56" s="23" t="s">
        <v>869</v>
      </c>
      <c r="B56" s="24" t="s">
        <v>870</v>
      </c>
      <c r="C56" s="23" t="s">
        <v>917</v>
      </c>
      <c r="D56" s="25" t="s">
        <v>750</v>
      </c>
      <c r="E56" s="25"/>
      <c r="F56" s="25" t="s">
        <v>228</v>
      </c>
      <c r="G56" s="27"/>
      <c r="H56" s="25"/>
      <c r="I56" s="27" t="str">
        <f ca="1">IFERROR(__xludf.DUMMYFUNCTION("GOOGLETRANSLATE(F56, ""en"", ""zu"")"),"Ubisi lwebele lungagcinwa ezitsheni zalo noma abanye abalungele ukudla futhi bangafakwa eqandwe futhi ❄ bafudunyezwe. 🌡")</f>
        <v>Ubisi lwebele lungagcinwa ezitsheni zalo noma abanye abalungele ukudla futhi bangafakwa eqandwe futhi ❄ bafudunyezwe. 🌡</v>
      </c>
      <c r="J56" s="29" t="str">
        <f ca="1">IFERROR(__xludf.DUMMYFUNCTION("GOOGLETRANSLATE(D56, ""pt"", ""zu"")"),"Ubisi lwebele lungagcinwa emaphaketheni alo noma olunye olufanele ukudla futhi lungafakwa eqandisiwe ❄ futhi lufudumele.")</f>
        <v>Ubisi lwebele lungagcinwa emaphaketheni alo noma olunye olufanele ukudla futhi lungafakwa eqandisiwe ❄ futhi lufudumele.</v>
      </c>
      <c r="K56" s="29" t="str">
        <f ca="1">IFERROR(__xludf.DUMMYFUNCTION("GOOGLETRANSLATE(F56, ""en"", ""af"")"),"Borsmelk kan in sy eie houers geberg word, of enige ander wat geskik is vir voedsel en gevries kan word en opgewarm kan word. 🌡")</f>
        <v>Borsmelk kan in sy eie houers geberg word, of enige ander wat geskik is vir voedsel en gevries kan word en opgewarm kan word. 🌡</v>
      </c>
      <c r="L56" s="20" t="str">
        <f ca="1">IFERROR(__xludf.DUMMYFUNCTION("GOOGLETRANSLATE(D56, ""pt"", ""af"")"),"Borsmelk kan in sy eie verpakking geberg word of enige ander wat geskik is vir voedsel en gevries kan word ❄ en verhit 🌡.")</f>
        <v>Borsmelk kan in sy eie verpakking geberg word of enige ander wat geskik is vir voedsel en gevries kan word ❄ en verhit 🌡.</v>
      </c>
      <c r="M56" s="30"/>
      <c r="N56" s="30"/>
      <c r="O56" s="30"/>
      <c r="P56" s="30"/>
      <c r="Q56" s="30"/>
      <c r="R56" s="30"/>
      <c r="S56" s="30"/>
      <c r="T56" s="30"/>
      <c r="U56" s="30"/>
      <c r="V56" s="30"/>
      <c r="W56" s="30"/>
      <c r="X56" s="30"/>
      <c r="Y56" s="30"/>
      <c r="Z56" s="30"/>
      <c r="AA56" s="30"/>
      <c r="AB56" s="30"/>
      <c r="AC56" s="30"/>
      <c r="AD56" s="30"/>
      <c r="AE56" s="30"/>
      <c r="AF56" s="30"/>
    </row>
    <row r="57" spans="1:32" ht="75">
      <c r="A57" s="23" t="s">
        <v>869</v>
      </c>
      <c r="B57" s="24" t="s">
        <v>870</v>
      </c>
      <c r="C57" s="23" t="s">
        <v>917</v>
      </c>
      <c r="D57" s="25" t="s">
        <v>753</v>
      </c>
      <c r="E57" s="25"/>
      <c r="F57" s="25" t="s">
        <v>229</v>
      </c>
      <c r="G57" s="27"/>
      <c r="H57" s="25"/>
      <c r="I57" s="27" t="str">
        <f ca="1">IFERROR(__xludf.DUMMYFUNCTION("GOOGLETRANSLATE(F57, ""en"", ""zu"")"),"Lapho upompa ubisi ukuze ugcinwe, kubalulekile ukunakekela ukunakekelwa okwengeziwe ekusingatheni ukufakwa kwezesekeli nezinye izinsimbi ezizosetshenziswa.")</f>
        <v>Lapho upompa ubisi ukuze ugcinwe, kubalulekile ukunakekela ukunakekelwa okwengeziwe ekusingatheni ukufakwa kwezesekeli nezinye izinsimbi ezizosetshenziswa.</v>
      </c>
      <c r="J57" s="29" t="str">
        <f ca="1">IFERROR(__xludf.DUMMYFUNCTION("GOOGLETRANSLATE(D57, ""pt"", ""zu"")"),"Lapho ikhishwe ukuyogcina kubalulekile ukuthi ukunakekelwa kwenhlanzeko kungezwe ekusingatheni kwamaphakeji nezinye izinsimbi.")</f>
        <v>Lapho ikhishwe ukuyogcina kubalulekile ukuthi ukunakekelwa kwenhlanzeko kungezwe ekusingatheni kwamaphakeji nezinye izinsimbi.</v>
      </c>
      <c r="K57" s="29" t="str">
        <f ca="1">IFERROR(__xludf.DUMMYFUNCTION("GOOGLETRANSLATE(F57, ""en"", ""af"")"),"As u melk pomp vir opberging, is dit belangrik om na die hantering van die hantering te sorg ✋ Die verpakking en bykomstighede wat gebruik moet word.")</f>
        <v>As u melk pomp vir opberging, is dit belangrik om na die hantering van die hantering te sorg ✋ Die verpakking en bykomstighede wat gebruik moet word.</v>
      </c>
      <c r="L57" s="20" t="str">
        <f ca="1">IFERROR(__xludf.DUMMYFUNCTION("GOOGLETRANSLATE(D57, ""pt"", ""af"")"),"As dit onttrek word om op te slaan, is dit belangrik om higiëne -sorg by te voeg tot die hantering van die verpakking en bykomstighede om te gebruik.")</f>
        <v>As dit onttrek word om op te slaan, is dit belangrik om higiëne -sorg by te voeg tot die hantering van die verpakking en bykomstighede om te gebruik.</v>
      </c>
      <c r="M57" s="30"/>
      <c r="N57" s="30"/>
      <c r="O57" s="30"/>
      <c r="P57" s="30"/>
      <c r="Q57" s="30"/>
      <c r="R57" s="30"/>
      <c r="S57" s="30"/>
      <c r="T57" s="30"/>
      <c r="U57" s="30"/>
      <c r="V57" s="30"/>
      <c r="W57" s="30"/>
      <c r="X57" s="30"/>
      <c r="Y57" s="30"/>
      <c r="Z57" s="30"/>
      <c r="AA57" s="30"/>
      <c r="AB57" s="30"/>
      <c r="AC57" s="30"/>
      <c r="AD57" s="30"/>
      <c r="AE57" s="30"/>
      <c r="AF57" s="30"/>
    </row>
    <row r="58" spans="1:32" ht="42">
      <c r="A58" s="23" t="s">
        <v>869</v>
      </c>
      <c r="B58" s="24" t="s">
        <v>872</v>
      </c>
      <c r="C58" s="23" t="s">
        <v>917</v>
      </c>
      <c r="D58" s="25" t="s">
        <v>936</v>
      </c>
      <c r="E58" s="25" t="s">
        <v>937</v>
      </c>
      <c r="F58" s="25"/>
      <c r="G58" s="27"/>
      <c r="H58" s="25"/>
      <c r="I58" s="27"/>
      <c r="J58" s="29" t="str">
        <f ca="1">IFERROR(__xludf.DUMMYFUNCTION("GOOGLETRANSLATE(D58, ""pt"", ""zu"")"),"Yazi okuningi 💡")</f>
        <v>Yazi okuningi 💡</v>
      </c>
      <c r="K58" s="29"/>
      <c r="L58" s="20" t="str">
        <f ca="1">IFERROR(__xludf.DUMMYFUNCTION("GOOGLETRANSLATE(D58, ""pt"", ""af"")"),"Weet meer 💡")</f>
        <v>Weet meer 💡</v>
      </c>
      <c r="M58" s="30"/>
      <c r="N58" s="30"/>
      <c r="O58" s="30"/>
      <c r="P58" s="30"/>
      <c r="Q58" s="30"/>
      <c r="R58" s="30"/>
      <c r="S58" s="30"/>
      <c r="T58" s="30"/>
      <c r="U58" s="30"/>
      <c r="V58" s="30"/>
      <c r="W58" s="30"/>
      <c r="X58" s="30"/>
      <c r="Y58" s="30"/>
      <c r="Z58" s="30"/>
      <c r="AA58" s="30"/>
      <c r="AB58" s="30"/>
      <c r="AC58" s="30"/>
      <c r="AD58" s="30"/>
      <c r="AE58" s="30"/>
      <c r="AF58" s="30"/>
    </row>
    <row r="59" spans="1:32" ht="60">
      <c r="A59" s="23" t="s">
        <v>869</v>
      </c>
      <c r="B59" s="24" t="s">
        <v>870</v>
      </c>
      <c r="C59" s="23" t="s">
        <v>937</v>
      </c>
      <c r="D59" s="25" t="s">
        <v>756</v>
      </c>
      <c r="E59" s="25"/>
      <c r="F59" s="25" t="s">
        <v>230</v>
      </c>
      <c r="G59" s="27"/>
      <c r="H59" s="25"/>
      <c r="I59" s="27" t="str">
        <f ca="1">IFERROR(__xludf.DUMMYFUNCTION("GOOGLETRANSLATE(F59, ""en"", ""zu"")"),"Akunconywa ukuthi uyigcine ekushiseni kwegumbi ngenxa yokushintshashintshakala okungenzeka phakathi nosuku.")</f>
        <v>Akunconywa ukuthi uyigcine ekushiseni kwegumbi ngenxa yokushintshashintshakala okungenzeka phakathi nosuku.</v>
      </c>
      <c r="J59" s="29" t="str">
        <f ca="1">IFERROR(__xludf.DUMMYFUNCTION("GOOGLETRANSLATE(D59, ""pt"", ""zu"")"),"Akunconyelwe kakhulu ukugcina ekushiseni kwekamelo ngenxa yokushintshashintshakala okungenzeka phakathi nosuku.")</f>
        <v>Akunconyelwe kakhulu ukugcina ekushiseni kwekamelo ngenxa yokushintshashintshakala okungenzeka phakathi nosuku.</v>
      </c>
      <c r="K59" s="29" t="str">
        <f ca="1">IFERROR(__xludf.DUMMYFUNCTION("GOOGLETRANSLATE(F59, ""en"", ""af"")"),"Dit word nie aanbeveel om dit by kamertemperatuur te hou nie as gevolg van moontlike skommelinge gedurende die dag.")</f>
        <v>Dit word nie aanbeveel om dit by kamertemperatuur te hou nie as gevolg van moontlike skommelinge gedurende die dag.</v>
      </c>
      <c r="L59" s="20" t="str">
        <f ca="1">IFERROR(__xludf.DUMMYFUNCTION("GOOGLETRANSLATE(D59, ""pt"", ""af"")"),"Dit word nie baie aanbeveel om by kamertemperatuur te stoor nie as gevolg van moontlike skommelinge gedurende die dag.")</f>
        <v>Dit word nie baie aanbeveel om by kamertemperatuur te stoor nie as gevolg van moontlike skommelinge gedurende die dag.</v>
      </c>
      <c r="M59" s="30"/>
      <c r="N59" s="30"/>
      <c r="O59" s="30"/>
      <c r="P59" s="30"/>
      <c r="Q59" s="30"/>
      <c r="R59" s="30"/>
      <c r="S59" s="30"/>
      <c r="T59" s="30"/>
      <c r="U59" s="30"/>
      <c r="V59" s="30"/>
      <c r="W59" s="30"/>
      <c r="X59" s="30"/>
      <c r="Y59" s="30"/>
      <c r="Z59" s="30"/>
      <c r="AA59" s="30"/>
      <c r="AB59" s="30"/>
      <c r="AC59" s="30"/>
      <c r="AD59" s="30"/>
      <c r="AE59" s="30"/>
      <c r="AF59" s="30"/>
    </row>
    <row r="60" spans="1:32" ht="45">
      <c r="A60" s="23" t="s">
        <v>869</v>
      </c>
      <c r="B60" s="24" t="s">
        <v>870</v>
      </c>
      <c r="C60" s="23" t="s">
        <v>937</v>
      </c>
      <c r="D60" s="25" t="s">
        <v>759</v>
      </c>
      <c r="E60" s="25"/>
      <c r="F60" s="25" t="s">
        <v>231</v>
      </c>
      <c r="G60" s="27"/>
      <c r="H60" s="25"/>
      <c r="I60" s="27" t="str">
        <f ca="1">IFERROR(__xludf.DUMMYFUNCTION("GOOGLETRANSLATE(F60, ""en"", ""zu"")"),"Uma ungaqiniseki lapho uzodinga ubisi, kungcono ngaso sonke isikhathi ukukhulula. ❄")</f>
        <v>Uma ungaqiniseki lapho uzodinga ubisi, kungcono ngaso sonke isikhathi ukukhulula. ❄</v>
      </c>
      <c r="J60" s="29" t="str">
        <f ca="1">IFERROR(__xludf.DUMMYFUNCTION("GOOGLETRANSLATE(D60, ""pt"", ""zu"")"),"Lapho ungabaza lapho lobisi luzodingeka, luhlala luncono ukukhulula. ❄")</f>
        <v>Lapho ungabaza lapho lobisi luzodingeka, luhlala luncono ukukhulula. ❄</v>
      </c>
      <c r="K60" s="29" t="str">
        <f ca="1">IFERROR(__xludf.DUMMYFUNCTION("GOOGLETRANSLATE(F60, ""en"", ""af"")"),"As u nie seker is wanneer u die melk benodig nie, is dit altyd beter om dit te vries. ❄")</f>
        <v>As u nie seker is wanneer u die melk benodig nie, is dit altyd beter om dit te vries. ❄</v>
      </c>
      <c r="L60" s="20" t="str">
        <f ca="1">IFERROR(__xludf.DUMMYFUNCTION("GOOGLETRANSLATE(D60, ""pt"", ""af"")"),"As u twyfel wanneer hierdie melk nodig sal wees, is dit altyd verkieslik om te vries. ❄")</f>
        <v>As u twyfel wanneer hierdie melk nodig sal wees, is dit altyd verkieslik om te vries. ❄</v>
      </c>
      <c r="M60" s="30"/>
      <c r="N60" s="30"/>
      <c r="O60" s="30"/>
      <c r="P60" s="30"/>
      <c r="Q60" s="30"/>
      <c r="R60" s="30"/>
      <c r="S60" s="30"/>
      <c r="T60" s="30"/>
      <c r="U60" s="30"/>
      <c r="V60" s="30"/>
      <c r="W60" s="30"/>
      <c r="X60" s="30"/>
      <c r="Y60" s="30"/>
      <c r="Z60" s="30"/>
      <c r="AA60" s="30"/>
      <c r="AB60" s="30"/>
      <c r="AC60" s="30"/>
      <c r="AD60" s="30"/>
      <c r="AE60" s="30"/>
      <c r="AF60" s="30"/>
    </row>
    <row r="61" spans="1:32" ht="45">
      <c r="A61" s="23" t="s">
        <v>869</v>
      </c>
      <c r="B61" s="24" t="s">
        <v>870</v>
      </c>
      <c r="C61" s="23" t="s">
        <v>937</v>
      </c>
      <c r="D61" s="25" t="s">
        <v>762</v>
      </c>
      <c r="E61" s="25"/>
      <c r="F61" s="25" t="s">
        <v>232</v>
      </c>
      <c r="G61" s="27"/>
      <c r="H61" s="25"/>
      <c r="I61" s="27" t="str">
        <f ca="1">IFERROR(__xludf.DUMMYFUNCTION("GOOGLETRANSLATE(F61, ""en"", ""zu"")"),"Ungahlanganisa futhi ubisi luphephe phakathi nosuku efrijini bese ulibekela ebusuku.")</f>
        <v>Ungahlanganisa futhi ubisi luphephe phakathi nosuku efrijini bese ulibekela ebusuku.</v>
      </c>
      <c r="J61" s="29" t="str">
        <f ca="1">IFERROR(__xludf.DUMMYFUNCTION("GOOGLETRANSLATE(D61, ""pt"", ""zu"")"),"Ungaphinde ujoyine okukhishwe phakathi nosuku efrijini nasebusuku uqhwa.")</f>
        <v>Ungaphinde ujoyine okukhishwe phakathi nosuku efrijini nasebusuku uqhwa.</v>
      </c>
      <c r="K61" s="29" t="str">
        <f ca="1">IFERROR(__xludf.DUMMYFUNCTION("GOOGLETRANSLATE(F61, ""en"", ""af"")"),"U kan ook die melk wat bedags in die yskas gepomp word, konsolideer en dit dan snags vries.")</f>
        <v>U kan ook die melk wat bedags in die yskas gepomp word, konsolideer en dit dan snags vries.</v>
      </c>
      <c r="L61" s="20" t="str">
        <f ca="1">IFERROR(__xludf.DUMMYFUNCTION("GOOGLETRANSLATE(D61, ""pt"", ""af"")"),"U kan ook gedurende die dag in die yskas by die ekstraksies aansluit en snags vries.")</f>
        <v>U kan ook gedurende die dag in die yskas by die ekstraksies aansluit en snags vries.</v>
      </c>
      <c r="M61" s="30"/>
      <c r="N61" s="30"/>
      <c r="O61" s="30"/>
      <c r="P61" s="30"/>
      <c r="Q61" s="30"/>
      <c r="R61" s="30"/>
      <c r="S61" s="30"/>
      <c r="T61" s="30"/>
      <c r="U61" s="30"/>
      <c r="V61" s="30"/>
      <c r="W61" s="30"/>
      <c r="X61" s="30"/>
      <c r="Y61" s="30"/>
      <c r="Z61" s="30"/>
      <c r="AA61" s="30"/>
      <c r="AB61" s="30"/>
      <c r="AC61" s="30"/>
      <c r="AD61" s="30"/>
      <c r="AE61" s="30"/>
      <c r="AF61" s="30"/>
    </row>
    <row r="62" spans="1:32" ht="42">
      <c r="A62" s="23" t="s">
        <v>869</v>
      </c>
      <c r="B62" s="24" t="s">
        <v>872</v>
      </c>
      <c r="C62" s="23" t="s">
        <v>937</v>
      </c>
      <c r="D62" s="25" t="s">
        <v>918</v>
      </c>
      <c r="E62" s="25" t="s">
        <v>919</v>
      </c>
      <c r="F62" s="25"/>
      <c r="G62" s="27"/>
      <c r="H62" s="25"/>
      <c r="I62" s="27"/>
      <c r="J62" s="29" t="str">
        <f ca="1">IFERROR(__xludf.DUMMYFUNCTION("GOOGLETRANSLATE(D62, ""pt"", ""zu"")"),"Isikhathi sokongiwa kwemvelo")</f>
        <v>Isikhathi sokongiwa kwemvelo</v>
      </c>
      <c r="K62" s="29"/>
      <c r="L62" s="20" t="str">
        <f ca="1">IFERROR(__xludf.DUMMYFUNCTION("GOOGLETRANSLATE(D62, ""pt"", ""af"")"),"Bewaringstyd")</f>
        <v>Bewaringstyd</v>
      </c>
      <c r="M62" s="30"/>
      <c r="N62" s="30"/>
      <c r="O62" s="30"/>
      <c r="P62" s="30"/>
      <c r="Q62" s="30"/>
      <c r="R62" s="30"/>
      <c r="S62" s="30"/>
      <c r="T62" s="30"/>
      <c r="U62" s="30"/>
      <c r="V62" s="30"/>
      <c r="W62" s="30"/>
      <c r="X62" s="30"/>
      <c r="Y62" s="30"/>
      <c r="Z62" s="30"/>
      <c r="AA62" s="30"/>
      <c r="AB62" s="30"/>
      <c r="AC62" s="30"/>
      <c r="AD62" s="30"/>
      <c r="AE62" s="30"/>
      <c r="AF62" s="30"/>
    </row>
    <row r="63" spans="1:32" ht="42">
      <c r="A63" s="23" t="s">
        <v>869</v>
      </c>
      <c r="B63" s="24" t="s">
        <v>872</v>
      </c>
      <c r="C63" s="23" t="s">
        <v>937</v>
      </c>
      <c r="D63" s="25" t="s">
        <v>938</v>
      </c>
      <c r="E63" s="25" t="s">
        <v>910</v>
      </c>
      <c r="F63" s="25"/>
      <c r="G63" s="27"/>
      <c r="H63" s="25"/>
      <c r="I63" s="27"/>
      <c r="J63" s="29" t="str">
        <f ca="1">IFERROR(__xludf.DUMMYFUNCTION("GOOGLETRANSLATE(D63, ""pt"", ""zu"")"),"Isibambo")</f>
        <v>Isibambo</v>
      </c>
      <c r="K63" s="29"/>
      <c r="L63" s="20" t="str">
        <f ca="1">IFERROR(__xludf.DUMMYFUNCTION("GOOGLETRANSLATE(D63, ""pt"", ""af"")"),"Handvatsel")</f>
        <v>Handvatsel</v>
      </c>
      <c r="M63" s="30"/>
      <c r="N63" s="30"/>
      <c r="O63" s="30"/>
      <c r="P63" s="30"/>
      <c r="Q63" s="30"/>
      <c r="R63" s="30"/>
      <c r="S63" s="30"/>
      <c r="T63" s="30"/>
      <c r="U63" s="30"/>
      <c r="V63" s="30"/>
      <c r="W63" s="30"/>
      <c r="X63" s="30"/>
      <c r="Y63" s="30"/>
      <c r="Z63" s="30"/>
      <c r="AA63" s="30"/>
      <c r="AB63" s="30"/>
      <c r="AC63" s="30"/>
      <c r="AD63" s="30"/>
      <c r="AE63" s="30"/>
      <c r="AF63" s="30"/>
    </row>
    <row r="64" spans="1:32" ht="42">
      <c r="A64" s="23" t="s">
        <v>869</v>
      </c>
      <c r="B64" s="24" t="s">
        <v>872</v>
      </c>
      <c r="C64" s="23" t="s">
        <v>937</v>
      </c>
      <c r="D64" s="25" t="s">
        <v>939</v>
      </c>
      <c r="E64" s="25" t="s">
        <v>898</v>
      </c>
      <c r="F64" s="25"/>
      <c r="G64" s="27"/>
      <c r="H64" s="25"/>
      <c r="I64" s="27"/>
      <c r="J64" s="29" t="str">
        <f ca="1">IFERROR(__xludf.DUMMYFUNCTION("GOOGLETRANSLATE(D64, ""pt"", ""zu"")"),"Sebenzisa iphampu")</f>
        <v>Sebenzisa iphampu</v>
      </c>
      <c r="K64" s="29"/>
      <c r="L64" s="20" t="str">
        <f ca="1">IFERROR(__xludf.DUMMYFUNCTION("GOOGLETRANSLATE(D64, ""pt"", ""af"")"),"Gebruik pomp")</f>
        <v>Gebruik pomp</v>
      </c>
      <c r="M64" s="30"/>
      <c r="N64" s="30"/>
      <c r="O64" s="30"/>
      <c r="P64" s="30"/>
      <c r="Q64" s="30"/>
      <c r="R64" s="30"/>
      <c r="S64" s="30"/>
      <c r="T64" s="30"/>
      <c r="U64" s="30"/>
      <c r="V64" s="30"/>
      <c r="W64" s="30"/>
      <c r="X64" s="30"/>
      <c r="Y64" s="30"/>
      <c r="Z64" s="30"/>
      <c r="AA64" s="30"/>
      <c r="AB64" s="30"/>
      <c r="AC64" s="30"/>
      <c r="AD64" s="30"/>
      <c r="AE64" s="30"/>
      <c r="AF64" s="30"/>
    </row>
    <row r="65" spans="1:32" ht="60">
      <c r="A65" s="23" t="s">
        <v>869</v>
      </c>
      <c r="B65" s="24" t="s">
        <v>870</v>
      </c>
      <c r="C65" s="23" t="s">
        <v>919</v>
      </c>
      <c r="D65" s="25" t="s">
        <v>766</v>
      </c>
      <c r="E65" s="25"/>
      <c r="F65" s="25" t="s">
        <v>238</v>
      </c>
      <c r="G65" s="27"/>
      <c r="H65" s="25"/>
      <c r="I65" s="27" t="str">
        <f ca="1">IFERROR(__xludf.DUMMYFUNCTION("GOOGLETRANSLATE(F65, ""en"", ""zu"")"),"Yize ubisi lwebele luzinzile kakhulu futhi aluvamile ukubagazi, kubalulekile ukuthatha izinyathelo ezithile ngalo! ⚠")</f>
        <v>Yize ubisi lwebele luzinzile kakhulu futhi aluvamile ukubagazi, kubalulekile ukuthatha izinyathelo ezithile ngalo! ⚠</v>
      </c>
      <c r="J65" s="29" t="str">
        <f ca="1">IFERROR(__xludf.DUMMYFUNCTION("GOOGLETRANSLATE(D65, ""pt"", ""zu"")"),"Yize ubisi lwebele luzinze kakhulu futhi lungapheli amandla kubalulekile ukuqaphela! ⚠")</f>
        <v>Yize ubisi lwebele luzinze kakhulu futhi lungapheli amandla kubalulekile ukuqaphela! ⚠</v>
      </c>
      <c r="K65" s="29" t="str">
        <f ca="1">IFERROR(__xludf.DUMMYFUNCTION("GOOGLETRANSLATE(F65, ""en"", ""af"")"),"Alhoewel borsmelk baie stabiel is en selde bederf, is dit belangrik om voorsorgmaatreëls daarmee te tref! ⚠")</f>
        <v>Alhoewel borsmelk baie stabiel is en selde bederf, is dit belangrik om voorsorgmaatreëls daarmee te tref! ⚠</v>
      </c>
      <c r="L65" s="20" t="str">
        <f ca="1">IFERROR(__xludf.DUMMYFUNCTION("GOOGLETRANSLATE(D65, ""pt"", ""af"")"),"Alhoewel borsmelk baie stabiel is en selde bederf, is dit belangrik om versigtig te wees! ⚠")</f>
        <v>Alhoewel borsmelk baie stabiel is en selde bederf, is dit belangrik om versigtig te wees! ⚠</v>
      </c>
      <c r="M65" s="30"/>
      <c r="N65" s="30"/>
      <c r="O65" s="30"/>
      <c r="P65" s="30"/>
      <c r="Q65" s="30"/>
      <c r="R65" s="30"/>
      <c r="S65" s="30"/>
      <c r="T65" s="30"/>
      <c r="U65" s="30"/>
      <c r="V65" s="30"/>
      <c r="W65" s="30"/>
      <c r="X65" s="30"/>
      <c r="Y65" s="30"/>
      <c r="Z65" s="30"/>
      <c r="AA65" s="30"/>
      <c r="AB65" s="30"/>
      <c r="AC65" s="30"/>
      <c r="AD65" s="30"/>
      <c r="AE65" s="30"/>
      <c r="AF65" s="30"/>
    </row>
    <row r="66" spans="1:32" ht="60">
      <c r="A66" s="23" t="s">
        <v>869</v>
      </c>
      <c r="B66" s="24" t="s">
        <v>870</v>
      </c>
      <c r="C66" s="23" t="s">
        <v>919</v>
      </c>
      <c r="D66" s="25" t="s">
        <v>769</v>
      </c>
      <c r="E66" s="25"/>
      <c r="F66" s="25" t="s">
        <v>940</v>
      </c>
      <c r="G66" s="27"/>
      <c r="H66" s="25"/>
      <c r="I66" s="27" t="str">
        <f ca="1">IFERROR(__xludf.DUMMYFUNCTION("GOOGLETRANSLATE(F66, ""en"", ""zu"")"),"Akufanele ihlale esiqandisini isikhathi esingaphezu kwamahora angama-48. Efrijini ❄ (0ºF / -18ºC), kungahlala izinyanga ezi-6.")</f>
        <v>Akufanele ihlale esiqandisini isikhathi esingaphezu kwamahora angama-48. Efrijini ❄ (0ºF / -18ºC), kungahlala izinyanga ezi-6.</v>
      </c>
      <c r="J66" s="29" t="str">
        <f ca="1">IFERROR(__xludf.DUMMYFUNCTION("GOOGLETRANSLATE(D66, ""pt"", ""zu"")"),"Esiqandisini akufanele kube ngaphezu kwe-48h. Efrijini ❄ (-18ºC) kungahlala izinyanga eziyi-6.")</f>
        <v>Esiqandisini akufanele kube ngaphezu kwe-48h. Efrijini ❄ (-18ºC) kungahlala izinyanga eziyi-6.</v>
      </c>
      <c r="K66" s="29" t="str">
        <f ca="1">IFERROR(__xludf.DUMMYFUNCTION("GOOGLETRANSLATE(F66, ""en"", ""af"")"),"Dit moet nie langer as 48 uur in die yskas bly nie. In die vrieskas ❄ (0ºF / -18ºC) kan dit tot 6 maande duur.")</f>
        <v>Dit moet nie langer as 48 uur in die yskas bly nie. In die vrieskas ❄ (0ºF / -18ºC) kan dit tot 6 maande duur.</v>
      </c>
      <c r="L66" s="20" t="str">
        <f ca="1">IFERROR(__xludf.DUMMYFUNCTION("GOOGLETRANSLATE(D66, ""pt"", ""af"")"),"In die verkoeling moet nie meer as 48 uur wees nie. In die vrieskas kan ❄ (-18ºC) 6 maande duur.")</f>
        <v>In die verkoeling moet nie meer as 48 uur wees nie. In die vrieskas kan ❄ (-18ºC) 6 maande duur.</v>
      </c>
      <c r="M66" s="30"/>
      <c r="N66" s="30"/>
      <c r="O66" s="30"/>
      <c r="P66" s="30"/>
      <c r="Q66" s="30"/>
      <c r="R66" s="30"/>
      <c r="S66" s="30"/>
      <c r="T66" s="30"/>
      <c r="U66" s="30"/>
      <c r="V66" s="30"/>
      <c r="W66" s="30"/>
      <c r="X66" s="30"/>
      <c r="Y66" s="30"/>
      <c r="Z66" s="30"/>
      <c r="AA66" s="30"/>
      <c r="AB66" s="30"/>
      <c r="AC66" s="30"/>
      <c r="AD66" s="30"/>
      <c r="AE66" s="30"/>
      <c r="AF66" s="30"/>
    </row>
    <row r="67" spans="1:32" ht="84">
      <c r="A67" s="23" t="s">
        <v>869</v>
      </c>
      <c r="B67" s="24" t="s">
        <v>870</v>
      </c>
      <c r="C67" s="23" t="s">
        <v>919</v>
      </c>
      <c r="D67" s="25" t="s">
        <v>772</v>
      </c>
      <c r="E67" s="25"/>
      <c r="F67" s="25" t="s">
        <v>941</v>
      </c>
      <c r="G67" s="27"/>
      <c r="H67" s="25"/>
      <c r="I67" s="27" t="str">
        <f ca="1">IFERROR(__xludf.DUMMYFUNCTION("GOOGLETRANSLATE(F67, ""en"", ""zu"")"),"Lezi zikhathi akufanele zengezwe, ngokwesibonelo isivele sisefrijini izinsuku ezi-2, awukwazi-ke yize, futhi akufanele kusetshenziselwe ukondla. *")</f>
        <v>Lezi zikhathi akufanele zengezwe, ngokwesibonelo isivele sisefrijini izinsuku ezi-2, awukwazi-ke yize, futhi akufanele kusetshenziselwe ukondla. *</v>
      </c>
      <c r="J67" s="29" t="str">
        <f ca="1">IFERROR(__xludf.DUMMYFUNCTION("GOOGLETRANSLATE(D67, ""pt"", ""zu"")"),"Lezi zikhathi akufanele zengeze, okungukuthi, uma ngabe sekuyizinsuku ezi-2 esiqandisini, akunakuba neqhwa ngezansi, futhi akufanele lisetshenziselwe ukudla *.")</f>
        <v>Lezi zikhathi akufanele zengeze, okungukuthi, uma ngabe sekuyizinsuku ezi-2 esiqandisini, akunakuba neqhwa ngezansi, futhi akufanele lisetshenziselwe ukudla *.</v>
      </c>
      <c r="K67" s="29" t="str">
        <f ca="1">IFERROR(__xludf.DUMMYFUNCTION("GOOGLETRANSLATE(F67, ""en"", ""af"")"),"Hierdie tye moet nie bygevoeg word nie, byvoorbeeld, dit is al 2 dae in die yskas, u kan dit dan nie vries nie, en dit moet ook nie gebruik word om te voed nie.*")</f>
        <v>Hierdie tye moet nie bygevoeg word nie, byvoorbeeld, dit is al 2 dae in die yskas, u kan dit dan nie vries nie, en dit moet ook nie gebruik word om te voed nie.*</v>
      </c>
      <c r="L67" s="20" t="str">
        <f ca="1">IFERROR(__xludf.DUMMYFUNCTION("GOOGLETRANSLATE(D67, ""pt"", ""af"")"),"Hierdie tye is nie om by te voeg nie, dit wil sê, as dit twee dae in die yskas was, kan dit nie hieronder gevries word nie, en dit moet ook nie eens vir kos gebruik word nie.")</f>
        <v>Hierdie tye is nie om by te voeg nie, dit wil sê, as dit twee dae in die yskas was, kan dit nie hieronder gevries word nie, en dit moet ook nie eens vir kos gebruik word nie.</v>
      </c>
      <c r="M67" s="30"/>
      <c r="N67" s="30"/>
      <c r="O67" s="30"/>
      <c r="P67" s="30"/>
      <c r="Q67" s="30"/>
      <c r="R67" s="30"/>
      <c r="S67" s="30"/>
      <c r="T67" s="30"/>
      <c r="U67" s="30"/>
      <c r="V67" s="30"/>
      <c r="W67" s="30"/>
      <c r="X67" s="30"/>
      <c r="Y67" s="30"/>
      <c r="Z67" s="30"/>
      <c r="AA67" s="30"/>
      <c r="AB67" s="30"/>
      <c r="AC67" s="30"/>
      <c r="AD67" s="30"/>
      <c r="AE67" s="30"/>
      <c r="AF67" s="30"/>
    </row>
    <row r="68" spans="1:32" ht="45">
      <c r="A68" s="23" t="s">
        <v>869</v>
      </c>
      <c r="B68" s="24" t="s">
        <v>870</v>
      </c>
      <c r="C68" s="23" t="s">
        <v>919</v>
      </c>
      <c r="D68" s="25" t="s">
        <v>775</v>
      </c>
      <c r="E68" s="25"/>
      <c r="F68" s="25" t="s">
        <v>241</v>
      </c>
      <c r="G68" s="27"/>
      <c r="H68" s="25"/>
      <c r="I68" s="27" t="str">
        <f ca="1">IFERROR(__xludf.DUMMYFUNCTION("GOOGLETRANSLATE(F68, ""en"", ""zu"")"),"(* Kepha kwenza umswakama omuhle kakhulu emanzini okugeza wezingane.) 😉")</f>
        <v>(* Kepha kwenza umswakama omuhle kakhulu emanzini okugeza wezingane.) 😉</v>
      </c>
      <c r="J68" s="29" t="str">
        <f ca="1">IFERROR(__xludf.DUMMYFUNCTION("GOOGLETRANSLATE(D68, ""pt"", ""zu"")"),"(* Kepha kuyinto enhle kakhulu moisturizer emanzini okugeza wengane.) 😉")</f>
        <v>(* Kepha kuyinto enhle kakhulu moisturizer emanzini okugeza wengane.) 😉</v>
      </c>
      <c r="K68" s="29" t="str">
        <f ca="1">IFERROR(__xludf.DUMMYFUNCTION("GOOGLETRANSLATE(F68, ""en"", ""af"")"),"(* Maar dit maak 'n uitstekende bevogtiger in baba -badwater.) 😉")</f>
        <v>(* Maar dit maak 'n uitstekende bevogtiger in baba -badwater.) 😉</v>
      </c>
      <c r="L68" s="20" t="str">
        <f ca="1">IFERROR(__xludf.DUMMYFUNCTION("GOOGLETRANSLATE(D68, ""pt"", ""af"")"),"(*Maar dit is 'n uitstekende bevogtiger in die baba se badwater.) 😉")</f>
        <v>(*Maar dit is 'n uitstekende bevogtiger in die baba se badwater.) 😉</v>
      </c>
      <c r="M68" s="30"/>
      <c r="N68" s="30"/>
      <c r="O68" s="30"/>
      <c r="P68" s="30"/>
      <c r="Q68" s="30"/>
      <c r="R68" s="30"/>
      <c r="S68" s="30"/>
      <c r="T68" s="30"/>
      <c r="U68" s="30"/>
      <c r="V68" s="30"/>
      <c r="W68" s="30"/>
      <c r="X68" s="30"/>
      <c r="Y68" s="30"/>
      <c r="Z68" s="30"/>
      <c r="AA68" s="30"/>
      <c r="AB68" s="30"/>
      <c r="AC68" s="30"/>
      <c r="AD68" s="30"/>
      <c r="AE68" s="30"/>
      <c r="AF68" s="30"/>
    </row>
    <row r="69" spans="1:32" ht="30">
      <c r="A69" s="23" t="s">
        <v>869</v>
      </c>
      <c r="B69" s="24" t="s">
        <v>870</v>
      </c>
      <c r="C69" s="23" t="s">
        <v>919</v>
      </c>
      <c r="D69" s="25" t="s">
        <v>778</v>
      </c>
      <c r="E69" s="25"/>
      <c r="F69" s="25" t="s">
        <v>242</v>
      </c>
      <c r="G69" s="27"/>
      <c r="H69" s="25"/>
      <c r="I69" s="27" t="str">
        <f ca="1">IFERROR(__xludf.DUMMYFUNCTION("GOOGLETRANSLATE(F69, ""en"", ""zu"")"),"Lapho ungabaza, ukuqandeka kulungile.")</f>
        <v>Lapho ungabaza, ukuqandeka kulungile.</v>
      </c>
      <c r="J69" s="29" t="str">
        <f ca="1">IFERROR(__xludf.DUMMYFUNCTION("GOOGLETRANSLATE(D69, ""pt"", ""zu"")"),"Lapho ungabaza, okulungile kuhlale kukhulula.")</f>
        <v>Lapho ungabaza, okulungile kuhlale kukhulula.</v>
      </c>
      <c r="K69" s="29" t="str">
        <f ca="1">IFERROR(__xludf.DUMMYFUNCTION("GOOGLETRANSLATE(F69, ""en"", ""af"")"),"As u twyfel, is vriespunt ideaal.")</f>
        <v>As u twyfel, is vriespunt ideaal.</v>
      </c>
      <c r="L69" s="20" t="str">
        <f ca="1">IFERROR(__xludf.DUMMYFUNCTION("GOOGLETRANSLATE(D69, ""pt"", ""af"")"),"As u twyfel, is die ideaal altyd om te vries.")</f>
        <v>As u twyfel, is die ideaal altyd om te vries.</v>
      </c>
      <c r="M69" s="30"/>
      <c r="N69" s="30"/>
      <c r="O69" s="30"/>
      <c r="P69" s="30"/>
      <c r="Q69" s="30"/>
      <c r="R69" s="30"/>
      <c r="S69" s="30"/>
      <c r="T69" s="30"/>
      <c r="U69" s="30"/>
      <c r="V69" s="30"/>
      <c r="W69" s="30"/>
      <c r="X69" s="30"/>
      <c r="Y69" s="30"/>
      <c r="Z69" s="30"/>
      <c r="AA69" s="30"/>
      <c r="AB69" s="30"/>
      <c r="AC69" s="30"/>
      <c r="AD69" s="30"/>
      <c r="AE69" s="30"/>
      <c r="AF69" s="30"/>
    </row>
    <row r="70" spans="1:32" ht="90">
      <c r="A70" s="23" t="s">
        <v>869</v>
      </c>
      <c r="B70" s="24" t="s">
        <v>870</v>
      </c>
      <c r="C70" s="23" t="s">
        <v>919</v>
      </c>
      <c r="D70" s="25" t="s">
        <v>781</v>
      </c>
      <c r="E70" s="25"/>
      <c r="F70" s="25" t="s">
        <v>243</v>
      </c>
      <c r="G70" s="27"/>
      <c r="H70" s="25"/>
      <c r="I70" s="27" t="str">
        <f ca="1">IFERROR(__xludf.DUMMYFUNCTION("GOOGLETRANSLATE(F70, ""en"", ""zu"")"),"Qaphela: Lapho i-Breakbianbis Ploons, inephunga elithile elimuncu (hhayi ukudideka ngephunga lensimbi yalo, elijwayelekile) futhi liseChunky (lihlanganisiwe).")</f>
        <v>Qaphela: Lapho i-Breakbianbis Ploons, inephunga elithile elimuncu (hhayi ukudideka ngephunga lensimbi yalo, elijwayelekile) futhi liseChunky (lihlanganisiwe).</v>
      </c>
      <c r="J70" s="29" t="str">
        <f ca="1">IFERROR(__xludf.DUMMYFUNCTION("GOOGLETRANSLATE(D70, ""pt"", ""zu"")"),"Qaphela: Ubisi lwebele uma umona unephunga elimuncu omuncu (hhayi ukudideka ngephunga elijwayelekile lensimbi) futhi usemapulazini (ubisi oluqoshiwe / oluqoshiwe).")</f>
        <v>Qaphela: Ubisi lwebele uma umona unephunga elimuncu omuncu (hhayi ukudideka ngephunga elijwayelekile lensimbi) futhi usemapulazini (ubisi oluqoshiwe / oluqoshiwe).</v>
      </c>
      <c r="K70" s="29" t="str">
        <f ca="1">IFERROR(__xludf.DUMMYFUNCTION("GOOGLETRANSLATE(F70, ""en"", ""af"")"),"OPMERKING: As borsmelk bederf, het dit 'n sekere suur reuk (om nie verwar te word met die metaalgeur daarvan nie, wat normaal is) en is dun (gekneus/gekoaguleer).")</f>
        <v>OPMERKING: As borsmelk bederf, het dit 'n sekere suur reuk (om nie verwar te word met die metaalgeur daarvan nie, wat normaal is) en is dun (gekneus/gekoaguleer).</v>
      </c>
      <c r="L70" s="20" t="str">
        <f ca="1">IFERROR(__xludf.DUMMYFUNCTION("GOOGLETRANSLATE(D70, ""pt"", ""af"")"),"OPMERKING: Borsmelk as dit bederf, het 'n kenmerkende reuk van suur (om nie verwar te word met 'n normale metaalgeur nie) en is op plase (gekerfde/kwaai melk).")</f>
        <v>OPMERKING: Borsmelk as dit bederf, het 'n kenmerkende reuk van suur (om nie verwar te word met 'n normale metaalgeur nie) en is op plase (gekerfde/kwaai melk).</v>
      </c>
      <c r="M70" s="30"/>
      <c r="N70" s="30"/>
      <c r="O70" s="30"/>
      <c r="P70" s="30"/>
      <c r="Q70" s="30"/>
      <c r="R70" s="30"/>
      <c r="S70" s="30"/>
      <c r="T70" s="30"/>
      <c r="U70" s="30"/>
      <c r="V70" s="30"/>
      <c r="W70" s="30"/>
      <c r="X70" s="30"/>
      <c r="Y70" s="30"/>
      <c r="Z70" s="30"/>
      <c r="AA70" s="30"/>
      <c r="AB70" s="30"/>
      <c r="AC70" s="30"/>
      <c r="AD70" s="30"/>
      <c r="AE70" s="30"/>
      <c r="AF70" s="30"/>
    </row>
    <row r="71" spans="1:32" ht="120">
      <c r="A71" s="23" t="s">
        <v>869</v>
      </c>
      <c r="B71" s="24" t="s">
        <v>870</v>
      </c>
      <c r="C71" s="23" t="s">
        <v>942</v>
      </c>
      <c r="D71" s="25" t="s">
        <v>632</v>
      </c>
      <c r="E71" s="25"/>
      <c r="F71" s="25" t="s">
        <v>113</v>
      </c>
      <c r="G71" s="27"/>
      <c r="H71" s="25"/>
      <c r="I71" s="27" t="str">
        <f ca="1">IFERROR(__xludf.DUMMYFUNCTION("GOOGLETRANSLATE(F71, ""en"", ""zu"")"),"Ngokwezincomo zamazwe omhlaba (ikakhulukazi i-World Health Organisation), izinsana kufanele zibelwe ibele kuphela (ngaphandle kwanoma yini enye, akukho manzi, akukho ujusi, noma yini) kuze kube izinyanga eziyisithupha. 🤱")</f>
        <v>Ngokwezincomo zamazwe omhlaba (ikakhulukazi i-World Health Organisation), izinsana kufanele zibelwe ibele kuphela (ngaphandle kwanoma yini enye, akukho manzi, akukho ujusi, noma yini) kuze kube izinyanga eziyisithupha. 🤱</v>
      </c>
      <c r="J71" s="29" t="str">
        <f ca="1">IFERROR(__xludf.DUMMYFUNCTION("GOOGLETRANSLATE(D71, ""pt"", ""zu"")"),"Ngokwezincomo zamazwe omhlaba (okungukuthi i-World Health Organisation), ukuncelisa ibele kungagcinwa kuphela (ngaphandle kwanoma yini, namanzi, noma ukunyamalala noma itiye, noma yini) kuze kube izinyanga eziyisithupha. 🤱")</f>
        <v>Ngokwezincomo zamazwe omhlaba (okungukuthi i-World Health Organisation), ukuncelisa ibele kungagcinwa kuphela (ngaphandle kwanoma yini, namanzi, noma ukunyamalala noma itiye, noma yini) kuze kube izinyanga eziyisithupha. 🤱</v>
      </c>
      <c r="K71" s="29" t="str">
        <f ca="1">IFERROR(__xludf.DUMMYFUNCTION("GOOGLETRANSLATE(F71, ""en"", ""af"")"),"Volgens internasionale aanbevelings (veral die Wêreldgesondheidsorganisasie), moet babas uitsluitlik geborsvoed word (sonder absoluut iets anders, geen water, geen sap of iets) tot 6 maande ouderdom. 🤱")</f>
        <v>Volgens internasionale aanbevelings (veral die Wêreldgesondheidsorganisasie), moet babas uitsluitlik geborsvoed word (sonder absoluut iets anders, geen water, geen sap of iets) tot 6 maande ouderdom. 🤱</v>
      </c>
      <c r="L71" s="20" t="str">
        <f ca="1">IFERROR(__xludf.DUMMYFUNCTION("GOOGLETRANSLATE(D71, ""pt"", ""af"")"),"Volgens internasionale aanbevelings (naamlik die Wêreldgesondheidsorganisasie), kan en moet borsvoeding uitsluitlik onderhou word (sonder absoluut iets, nóg water, of verdwyning of tee, of iets) tot 6 maande ouderdom. 🤱")</f>
        <v>Volgens internasionale aanbevelings (naamlik die Wêreldgesondheidsorganisasie), kan en moet borsvoeding uitsluitlik onderhou word (sonder absoluut iets, nóg water, of verdwyning of tee, of iets) tot 6 maande ouderdom. 🤱</v>
      </c>
      <c r="M71" s="30"/>
      <c r="N71" s="30"/>
      <c r="O71" s="30"/>
      <c r="P71" s="30"/>
      <c r="Q71" s="30"/>
      <c r="R71" s="30"/>
      <c r="S71" s="30"/>
      <c r="T71" s="30"/>
      <c r="U71" s="30"/>
      <c r="V71" s="30"/>
      <c r="W71" s="30"/>
      <c r="X71" s="30"/>
      <c r="Y71" s="30"/>
      <c r="Z71" s="30"/>
      <c r="AA71" s="30"/>
      <c r="AB71" s="30"/>
      <c r="AC71" s="30"/>
      <c r="AD71" s="30"/>
      <c r="AE71" s="30"/>
      <c r="AF71" s="30"/>
    </row>
    <row r="72" spans="1:32" ht="75">
      <c r="A72" s="23" t="s">
        <v>869</v>
      </c>
      <c r="B72" s="24" t="s">
        <v>870</v>
      </c>
      <c r="C72" s="23" t="s">
        <v>942</v>
      </c>
      <c r="D72" s="25" t="s">
        <v>635</v>
      </c>
      <c r="E72" s="25"/>
      <c r="F72" s="25" t="s">
        <v>114</v>
      </c>
      <c r="G72" s="27"/>
      <c r="H72" s="25"/>
      <c r="I72" s="27" t="str">
        <f ca="1">IFERROR(__xludf.DUMMYFUNCTION("GOOGLETRANSLATE(F72, ""en"", ""zu"")"),"Ngemuva kwalokhu, ukudla okuqinile 🍽 kungenziwa kwethulwa, njengesengezo obisini lwebele, olungaqhubeka uma nje umama nengane efana.")</f>
        <v>Ngemuva kwalokhu, ukudla okuqinile 🍽 kungenziwa kwethulwa, njengesengezo obisini lwebele, olungaqhubeka uma nje umama nengane efana.</v>
      </c>
      <c r="J72" s="29" t="str">
        <f ca="1">IFERROR(__xludf.DUMMYFUNCTION("GOOGLETRANSLATE(D72, ""pt"", ""zu"")"),"Emva kwalokho, ukwethulwa kokudla okuqinile kwethulwa, kugcwele ubisi lwebele, olungagcinwa njengomama nengane ngakho-ke bayakuqonda.")</f>
        <v>Emva kwalokho, ukwethulwa kokudla okuqinile kwethulwa, kugcwele ubisi lwebele, olungagcinwa njengomama nengane ngakho-ke bayakuqonda.</v>
      </c>
      <c r="K72" s="29" t="str">
        <f ca="1">IFERROR(__xludf.DUMMYFUNCTION("GOOGLETRANSLATE(F72, ""en"", ""af"")"),"Hierna kan soliede voedsel 🍽 bekendgestel word as aanvulling op borsmelk, wat kan voortgaan so lank as wat moeder en baba wil.")</f>
        <v>Hierna kan soliede voedsel 🍽 bekendgestel word as aanvulling op borsmelk, wat kan voortgaan so lank as wat moeder en baba wil.</v>
      </c>
      <c r="L72" s="20" t="str">
        <f ca="1">IFERROR(__xludf.DUMMYFUNCTION("GOOGLETRANSLATE(D72, ""pt"", ""af"")"),"Daarna word die bekendstelling van soliede dieet bekendgestel in aanvulling van borsmelk, wat as moeder en baba gehandhaaf kan word, sodat hulle dit verstaan.")</f>
        <v>Daarna word die bekendstelling van soliede dieet bekendgestel in aanvulling van borsmelk, wat as moeder en baba gehandhaaf kan word, sodat hulle dit verstaan.</v>
      </c>
      <c r="M72" s="30"/>
      <c r="N72" s="30"/>
      <c r="O72" s="30"/>
      <c r="P72" s="30"/>
      <c r="Q72" s="30"/>
      <c r="R72" s="30"/>
      <c r="S72" s="30"/>
      <c r="T72" s="30"/>
      <c r="U72" s="30"/>
      <c r="V72" s="30"/>
      <c r="W72" s="30"/>
      <c r="X72" s="30"/>
      <c r="Y72" s="30"/>
      <c r="Z72" s="30"/>
      <c r="AA72" s="30"/>
      <c r="AB72" s="30"/>
      <c r="AC72" s="30"/>
      <c r="AD72" s="30"/>
      <c r="AE72" s="30"/>
      <c r="AF72" s="30"/>
    </row>
    <row r="73" spans="1:32" ht="45">
      <c r="A73" s="23" t="s">
        <v>869</v>
      </c>
      <c r="B73" s="24" t="s">
        <v>870</v>
      </c>
      <c r="C73" s="23" t="s">
        <v>943</v>
      </c>
      <c r="D73" s="25" t="s">
        <v>797</v>
      </c>
      <c r="E73" s="25"/>
      <c r="F73" s="25" t="s">
        <v>259</v>
      </c>
      <c r="G73" s="27"/>
      <c r="H73" s="25"/>
      <c r="I73" s="27" t="str">
        <f ca="1">IFERROR(__xludf.DUMMYFUNCTION("GOOGLETRANSLATE(F73, ""en"", ""zu"")"),"Ukukhala kusihlwa, okudlulela ebusuku 🌃 kungaba izinto ezihlukile:")</f>
        <v>Ukukhala kusihlwa, okudlulela ebusuku 🌃 kungaba izinto ezihlukile:</v>
      </c>
      <c r="J73" s="29" t="str">
        <f ca="1">IFERROR(__xludf.DUMMYFUNCTION("GOOGLETRANSLATE(D73, ""pt"", ""zu"")"),"Ukukhala kwabe ntambama kakhulu kunwebeka ekuseni kakhulu - kungaba izinto ezihlukile:")</f>
        <v>Ukukhala kwabe ntambama kakhulu kunwebeka ekuseni kakhulu - kungaba izinto ezihlukile:</v>
      </c>
      <c r="K73" s="29" t="str">
        <f ca="1">IFERROR(__xludf.DUMMYFUNCTION("GOOGLETRANSLATE(F73, ""en"", ""af"")"),"Huil in die aand, wat in die nag strek, kan verskillende dinge wees:")</f>
        <v>Huil in die aand, wat in die nag strek, kan verskillende dinge wees:</v>
      </c>
      <c r="L73" s="20" t="str">
        <f ca="1">IFERROR(__xludf.DUMMYFUNCTION("GOOGLETRANSLATE(D73, ""pt"", ""af"")"),"'N Huil in die laatmiddag wat in die vroeë aand strek - kan verskillende dinge wees:")</f>
        <v>'N Huil in die laatmiddag wat in die vroeë aand strek - kan verskillende dinge wees:</v>
      </c>
      <c r="M73" s="30"/>
      <c r="N73" s="30"/>
      <c r="O73" s="30"/>
      <c r="P73" s="30"/>
      <c r="Q73" s="30"/>
      <c r="R73" s="30"/>
      <c r="S73" s="30"/>
      <c r="T73" s="30"/>
      <c r="U73" s="30"/>
      <c r="V73" s="30"/>
      <c r="W73" s="30"/>
      <c r="X73" s="30"/>
      <c r="Y73" s="30"/>
      <c r="Z73" s="30"/>
      <c r="AA73" s="30"/>
      <c r="AB73" s="30"/>
      <c r="AC73" s="30"/>
      <c r="AD73" s="30"/>
      <c r="AE73" s="30"/>
      <c r="AF73" s="30"/>
    </row>
    <row r="74" spans="1:32" ht="90">
      <c r="A74" s="23" t="s">
        <v>869</v>
      </c>
      <c r="B74" s="24" t="s">
        <v>870</v>
      </c>
      <c r="C74" s="23" t="s">
        <v>943</v>
      </c>
      <c r="D74" s="25" t="s">
        <v>800</v>
      </c>
      <c r="E74" s="25"/>
      <c r="F74" s="25" t="s">
        <v>260</v>
      </c>
      <c r="G74" s="27"/>
      <c r="H74" s="25"/>
      <c r="I74" s="27" t="str">
        <f ca="1">IFERROR(__xludf.DUMMYFUNCTION("GOOGLETRANSLATE(F74, ""en"", ""zu"")"),"a) ukukhombisa ukukhathala okuqongelelwe umnakekeli. Izinsana zibukisa umuntu obakhathalelayo nokuthi ingane ikhathele nini, ingane izizwa futhi ibonakalisa ngokukhala isikhathi eside.")</f>
        <v>a) ukukhombisa ukukhathala okuqongelelwe umnakekeli. Izinsana zibukisa umuntu obakhathalelayo nokuthi ingane ikhathele nini, ingane izizwa futhi ibonakalisa ngokukhala isikhathi eside.</v>
      </c>
      <c r="J74" s="29" t="str">
        <f ca="1">IFERROR(__xludf.DUMMYFUNCTION("GOOGLETRANSLATE(D74, ""pt"", ""zu"")"),"a) kuqoqwe ukukhathala ukukhathala komnakekeli. Izinsana zibukisa umuntu ozikhathalelayo nokuthi ingane ikhathele nini izizwa futhi zibonakalisa ekukhaleni okuhlala isikhathi eside.")</f>
        <v>a) kuqoqwe ukukhathala ukukhathala komnakekeli. Izinsana zibukisa umuntu ozikhathalelayo nokuthi ingane ikhathele nini izizwa futhi zibonakalisa ekukhaleni okuhlala isikhathi eside.</v>
      </c>
      <c r="K74" s="29" t="str">
        <f ca="1">IFERROR(__xludf.DUMMYFUNCTION("GOOGLETRANSLATE(F74, ""en"", ""af"")"),"a) 'n weerspieëling van die opgehoopte moegheid van die versorger. Babas weerspieël die persoon wat vir hulle sorg, en as ons moeg is, voel die baba dit en manifesteer dit deur langdurige huil.")</f>
        <v>a) 'n weerspieëling van die opgehoopte moegheid van die versorger. Babas weerspieël die persoon wat vir hulle sorg, en as ons moeg is, voel die baba dit en manifesteer dit deur langdurige huil.</v>
      </c>
      <c r="L74" s="20" t="str">
        <f ca="1">IFERROR(__xludf.DUMMYFUNCTION("GOOGLETRANSLATE(D74, ""pt"", ""af"")"),"a) Opgehoopte moegheidsrefleks van die versorger. Babas weerspieël die persoon wat vir hulle sorg en as ons moeg is, voel die baba en manifesteer hom in langdurige huil.")</f>
        <v>a) Opgehoopte moegheidsrefleks van die versorger. Babas weerspieël die persoon wat vir hulle sorg en as ons moeg is, voel die baba en manifesteer hom in langdurige huil.</v>
      </c>
      <c r="M74" s="30"/>
      <c r="N74" s="30"/>
      <c r="O74" s="30"/>
      <c r="P74" s="30"/>
      <c r="Q74" s="30"/>
      <c r="R74" s="30"/>
      <c r="S74" s="30"/>
      <c r="T74" s="30"/>
      <c r="U74" s="30"/>
      <c r="V74" s="30"/>
      <c r="W74" s="30"/>
      <c r="X74" s="30"/>
      <c r="Y74" s="30"/>
      <c r="Z74" s="30"/>
      <c r="AA74" s="30"/>
      <c r="AB74" s="30"/>
      <c r="AC74" s="30"/>
      <c r="AD74" s="30"/>
      <c r="AE74" s="30"/>
      <c r="AF74" s="30"/>
    </row>
    <row r="75" spans="1:32" ht="120">
      <c r="A75" s="23" t="s">
        <v>869</v>
      </c>
      <c r="B75" s="24" t="s">
        <v>870</v>
      </c>
      <c r="C75" s="23" t="s">
        <v>943</v>
      </c>
      <c r="D75" s="25" t="s">
        <v>803</v>
      </c>
      <c r="E75" s="25"/>
      <c r="F75" s="25" t="s">
        <v>261</v>
      </c>
      <c r="G75" s="27"/>
      <c r="H75" s="25"/>
      <c r="I75" s="27" t="str">
        <f ca="1">IFERROR(__xludf.DUMMYFUNCTION("GOOGLETRANSLATE(F75, ""en"", ""zu"")"),"b) I-hormone ebhekele iziqongo zobisi zebele phakathi kwehora leshumi ekuseni no 2:00 am. Ngakho-ke, ukukhulisa okuphakelayo ngalesi sikhathi kwandisa amathuba ubusuku obuthule obunezikhathi ezinde zokulala. Uma ingane yakho ikhala -&gt; ibele! 🤱")</f>
        <v>b) I-hormone ebhekele iziqongo zobisi zebele phakathi kwehora leshumi ekuseni no 2:00 am. Ngakho-ke, ukukhulisa okuphakelayo ngalesi sikhathi kwandisa amathuba ubusuku obuthule obunezikhathi ezinde zokulala. Uma ingane yakho ikhala -&gt; ibele! 🤱</v>
      </c>
      <c r="J75" s="29" t="str">
        <f ca="1">IFERROR(__xludf.DUMMYFUNCTION("GOOGLETRANSLATE(D75, ""pt"", ""zu"")"),"b) I-hormone ebhekele ubisi lwebele phakathi kuka-10 PM no-2 ekuseni. Lokho wukuthi, ukuncelisa ibele ngalesi sikhathi kukhulisa amathuba ubusuku obumnandi obunemisindo emide. Uma ukhalela -&gt; Mama! 🤱")</f>
        <v>b) I-hormone ebhekele ubisi lwebele phakathi kuka-10 PM no-2 ekuseni. Lokho wukuthi, ukuncelisa ibele ngalesi sikhathi kukhulisa amathuba ubusuku obumnandi obunemisindo emide. Uma ukhalela -&gt; Mama! 🤱</v>
      </c>
      <c r="K75" s="29" t="str">
        <f ca="1">IFERROR(__xludf.DUMMYFUNCTION("GOOGLETRANSLATE(F75, ""en"", ""af"")"),"b) Die hormoon wat verantwoordelik is vir borsmelkpieke tussen 10:00 en 02:00. Dus, toenemende voedings gedurende hierdie tyd verhoog die waarskynlikheid 'n rustige nag met langer slaapperiodes. As jou baba huil -&gt; borsvoed! 🤱")</f>
        <v>b) Die hormoon wat verantwoordelik is vir borsmelkpieke tussen 10:00 en 02:00. Dus, toenemende voedings gedurende hierdie tyd verhoog die waarskynlikheid 'n rustige nag met langer slaapperiodes. As jou baba huil -&gt; borsvoed! 🤱</v>
      </c>
      <c r="L75" s="20" t="str">
        <f ca="1">IFERROR(__xludf.DUMMYFUNCTION("GOOGLETRANSLATE(D75, ""pt"", ""af"")"),"b) Die hormoon wat verantwoordelik is vir borsmelkpiek tussen 22:00 en 02:00. Dit wil sê, toenemende borsvoeding in hierdie periode verhoog die waarskynlikheid 'n rustige nag met langer geluide. As jy huil -&gt; mamma! 🤱")</f>
        <v>b) Die hormoon wat verantwoordelik is vir borsmelkpiek tussen 22:00 en 02:00. Dit wil sê, toenemende borsvoeding in hierdie periode verhoog die waarskynlikheid 'n rustige nag met langer geluide. As jy huil -&gt; mamma! 🤱</v>
      </c>
      <c r="M75" s="30"/>
      <c r="N75" s="30"/>
      <c r="O75" s="30"/>
      <c r="P75" s="30"/>
      <c r="Q75" s="30"/>
      <c r="R75" s="30"/>
      <c r="S75" s="30"/>
      <c r="T75" s="30"/>
      <c r="U75" s="30"/>
      <c r="V75" s="30"/>
      <c r="W75" s="30"/>
      <c r="X75" s="30"/>
      <c r="Y75" s="30"/>
      <c r="Z75" s="30"/>
      <c r="AA75" s="30"/>
      <c r="AB75" s="30"/>
      <c r="AC75" s="30"/>
      <c r="AD75" s="30"/>
      <c r="AE75" s="30"/>
      <c r="AF75" s="30"/>
    </row>
    <row r="76" spans="1:32" ht="120">
      <c r="A76" s="23" t="s">
        <v>869</v>
      </c>
      <c r="B76" s="24" t="s">
        <v>870</v>
      </c>
      <c r="C76" s="23" t="s">
        <v>943</v>
      </c>
      <c r="D76" s="25" t="s">
        <v>806</v>
      </c>
      <c r="E76" s="25"/>
      <c r="F76" s="25" t="s">
        <v>262</v>
      </c>
      <c r="G76" s="27"/>
      <c r="H76" s="25"/>
      <c r="I76" s="27" t="str">
        <f ca="1">IFERROR(__xludf.DUMMYFUNCTION("GOOGLETRANSLATE(F76, ""en"", ""zu"")"),"c) Uma kungekho kulokhu okungenhla okuyiqiniso futhi ingane yakho idonsa imilenze yayo bese iyayikhalela ngenkathi ikhala, inempumuzo yedlulele, ingahle ibe yi-colic.")</f>
        <v>c) Uma kungekho kulokhu okungenhla okuyiqiniso futhi ingane yakho idonsa imilenze yayo bese iyayikhalela ngenkathi ikhala, inempumuzo yedlulele, ingahle ibe yi-colic.</v>
      </c>
      <c r="J76" s="29" t="str">
        <f ca="1">IFERROR(__xludf.DUMMYFUNCTION("GOOGLETRANSLATE(D76, ""pt"", ""zu"")"),"c) Uma kungekho kulabo abangaphambilini abaqinisekisiwe futhi uma ukukhala kuhambisana nokunyakaza kwe-shrink futhi welule imilenze ngokukhululeka ngasikhathi sinye kodwa i-ephemeral ekukhaleni kungenzeka ibe yimigodi.")</f>
        <v>c) Uma kungekho kulabo abangaphambilini abaqinisekisiwe futhi uma ukukhala kuhambisana nokunyakaza kwe-shrink futhi welule imilenze ngokukhululeka ngasikhathi sinye kodwa i-ephemeral ekukhaleni kungenzeka ibe yimigodi.</v>
      </c>
      <c r="K76" s="29" t="str">
        <f ca="1">IFERROR(__xludf.DUMMYFUNCTION("GOOGLETRANSLATE(F76, ""en"", ""af"")"),"c) As nie een van die bogenoemde waar is nie en jou baba haar bene optrek en dit dan uitsteek terwyl hy huil, met vlugtige verligting, kan dit koliek wees.")</f>
        <v>c) As nie een van die bogenoemde waar is nie en jou baba haar bene optrek en dit dan uitsteek terwyl hy huil, met vlugtige verligting, kan dit koliek wees.</v>
      </c>
      <c r="L76" s="20" t="str">
        <f ca="1">IFERROR(__xludf.DUMMYFUNCTION("GOOGLETRANSLATE(D76, ""pt"", ""af"")"),"c) As nie een van die vorige geverifieer word nie, en as die geskreeu gepaard gaan met krimpbewegings en die bene met gelyktydige verligting rek, kan die krampe krampe wees.")</f>
        <v>c) As nie een van die vorige geverifieer word nie, en as die geskreeu gepaard gaan met krimpbewegings en die bene met gelyktydige verligting rek, kan die krampe krampe wees.</v>
      </c>
      <c r="M76" s="30"/>
      <c r="N76" s="30"/>
      <c r="O76" s="30"/>
      <c r="P76" s="30"/>
      <c r="Q76" s="30"/>
      <c r="R76" s="30"/>
      <c r="S76" s="30"/>
      <c r="T76" s="30"/>
      <c r="U76" s="30"/>
      <c r="V76" s="30"/>
      <c r="W76" s="30"/>
      <c r="X76" s="30"/>
      <c r="Y76" s="30"/>
      <c r="Z76" s="30"/>
      <c r="AA76" s="30"/>
      <c r="AB76" s="30"/>
      <c r="AC76" s="30"/>
      <c r="AD76" s="30"/>
      <c r="AE76" s="30"/>
      <c r="AF76" s="30"/>
    </row>
    <row r="77" spans="1:32" ht="27.95">
      <c r="A77" s="23" t="s">
        <v>869</v>
      </c>
      <c r="B77" s="24" t="s">
        <v>872</v>
      </c>
      <c r="C77" s="23" t="s">
        <v>943</v>
      </c>
      <c r="D77" s="25" t="s">
        <v>944</v>
      </c>
      <c r="E77" s="25" t="s">
        <v>945</v>
      </c>
      <c r="F77" s="25"/>
      <c r="G77" s="27"/>
      <c r="H77" s="25"/>
      <c r="I77" s="27"/>
      <c r="J77" s="29" t="str">
        <f ca="1">IFERROR(__xludf.DUMMYFUNCTION("GOOGLETRANSLATE(D77, ""pt"", ""zu"")"),"Isikhathi sasemini sikhala")</f>
        <v>Isikhathi sasemini sikhala</v>
      </c>
      <c r="K77" s="29"/>
      <c r="L77" s="20" t="str">
        <f ca="1">IFERROR(__xludf.DUMMYFUNCTION("GOOGLETRANSLATE(D77, ""pt"", ""af"")"),"Dag huil")</f>
        <v>Dag huil</v>
      </c>
      <c r="M77" s="30"/>
      <c r="N77" s="30"/>
      <c r="O77" s="30"/>
      <c r="P77" s="30"/>
      <c r="Q77" s="30"/>
      <c r="R77" s="30"/>
      <c r="S77" s="30"/>
      <c r="T77" s="30"/>
      <c r="U77" s="30"/>
      <c r="V77" s="30"/>
      <c r="W77" s="30"/>
      <c r="X77" s="30"/>
      <c r="Y77" s="30"/>
      <c r="Z77" s="30"/>
      <c r="AA77" s="30"/>
      <c r="AB77" s="30"/>
      <c r="AC77" s="30"/>
      <c r="AD77" s="30"/>
      <c r="AE77" s="30"/>
      <c r="AF77" s="30"/>
    </row>
    <row r="78" spans="1:32" ht="27.95">
      <c r="A78" s="23" t="s">
        <v>869</v>
      </c>
      <c r="B78" s="24" t="s">
        <v>872</v>
      </c>
      <c r="C78" s="23" t="s">
        <v>943</v>
      </c>
      <c r="D78" s="25" t="s">
        <v>392</v>
      </c>
      <c r="E78" s="25" t="s">
        <v>891</v>
      </c>
      <c r="F78" s="25"/>
      <c r="G78" s="27"/>
      <c r="H78" s="25"/>
      <c r="I78" s="27"/>
      <c r="J78" s="29" t="str">
        <f ca="1">IFERROR(__xludf.DUMMYFUNCTION("GOOGLETRANSLATE(D78, ""pt"", ""zu"")"),"Ukufiphalazisa")</f>
        <v>Ukufiphalazisa</v>
      </c>
      <c r="K78" s="29"/>
      <c r="L78" s="20" t="str">
        <f ca="1">IFERROR(__xludf.DUMMYFUNCTION("GOOGLETRANSLATE(D78, ""pt"", ""af"")"),"Krampe")</f>
        <v>Krampe</v>
      </c>
      <c r="M78" s="30"/>
      <c r="N78" s="30"/>
      <c r="O78" s="30"/>
      <c r="P78" s="30"/>
      <c r="Q78" s="30"/>
      <c r="R78" s="30"/>
      <c r="S78" s="30"/>
      <c r="T78" s="30"/>
      <c r="U78" s="30"/>
      <c r="V78" s="30"/>
      <c r="W78" s="30"/>
      <c r="X78" s="30"/>
      <c r="Y78" s="30"/>
      <c r="Z78" s="30"/>
      <c r="AA78" s="30"/>
      <c r="AB78" s="30"/>
      <c r="AC78" s="30"/>
      <c r="AD78" s="30"/>
      <c r="AE78" s="30"/>
      <c r="AF78" s="30"/>
    </row>
    <row r="79" spans="1:32" ht="135">
      <c r="A79" s="23" t="s">
        <v>869</v>
      </c>
      <c r="B79" s="24" t="s">
        <v>870</v>
      </c>
      <c r="C79" s="23" t="s">
        <v>945</v>
      </c>
      <c r="D79" s="25" t="s">
        <v>809</v>
      </c>
      <c r="E79" s="25"/>
      <c r="F79" s="25" t="s">
        <v>264</v>
      </c>
      <c r="G79" s="27"/>
      <c r="H79" s="25"/>
      <c r="I79" s="27" t="str">
        <f ca="1">IFERROR(__xludf.DUMMYFUNCTION("GOOGLETRANSLATE(F79, ""en"", ""zu"")"),"Wake wabona noma yiziphi izimo zezempilo ezihamba ngewashi? Uma kukhona ukukhala noma ukucasuka okuhlale kwenzeka njalo ngasikhathi sinye, kuvame ukuphela kosuku, kungenzeka kube ukuboniswa ukukhathala komnakekeli kune-colic.")</f>
        <v>Wake wabona noma yiziphi izimo zezempilo ezihamba ngewashi? Uma kukhona ukukhala noma ukucasuka okuhlale kwenzeka njalo ngasikhathi sinye, kuvame ukuphela kosuku, kungenzeka kube ukuboniswa ukukhathala komnakekeli kune-colic.</v>
      </c>
      <c r="J79" s="29" t="str">
        <f ca="1">IFERROR(__xludf.DUMMYFUNCTION("GOOGLETRANSLATE(D79, ""pt"", ""zu"")"),"Uke wabona noma yisiphi isifo ngewashi? 😉 Ukukhala noma ukucasuka njalo ngasikhathi sinye, imvamisa ekupheleni kosuku, kujwayelekile ukuba yisibuko sokudinwa komuntu umnakekeli kunama-cramps.")</f>
        <v>Uke wabona noma yisiphi isifo ngewashi? 😉 Ukukhala noma ukucasuka njalo ngasikhathi sinye, imvamisa ekupheleni kosuku, kujwayelekile ukuba yisibuko sokudinwa komuntu umnakekeli kunama-cramps.</v>
      </c>
      <c r="K79" s="29" t="str">
        <f ca="1">IFERROR(__xludf.DUMMYFUNCTION("GOOGLETRANSLATE(F79, ""en"", ""af"")"),"Het u al enige gesondheidstoestande gesien wat deur die klok gaan? 😉 As daar 'n bietjie huil of irritasie is wat altyd op dieselfde tyd gebeur, gewoonlik aan die einde van die dag, is dit meer geneig om 'n weerspieëling van die moegheid van die versorger"&amp;" as koliek te wees.")</f>
        <v>Het u al enige gesondheidstoestande gesien wat deur die klok gaan? 😉 As daar 'n bietjie huil of irritasie is wat altyd op dieselfde tyd gebeur, gewoonlik aan die einde van die dag, is dit meer geneig om 'n weerspieëling van die moegheid van die versorger as koliek te wees.</v>
      </c>
      <c r="L79" s="20" t="str">
        <f ca="1">IFERROR(__xludf.DUMMYFUNCTION("GOOGLETRANSLATE(D79, ""pt"", ""af"")"),"Het u enige siekte met klok gesien? 😉 Sommige huil of irritasie altyd op dieselfde tyd, gewoonlik aan die einde van die dag, is dit meer normaal om die spieël van die moegheid van die versorger te wees as krampe.")</f>
        <v>Het u enige siekte met klok gesien? 😉 Sommige huil of irritasie altyd op dieselfde tyd, gewoonlik aan die einde van die dag, is dit meer normaal om die spieël van die moegheid van die versorger te wees as krampe.</v>
      </c>
      <c r="M79" s="30"/>
      <c r="N79" s="30"/>
      <c r="O79" s="30"/>
      <c r="P79" s="30"/>
      <c r="Q79" s="30"/>
      <c r="R79" s="30"/>
      <c r="S79" s="30"/>
      <c r="T79" s="30"/>
      <c r="U79" s="30"/>
      <c r="V79" s="30"/>
      <c r="W79" s="30"/>
      <c r="X79" s="30"/>
      <c r="Y79" s="30"/>
      <c r="Z79" s="30"/>
      <c r="AA79" s="30"/>
      <c r="AB79" s="30"/>
      <c r="AC79" s="30"/>
      <c r="AD79" s="30"/>
      <c r="AE79" s="30"/>
      <c r="AF79" s="30"/>
    </row>
    <row r="80" spans="1:32" ht="98.1">
      <c r="A80" s="23" t="s">
        <v>869</v>
      </c>
      <c r="B80" s="24" t="s">
        <v>870</v>
      </c>
      <c r="C80" s="23" t="s">
        <v>945</v>
      </c>
      <c r="D80" s="25" t="s">
        <v>812</v>
      </c>
      <c r="E80" s="25"/>
      <c r="F80" s="25" t="s">
        <v>265</v>
      </c>
      <c r="G80" s="27"/>
      <c r="H80" s="25"/>
      <c r="I80" s="27" t="str">
        <f ca="1">IFERROR(__xludf.DUMMYFUNCTION("GOOGLETRANSLATE(F80, ""en"", ""zu"")"),"Uke waphumula phakathi nosuku? Ngiyazi, umsebenzi wasendlini, konke okunye okudingeka ukwenze, zonke izinto ziqala ukuqongelela. Ukunakekela ingane kungumsebenzi ongapheli futhi oqeda amandla. Zinakekele!")</f>
        <v>Uke waphumula phakathi nosuku? Ngiyazi, umsebenzi wasendlini, konke okunye okudingeka ukwenze, zonke izinto ziqala ukuqongelela. Ukunakekela ingane kungumsebenzi ongapheli futhi oqeda amandla. Zinakekele!</v>
      </c>
      <c r="J80" s="29" t="str">
        <f ca="1">IFERROR(__xludf.DUMMYFUNCTION("GOOGLETRANSLATE(D80, ""pt"", ""zu"")"),"Ngabe usuphumile phakathi nosuku? Ngiyazi, indlu, imisebenzi, izinto okufanele ziqoqwe. Ukunakekela ingane kungumsebenzi ongapheli futhi oqeda kakhulu.  Ukunakekele!")</f>
        <v>Ngabe usuphumile phakathi nosuku? Ngiyazi, indlu, imisebenzi, izinto okufanele ziqoqwe. Ukunakekela ingane kungumsebenzi ongapheli futhi oqeda kakhulu.  Ukunakekele!</v>
      </c>
      <c r="K80" s="29" t="str">
        <f ca="1">IFERROR(__xludf.DUMMYFUNCTION("GOOGLETRANSLATE(F80, ""en"", ""af"")"),"Het u bedags gerus? Ek weet, die huiswerk, alles wat u moet doen, al die dinge begin ophoop. Die versorging van 'n baba is 'n eindelose en uitputtende werk. 😴 Sorg vir jouself!")</f>
        <v>Het u bedags gerus? Ek weet, die huiswerk, alles wat u moet doen, al die dinge begin ophoop. Die versorging van 'n baba is 'n eindelose en uitputtende werk. 😴 Sorg vir jouself!</v>
      </c>
      <c r="L80" s="20" t="str">
        <f ca="1">IFERROR(__xludf.DUMMYFUNCTION("GOOGLETRANSLATE(D80, ""pt"", ""af"")"),"Het u bedags gerus? Ek weet, die huis, die take, die dinge om op te bou. Die versorging van 'n baba is 'n eindelose en baie uitputtende werk. 😴 Sorg vir jou!")</f>
        <v>Het u bedags gerus? Ek weet, die huis, die take, die dinge om op te bou. Die versorging van 'n baba is 'n eindelose en baie uitputtende werk. 😴 Sorg vir jou!</v>
      </c>
      <c r="M80" s="30"/>
      <c r="N80" s="30"/>
      <c r="O80" s="30"/>
      <c r="P80" s="30"/>
      <c r="Q80" s="30"/>
      <c r="R80" s="30"/>
      <c r="S80" s="30"/>
      <c r="T80" s="30"/>
      <c r="U80" s="30"/>
      <c r="V80" s="30"/>
      <c r="W80" s="30"/>
      <c r="X80" s="30"/>
      <c r="Y80" s="30"/>
      <c r="Z80" s="30"/>
      <c r="AA80" s="30"/>
      <c r="AB80" s="30"/>
      <c r="AC80" s="30"/>
      <c r="AD80" s="30"/>
      <c r="AE80" s="30"/>
      <c r="AF80" s="30"/>
    </row>
    <row r="81" spans="1:32" ht="60">
      <c r="A81" s="23" t="s">
        <v>869</v>
      </c>
      <c r="B81" s="24" t="s">
        <v>870</v>
      </c>
      <c r="C81" s="23" t="s">
        <v>945</v>
      </c>
      <c r="D81" s="25" t="s">
        <v>815</v>
      </c>
      <c r="E81" s="25"/>
      <c r="F81" s="25" t="s">
        <v>946</v>
      </c>
      <c r="G81" s="27"/>
      <c r="H81" s="25"/>
      <c r="I81" s="27" t="str">
        <f ca="1">IFERROR(__xludf.DUMMYFUNCTION("GOOGLETRANSLATE(F81, ""en"", ""zu"")"),"Zama zombili ukuthola ukuphumula, ukubeka phansi eduze kwengane yakho (njalo ngokuphepha) futhi ucule okuthile okuzolile futhi buthule ...")</f>
        <v>Zama zombili ukuthola ukuphumula, ukubeka phansi eduze kwengane yakho (njalo ngokuphepha) futhi ucule okuthile okuzolile futhi buthule ...</v>
      </c>
      <c r="J81" s="29" t="str">
        <f ca="1">IFERROR(__xludf.DUMMYFUNCTION("GOOGLETRANSLATE(D81, ""pt"", ""zu"")"),"Zama ukuphumula kokubili, lala phansi eceleni (njalo uphephe) futhi uhlabelele okuthile okuzolile futhi kuthambile kakhulu ...")</f>
        <v>Zama ukuphumula kokubili, lala phansi eceleni (njalo uphephe) futhi uhlabelele okuthile okuzolile futhi kuthambile kakhulu ...</v>
      </c>
      <c r="K81" s="29" t="str">
        <f ca="1">IFERROR(__xludf.DUMMYFUNCTION("GOOGLETRANSLATE(F81, ""en"", ""af"")"),"Probeer om albei rus te kry, lê langs u baba (altyd veilig) en sing iets kalmerend en baie stil ...")</f>
        <v>Probeer om albei rus te kry, lê langs u baba (altyd veilig) en sing iets kalmerend en baie stil ...</v>
      </c>
      <c r="L81" s="20" t="str">
        <f ca="1">IFERROR(__xludf.DUMMYFUNCTION("GOOGLETRANSLATE(D81, ""pt"", ""af"")"),"Probeer om albei te rus, lê langs mekaar (altyd veilig) en sing iets kalm en baie sag ...")</f>
        <v>Probeer om albei te rus, lê langs mekaar (altyd veilig) en sing iets kalm en baie sag ...</v>
      </c>
      <c r="M81" s="30"/>
      <c r="N81" s="30"/>
      <c r="O81" s="30"/>
      <c r="P81" s="30"/>
      <c r="Q81" s="30"/>
      <c r="R81" s="30"/>
      <c r="S81" s="30"/>
      <c r="T81" s="30"/>
      <c r="U81" s="30"/>
      <c r="V81" s="30"/>
      <c r="W81" s="30"/>
      <c r="X81" s="30"/>
      <c r="Y81" s="30"/>
      <c r="Z81" s="30"/>
      <c r="AA81" s="30"/>
      <c r="AB81" s="30"/>
      <c r="AC81" s="30"/>
      <c r="AD81" s="30"/>
      <c r="AE81" s="30"/>
      <c r="AF81" s="30"/>
    </row>
    <row r="82" spans="1:32" ht="150">
      <c r="A82" s="23" t="s">
        <v>869</v>
      </c>
      <c r="B82" s="24" t="s">
        <v>870</v>
      </c>
      <c r="C82" s="23" t="s">
        <v>945</v>
      </c>
      <c r="D82" s="25" t="s">
        <v>818</v>
      </c>
      <c r="E82" s="25"/>
      <c r="F82" s="25" t="s">
        <v>947</v>
      </c>
      <c r="G82" s="27"/>
      <c r="H82" s="25"/>
      <c r="I82" s="27" t="str">
        <f ca="1">IFERROR(__xludf.DUMMYFUNCTION("GOOGLETRANSLATE(F82, ""en"", ""zu"")"),"Noma vele uhlale phansi uvale amehlo akho. Uma unesikhathi esinzima ""ukucisha"" ubuchopho bakho, zama ukucabanga okokugcina lapho uzizwa uphumule ngokuphelele: I-massage yakho yokugcina, leyo ntambama ephelele ebhishi noma epaki eSunday Sun ... 💤 😉")</f>
        <v>Noma vele uhlale phansi uvale amehlo akho. Uma unesikhathi esinzima "ukucisha" ubuchopho bakho, zama ukucabanga okokugcina lapho uzizwa uphumule ngokuphelele: I-massage yakho yokugcina, leyo ntambama ephelele ebhishi noma epaki eSunday Sun ... 💤 😉</v>
      </c>
      <c r="J82" s="29" t="str">
        <f ca="1">IFERROR(__xludf.DUMMYFUNCTION("GOOGLETRANSLATE(D82, ""pt"", ""zu"")"),"Kwanele ukuthi uzizwe futhi uvale amehlo akho. Uma unobunzima ""ukucisha"" ubuchopho bakho, zama ukucabanga okokugcina lapho uzizwa uphumule ngokuphelele: kulokhu kudla lokugcina, lelo ntambama ephelele, lelo ntambama elangeni ... 💤 😉")</f>
        <v>Kwanele ukuthi uzizwe futhi uvale amehlo akho. Uma unobunzima "ukucisha" ubuchopho bakho, zama ukucabanga okokugcina lapho uzizwa uphumule ngokuphelele: kulokhu kudla lokugcina, lelo ntambama ephelele, lelo ntambama elangeni ... 💤 😉</v>
      </c>
      <c r="K82" s="29" t="str">
        <f ca="1">IFERROR(__xludf.DUMMYFUNCTION("GOOGLETRANSLATE(F82, ""en"", ""af"")"),"Of gaan sit net en maak jou oë toe. As u 'n moeilike tyd het om u brein uit te skakel, probeer om te dink aan die laaste keer dat u heeltemal ontspanne gevoel het: u laaste massering, daardie perfekte middag op die strand of park in die Sondagson ... 💤 "&amp;"😉 😉 😉 😉 😉 😉 😉 😉 😉 😉 😉 😉 😉 😉 😉 😉 😉 😉 😉 😉")</f>
        <v>Of gaan sit net en maak jou oë toe. As u 'n moeilike tyd het om u brein uit te skakel, probeer om te dink aan die laaste keer dat u heeltemal ontspanne gevoel het: u laaste massering, daardie perfekte middag op die strand of park in die Sondagson ... 💤 😉 😉 😉 😉 😉 😉 😉 😉 😉 😉 😉 😉 😉 😉 😉 😉 😉 😉 😉 😉</v>
      </c>
      <c r="L82" s="20" t="str">
        <f ca="1">IFERROR(__xludf.DUMMYFUNCTION("GOOGLETRANSLATE(D82, ""pt"", ""af"")"),"Dit is genoeg dat u ook u oë voel en toemaak. As u probleme ondervind om u brein te ""afskakel"", probeer dan dink aan die laaste keer dat u heeltemal ontspanne voel: in die laaste massering, daardie perfekte laatmiddag, daardie sonnige Sondag ... 💤 😉 "&amp;"😉")</f>
        <v>Dit is genoeg dat u ook u oë voel en toemaak. As u probleme ondervind om u brein te "afskakel", probeer dan dink aan die laaste keer dat u heeltemal ontspanne voel: in die laaste massering, daardie perfekte laatmiddag, daardie sonnige Sondag ... 💤 😉 😉</v>
      </c>
      <c r="M82" s="30"/>
      <c r="N82" s="30"/>
      <c r="O82" s="30"/>
      <c r="P82" s="30"/>
      <c r="Q82" s="30"/>
      <c r="R82" s="30"/>
      <c r="S82" s="30"/>
      <c r="T82" s="30"/>
      <c r="U82" s="30"/>
      <c r="V82" s="30"/>
      <c r="W82" s="30"/>
      <c r="X82" s="30"/>
      <c r="Y82" s="30"/>
      <c r="Z82" s="30"/>
      <c r="AA82" s="30"/>
      <c r="AB82" s="30"/>
      <c r="AC82" s="30"/>
      <c r="AD82" s="30"/>
      <c r="AE82" s="30"/>
      <c r="AF82" s="30"/>
    </row>
    <row r="83" spans="1:32" ht="120">
      <c r="A83" s="23" t="s">
        <v>869</v>
      </c>
      <c r="B83" s="24" t="s">
        <v>870</v>
      </c>
      <c r="C83" s="23" t="s">
        <v>891</v>
      </c>
      <c r="D83" s="25" t="s">
        <v>821</v>
      </c>
      <c r="E83" s="25"/>
      <c r="F83" s="25" t="s">
        <v>948</v>
      </c>
      <c r="G83" s="27"/>
      <c r="H83" s="25"/>
      <c r="I83" s="27" t="str">
        <f ca="1">IFERROR(__xludf.DUMMYFUNCTION("GOOGLETRANSLATE(F83, ""en"", ""zu"")"),"Ama-98% ezingane 👶 azoba neziqephu ze-colic phakathi kwazo 3 - Isonto lesi-4 lempilo kanye nezinyanga ezi-3 - 4 ubudala. I-Colic yisimo esilinganiselwe, okusho ukuthi noma ngabe akukho okwenziwayo, kunyamalala ngokwemvelo.")</f>
        <v>Ama-98% ezingane 👶 azoba neziqephu ze-colic phakathi kwazo 3 - Isonto lesi-4 lempilo kanye nezinyanga ezi-3 - 4 ubudala. I-Colic yisimo esilinganiselwe, okusho ukuthi noma ngabe akukho okwenziwayo, kunyamalala ngokwemvelo.</v>
      </c>
      <c r="J83" s="29" t="str">
        <f ca="1">IFERROR(__xludf.DUMMYFUNCTION("GOOGLETRANSLATE(D83, ""pt"", ""zu"")"),"Ama-98% wezingane 👶 azoba neziqephu zokuqhekeka phakathi kwesonto lesithathu / lesi-4 lempilo kanye nenyanga yesi-3/4 yeminyaka yobudala. Ama-cramps azilinganiselwe, okungukuthi, noma ngabe akukho okwenziwayo, anyamalala ngokwemvelo.")</f>
        <v>Ama-98% wezingane 👶 azoba neziqephu zokuqhekeka phakathi kwesonto lesithathu / lesi-4 lempilo kanye nenyanga yesi-3/4 yeminyaka yobudala. Ama-cramps azilinganiselwe, okungukuthi, noma ngabe akukho okwenziwayo, anyamalala ngokwemvelo.</v>
      </c>
      <c r="K83" s="29" t="str">
        <f ca="1">IFERROR(__xludf.DUMMYFUNCTION("GOOGLETRANSLATE(F83, ""en"", ""af"")"),"98% van babas 👶 sal episodes van koliek hê tussen hul 3de - 4de week van die lewe en 3 - 4 maande ouderdom. Koliek is 'n selfbeperkte toestand, wat beteken dat selfs al word niks gedoen nie, dit natuurlik verdwyn.")</f>
        <v>98% van babas 👶 sal episodes van koliek hê tussen hul 3de - 4de week van die lewe en 3 - 4 maande ouderdom. Koliek is 'n selfbeperkte toestand, wat beteken dat selfs al word niks gedoen nie, dit natuurlik verdwyn.</v>
      </c>
      <c r="L83" s="20" t="str">
        <f ca="1">IFERROR(__xludf.DUMMYFUNCTION("GOOGLETRANSLATE(D83, ""pt"", ""af"")"),"98% van babas 👶 sal episodes van krampe hê tussen die 3de/4de week van die lewe en die 3de/4de maand. Die krampe is selfbeperk, dit wil sê, selfs al word niks gedoen nie, verdwyn hulle natuurlik.")</f>
        <v>98% van babas 👶 sal episodes van krampe hê tussen die 3de/4de week van die lewe en die 3de/4de maand. Die krampe is selfbeperk, dit wil sê, selfs al word niks gedoen nie, verdwyn hulle natuurlik.</v>
      </c>
      <c r="M83" s="30"/>
      <c r="N83" s="30"/>
      <c r="O83" s="30"/>
      <c r="P83" s="30"/>
      <c r="Q83" s="30"/>
      <c r="R83" s="30"/>
      <c r="S83" s="30"/>
      <c r="T83" s="30"/>
      <c r="U83" s="30"/>
      <c r="V83" s="30"/>
      <c r="W83" s="30"/>
      <c r="X83" s="30"/>
      <c r="Y83" s="30"/>
      <c r="Z83" s="30"/>
      <c r="AA83" s="30"/>
      <c r="AB83" s="30"/>
      <c r="AC83" s="30"/>
      <c r="AD83" s="30"/>
      <c r="AE83" s="30"/>
      <c r="AF83" s="30"/>
    </row>
    <row r="84" spans="1:32" ht="90">
      <c r="A84" s="23" t="s">
        <v>869</v>
      </c>
      <c r="B84" s="24" t="s">
        <v>870</v>
      </c>
      <c r="C84" s="23" t="s">
        <v>891</v>
      </c>
      <c r="D84" s="25" t="s">
        <v>824</v>
      </c>
      <c r="E84" s="25"/>
      <c r="F84" s="25" t="s">
        <v>276</v>
      </c>
      <c r="G84" s="27"/>
      <c r="H84" s="25"/>
      <c r="I84" s="27" t="str">
        <f ca="1">IFERROR(__xludf.DUMMYFUNCTION("GOOGLETRANSLATE(F84, ""en"", ""zu"")"),"Ukukhala okungathandeki, isisu esiqinile, nokukhala kwesinye isikhathi kuyaphazamiseka lapho imilenze yabo ilusa ngokushesha ezinye zezimpawu ze-colic.")</f>
        <v>Ukukhala okungathandeki, isisu esiqinile, nokukhala kwesinye isikhathi kuyaphazamiseka lapho imilenze yabo ilusa ngokushesha ezinye zezimpawu ze-colic.</v>
      </c>
      <c r="J84" s="29" t="str">
        <f ca="1">IFERROR(__xludf.DUMMYFUNCTION("GOOGLETRANSLATE(D84, ""pt"", ""zu"")"),"Ukukhala okungathandeki, isisu esinzima, kwesinye isikhathi kuphazamiseka lapho imilenze yelulwa ngokuzumayo, kungenye yezimpawu zezimpawu zokuqhekeka.")</f>
        <v>Ukukhala okungathandeki, isisu esinzima, kwesinye isikhathi kuphazamiseka lapho imilenze yelulwa ngokuzumayo, kungenye yezimpawu zezimpawu zokuqhekeka.</v>
      </c>
      <c r="K84" s="29" t="str">
        <f ca="1">IFERROR(__xludf.DUMMYFUNCTION("GOOGLETRANSLATE(F84, ""en"", ""af"")"),"Onversoenbare huil, 'n ferm buik en huil wat soms onderbreek word as hul bene skielik uitsteek, is net 'n paar tekens van koliek.")</f>
        <v>Onversoenbare huil, 'n ferm buik en huil wat soms onderbreek word as hul bene skielik uitsteek, is net 'n paar tekens van koliek.</v>
      </c>
      <c r="L84" s="20" t="str">
        <f ca="1">IFERROR(__xludf.DUMMYFUNCTION("GOOGLETRANSLATE(D84, ""pt"", ""af"")"),"'N Onversoenbare huil, 'n harde buik, 'n huil wat soms onderbreek word as die bene skielik strek, is net 'n paar tekens van krampe.")</f>
        <v>'N Onversoenbare huil, 'n harde buik, 'n huil wat soms onderbreek word as die bene skielik strek, is net 'n paar tekens van krampe.</v>
      </c>
      <c r="M84" s="30"/>
      <c r="N84" s="30"/>
      <c r="O84" s="30"/>
      <c r="P84" s="30"/>
      <c r="Q84" s="30"/>
      <c r="R84" s="30"/>
      <c r="S84" s="30"/>
      <c r="T84" s="30"/>
      <c r="U84" s="30"/>
      <c r="V84" s="30"/>
      <c r="W84" s="30"/>
      <c r="X84" s="30"/>
      <c r="Y84" s="30"/>
      <c r="Z84" s="30"/>
      <c r="AA84" s="30"/>
      <c r="AB84" s="30"/>
      <c r="AC84" s="30"/>
      <c r="AD84" s="30"/>
      <c r="AE84" s="30"/>
      <c r="AF84" s="30"/>
    </row>
    <row r="85" spans="1:32" ht="90">
      <c r="A85" s="23" t="s">
        <v>869</v>
      </c>
      <c r="B85" s="24" t="s">
        <v>870</v>
      </c>
      <c r="C85" s="23" t="s">
        <v>891</v>
      </c>
      <c r="D85" s="25" t="s">
        <v>827</v>
      </c>
      <c r="E85" s="25"/>
      <c r="F85" s="25" t="s">
        <v>949</v>
      </c>
      <c r="G85" s="27"/>
      <c r="H85" s="25"/>
      <c r="I85" s="27" t="str">
        <f ca="1">IFERROR(__xludf.DUMMYFUNCTION("GOOGLETRANSLATE(F85, ""en"", ""zu"")"),"Kwesinye isikhathi, emzameni wokusiza, abazali bakhulisa le nkinga ngokusebenzisa kabi ""ukwelashwa okuyisimangaliso"" abatholakala emakethe.")</f>
        <v>Kwesinye isikhathi, emzameni wokusiza, abazali bakhulisa le nkinga ngokusebenzisa kabi "ukwelashwa okuyisimangaliso" abatholakala emakethe.</v>
      </c>
      <c r="J85" s="29" t="str">
        <f ca="1">IFERROR(__xludf.DUMMYFUNCTION("GOOGLETRANSLATE(D85, ""pt"", ""zu"")"),"Kwesinye isikhathi abazali, emzameni wokusiza, ukukhulisa inkinga ngokusetshenziswa okungaphumelelanga kwama- ""moralicous Solutions"" ekhona emakethe.")</f>
        <v>Kwesinye isikhathi abazali, emzameni wokusiza, ukukhulisa inkinga ngokusetshenziswa okungaphumelelanga kwama- "moralicous Solutions" ekhona emakethe.</v>
      </c>
      <c r="K85" s="29" t="str">
        <f ca="1">IFERROR(__xludf.DUMMYFUNCTION("GOOGLETRANSLATE(F85, ""en"", ""af"")"),"Soms, in 'n poging om te help, vererger ouers die probleem deur onvoldoende 'Miracle Cures' op die mark te gebruik.")</f>
        <v>Soms, in 'n poging om te help, vererger ouers die probleem deur onvoldoende 'Miracle Cures' op die mark te gebruik.</v>
      </c>
      <c r="L85" s="20" t="str">
        <f ca="1">IFERROR(__xludf.DUMMYFUNCTION("GOOGLETRANSLATE(D85, ""pt"", ""af"")"),"Soms versterk ouers in 'n poging om te help, die probleem deur onsuksesvolle gebruik van 'wonderlike oplossings' wat in die mark bestaan.")</f>
        <v>Soms versterk ouers in 'n poging om te help, die probleem deur onsuksesvolle gebruik van 'wonderlike oplossings' wat in die mark bestaan.</v>
      </c>
      <c r="M85" s="30"/>
      <c r="N85" s="30"/>
      <c r="O85" s="30"/>
      <c r="P85" s="30"/>
      <c r="Q85" s="30"/>
      <c r="R85" s="30"/>
      <c r="S85" s="30"/>
      <c r="T85" s="30"/>
      <c r="U85" s="30"/>
      <c r="V85" s="30"/>
      <c r="W85" s="30"/>
      <c r="X85" s="30"/>
      <c r="Y85" s="30"/>
      <c r="Z85" s="30"/>
      <c r="AA85" s="30"/>
      <c r="AB85" s="30"/>
      <c r="AC85" s="30"/>
      <c r="AD85" s="30"/>
      <c r="AE85" s="30"/>
      <c r="AF85" s="30"/>
    </row>
    <row r="86" spans="1:32" ht="56.1">
      <c r="A86" s="23" t="s">
        <v>869</v>
      </c>
      <c r="B86" s="24" t="s">
        <v>870</v>
      </c>
      <c r="C86" s="23" t="s">
        <v>891</v>
      </c>
      <c r="D86" s="25" t="s">
        <v>830</v>
      </c>
      <c r="E86" s="25"/>
      <c r="F86" s="25" t="s">
        <v>278</v>
      </c>
      <c r="G86" s="27"/>
      <c r="H86" s="25"/>
      <c r="I86" s="27" t="str">
        <f ca="1">IFERROR(__xludf.DUMMYFUNCTION("GOOGLETRANSLATE(F86, ""en"", ""zu"")"),"Izinsana ezincelisa ibele 🤱 ezifunweni zilungele kakhulu ukubhekana nalokhu kuthuthuka """)</f>
        <v>Izinsana ezincelisa ibele 🤱 ezifunweni zilungele kakhulu ukubhekana nalokhu kuthuthuka "</v>
      </c>
      <c r="J86" s="29" t="str">
        <f ca="1">IFERROR(__xludf.DUMMYFUNCTION("GOOGLETRANSLATE(D86, ""pt"", ""zu"")"),"Ukuncenga i-Babies 🤱 On Demand ilungele ukubhekana nalokhu ""ubunzima"" bentuthuko.")</f>
        <v>Ukuncenga i-Babies 🤱 On Demand ilungele ukubhekana nalokhu "ubunzima" bentuthuko.</v>
      </c>
      <c r="K86" s="29" t="str">
        <f ca="1">IFERROR(__xludf.DUMMYFUNCTION("GOOGLETRANSLATE(F86, ""en"", ""af"")"),"Babas wat borsvoed 🤱 op aanvraag is die beste om hierdie ontwikkelings ""probleme"" te hanteer.")</f>
        <v>Babas wat borsvoed 🤱 op aanvraag is die beste om hierdie ontwikkelings "probleme" te hanteer.</v>
      </c>
      <c r="L86" s="20" t="str">
        <f ca="1">IFERROR(__xludf.DUMMYFUNCTION("GOOGLETRANSLATE(D86, ""pt"", ""af"")"),"Babas -babas 🤱 op aanvraag is die beste bereid om hierdie 'probleme' van ontwikkeling te hanteer.")</f>
        <v>Babas -babas 🤱 op aanvraag is die beste bereid om hierdie 'probleme' van ontwikkeling te hanteer.</v>
      </c>
      <c r="M86" s="30"/>
      <c r="N86" s="30"/>
      <c r="O86" s="30"/>
      <c r="P86" s="30"/>
      <c r="Q86" s="30"/>
      <c r="R86" s="30"/>
      <c r="S86" s="30"/>
      <c r="T86" s="30"/>
      <c r="U86" s="30"/>
      <c r="V86" s="30"/>
      <c r="W86" s="30"/>
      <c r="X86" s="30"/>
      <c r="Y86" s="30"/>
      <c r="Z86" s="30"/>
      <c r="AA86" s="30"/>
      <c r="AB86" s="30"/>
      <c r="AC86" s="30"/>
      <c r="AD86" s="30"/>
      <c r="AE86" s="30"/>
      <c r="AF86" s="30"/>
    </row>
    <row r="87" spans="1:32" ht="27.95">
      <c r="A87" s="23" t="s">
        <v>869</v>
      </c>
      <c r="B87" s="24" t="s">
        <v>872</v>
      </c>
      <c r="C87" s="23" t="s">
        <v>891</v>
      </c>
      <c r="D87" s="25" t="s">
        <v>950</v>
      </c>
      <c r="E87" s="25"/>
      <c r="F87" s="25"/>
      <c r="G87" s="27"/>
      <c r="H87" s="25"/>
      <c r="I87" s="27"/>
      <c r="J87" s="29" t="str">
        <f ca="1">IFERROR(__xludf.DUMMYFUNCTION("GOOGLETRANSLATE(D87, ""pt"", ""zu"")"),"Amathiphu amaningi - Ama-Cramps")</f>
        <v>Amathiphu amaningi - Ama-Cramps</v>
      </c>
      <c r="K87" s="29"/>
      <c r="L87" s="20" t="str">
        <f ca="1">IFERROR(__xludf.DUMMYFUNCTION("GOOGLETRANSLATE(D87, ""pt"", ""af"")"),"Meer wenke - krampe")</f>
        <v>Meer wenke - krampe</v>
      </c>
      <c r="M87" s="30"/>
      <c r="N87" s="30"/>
      <c r="O87" s="30"/>
      <c r="P87" s="30"/>
      <c r="Q87" s="30"/>
      <c r="R87" s="30"/>
      <c r="S87" s="30"/>
      <c r="T87" s="30"/>
      <c r="U87" s="30"/>
      <c r="V87" s="30"/>
      <c r="W87" s="30"/>
      <c r="X87" s="30"/>
      <c r="Y87" s="30"/>
      <c r="Z87" s="30"/>
      <c r="AA87" s="30"/>
      <c r="AB87" s="30"/>
      <c r="AC87" s="30"/>
      <c r="AD87" s="30"/>
      <c r="AE87" s="30"/>
      <c r="AF87" s="30"/>
    </row>
    <row r="88" spans="1:32" ht="126">
      <c r="A88" s="23" t="s">
        <v>869</v>
      </c>
      <c r="B88" s="24" t="s">
        <v>870</v>
      </c>
      <c r="C88" s="23" t="s">
        <v>951</v>
      </c>
      <c r="D88" s="25" t="s">
        <v>833</v>
      </c>
      <c r="E88" s="25"/>
      <c r="F88" s="25" t="s">
        <v>279</v>
      </c>
      <c r="G88" s="27"/>
      <c r="H88" s="25"/>
      <c r="I88" s="27" t="str">
        <f ca="1">IFERROR(__xludf.DUMMYFUNCTION("GOOGLETRANSLATE(F88, ""en"", ""zu"")"),"Ukwenza inqubo ejwayelekile yokuphazamisa isisu sengane yakho ngokuhamba kwewashi")</f>
        <v>Ukwenza inqubo ejwayelekile yokuphazamisa isisu sengane yakho ngokuhamba kwewashi</v>
      </c>
      <c r="J88" s="29" t="str">
        <f ca="1">IFERROR(__xludf.DUMMYFUNCTION("GOOGLETRANSLATE(D88, ""pt"", ""zu"")"),"Njalo ukwethula njalo ukugcoba esiswini kubheke kwizikhombo zewashi esiswini.")</f>
        <v>Njalo ukwethula njalo ukugcoba esiswini kubheke kwizikhombo zewashi esiswini.</v>
      </c>
      <c r="K88" s="29" t="str">
        <f ca="1">IFERROR(__xludf.DUMMYFUNCTION("GOOGLETRANSLATE(F88, ""en"", ""af"")"),"Om 'n gereelde roetine te maak om u baba se buik in die kloksgewys te masseer 🕔 Beweging en/of om u baba se bene te laat fiets doen 🚲 Bewegings as hy kalm is (byvoorbeeld soggens) is 'n ander manier om die gasse wat in die ingewande ophoop, te reguleer.")</f>
        <v>Om 'n gereelde roetine te maak om u baba se buik in die kloksgewys te masseer 🕔 Beweging en/of om u baba se bene te laat fiets doen 🚲 Bewegings as hy kalm is (byvoorbeeld soggens) is 'n ander manier om die gasse wat in die ingewande ophoop, te reguleer.</v>
      </c>
      <c r="L88" s="20" t="str">
        <f ca="1">IFERROR(__xludf.DUMMYFUNCTION("GOOGLETRANSLATE(D88, ""pt"", ""af"")"),"Deur gereeld en gereeld 'n massering in die buik na die klokwysers in te voer 🕔 en/of 'n paar fietsbewegings met die baba se bene in 'n tyd wanneer hy/sy stil is (byvoorbeeld soggens), is 'n ander vorm van hulp wat die gasse wat ophoop, bestuur in die in"&amp;"gewande.")</f>
        <v>Deur gereeld en gereeld 'n massering in die buik na die klokwysers in te voer 🕔 en/of 'n paar fietsbewegings met die baba se bene in 'n tyd wanneer hy/sy stil is (byvoorbeeld soggens), is 'n ander vorm van hulp wat die gasse wat ophoop, bestuur in die ingewande.</v>
      </c>
      <c r="M88" s="30"/>
      <c r="N88" s="30"/>
      <c r="O88" s="30"/>
      <c r="P88" s="30"/>
      <c r="Q88" s="30"/>
      <c r="R88" s="30"/>
      <c r="S88" s="30"/>
      <c r="T88" s="30"/>
      <c r="U88" s="30"/>
      <c r="V88" s="30"/>
      <c r="W88" s="30"/>
      <c r="X88" s="30"/>
      <c r="Y88" s="30"/>
      <c r="Z88" s="30"/>
      <c r="AA88" s="30"/>
      <c r="AB88" s="30"/>
      <c r="AC88" s="30"/>
      <c r="AD88" s="30"/>
      <c r="AE88" s="30"/>
      <c r="AF88" s="30"/>
    </row>
    <row r="89" spans="1:32" ht="90">
      <c r="A89" s="23" t="s">
        <v>869</v>
      </c>
      <c r="B89" s="24" t="s">
        <v>870</v>
      </c>
      <c r="C89" s="23" t="s">
        <v>951</v>
      </c>
      <c r="D89" s="25" t="s">
        <v>836</v>
      </c>
      <c r="E89" s="25"/>
      <c r="F89" s="25" t="s">
        <v>280</v>
      </c>
      <c r="G89" s="27"/>
      <c r="H89" s="25"/>
      <c r="I89" s="27" t="str">
        <f ca="1">IFERROR(__xludf.DUMMYFUNCTION("GOOGLETRANSLATE(F89, ""en"", ""zu"")"),"Ukuncelisa ukuncelisa njalo 🤱 nokubamba ingane yakho phansi engalweni yakho kunezinketho ezimbalwa ezinempilo futhi zemvelo ukusiza ukubhekana nalesi sigaba esinzima.")</f>
        <v>Ukuncelisa ukuncelisa njalo 🤱 nokubamba ingane yakho phansi engalweni yakho kunezinketho ezimbalwa ezinempilo futhi zemvelo ukusiza ukubhekana nalesi sigaba esinzima.</v>
      </c>
      <c r="J89" s="29" t="str">
        <f ca="1">IFERROR(__xludf.DUMMYFUNCTION("GOOGLETRANSLATE(D89, ""pt"", ""zu"")"),"Ukuncelisa njalo 🤱 futhi kunikeza ingane i-LAP ukuyibeka ngengalo yakho engalweni yethu kukhona ezinye izindlela ezinempilo futhi zemvelo ezisiza ukubhekana nalesi sigaba esinzima.")</f>
        <v>Ukuncelisa njalo 🤱 futhi kunikeza ingane i-LAP ukuyibeka ngengalo yakho engalweni yethu kukhona ezinye izindlela ezinempilo futhi zemvelo ezisiza ukubhekana nalesi sigaba esinzima.</v>
      </c>
      <c r="K89" s="29" t="str">
        <f ca="1">IFERROR(__xludf.DUMMYFUNCTION("GOOGLETRANSLATE(F89, ""en"", ""af"")"),"Borsvoeding meer gereeld 🤱 en u baba se gesig op u arm hou, is 'n paar meer gesonde en natuurlike opsies om hierdie moeilike fase te help hanteer.")</f>
        <v>Borsvoeding meer gereeld 🤱 en u baba se gesig op u arm hou, is 'n paar meer gesonde en natuurlike opsies om hierdie moeilike fase te help hanteer.</v>
      </c>
      <c r="L89" s="20" t="str">
        <f ca="1">IFERROR(__xludf.DUMMYFUNCTION("GOOGLETRANSLATE(D89, ""pt"", ""af"")"),"Borsvoeding meer gereeld 🤱 en gee die baba -skoot om dit op u arm op ons arm te sit, is 'n paar meer gesonde en natuurlike alternatiewe wat help om hierdie moeilike fase te hanteer.")</f>
        <v>Borsvoeding meer gereeld 🤱 en gee die baba -skoot om dit op u arm op ons arm te sit, is 'n paar meer gesonde en natuurlike alternatiewe wat help om hierdie moeilike fase te hanteer.</v>
      </c>
      <c r="M89" s="30"/>
      <c r="N89" s="30"/>
      <c r="O89" s="30"/>
      <c r="P89" s="30"/>
      <c r="Q89" s="30"/>
      <c r="R89" s="30"/>
      <c r="S89" s="30"/>
      <c r="T89" s="30"/>
      <c r="U89" s="30"/>
      <c r="V89" s="30"/>
      <c r="W89" s="30"/>
      <c r="X89" s="30"/>
      <c r="Y89" s="30"/>
      <c r="Z89" s="30"/>
      <c r="AA89" s="30"/>
      <c r="AB89" s="30"/>
      <c r="AC89" s="30"/>
      <c r="AD89" s="30"/>
      <c r="AE89" s="30"/>
      <c r="AF89" s="30"/>
    </row>
    <row r="90" spans="1:32" ht="105">
      <c r="A90" s="23" t="s">
        <v>869</v>
      </c>
      <c r="B90" s="24" t="s">
        <v>870</v>
      </c>
      <c r="C90" s="23" t="s">
        <v>951</v>
      </c>
      <c r="D90" s="25" t="s">
        <v>952</v>
      </c>
      <c r="E90" s="25"/>
      <c r="F90" s="34" t="s">
        <v>953</v>
      </c>
      <c r="G90" s="27"/>
      <c r="H90" s="25"/>
      <c r="I90" s="27" t="str">
        <f ca="1">IFERROR(__xludf.DUMMYFUNCTION("GOOGLETRANSLATE(F90, ""en"", ""zu"")"),"Uma ingane yakho ihlala ikhala ekugcineni kosuku, kube sengathi inewashi le-alamu futhi lihlala kuze kube ubusuku, livame ukudideka nge-colic kodwa kungenye into. Kungenzeka yini lokhu? 🙄")</f>
        <v>Uma ingane yakho ihlala ikhala ekugcineni kosuku, kube sengathi inewashi le-alamu futhi lihlala kuze kube ubusuku, livame ukudideka nge-colic kodwa kungenye into. Kungenzeka yini lokhu? 🙄</v>
      </c>
      <c r="J90" s="29" t="str">
        <f ca="1">IFERROR(__xludf.DUMMYFUNCTION("GOOGLETRANSLATE(D90, ""pt"", ""zu"")"),"Ukukhala kwalapho kuvela ekugcineni kosuku, kungathi ingane inewashi ⌚ futhi lokho kunwebeka ekuqaleni kobusuku kuvame ukudideka ngama-cramps kepha kungenye into into. Ngabe icala lakho likhona? 🙄")</f>
        <v>Ukukhala kwalapho kuvela ekugcineni kosuku, kungathi ingane inewashi ⌚ futhi lokho kunwebeka ekuqaleni kobusuku kuvame ukudideka ngama-cramps kepha kungenye into into. Ngabe icala lakho likhona? 🙄</v>
      </c>
      <c r="K90" s="29" t="str">
        <f ca="1">IFERROR(__xludf.DUMMYFUNCTION("GOOGLETRANSLATE(F90, ""en"", ""af"")"),"As u baba altyd aan die einde van die dag huil, amper asof hy 'n wekker het en tot in die nag duur, word dit dikwels verwar met koliek, maar is iets anders. Kan dit u saak wees? 🙄")</f>
        <v>As u baba altyd aan die einde van die dag huil, amper asof hy 'n wekker het en tot in die nag duur, word dit dikwels verwar met koliek, maar is iets anders. Kan dit u saak wees? 🙄</v>
      </c>
      <c r="L90" s="20" t="str">
        <f ca="1">IFERROR(__xludf.DUMMYFUNCTION("GOOGLETRANSLATE(D90, ""pt"", ""af"")"),"'N Huil wat aan die einde van die dag aanwesig is, amper asof die baba 'n horlosie het ⌚ en wat aan die begin van die nag strek, is gewoonlik verwar met krampe, maar is 'n ander verskynsel. Is u saak? 🙄")</f>
        <v>'N Huil wat aan die einde van die dag aanwesig is, amper asof die baba 'n horlosie het ⌚ en wat aan die begin van die nag strek, is gewoonlik verwar met krampe, maar is 'n ander verskynsel. Is u saak? 🙄</v>
      </c>
      <c r="M90" s="30"/>
      <c r="N90" s="30"/>
      <c r="O90" s="30"/>
      <c r="P90" s="30"/>
      <c r="Q90" s="30"/>
      <c r="R90" s="30"/>
      <c r="S90" s="30"/>
      <c r="T90" s="30"/>
      <c r="U90" s="30"/>
      <c r="V90" s="30"/>
      <c r="W90" s="30"/>
      <c r="X90" s="30"/>
      <c r="Y90" s="30"/>
      <c r="Z90" s="30"/>
      <c r="AA90" s="30"/>
      <c r="AB90" s="30"/>
      <c r="AC90" s="30"/>
      <c r="AD90" s="30"/>
      <c r="AE90" s="30"/>
      <c r="AF90" s="30"/>
    </row>
    <row r="91" spans="1:32" ht="27.95">
      <c r="A91" s="23" t="s">
        <v>869</v>
      </c>
      <c r="B91" s="24" t="s">
        <v>872</v>
      </c>
      <c r="C91" s="23" t="s">
        <v>951</v>
      </c>
      <c r="D91" s="25" t="s">
        <v>944</v>
      </c>
      <c r="E91" s="25" t="s">
        <v>943</v>
      </c>
      <c r="F91" s="25"/>
      <c r="G91" s="27"/>
      <c r="H91" s="25"/>
      <c r="I91" s="27"/>
      <c r="J91" s="29" t="str">
        <f ca="1">IFERROR(__xludf.DUMMYFUNCTION("GOOGLETRANSLATE(D91, ""pt"", ""zu"")"),"Isikhathi sasemini sikhala")</f>
        <v>Isikhathi sasemini sikhala</v>
      </c>
      <c r="K91" s="29"/>
      <c r="L91" s="20" t="str">
        <f ca="1">IFERROR(__xludf.DUMMYFUNCTION("GOOGLETRANSLATE(D91, ""pt"", ""af"")"),"Dag huil")</f>
        <v>Dag huil</v>
      </c>
      <c r="M91" s="30"/>
      <c r="N91" s="30"/>
      <c r="O91" s="30"/>
      <c r="P91" s="30"/>
      <c r="Q91" s="30"/>
      <c r="R91" s="30"/>
      <c r="S91" s="30"/>
      <c r="T91" s="30"/>
      <c r="U91" s="30"/>
      <c r="V91" s="30"/>
      <c r="W91" s="30"/>
      <c r="X91" s="30"/>
      <c r="Y91" s="30"/>
      <c r="Z91" s="30"/>
      <c r="AA91" s="30"/>
      <c r="AB91" s="30"/>
      <c r="AC91" s="30"/>
      <c r="AD91" s="30"/>
      <c r="AE91" s="30"/>
      <c r="AF91" s="30"/>
    </row>
    <row r="92" spans="1:32" ht="27.95">
      <c r="A92" s="23" t="s">
        <v>869</v>
      </c>
      <c r="B92" s="24" t="s">
        <v>872</v>
      </c>
      <c r="C92" s="23" t="s">
        <v>951</v>
      </c>
      <c r="D92" s="25" t="s">
        <v>954</v>
      </c>
      <c r="E92" s="25" t="s">
        <v>955</v>
      </c>
      <c r="F92" s="25"/>
      <c r="G92" s="27"/>
      <c r="H92" s="25"/>
      <c r="I92" s="27"/>
      <c r="J92" s="29" t="str">
        <f ca="1">IFERROR(__xludf.DUMMYFUNCTION("GOOGLETRANSLATE(D92, ""pt"", ""zu"")"),"Ama-FING WOKUQALA")</f>
        <v>Ama-FING WOKUQALA</v>
      </c>
      <c r="K92" s="29"/>
      <c r="L92" s="20" t="str">
        <f ca="1">IFERROR(__xludf.DUMMYFUNCTION("GOOGLETRANSLATE(D92, ""pt"", ""af"")"),"Finale noot kolikale")</f>
        <v>Finale noot kolikale</v>
      </c>
      <c r="M92" s="30"/>
      <c r="N92" s="30"/>
      <c r="O92" s="30"/>
      <c r="P92" s="30"/>
      <c r="Q92" s="30"/>
      <c r="R92" s="30"/>
      <c r="S92" s="30"/>
      <c r="T92" s="30"/>
      <c r="U92" s="30"/>
      <c r="V92" s="30"/>
      <c r="W92" s="30"/>
      <c r="X92" s="30"/>
      <c r="Y92" s="30"/>
      <c r="Z92" s="30"/>
      <c r="AA92" s="30"/>
      <c r="AB92" s="30"/>
      <c r="AC92" s="30"/>
      <c r="AD92" s="30"/>
      <c r="AE92" s="30"/>
      <c r="AF92" s="30"/>
    </row>
    <row r="93" spans="1:32" ht="60">
      <c r="A93" s="23" t="s">
        <v>869</v>
      </c>
      <c r="B93" s="24" t="s">
        <v>870</v>
      </c>
      <c r="C93" s="23" t="s">
        <v>955</v>
      </c>
      <c r="D93" s="25" t="s">
        <v>839</v>
      </c>
      <c r="E93" s="25"/>
      <c r="F93" s="25" t="s">
        <v>281</v>
      </c>
      <c r="G93" s="27"/>
      <c r="H93" s="25"/>
      <c r="I93" s="27" t="str">
        <f ca="1">IFERROR(__xludf.DUMMYFUNCTION("GOOGLETRANSLATE(F93, ""en"", ""zu"")"),"Lesi sigaba siyingxenye yentuthuko yezingane futhi sizikhawulela 🙏 (siyanyamalala ngokwayo ngenyanga yesi-3 noma yesi-4).")</f>
        <v>Lesi sigaba siyingxenye yentuthuko yezingane futhi sizikhawulela 🙏 (siyanyamalala ngokwayo ngenyanga yesi-3 noma yesi-4).</v>
      </c>
      <c r="J93" s="29" t="str">
        <f ca="1">IFERROR(__xludf.DUMMYFUNCTION("GOOGLETRANSLATE(D93, ""pt"", ""zu"")"),"Lesi sigaba siyingxenye yentuthuko yezingane futhi zilinganiselwe")</f>
        <v>Lesi sigaba siyingxenye yentuthuko yezingane futhi zilinganiselwe</v>
      </c>
      <c r="K93" s="29" t="str">
        <f ca="1">IFERROR(__xludf.DUMMYFUNCTION("GOOGLETRANSLATE(F93, ""en"", ""af"")"),"Hierdie fase is deel van die ontwikkeling van kinders en is selfbeperkend 🙏 (dit verdwyn op die 3de of vierde maand).")</f>
        <v>Hierdie fase is deel van die ontwikkeling van kinders en is selfbeperkend 🙏 (dit verdwyn op die 3de of vierde maand).</v>
      </c>
      <c r="L93" s="20" t="str">
        <f ca="1">IFERROR(__xludf.DUMMYFUNCTION("GOOGLETRANSLATE(D93, ""pt"", ""af"")"),"Hierdie fase is deel van die ontwikkeling van kinders en is selfbeperk 🙏 (verdwyn op homself rondom die 3de/4de maand).")</f>
        <v>Hierdie fase is deel van die ontwikkeling van kinders en is selfbeperk 🙏 (verdwyn op homself rondom die 3de/4de maand).</v>
      </c>
      <c r="M93" s="30"/>
      <c r="N93" s="30"/>
      <c r="O93" s="30"/>
      <c r="P93" s="30"/>
      <c r="Q93" s="30"/>
      <c r="R93" s="30"/>
      <c r="S93" s="30"/>
      <c r="T93" s="30"/>
      <c r="U93" s="30"/>
      <c r="V93" s="30"/>
      <c r="W93" s="30"/>
      <c r="X93" s="30"/>
      <c r="Y93" s="30"/>
      <c r="Z93" s="30"/>
      <c r="AA93" s="30"/>
      <c r="AB93" s="30"/>
      <c r="AC93" s="30"/>
      <c r="AD93" s="30"/>
      <c r="AE93" s="30"/>
      <c r="AF93" s="30"/>
    </row>
    <row r="94" spans="1:32" ht="105">
      <c r="A94" s="23" t="s">
        <v>869</v>
      </c>
      <c r="B94" s="24" t="s">
        <v>870</v>
      </c>
      <c r="C94" s="23" t="s">
        <v>955</v>
      </c>
      <c r="D94" s="25" t="s">
        <v>842</v>
      </c>
      <c r="E94" s="25"/>
      <c r="F94" s="25" t="s">
        <v>282</v>
      </c>
      <c r="G94" s="27"/>
      <c r="H94" s="25"/>
      <c r="I94" s="27" t="str">
        <f ca="1">IFERROR(__xludf.DUMMYFUNCTION("GOOGLETRANSLATE(F94, ""en"", ""zu"")"),"Kodwa-ke kwesinye isikhathi kuyaphela ukuthi kukhuliswe yi- ""Solutions"" ⚠ (njengemithi esetshenziswa kakhulu, njll. ...), okuvame ukunikela ngalesi sigaba kuze kufike ezinyangeni ezi-6.")</f>
        <v>Kodwa-ke kwesinye isikhathi kuyaphela ukuthi kukhuliswe yi- "Solutions" ⚠ (njengemithi esetshenziswa kakhulu, njll. ...), okuvame ukunikela ngalesi sigaba kuze kufike ezinyangeni ezi-6.</v>
      </c>
      <c r="J94" s="29" t="str">
        <f ca="1">IFERROR(__xludf.DUMMYFUNCTION("GOOGLETRANSLATE(D94, ""pt"", ""zu"")"),"Kodwa-ke, kwesinye isikhathi kugcina kunwetshwa yi- ""Solutions"" ⚠ (imishanguzo esetshenziswa kakhulu, njll.) Ngokuvamile abazali basebenzise futhi bagcina isikhathi eside kulesi sigaba kuze kube cishe ezinyangeni ezi-6.")</f>
        <v>Kodwa-ke, kwesinye isikhathi kugcina kunwetshwa yi- "Solutions" ⚠ (imishanguzo esetshenziswa kakhulu, njll.) Ngokuvamile abazali basebenzise futhi bagcina isikhathi eside kulesi sigaba kuze kube cishe ezinyangeni ezi-6.</v>
      </c>
      <c r="K94" s="29" t="str">
        <f ca="1">IFERROR(__xludf.DUMMYFUNCTION("GOOGLETRANSLATE(F94, ""en"", ""af"")"),"Soms word dit egter uiteindelik vergroot deur 'oplossings' ⚠ (soos medikasie wat te veel gebruik word, ens. ...), wat ouers gereeld gee en dit uiteindelik hierdie stadium verleng tot nader aan 6 maande.")</f>
        <v>Soms word dit egter uiteindelik vergroot deur 'oplossings' ⚠ (soos medikasie wat te veel gebruik word, ens. ...), wat ouers gereeld gee en dit uiteindelik hierdie stadium verleng tot nader aan 6 maande.</v>
      </c>
      <c r="L94" s="20" t="str">
        <f ca="1">IFERROR(__xludf.DUMMYFUNCTION("GOOGLETRANSLATE(D94, ""pt"", ""af"")"),"Dit word egter soms uiteindelik uitgebrei deur 'oplossings' ⚠ (soos te veel gebruikte medikasie, ens.), Wat ouers dikwels aansoek doen en uiteindelik hierdie fase verleng tot ongeveer 6 maande.")</f>
        <v>Dit word egter soms uiteindelik uitgebrei deur 'oplossings' ⚠ (soos te veel gebruikte medikasie, ens.), Wat ouers dikwels aansoek doen en uiteindelik hierdie fase verleng tot ongeveer 6 maande.</v>
      </c>
      <c r="M94" s="30"/>
      <c r="N94" s="30"/>
      <c r="O94" s="30"/>
      <c r="P94" s="30"/>
      <c r="Q94" s="30"/>
      <c r="R94" s="30"/>
      <c r="S94" s="30"/>
      <c r="T94" s="30"/>
      <c r="U94" s="30"/>
      <c r="V94" s="30"/>
      <c r="W94" s="30"/>
      <c r="X94" s="30"/>
      <c r="Y94" s="30"/>
      <c r="Z94" s="30"/>
      <c r="AA94" s="30"/>
      <c r="AB94" s="30"/>
      <c r="AC94" s="30"/>
      <c r="AD94" s="30"/>
      <c r="AE94" s="30"/>
      <c r="AF94" s="30"/>
    </row>
    <row r="95" spans="1:32" ht="75">
      <c r="A95" s="23" t="s">
        <v>869</v>
      </c>
      <c r="B95" s="24" t="s">
        <v>870</v>
      </c>
      <c r="C95" s="23" t="s">
        <v>956</v>
      </c>
      <c r="D95" s="25" t="s">
        <v>733</v>
      </c>
      <c r="E95" s="25"/>
      <c r="F95" s="25" t="s">
        <v>211</v>
      </c>
      <c r="G95" s="27"/>
      <c r="H95" s="25"/>
      <c r="I95" s="27" t="str">
        <f ca="1">IFERROR(__xludf.DUMMYFUNCTION("GOOGLETRANSLATE(F95, ""en"", ""zu"")"),"Njengazo zonke izilwane ezincelisayo, sinamabele anele ezingane eziningi njengoba silungele ukwamukela. Amabele ama-2, izingane ezi-2!")</f>
        <v>Njengazo zonke izilwane ezincelisayo, sinamabele anele ezingane eziningi njengoba silungele ukwamukela. Amabele ama-2, izingane ezi-2!</v>
      </c>
      <c r="J95" s="29" t="str">
        <f ca="1">IFERROR(__xludf.DUMMYFUNCTION("GOOGLETRANSLATE(D95, ""pt"", ""zu"")"),"Njengazo zonke izilwane ezincelisayo sinamabele amaningi njengezinsana esizimisele ukusithola. Amabele ama-2, izingane ezi-2!")</f>
        <v>Njengazo zonke izilwane ezincelisayo sinamabele amaningi njengezinsana esizimisele ukusithola. Amabele ama-2, izingane ezi-2!</v>
      </c>
      <c r="K95" s="29" t="str">
        <f ca="1">IFERROR(__xludf.DUMMYFUNCTION("GOOGLETRANSLATE(F95, ""en"", ""af"")"),"Soos alle soogdiere, het ons genoeg borste vir soveel babas as wat ons bereid is om te ontvang. 2 borste, 2 babas!")</f>
        <v>Soos alle soogdiere, het ons genoeg borste vir soveel babas as wat ons bereid is om te ontvang. 2 borste, 2 babas!</v>
      </c>
      <c r="L95" s="20" t="str">
        <f ca="1">IFERROR(__xludf.DUMMYFUNCTION("GOOGLETRANSLATE(D95, ""pt"", ""af"")"),"Soos alle soogdiere het ons soveel borste as die babas waarvoor ons bereid is om te ontvang. 2 borste, 2 babas!")</f>
        <v>Soos alle soogdiere het ons soveel borste as die babas waarvoor ons bereid is om te ontvang. 2 borste, 2 babas!</v>
      </c>
      <c r="M95" s="30"/>
      <c r="N95" s="30"/>
      <c r="O95" s="30"/>
      <c r="P95" s="30"/>
      <c r="Q95" s="30"/>
      <c r="R95" s="30"/>
      <c r="S95" s="30"/>
      <c r="T95" s="30"/>
      <c r="U95" s="30"/>
      <c r="V95" s="30"/>
      <c r="W95" s="30"/>
      <c r="X95" s="30"/>
      <c r="Y95" s="30"/>
      <c r="Z95" s="30"/>
      <c r="AA95" s="30"/>
      <c r="AB95" s="30"/>
      <c r="AC95" s="30"/>
      <c r="AD95" s="30"/>
      <c r="AE95" s="30"/>
      <c r="AF95" s="30"/>
    </row>
    <row r="96" spans="1:32" ht="69.95">
      <c r="A96" s="23" t="s">
        <v>869</v>
      </c>
      <c r="B96" s="24" t="s">
        <v>870</v>
      </c>
      <c r="C96" s="23" t="s">
        <v>956</v>
      </c>
      <c r="D96" s="25" t="s">
        <v>736</v>
      </c>
      <c r="E96" s="25"/>
      <c r="F96" s="25" t="s">
        <v>212</v>
      </c>
      <c r="G96" s="27"/>
      <c r="H96" s="25"/>
      <c r="I96" s="27" t="str">
        <f ca="1">IFERROR(__xludf.DUMMYFUNCTION("GOOGLETRANSLATE(F96, ""en"", ""zu"")"),"Lapho sinengane eyodwa kuphela, ""umthetho"" uyisifuba esingu-1 = 1 isidlo. Musa ukunikeza elinye ibele lakho ngaphambi kokukhipha owokuqala.")</f>
        <v>Lapho sinengane eyodwa kuphela, "umthetho" uyisifuba esingu-1 = 1 isidlo. Musa ukunikeza elinye ibele lakho ngaphambi kokukhipha owokuqala.</v>
      </c>
      <c r="J96" s="29" t="str">
        <f ca="1">IFERROR(__xludf.DUMMYFUNCTION("GOOGLETRANSLATE(D96, ""pt"", ""zu"")"),"Lapho sine-1 kuphela, ""umthetho"" uyisifuba esingu-1 = 1 isidlo. Akufanele unikeze owesibili ngaphandle kokukhipha owokuqala.")</f>
        <v>Lapho sine-1 kuphela, "umthetho" uyisifuba esingu-1 = 1 isidlo. Akufanele unikeze owesibili ngaphandle kokukhipha owokuqala.</v>
      </c>
      <c r="K96" s="29" t="str">
        <f ca="1">IFERROR(__xludf.DUMMYFUNCTION("GOOGLETRANSLATE(F96, ""en"", ""af"")"),"As ons net een baba het, is die 'reël' 1 bors = 1 maaltyd. Moenie u ander bors aanbied voordat u die eerste een leegmaak nie.")</f>
        <v>As ons net een baba het, is die 'reël' 1 bors = 1 maaltyd. Moenie u ander bors aanbied voordat u die eerste een leegmaak nie.</v>
      </c>
      <c r="L96" s="20" t="str">
        <f ca="1">IFERROR(__xludf.DUMMYFUNCTION("GOOGLETRANSLATE(D96, ""pt"", ""af"")"),"As ons net 1 het, is die ""reël 1 bors = 1 maaltyd. U moet nie die tweede aanbied sonder om die eerste leeg te maak nie.")</f>
        <v>As ons net 1 het, is die "reël 1 bors = 1 maaltyd. U moet nie die tweede aanbied sonder om die eerste leeg te maak nie.</v>
      </c>
      <c r="M96" s="30"/>
      <c r="N96" s="30"/>
      <c r="O96" s="30"/>
      <c r="P96" s="30"/>
      <c r="Q96" s="30"/>
      <c r="R96" s="30"/>
      <c r="S96" s="30"/>
      <c r="T96" s="30"/>
      <c r="U96" s="30"/>
      <c r="V96" s="30"/>
      <c r="W96" s="30"/>
      <c r="X96" s="30"/>
      <c r="Y96" s="30"/>
      <c r="Z96" s="30"/>
      <c r="AA96" s="30"/>
      <c r="AB96" s="30"/>
      <c r="AC96" s="30"/>
      <c r="AD96" s="30"/>
      <c r="AE96" s="30"/>
      <c r="AF96" s="30"/>
    </row>
    <row r="97" spans="1:32" ht="135">
      <c r="A97" s="23" t="s">
        <v>869</v>
      </c>
      <c r="B97" s="24" t="s">
        <v>870</v>
      </c>
      <c r="C97" s="23" t="s">
        <v>956</v>
      </c>
      <c r="D97" s="25" t="s">
        <v>739</v>
      </c>
      <c r="E97" s="25"/>
      <c r="F97" s="25" t="s">
        <v>213</v>
      </c>
      <c r="G97" s="27"/>
      <c r="H97" s="25"/>
      <c r="I97" s="27" t="str">
        <f ca="1">IFERROR(__xludf.DUMMYFUNCTION("GOOGLETRANSLATE(F97, ""en"", ""zu"")"),"Singabheka ukuthi zingenalutho ngokwakha i- ""C"" ngomunwe wethu we-Index kanye nesithupha, lapho isinqe se-areola (lapho isikhumba sishintsha umbala) bese singena khona. Uma kunjalo, phikelela ekuthutheni isifuba sokuqala futhi ungakunikeli owesibili.")</f>
        <v>Singabheka ukuthi zingenalutho ngokwakha i- "C" ngomunwe wethu we-Index kanye nesithupha, lapho isinqe se-areola (lapho isikhumba sishintsha umbala) bese singena khona. Uma kunjalo, phikelela ekuthutheni isifuba sokuqala futhi ungakunikeli owesibili.</v>
      </c>
      <c r="J97" s="29" t="str">
        <f ca="1">IFERROR(__xludf.DUMMYFUNCTION("GOOGLETRANSLATE(D97, ""pt"", ""zu"")"),"Singaqinisekisa ngeminwe yethu, inkomba nesithupha, ku-c, onqenqemeni lwe-areola (lapho isikhumba sishintsha umbala) uma kuphuma, uma kushiya kugcizelela ngaphandle kokunikeza i-2nd.")</f>
        <v>Singaqinisekisa ngeminwe yethu, inkomba nesithupha, ku-c, onqenqemeni lwe-areola (lapho isikhumba sishintsha umbala) uma kuphuma, uma kushiya kugcizelela ngaphandle kokunikeza i-2nd.</v>
      </c>
      <c r="K97" s="29" t="str">
        <f ca="1">IFERROR(__xludf.DUMMYFUNCTION("GOOGLETRANSLATE(F97, ""en"", ""af"")"),"Ons kan kyk of hulle leeg is deur 'n 'C' met ons wysvinger en duim te vorm, om die rand van die areola (waar die vel van kleur verander) en druk om te sien of daar druppels uitkom. As dit so is, moet u daarop aandring om die eerste bors leeg te maak en mo"&amp;"enie eers die tweede een aanbied nie.")</f>
        <v>Ons kan kyk of hulle leeg is deur 'n 'C' met ons wysvinger en duim te vorm, om die rand van die areola (waar die vel van kleur verander) en druk om te sien of daar druppels uitkom. As dit so is, moet u daarop aandring om die eerste bors leeg te maak en moenie eers die tweede een aanbied nie.</v>
      </c>
      <c r="L97" s="20" t="str">
        <f ca="1">IFERROR(__xludf.DUMMYFUNCTION("GOOGLETRANSLATE(D97, ""pt"", ""af"")"),"Ons kan met ons vingers, aanwyser en duim, in C, aan die rand van die areola (waar die vel van kleur verander) bevestig as dit uitkom, as dit vertrek, dring dit aan sonder om die 2de aan te bied.")</f>
        <v>Ons kan met ons vingers, aanwyser en duim, in C, aan die rand van die areola (waar die vel van kleur verander) bevestig as dit uitkom, as dit vertrek, dring dit aan sonder om die 2de aan te bied.</v>
      </c>
      <c r="M97" s="30"/>
      <c r="N97" s="30"/>
      <c r="O97" s="30"/>
      <c r="P97" s="30"/>
      <c r="Q97" s="30"/>
      <c r="R97" s="30"/>
      <c r="S97" s="30"/>
      <c r="T97" s="30"/>
      <c r="U97" s="30"/>
      <c r="V97" s="30"/>
      <c r="W97" s="30"/>
      <c r="X97" s="30"/>
      <c r="Y97" s="30"/>
      <c r="Z97" s="30"/>
      <c r="AA97" s="30"/>
      <c r="AB97" s="30"/>
      <c r="AC97" s="30"/>
      <c r="AD97" s="30"/>
      <c r="AE97" s="30"/>
      <c r="AF97" s="30"/>
    </row>
    <row r="98" spans="1:32" ht="126">
      <c r="A98" s="23" t="s">
        <v>869</v>
      </c>
      <c r="B98" s="24" t="s">
        <v>870</v>
      </c>
      <c r="C98" s="23" t="s">
        <v>956</v>
      </c>
      <c r="D98" s="25" t="s">
        <v>742</v>
      </c>
      <c r="E98" s="25"/>
      <c r="F98" s="25" t="s">
        <v>214</v>
      </c>
      <c r="G98" s="27"/>
      <c r="H98" s="25"/>
      <c r="I98" s="27" t="str">
        <f ca="1">IFERROR(__xludf.DUMMYFUNCTION("GOOGLETRANSLATE(F98, ""en"", ""zu"")"),"Okuhlukile yilapho ubisi lwakho lungena, khona-ke ngaso sonke isikhathi nikeza zombili (ukukhuthaza ukukhiqizwa) kanye / noma ngesikhathi sokukhula kokukhula (noma ngesikhathi sokukhula kokukhula (lapho icala 1 kungenzeka lunganele ukwanelisa ukwanda kwen"&amp;"gane yakho ngokuzumayo).")</f>
        <v>Okuhlukile yilapho ubisi lwakho lungena, khona-ke ngaso sonke isikhathi nikeza zombili (ukukhuthaza ukukhiqizwa) kanye / noma ngesikhathi sokukhula kokukhula (noma ngesikhathi sokukhula kokukhula (lapho icala 1 kungenzeka lunganele ukwanelisa ukwanda kwengane yakho ngokuzumayo).</v>
      </c>
      <c r="J98" s="29" t="str">
        <f ca="1">IFERROR(__xludf.DUMMYFUNCTION("GOOGLETRANSLATE(D98, ""pt"", ""zu"")"),"Ngaphandle kokukhuphuka kobisi kufanele kuhlinzekwe njalo ngobabili (ukuvuselela) kanye / noma ekukhuleni okuphezulu (lapho kungenzeka ukuthi 1 kungenzeka ukuthi kunganele ukwanelisa ukwanda okungazelelwe kwezidingo zezingane.")</f>
        <v>Ngaphandle kokukhuphuka kobisi kufanele kuhlinzekwe njalo ngobabili (ukuvuselela) kanye / noma ekukhuleni okuphezulu (lapho kungenzeka ukuthi 1 kungenzeka ukuthi kunganele ukwanelisa ukwanda okungazelelwe kwezidingo zezingane.</v>
      </c>
      <c r="K98" s="29" t="str">
        <f ca="1">IFERROR(__xludf.DUMMYFUNCTION("GOOGLETRANSLATE(F98, ""en"", ""af"")"),"Die uitsondering is wanneer u melk binnekom, en bied altyd albei (om produksie te stimuleer) en/of tydens groeispoor (in welke geval 1 miskien nie genoeg is om u baba se skielike toename in aptyt te bevredig nie).")</f>
        <v>Die uitsondering is wanneer u melk binnekom, en bied altyd albei (om produksie te stimuleer) en/of tydens groeispoor (in welke geval 1 miskien nie genoeg is om u baba se skielike toename in aptyt te bevredig nie).</v>
      </c>
      <c r="L98" s="20" t="str">
        <f ca="1">IFERROR(__xludf.DUMMYFUNCTION("GOOGLETRANSLATE(D98, ""pt"", ""af"")"),"Behalwe totdat melkklim altyd aangebied moet word (om te stimuleer) en/of op groeipeak (waar 1 moontlik nie voldoende sal wees om aan die skielike toename in bababehoeftes te voldoen nie.")</f>
        <v>Behalwe totdat melkklim altyd aangebied moet word (om te stimuleer) en/of op groeipeak (waar 1 moontlik nie voldoende sal wees om aan die skielike toename in bababehoeftes te voldoen nie.</v>
      </c>
      <c r="M98" s="30"/>
      <c r="N98" s="30"/>
      <c r="O98" s="30"/>
      <c r="P98" s="30"/>
      <c r="Q98" s="30"/>
      <c r="R98" s="30"/>
      <c r="S98" s="30"/>
      <c r="T98" s="30"/>
      <c r="U98" s="30"/>
      <c r="V98" s="30"/>
      <c r="W98" s="30"/>
      <c r="X98" s="30"/>
      <c r="Y98" s="30"/>
      <c r="Z98" s="30"/>
      <c r="AA98" s="30"/>
      <c r="AB98" s="30"/>
      <c r="AC98" s="30"/>
      <c r="AD98" s="30"/>
      <c r="AE98" s="30"/>
      <c r="AF98" s="30"/>
    </row>
    <row r="99" spans="1:32" ht="60">
      <c r="A99" s="23" t="s">
        <v>869</v>
      </c>
      <c r="B99" s="24" t="s">
        <v>870</v>
      </c>
      <c r="C99" s="23" t="s">
        <v>956</v>
      </c>
      <c r="D99" s="25" t="s">
        <v>745</v>
      </c>
      <c r="E99" s="25"/>
      <c r="F99" s="25" t="s">
        <v>215</v>
      </c>
      <c r="G99" s="27"/>
      <c r="H99" s="25"/>
      <c r="I99" s="27" t="str">
        <f ca="1">IFERROR(__xludf.DUMMYFUNCTION("GOOGLETRANSLATE(F99, ""en"", ""zu"")"),"(Into enhle kunokuhlinzekwa okugciniwe njalo ukulungele ukuhamba, kunjalo?) 😉")</f>
        <v>(Into enhle kunokuhlinzekwa okugciniwe njalo ukulungele ukuhamba, kunjalo?) 😉</v>
      </c>
      <c r="J99" s="29" t="str">
        <f ca="1">IFERROR(__xludf.DUMMYFUNCTION("GOOGLETRANSLATE(D99, ""pt"", ""zu"")"),"(Ngijabule ukuthi umthamo wokubhuka uhlale ulungile futhi ulungile emnyango, kwesokudla?) 😉")</f>
        <v>(Ngijabule ukuthi umthamo wokubhuka uhlale ulungile futhi ulungile emnyango, kwesokudla?) 😉</v>
      </c>
      <c r="K99" s="29" t="str">
        <f ca="1">IFERROR(__xludf.DUMMYFUNCTION("GOOGLETRANSLATE(F99, ""en"", ""af"")"),"(Goeie ding dat daar 'n reserwe -aanbod altyd gereed is om te gaan, nie waar nie?) 😉")</f>
        <v>(Goeie ding dat daar 'n reserwe -aanbod altyd gereed is om te gaan, nie waar nie?) 😉</v>
      </c>
      <c r="L99" s="20" t="str">
        <f ca="1">IFERROR(__xludf.DUMMYFUNCTION("GOOGLETRANSLATE(D99, ""pt"", ""af"")"),"(Ek is bly dit is 'n reservaatdosis wat altyd gereed is en langsaan, nie waar nie?) 😉")</f>
        <v>(Ek is bly dit is 'n reservaatdosis wat altyd gereed is en langsaan, nie waar nie?) 😉</v>
      </c>
      <c r="M99" s="30"/>
      <c r="N99" s="30"/>
      <c r="O99" s="30"/>
      <c r="P99" s="30"/>
      <c r="Q99" s="30"/>
      <c r="R99" s="30"/>
      <c r="S99" s="30"/>
      <c r="T99" s="30"/>
      <c r="U99" s="30"/>
      <c r="V99" s="30"/>
      <c r="W99" s="30"/>
      <c r="X99" s="30"/>
      <c r="Y99" s="30"/>
      <c r="Z99" s="30"/>
      <c r="AA99" s="30"/>
      <c r="AB99" s="30"/>
      <c r="AC99" s="30"/>
      <c r="AD99" s="30"/>
      <c r="AE99" s="30"/>
      <c r="AF99" s="30"/>
    </row>
    <row r="100" spans="1:32" ht="45">
      <c r="A100" s="23" t="s">
        <v>869</v>
      </c>
      <c r="B100" s="24" t="s">
        <v>870</v>
      </c>
      <c r="C100" s="23" t="s">
        <v>957</v>
      </c>
      <c r="D100" s="25" t="s">
        <v>595</v>
      </c>
      <c r="E100" s="25"/>
      <c r="F100" s="25" t="s">
        <v>958</v>
      </c>
      <c r="G100" s="27"/>
      <c r="H100" s="25"/>
      <c r="I100" s="27" t="str">
        <f ca="1">IFERROR(__xludf.DUMMYFUNCTION("GOOGLETRANSLATE(F100, ""en"", ""zu"")"),"Konke ubisi lokufakelwa (ifomula) yimizamo yezimboni yokulingisa ukudla kwemvelo.")</f>
        <v>Konke ubisi lokufakelwa (ifomula) yimizamo yezimboni yokulingisa ukudla kwemvelo.</v>
      </c>
      <c r="J100" s="29" t="str">
        <f ca="1">IFERROR(__xludf.DUMMYFUNCTION("GOOGLETRANSLATE(D100, ""pt"", ""zu"")"),"Zonke izinduku zokufakelwa (tin) ziyimizamo yezimboni yokulingisa ukudla kwemvelo.")</f>
        <v>Zonke izinduku zokufakelwa (tin) ziyimizamo yezimboni yokulingisa ukudla kwemvelo.</v>
      </c>
      <c r="K100" s="29" t="str">
        <f ca="1">IFERROR(__xludf.DUMMYFUNCTION("GOOGLETRANSLATE(F100, ""en"", ""af"")"),"Alle kunsmatige melk (formule) is industriële pogings om die natuur se voedsel na te boots.")</f>
        <v>Alle kunsmatige melk (formule) is industriële pogings om die natuur se voedsel na te boots.</v>
      </c>
      <c r="L100" s="20" t="str">
        <f ca="1">IFERROR(__xludf.DUMMYFUNCTION("GOOGLETRANSLATE(D100, ""pt"", ""af"")"),"Alle kunsmatige (tin) melk is industriële pogings om natuurlike voedsel na te boots.")</f>
        <v>Alle kunsmatige (tin) melk is industriële pogings om natuurlike voedsel na te boots.</v>
      </c>
      <c r="M100" s="30"/>
      <c r="N100" s="30"/>
      <c r="O100" s="30"/>
      <c r="P100" s="30"/>
      <c r="Q100" s="30"/>
      <c r="R100" s="30"/>
      <c r="S100" s="30"/>
      <c r="T100" s="30"/>
      <c r="U100" s="30"/>
      <c r="V100" s="30"/>
      <c r="W100" s="30"/>
      <c r="X100" s="30"/>
      <c r="Y100" s="30"/>
      <c r="Z100" s="30"/>
      <c r="AA100" s="30"/>
      <c r="AB100" s="30"/>
      <c r="AC100" s="30"/>
      <c r="AD100" s="30"/>
      <c r="AE100" s="30"/>
      <c r="AF100" s="30"/>
    </row>
    <row r="101" spans="1:32" ht="75">
      <c r="A101" s="23" t="s">
        <v>869</v>
      </c>
      <c r="B101" s="24" t="s">
        <v>870</v>
      </c>
      <c r="C101" s="23" t="s">
        <v>957</v>
      </c>
      <c r="D101" s="25" t="s">
        <v>959</v>
      </c>
      <c r="E101" s="25"/>
      <c r="F101" s="25" t="s">
        <v>960</v>
      </c>
      <c r="G101" s="27"/>
      <c r="H101" s="25"/>
      <c r="I101" s="27" t="str">
        <f ca="1">IFERROR(__xludf.DUMMYFUNCTION("GOOGLETRANSLATE(F101, ""en"", ""zu"")"),"Mina noClaudia sinombono wokuthi isinqumo sabazali kuphela sokuncelisa kuphela, ukuncelisa ibele kanye nesengezo ngefomula, noma athathe isikhundla sobisi lwebele ngokuphelele.")</f>
        <v>Mina noClaudia sinombono wokuthi isinqumo sabazali kuphela sokuncelisa kuphela, ukuncelisa ibele kanye nesengezo ngefomula, noma athathe isikhundla sobisi lwebele ngokuphelele.</v>
      </c>
      <c r="J101" s="29" t="str">
        <f ca="1">IFERROR(__xludf.DUMMYFUNCTION("GOOGLETRANSLATE(D101, ""pt"", ""zu"")"),"Mina noClaudia sinombono ophezu kwabazali ukuncelisa kuphela, ukuncelisa ibele nokwengeza noma ukufaka esikhundleni ubisi lwebele.")</f>
        <v>Mina noClaudia sinombono ophezu kwabazali ukuncelisa kuphela, ukuncelisa ibele nokwengeza noma ukufaka esikhundleni ubisi lwebele.</v>
      </c>
      <c r="K101" s="29" t="str">
        <f ca="1">IFERROR(__xludf.DUMMYFUNCTION("GOOGLETRANSLATE(F101, ""en"", ""af"")"),"Claudia en ek is van mening dat dit slegs die ouers se besluit is om uitsluitlik te borsvoed, borsvoed en aanvulling met formule, of selfs borsmelk heeltemal te vervang.")</f>
        <v>Claudia en ek is van mening dat dit slegs die ouers se besluit is om uitsluitlik te borsvoed, borsvoed en aanvulling met formule, of selfs borsmelk heeltemal te vervang.</v>
      </c>
      <c r="L101" s="20" t="str">
        <f ca="1">IFERROR(__xludf.DUMMYFUNCTION("GOOGLETRANSLATE(D101, ""pt"", ""af"")"),"Claudia en ek is die mening dat ouers uitsluitlik borsvoed, borsvoed en aanvulling of selfs borsmelk vervang of selfs vervang.")</f>
        <v>Claudia en ek is die mening dat ouers uitsluitlik borsvoed, borsvoed en aanvulling of selfs borsmelk vervang of selfs vervang.</v>
      </c>
      <c r="M101" s="30"/>
      <c r="N101" s="30"/>
      <c r="O101" s="30"/>
      <c r="P101" s="30"/>
      <c r="Q101" s="30"/>
      <c r="R101" s="30"/>
      <c r="S101" s="30"/>
      <c r="T101" s="30"/>
      <c r="U101" s="30"/>
      <c r="V101" s="30"/>
      <c r="W101" s="30"/>
      <c r="X101" s="30"/>
      <c r="Y101" s="30"/>
      <c r="Z101" s="30"/>
      <c r="AA101" s="30"/>
      <c r="AB101" s="30"/>
      <c r="AC101" s="30"/>
      <c r="AD101" s="30"/>
      <c r="AE101" s="30"/>
      <c r="AF101" s="30"/>
    </row>
    <row r="102" spans="1:32" ht="105">
      <c r="A102" s="23" t="s">
        <v>869</v>
      </c>
      <c r="B102" s="24" t="s">
        <v>870</v>
      </c>
      <c r="C102" s="23" t="s">
        <v>957</v>
      </c>
      <c r="D102" s="25" t="s">
        <v>601</v>
      </c>
      <c r="E102" s="25"/>
      <c r="F102" s="25" t="s">
        <v>74</v>
      </c>
      <c r="G102" s="27"/>
      <c r="H102" s="25"/>
      <c r="I102" s="27" t="str">
        <f ca="1">IFERROR(__xludf.DUMMYFUNCTION("GOOGLETRANSLATE(F102, ""en"", ""zu"")"),"Kodwa-ke, abazali bangaphansi kwengcindezi enkulu yokuphendukela efomula, okuyiyo iningi lesikhathi, kwenzeka ngenxa yokuntuleka kolwazi noma ukutholakala kokwazisa kanye / noma ukusekela abazali.")</f>
        <v>Kodwa-ke, abazali bangaphansi kwengcindezi enkulu yokuphendukela efomula, okuyiyo iningi lesikhathi, kwenzeka ngenxa yokuntuleka kolwazi noma ukutholakala kokwazisa kanye / noma ukusekela abazali.</v>
      </c>
      <c r="J102" s="29" t="str">
        <f ca="1">IFERROR(__xludf.DUMMYFUNCTION("GOOGLETRANSLATE(D102, ""pt"", ""zu"")"),"Kodwa-ke, abazali bahlushwa izicindezi ezinkulu ekuqaleni bangaqala ubisi, isikhathi esiningi, benziwe ngokungazi noma ukungatholakali kwesikhathi sokwazisa kanye / noma ukusekela abazali.")</f>
        <v>Kodwa-ke, abazali bahlushwa izicindezi ezinkulu ekuqaleni bangaqala ubisi, isikhathi esiningi, benziwe ngokungazi noma ukungatholakali kwesikhathi sokwazisa kanye / noma ukusekela abazali.</v>
      </c>
      <c r="K102" s="29" t="str">
        <f ca="1">IFERROR(__xludf.DUMMYFUNCTION("GOOGLETRANSLATE(F102, ""en"", ""af"")"),"Ouers is egter onder groot druk om na die formule, wat die meeste van die tyd voorkom, te wend weens 'n gebrek aan kennis of beskikbaarheid om ouers in te lig en/of te ondersteun.")</f>
        <v>Ouers is egter onder groot druk om na die formule, wat die meeste van die tyd voorkom, te wend weens 'n gebrek aan kennis of beskikbaarheid om ouers in te lig en/of te ondersteun.</v>
      </c>
      <c r="L102" s="20" t="str">
        <f ca="1">IFERROR(__xludf.DUMMYFUNCTION("GOOGLETRANSLATE(D102, ""pt"", ""af"")"),"Ouers het egter die meeste van die tyd groot druk om te begin melk, wat slegs deur onkunde of onbeskikbaarheid van tyd gemaak word om ouers in te lig en/of te ondersteun.")</f>
        <v>Ouers het egter die meeste van die tyd groot druk om te begin melk, wat slegs deur onkunde of onbeskikbaarheid van tyd gemaak word om ouers in te lig en/of te ondersteun.</v>
      </c>
      <c r="M102" s="30"/>
      <c r="N102" s="30"/>
      <c r="O102" s="30"/>
      <c r="P102" s="30"/>
      <c r="Q102" s="30"/>
      <c r="R102" s="30"/>
      <c r="S102" s="30"/>
      <c r="T102" s="30"/>
      <c r="U102" s="30"/>
      <c r="V102" s="30"/>
      <c r="W102" s="30"/>
      <c r="X102" s="30"/>
      <c r="Y102" s="30"/>
      <c r="Z102" s="30"/>
      <c r="AA102" s="30"/>
      <c r="AB102" s="30"/>
      <c r="AC102" s="30"/>
      <c r="AD102" s="30"/>
      <c r="AE102" s="30"/>
      <c r="AF102" s="30"/>
    </row>
    <row r="103" spans="1:32" ht="75">
      <c r="A103" s="23" t="s">
        <v>869</v>
      </c>
      <c r="B103" s="24" t="s">
        <v>870</v>
      </c>
      <c r="C103" s="23" t="s">
        <v>957</v>
      </c>
      <c r="D103" s="25" t="s">
        <v>604</v>
      </c>
      <c r="E103" s="25"/>
      <c r="F103" s="25" t="s">
        <v>961</v>
      </c>
      <c r="G103" s="27"/>
      <c r="H103" s="25"/>
      <c r="I103" s="27" t="str">
        <f ca="1">IFERROR(__xludf.DUMMYFUNCTION("GOOGLETRANSLATE(F103, ""en"", ""zu"")"),"Angilungiselelwe ukukusiza ngemibuzo ehlobene nefomula. Ingabe unayo imibuzo ngobisi lwebele kanye / noma ukuncelisa ubele engingakusiza ngalo?")</f>
        <v>Angilungiselelwe ukukusiza ngemibuzo ehlobene nefomula. Ingabe unayo imibuzo ngobisi lwebele kanye / noma ukuncelisa ubele engingakusiza ngalo?</v>
      </c>
      <c r="J103" s="29" t="str">
        <f ca="1">IFERROR(__xludf.DUMMYFUNCTION("GOOGLETRANSLATE(D103, ""pt"", ""zu"")"),"Angilungiselelwe ukukusiza emibuzweni ehlobene nobisi lokufakelwa. Ngabe unemibuzo ngobisi lwebele kanye / noma ukuncelisa ibele okungakucacisela?")</f>
        <v>Angilungiselelwe ukukusiza emibuzweni ehlobene nobisi lokufakelwa. Ngabe unemibuzo ngobisi lwebele kanye / noma ukuncelisa ibele okungakucacisela?</v>
      </c>
      <c r="K103" s="29" t="str">
        <f ca="1">IFERROR(__xludf.DUMMYFUNCTION("GOOGLETRANSLATE(F103, ""en"", ""af"")"),"Ek is nie bereid om u te help met vrae wat met formule verband hou nie. Het u enige vrae oor borsmelk en/of borsvoeding waarmee ek u kan help?")</f>
        <v>Ek is nie bereid om u te help met vrae wat met formule verband hou nie. Het u enige vrae oor borsmelk en/of borsvoeding waarmee ek u kan help?</v>
      </c>
      <c r="L103" s="20" t="str">
        <f ca="1">IFERROR(__xludf.DUMMYFUNCTION("GOOGLETRANSLATE(D103, ""pt"", ""af"")"),"Ek is nie bereid om u te help met vrae wat verband hou met kunsmatige melk nie. Het u enige vrae oor borsmelk en/of borsvoeding wat u kan verhelder?")</f>
        <v>Ek is nie bereid om u te help met vrae wat verband hou met kunsmatige melk nie. Het u enige vrae oor borsmelk en/of borsvoeding wat u kan verhelder?</v>
      </c>
      <c r="M103" s="30"/>
      <c r="N103" s="30"/>
      <c r="O103" s="30"/>
      <c r="P103" s="30"/>
      <c r="Q103" s="30"/>
      <c r="R103" s="30"/>
      <c r="S103" s="30"/>
      <c r="T103" s="30"/>
      <c r="U103" s="30"/>
      <c r="V103" s="30"/>
      <c r="W103" s="30"/>
      <c r="X103" s="30"/>
      <c r="Y103" s="30"/>
      <c r="Z103" s="30"/>
      <c r="AA103" s="30"/>
      <c r="AB103" s="30"/>
      <c r="AC103" s="30"/>
      <c r="AD103" s="30"/>
      <c r="AE103" s="30"/>
      <c r="AF103" s="30"/>
    </row>
    <row r="104" spans="1:32" ht="30">
      <c r="A104" s="23" t="s">
        <v>869</v>
      </c>
      <c r="B104" s="24" t="s">
        <v>870</v>
      </c>
      <c r="C104" s="23" t="s">
        <v>962</v>
      </c>
      <c r="D104" s="25" t="s">
        <v>639</v>
      </c>
      <c r="E104" s="25"/>
      <c r="F104" s="97" t="s">
        <v>117</v>
      </c>
      <c r="G104" s="27"/>
      <c r="H104" s="97"/>
      <c r="I104" s="27" t="str">
        <f ca="1">IFERROR(__xludf.DUMMYFUNCTION("GOOGLETRANSLATE(F104, ""en"", ""zu"")"),"Yonke ingane yehlukile futhi wonke umama wehlukile.")</f>
        <v>Yonke ingane yehlukile futhi wonke umama wehlukile.</v>
      </c>
      <c r="J104" s="29" t="str">
        <f ca="1">IFERROR(__xludf.DUMMYFUNCTION("GOOGLETRANSLATE(D104, ""pt"", ""zu"")"),"Ingane ngayinye ingane futhi umama ngamunye ungumama.")</f>
        <v>Ingane ngayinye ingane futhi umama ngamunye ungumama.</v>
      </c>
      <c r="K104" s="29" t="str">
        <f ca="1">IFERROR(__xludf.DUMMYFUNCTION("GOOGLETRANSLATE(F104, ""en"", ""af"")"),"Elke kind is anders en elke moeder is anders.")</f>
        <v>Elke kind is anders en elke moeder is anders.</v>
      </c>
      <c r="L104" s="20" t="str">
        <f ca="1">IFERROR(__xludf.DUMMYFUNCTION("GOOGLETRANSLATE(D104, ""pt"", ""af"")"),"Elke kind is 'n kind en elke moeder is 'n moeder.")</f>
        <v>Elke kind is 'n kind en elke moeder is 'n moeder.</v>
      </c>
      <c r="M104" s="30"/>
      <c r="N104" s="30"/>
      <c r="O104" s="30"/>
      <c r="P104" s="30"/>
      <c r="Q104" s="30"/>
      <c r="R104" s="30"/>
      <c r="S104" s="30"/>
      <c r="T104" s="30"/>
      <c r="U104" s="30"/>
      <c r="V104" s="30"/>
      <c r="W104" s="30"/>
      <c r="X104" s="30"/>
      <c r="Y104" s="30"/>
      <c r="Z104" s="30"/>
      <c r="AA104" s="30"/>
      <c r="AB104" s="30"/>
      <c r="AC104" s="30"/>
      <c r="AD104" s="30"/>
      <c r="AE104" s="30"/>
      <c r="AF104" s="30"/>
    </row>
    <row r="105" spans="1:32" ht="60">
      <c r="A105" s="23" t="s">
        <v>869</v>
      </c>
      <c r="B105" s="24" t="s">
        <v>870</v>
      </c>
      <c r="C105" s="23" t="s">
        <v>962</v>
      </c>
      <c r="D105" s="25" t="s">
        <v>642</v>
      </c>
      <c r="E105" s="25"/>
      <c r="F105" s="96" t="s">
        <v>118</v>
      </c>
      <c r="G105" s="27"/>
      <c r="H105" s="96"/>
      <c r="I105" s="27" t="str">
        <f ca="1">IFERROR(__xludf.DUMMYFUNCTION("GOOGLETRANSLATE(F105, ""en"", ""zu"")"),"Azikho izikhathi eziphansi noma eziphezulu, ngezikhathi ezithile, noma amanani lapho sikhuluma ngokuncelisa ibele.")</f>
        <v>Azikho izikhathi eziphansi noma eziphezulu, ngezikhathi ezithile, noma amanani lapho sikhuluma ngokuncelisa ibele.</v>
      </c>
      <c r="J105" s="29" t="str">
        <f ca="1">IFERROR(__xludf.DUMMYFUNCTION("GOOGLETRANSLATE(D105, ""pt"", ""zu"")"),"Azikho izikhathi (imizuzu noma max), azikho ngezikhathi ezithile, hhayi amanani lapho sikhuluma ngokuncelisa ibele.")</f>
        <v>Azikho izikhathi (imizuzu noma max), azikho ngezikhathi ezithile, hhayi amanani lapho sikhuluma ngokuncelisa ibele.</v>
      </c>
      <c r="K105" s="29" t="str">
        <f ca="1">IFERROR(__xludf.DUMMYFUNCTION("GOOGLETRANSLATE(F105, ""en"", ""af"")"),"Daar is geen minimum of maksimum tye, tussenposes of bedrae as ons oor borsvoeding praat nie.")</f>
        <v>Daar is geen minimum of maksimum tye, tussenposes of bedrae as ons oor borsvoeding praat nie.</v>
      </c>
      <c r="L105" s="20" t="str">
        <f ca="1">IFERROR(__xludf.DUMMYFUNCTION("GOOGLETRANSLATE(D105, ""pt"", ""af"")"),"Daar is geen tye (min of maksimum), geen tussenposes, geen hoeveelhede as ons oor borsvoeding praat nie.")</f>
        <v>Daar is geen tye (min of maksimum), geen tussenposes, geen hoeveelhede as ons oor borsvoeding praat nie.</v>
      </c>
      <c r="M105" s="30"/>
      <c r="N105" s="30"/>
      <c r="O105" s="30"/>
      <c r="P105" s="30"/>
      <c r="Q105" s="30"/>
      <c r="R105" s="30"/>
      <c r="S105" s="30"/>
      <c r="T105" s="30"/>
      <c r="U105" s="30"/>
      <c r="V105" s="30"/>
      <c r="W105" s="30"/>
      <c r="X105" s="30"/>
      <c r="Y105" s="30"/>
      <c r="Z105" s="30"/>
      <c r="AA105" s="30"/>
      <c r="AB105" s="30"/>
      <c r="AC105" s="30"/>
      <c r="AD105" s="30"/>
      <c r="AE105" s="30"/>
      <c r="AF105" s="30"/>
    </row>
    <row r="106" spans="1:32" ht="105">
      <c r="A106" s="23" t="s">
        <v>869</v>
      </c>
      <c r="B106" s="24" t="s">
        <v>870</v>
      </c>
      <c r="C106" s="23" t="s">
        <v>962</v>
      </c>
      <c r="D106" s="25" t="s">
        <v>645</v>
      </c>
      <c r="E106" s="25"/>
      <c r="F106" s="96" t="s">
        <v>119</v>
      </c>
      <c r="G106" s="27"/>
      <c r="H106" s="96"/>
      <c r="I106" s="27" t="str">
        <f ca="1">IFERROR(__xludf.DUMMYFUNCTION("GOOGLETRANSLATE(F106, ""en"", ""zu"")"),"Kuliqiniso ukuthi uma ukuncelisa kusungulwe kahle (imvamisa ngemuva kwamaviki ayi-6), ingane ingakhipha isifuba emizuzwini embalwa nje, kanti ingane entsha ingachitha isikhathi esithe xaxa sokuncelisa kakhulu.")</f>
        <v>Kuliqiniso ukuthi uma ukuncelisa kusungulwe kahle (imvamisa ngemuva kwamaviki ayi-6), ingane ingakhipha isifuba emizuzwini embalwa nje, kanti ingane entsha ingachitha isikhathi esithe xaxa sokuncelisa kakhulu.</v>
      </c>
      <c r="J106" s="29" t="str">
        <f ca="1">IFERROR(__xludf.DUMMYFUNCTION("GOOGLETRANSLATE(D106, ""pt"", ""zu"")"),"Uma kuyiqiniso ukuthi ingane enesifuba esibeletha kahle (imvamisa ngemuva kwamasonto ayi-6) ingakhipha isifuba emizuzwini embalwa nje, ingane entsha ingaba yisikhathi esithe xaxa sokungaphandle kwayo.")</f>
        <v>Uma kuyiqiniso ukuthi ingane enesifuba esibeletha kahle (imvamisa ngemuva kwamasonto ayi-6) ingakhipha isifuba emizuzwini embalwa nje, ingane entsha ingaba yisikhathi esithe xaxa sokungaphandle kwayo.</v>
      </c>
      <c r="K106" s="29" t="str">
        <f ca="1">IFERROR(__xludf.DUMMYFUNCTION("GOOGLETRANSLATE(F106, ""en"", ""af"")"),"Dit is waar dat sodra borsvoeding goed gevestig is (gewoonlik na 6 weke), kan 'n baba die bors binne 'n paar minute leegmaak, terwyl 'n pasgeborene meer tyd kan spandeer om te borsvoed as nie.")</f>
        <v>Dit is waar dat sodra borsvoeding goed gevestig is (gewoonlik na 6 weke), kan 'n baba die bors binne 'n paar minute leegmaak, terwyl 'n pasgeborene meer tyd kan spandeer om te borsvoed as nie.</v>
      </c>
      <c r="L106" s="20" t="str">
        <f ca="1">IFERROR(__xludf.DUMMYFUNCTION("GOOGLETRANSLATE(D106, ""pt"", ""af"")"),"As dit waar is dat 'n baba met 'n gevestigde borsvoeding (gewoonlik na 6 weke) die bors binne 'n paar minute kan leegmaak, kan 'n pasgebore baba meer tyd daar buite wees.")</f>
        <v>As dit waar is dat 'n baba met 'n gevestigde borsvoeding (gewoonlik na 6 weke) die bors binne 'n paar minute kan leegmaak, kan 'n pasgebore baba meer tyd daar buite wees.</v>
      </c>
      <c r="M106" s="30"/>
      <c r="N106" s="30"/>
      <c r="O106" s="30"/>
      <c r="P106" s="30"/>
      <c r="Q106" s="30"/>
      <c r="R106" s="30"/>
      <c r="S106" s="30"/>
      <c r="T106" s="30"/>
      <c r="U106" s="30"/>
      <c r="V106" s="30"/>
      <c r="W106" s="30"/>
      <c r="X106" s="30"/>
      <c r="Y106" s="30"/>
      <c r="Z106" s="30"/>
      <c r="AA106" s="30"/>
      <c r="AB106" s="30"/>
      <c r="AC106" s="30"/>
      <c r="AD106" s="30"/>
      <c r="AE106" s="30"/>
      <c r="AF106" s="30"/>
    </row>
    <row r="107" spans="1:32" ht="30">
      <c r="A107" s="23" t="s">
        <v>869</v>
      </c>
      <c r="B107" s="24" t="s">
        <v>870</v>
      </c>
      <c r="C107" s="23" t="s">
        <v>962</v>
      </c>
      <c r="D107" s="25" t="s">
        <v>648</v>
      </c>
      <c r="E107" s="25"/>
      <c r="F107" s="96" t="s">
        <v>120</v>
      </c>
      <c r="G107" s="27"/>
      <c r="H107" s="96"/>
      <c r="I107" s="27" t="str">
        <f ca="1">IFERROR(__xludf.DUMMYFUNCTION("GOOGLETRANSLATE(F107, ""en"", ""zu"")"),"Kubalulekile ukuhlonipha izigqi zazo zemvelo.")</f>
        <v>Kubalulekile ukuhlonipha izigqi zazo zemvelo.</v>
      </c>
      <c r="J107" s="29" t="str">
        <f ca="1">IFERROR(__xludf.DUMMYFUNCTION("GOOGLETRANSLATE(D107, ""pt"", ""zu"")"),"Kubalulekile ukuhlonipha izigqi zemvelo.")</f>
        <v>Kubalulekile ukuhlonipha izigqi zemvelo.</v>
      </c>
      <c r="K107" s="29" t="str">
        <f ca="1">IFERROR(__xludf.DUMMYFUNCTION("GOOGLETRANSLATE(F107, ""en"", ""af"")"),"Dit is belangrik om hul natuurlike ritmes te respekteer.")</f>
        <v>Dit is belangrik om hul natuurlike ritmes te respekteer.</v>
      </c>
      <c r="L107" s="20" t="str">
        <f ca="1">IFERROR(__xludf.DUMMYFUNCTION("GOOGLETRANSLATE(D107, ""pt"", ""af"")"),"Dit is belangrik om natuurlike ritmes te respekteer.")</f>
        <v>Dit is belangrik om natuurlike ritmes te respekteer.</v>
      </c>
      <c r="M107" s="30"/>
      <c r="N107" s="30"/>
      <c r="O107" s="30"/>
      <c r="P107" s="30"/>
      <c r="Q107" s="30"/>
      <c r="R107" s="30"/>
      <c r="S107" s="30"/>
      <c r="T107" s="30"/>
      <c r="U107" s="30"/>
      <c r="V107" s="30"/>
      <c r="W107" s="30"/>
      <c r="X107" s="30"/>
      <c r="Y107" s="30"/>
      <c r="Z107" s="30"/>
      <c r="AA107" s="30"/>
      <c r="AB107" s="30"/>
      <c r="AC107" s="30"/>
      <c r="AD107" s="30"/>
      <c r="AE107" s="30"/>
      <c r="AF107" s="30"/>
    </row>
    <row r="108" spans="1:32" ht="45">
      <c r="A108" s="23" t="s">
        <v>869</v>
      </c>
      <c r="B108" s="24" t="s">
        <v>870</v>
      </c>
      <c r="C108" s="23" t="s">
        <v>962</v>
      </c>
      <c r="D108" s="25" t="s">
        <v>651</v>
      </c>
      <c r="E108" s="25"/>
      <c r="F108" s="96" t="s">
        <v>121</v>
      </c>
      <c r="G108" s="27"/>
      <c r="H108" s="96"/>
      <c r="I108" s="27" t="str">
        <f ca="1">IFERROR(__xludf.DUMMYFUNCTION("GOOGLETRANSLATE(F108, ""en"", ""zu"")"),"Ingane ekhuthele iyohlala ishesha ukuncelisa kakhulu kunengane ezolile.")</f>
        <v>Ingane ekhuthele iyohlala ishesha ukuncelisa kakhulu kunengane ezolile.</v>
      </c>
      <c r="J108" s="29" t="str">
        <f ca="1">IFERROR(__xludf.DUMMYFUNCTION("GOOGLETRANSLATE(D108, ""pt"", ""zu"")"),"Ingane ekhuthele iyohlala ishesha ukuncelisa ibele kunengane ezolile.")</f>
        <v>Ingane ekhuthele iyohlala ishesha ukuncelisa ibele kunengane ezolile.</v>
      </c>
      <c r="K108" s="29" t="str">
        <f ca="1">IFERROR(__xludf.DUMMYFUNCTION("GOOGLETRANSLATE(F108, ""en"", ""af"")"),"'N Meer aktiewe kind sal altyd vinniger wees om te verpleeg as 'n rustiger kind.")</f>
        <v>'N Meer aktiewe kind sal altyd vinniger wees om te verpleeg as 'n rustiger kind.</v>
      </c>
      <c r="L108" s="20" t="str">
        <f ca="1">IFERROR(__xludf.DUMMYFUNCTION("GOOGLETRANSLATE(D108, ""pt"", ""af"")"),"'N Meer aktiewe kind sal altyd vinniger wees om te borsvoed as 'n rustiger kind.")</f>
        <v>'N Meer aktiewe kind sal altyd vinniger wees om te borsvoed as 'n rustiger kind.</v>
      </c>
      <c r="M108" s="30"/>
      <c r="N108" s="30"/>
      <c r="O108" s="30"/>
      <c r="P108" s="30"/>
      <c r="Q108" s="30"/>
      <c r="R108" s="30"/>
      <c r="S108" s="30"/>
      <c r="T108" s="30"/>
      <c r="U108" s="30"/>
      <c r="V108" s="30"/>
      <c r="W108" s="30"/>
      <c r="X108" s="30"/>
      <c r="Y108" s="30"/>
      <c r="Z108" s="30"/>
      <c r="AA108" s="30"/>
      <c r="AB108" s="30"/>
      <c r="AC108" s="30"/>
      <c r="AD108" s="30"/>
      <c r="AE108" s="30"/>
      <c r="AF108" s="30"/>
    </row>
    <row r="109" spans="1:32" ht="75">
      <c r="A109" s="23" t="s">
        <v>869</v>
      </c>
      <c r="B109" s="24" t="s">
        <v>870</v>
      </c>
      <c r="C109" s="23" t="s">
        <v>962</v>
      </c>
      <c r="D109" s="25" t="s">
        <v>654</v>
      </c>
      <c r="E109" s="25"/>
      <c r="F109" s="96" t="s">
        <v>122</v>
      </c>
      <c r="G109" s="27"/>
      <c r="H109" s="96"/>
      <c r="I109" s="27" t="str">
        <f ca="1">IFERROR(__xludf.DUMMYFUNCTION("GOOGLETRANSLATE(F109, ""en"", ""zu"")"),"Ngomoya ophansi, ngokubekezela nokuphumula okuningi, bobabili (Umama nengane) bazothola isigqi sabo.")</f>
        <v>Ngomoya ophansi, ngokubekezela nokuphumula okuningi, bobabili (Umama nengane) bazothola isigqi sabo.</v>
      </c>
      <c r="J109" s="29" t="str">
        <f ca="1">IFERROR(__xludf.DUMMYFUNCTION("GOOGLETRANSLATE(D109, ""pt"", ""zu"")"),"Ngomoya ophansi, ukubekezela, ukuphumula okuningi nokubekezelelana kwabo bobabili (umama nengane) kuzothola ijubane labo.")</f>
        <v>Ngomoya ophansi, ukubekezela, ukuphumula okuningi nokubekezelelana kwabo bobabili (umama nengane) kuzothola ijubane labo.</v>
      </c>
      <c r="K109" s="29" t="str">
        <f ca="1">IFERROR(__xludf.DUMMYFUNCTION("GOOGLETRANSLATE(F109, ""en"", ""af"")"),"Rustig, met geduld en baie rus, sal beide (moeder en baba) hul eie ritme vind.")</f>
        <v>Rustig, met geduld en baie rus, sal beide (moeder en baba) hul eie ritme vind.</v>
      </c>
      <c r="L109" s="20" t="str">
        <f ca="1">IFERROR(__xludf.DUMMYFUNCTION("GOOGLETRANSLATE(D109, ""pt"", ""af"")"),"Rustig, geduld, baie rus en verdraagsaamheid van beide (moeder en baba) sal hul eie tempo vind.")</f>
        <v>Rustig, geduld, baie rus en verdraagsaamheid van beide (moeder en baba) sal hul eie tempo vind.</v>
      </c>
      <c r="M109" s="30"/>
      <c r="N109" s="30"/>
      <c r="O109" s="30"/>
      <c r="P109" s="30"/>
      <c r="Q109" s="30"/>
      <c r="R109" s="30"/>
      <c r="S109" s="30"/>
      <c r="T109" s="30"/>
      <c r="U109" s="30"/>
      <c r="V109" s="30"/>
      <c r="W109" s="30"/>
      <c r="X109" s="30"/>
      <c r="Y109" s="30"/>
      <c r="Z109" s="30"/>
      <c r="AA109" s="30"/>
      <c r="AB109" s="30"/>
      <c r="AC109" s="30"/>
      <c r="AD109" s="30"/>
      <c r="AE109" s="30"/>
      <c r="AF109" s="30"/>
    </row>
    <row r="110" spans="1:32" ht="27.95">
      <c r="A110" s="23" t="s">
        <v>869</v>
      </c>
      <c r="B110" s="24" t="s">
        <v>872</v>
      </c>
      <c r="C110" s="23" t="s">
        <v>962</v>
      </c>
      <c r="D110" s="25" t="s">
        <v>963</v>
      </c>
      <c r="E110" s="25" t="s">
        <v>964</v>
      </c>
      <c r="F110" s="25"/>
      <c r="G110" s="27"/>
      <c r="H110" s="25"/>
      <c r="I110" s="27"/>
      <c r="J110" s="29" t="str">
        <f ca="1">IFERROR(__xludf.DUMMYFUNCTION("GOOGLETRANSLATE(D110, ""pt"", ""zu"")"),"Ukwazi okuningi")</f>
        <v>Ukwazi okuningi</v>
      </c>
      <c r="K110" s="29"/>
      <c r="L110" s="20" t="str">
        <f ca="1">IFERROR(__xludf.DUMMYFUNCTION("GOOGLETRANSLATE(D110, ""pt"", ""af"")"),"Om meer te weet")</f>
        <v>Om meer te weet</v>
      </c>
      <c r="M110" s="30"/>
      <c r="N110" s="30"/>
      <c r="O110" s="30"/>
      <c r="P110" s="30"/>
      <c r="Q110" s="30"/>
      <c r="R110" s="30"/>
      <c r="S110" s="30"/>
      <c r="T110" s="30"/>
      <c r="U110" s="30"/>
      <c r="V110" s="30"/>
      <c r="W110" s="30"/>
      <c r="X110" s="30"/>
      <c r="Y110" s="30"/>
      <c r="Z110" s="30"/>
      <c r="AA110" s="30"/>
      <c r="AB110" s="30"/>
      <c r="AC110" s="30"/>
      <c r="AD110" s="30"/>
      <c r="AE110" s="30"/>
      <c r="AF110" s="30"/>
    </row>
    <row r="111" spans="1:32" ht="45">
      <c r="A111" s="23" t="s">
        <v>869</v>
      </c>
      <c r="B111" s="24" t="s">
        <v>870</v>
      </c>
      <c r="C111" s="23" t="s">
        <v>964</v>
      </c>
      <c r="D111" s="25" t="s">
        <v>965</v>
      </c>
      <c r="E111" s="25"/>
      <c r="F111" s="96" t="s">
        <v>966</v>
      </c>
      <c r="G111" s="27"/>
      <c r="H111" s="96"/>
      <c r="I111" s="27" t="str">
        <f ca="1">IFERROR(__xludf.DUMMYFUNCTION("GOOGLETRANSLATE(F111, ""en"", ""zu"")"),"Cishe konke ukungqubuzana kubangela izinkinga eziningi kunalokho ezixazulula.")</f>
        <v>Cishe konke ukungqubuzana kubangela izinkinga eziningi kunalokho ezixazulula.</v>
      </c>
      <c r="J111" s="29" t="str">
        <f ca="1">IFERROR(__xludf.DUMMYFUNCTION("GOOGLETRANSLATE(D111, ""pt"", ""zu"")"),"Cishe konke ukungqubuzana kudala izinkinga eziningi kunalezo ezixazulula.")</f>
        <v>Cishe konke ukungqubuzana kudala izinkinga eziningi kunalezo ezixazulula.</v>
      </c>
      <c r="K111" s="29" t="str">
        <f ca="1">IFERROR(__xludf.DUMMYFUNCTION("GOOGLETRANSLATE(F111, ""en"", ""af"")"),"Byna alle inmengings veroorsaak meer probleme as wat dit oplos.")</f>
        <v>Byna alle inmengings veroorsaak meer probleme as wat dit oplos.</v>
      </c>
      <c r="L111" s="20" t="str">
        <f ca="1">IFERROR(__xludf.DUMMYFUNCTION("GOOGLETRANSLATE(D111, ""pt"", ""af"")"),"Byna alle inmengings veroorsaak meer probleme as diegene wat oplos.")</f>
        <v>Byna alle inmengings veroorsaak meer probleme as diegene wat oplos.</v>
      </c>
      <c r="M111" s="30"/>
      <c r="N111" s="30"/>
      <c r="O111" s="30"/>
      <c r="P111" s="30"/>
      <c r="Q111" s="30"/>
      <c r="R111" s="30"/>
      <c r="S111" s="30"/>
      <c r="T111" s="30"/>
      <c r="U111" s="30"/>
      <c r="V111" s="30"/>
      <c r="W111" s="30"/>
      <c r="X111" s="30"/>
      <c r="Y111" s="30"/>
      <c r="Z111" s="30"/>
      <c r="AA111" s="30"/>
      <c r="AB111" s="30"/>
      <c r="AC111" s="30"/>
      <c r="AD111" s="30"/>
      <c r="AE111" s="30"/>
      <c r="AF111" s="30"/>
    </row>
    <row r="112" spans="1:32" ht="98.1">
      <c r="A112" s="23" t="s">
        <v>869</v>
      </c>
      <c r="B112" s="24" t="s">
        <v>870</v>
      </c>
      <c r="C112" s="23" t="s">
        <v>964</v>
      </c>
      <c r="D112" s="25" t="s">
        <v>967</v>
      </c>
      <c r="E112" s="25"/>
      <c r="F112" s="96" t="s">
        <v>968</v>
      </c>
      <c r="G112" s="27"/>
      <c r="H112" s="96"/>
      <c r="I112" s="27" t="str">
        <f ca="1">IFERROR(__xludf.DUMMYFUNCTION("GOOGLETRANSLATE(F112, ""en"", ""zu"")"),"Uma ingane yakho izalelwa emavikini aphelele (angaphezu kwama-37 amaviki) futhi ayizange ibe ngaphansi kwesisindo (ngaphansi kuka-5 lb 8 oz (2,5 kg), asikho isizathu sokuphazamisa ukulawulwa kwendlala kwengane nesifiso sokudla.")</f>
        <v>Uma ingane yakho izalelwa emavikini aphelele (angaphezu kwama-37 amaviki) futhi ayizange ibe ngaphansi kwesisindo (ngaphansi kuka-5 lb 8 oz (2,5 kg), asikho isizathu sokuphazamisa ukulawulwa kwendlala kwengane nesifiso sokudla.</v>
      </c>
      <c r="J112" s="29" t="str">
        <f ca="1">IFERROR(__xludf.DUMMYFUNCTION("GOOGLETRANSLATE(D112, ""pt"", ""zu"")"),"Uma ingane izelwe isikhathi (+ amasonto angama-37 okukhulelwa) futhi ayinasisindo esiphansi (- 2,5 kg) asikho isizathu sokuphazamisa ukulawulwa okujwayelekile kwendlala futhi kuzodla ingane.")</f>
        <v>Uma ingane izelwe isikhathi (+ amasonto angama-37 okukhulelwa) futhi ayinasisindo esiphansi (- 2,5 kg) asikho isizathu sokuphazamisa ukulawulwa okujwayelekile kwendlala futhi kuzodla ingane.</v>
      </c>
      <c r="K112" s="29" t="str">
        <f ca="1">IFERROR(__xludf.DUMMYFUNCTION("GOOGLETRANSLATE(F112, ""en"", ""af"")"),"As u baba op volle termyn (meer as 37 weke) gebore is en nie ondergewig was nie (minder as 5 lb 8 oz (2,5 kg), is daar geen rede om die baba se normale honger te reguleer en te eet nie.")</f>
        <v>As u baba op volle termyn (meer as 37 weke) gebore is en nie ondergewig was nie (minder as 5 lb 8 oz (2,5 kg), is daar geen rede om die baba se normale honger te reguleer en te eet nie.</v>
      </c>
      <c r="L112" s="20" t="str">
        <f ca="1">IFERROR(__xludf.DUMMYFUNCTION("GOOGLETRANSLATE(D112, ""pt"", ""af"")"),"As die baba uit tyd (+ 37 weke swangerskap) gebore is en geen lae gewig het nie (- 2,5 kg), is daar geen rede om die normale regulering van honger en wil om die baba te eet, in te meng nie.")</f>
        <v>As die baba uit tyd (+ 37 weke swangerskap) gebore is en geen lae gewig het nie (- 2,5 kg), is daar geen rede om die normale regulering van honger en wil om die baba te eet, in te meng nie.</v>
      </c>
      <c r="M112" s="30"/>
      <c r="N112" s="30"/>
      <c r="O112" s="30"/>
      <c r="P112" s="30"/>
      <c r="Q112" s="30"/>
      <c r="R112" s="30"/>
      <c r="S112" s="30"/>
      <c r="T112" s="30"/>
      <c r="U112" s="30"/>
      <c r="V112" s="30"/>
      <c r="W112" s="30"/>
      <c r="X112" s="30"/>
      <c r="Y112" s="30"/>
      <c r="Z112" s="30"/>
      <c r="AA112" s="30"/>
      <c r="AB112" s="30"/>
      <c r="AC112" s="30"/>
      <c r="AD112" s="30"/>
      <c r="AE112" s="30"/>
      <c r="AF112" s="30"/>
    </row>
    <row r="113" spans="1:32" ht="84">
      <c r="A113" s="23" t="s">
        <v>869</v>
      </c>
      <c r="B113" s="24" t="s">
        <v>870</v>
      </c>
      <c r="C113" s="23" t="s">
        <v>964</v>
      </c>
      <c r="D113" s="25" t="s">
        <v>969</v>
      </c>
      <c r="E113" s="25"/>
      <c r="F113" s="96" t="s">
        <v>970</v>
      </c>
      <c r="G113" s="27"/>
      <c r="H113" s="96"/>
      <c r="I113" s="27" t="str">
        <f ca="1">IFERROR(__xludf.DUMMYFUNCTION("GOOGLETRANSLATE(F113, ""en"", ""zu"")"),"Uma ekhala ➡ ukuncelisa ibele.
Uma efulathela ikhanda abuyele emuva abuyele ezimpango ezizungeze ➡ ukuncelisa ibele.
Uma evula futhi avale umlomo wakhe ➡ ukuncelisa.")</f>
        <v>Uma ekhala ➡ ukuncelisa ibele.
Uma efulathela ikhanda abuyele emuva abuyele ezimpango ezizungeze ➡ ukuncelisa ibele.
Uma evula futhi avale umlomo wakhe ➡ ukuncelisa.</v>
      </c>
      <c r="J113" s="29" t="str">
        <f ca="1">IFERROR(__xludf.DUMMYFUNCTION("GOOGLETRANSLATE(D113, ""pt"", ""zu"")"),"Uma ukhala ➡ mama
Uguqula ikhanda lakhe lisuke ohlangothini, ukubheka ➡ mama kuvulwa futhi kuvalwe umlomo wakhe ➡ mama")</f>
        <v>Uma ukhala ➡ mama
Uguqula ikhanda lakhe lisuke ohlangothini, ukubheka ➡ mama kuvulwa futhi kuvalwe umlomo wakhe ➡ mama</v>
      </c>
      <c r="K113" s="29" t="str">
        <f ca="1">IFERROR(__xludf.DUMMYFUNCTION("GOOGLETRANSLATE(F113, ""en"", ""af"")"),"As hy of sy huil ➡ borsvoed.
As hy of sy haar kop heen en weer draai om ➡ borsvoed.
As hy of sy oopmaak en haar mond toemaak, borsvoed.")</f>
        <v>As hy of sy huil ➡ borsvoed.
As hy of sy haar kop heen en weer draai om ➡ borsvoed.
As hy of sy oopmaak en haar mond toemaak, borsvoed.</v>
      </c>
      <c r="L113" s="20" t="str">
        <f ca="1">IFERROR(__xludf.DUMMYFUNCTION("GOOGLETRANSLATE(D113, ""pt"", ""af"")"),"As jy huil ➡ mamma
Hy draai sy kop van kant tot kant, kyk ➡ Mamma maak oop en sluit sy mond ➡ mamma")</f>
        <v>As jy huil ➡ mamma
Hy draai sy kop van kant tot kant, kyk ➡ Mamma maak oop en sluit sy mond ➡ mamma</v>
      </c>
      <c r="M113" s="30"/>
      <c r="N113" s="30"/>
      <c r="O113" s="30"/>
      <c r="P113" s="30"/>
      <c r="Q113" s="30"/>
      <c r="R113" s="30"/>
      <c r="S113" s="30"/>
      <c r="T113" s="30"/>
      <c r="U113" s="30"/>
      <c r="V113" s="30"/>
      <c r="W113" s="30"/>
      <c r="X113" s="30"/>
      <c r="Y113" s="30"/>
      <c r="Z113" s="30"/>
      <c r="AA113" s="30"/>
      <c r="AB113" s="30"/>
      <c r="AC113" s="30"/>
      <c r="AD113" s="30"/>
      <c r="AE113" s="30"/>
      <c r="AF113" s="30"/>
    </row>
    <row r="114" spans="1:32" ht="45">
      <c r="A114" s="23" t="s">
        <v>869</v>
      </c>
      <c r="B114" s="24" t="s">
        <v>870</v>
      </c>
      <c r="C114" s="23" t="s">
        <v>964</v>
      </c>
      <c r="D114" s="25" t="s">
        <v>971</v>
      </c>
      <c r="E114" s="25"/>
      <c r="F114" s="96" t="s">
        <v>972</v>
      </c>
      <c r="G114" s="27"/>
      <c r="H114" s="96"/>
      <c r="I114" s="27" t="str">
        <f ca="1">IFERROR(__xludf.DUMMYFUNCTION("GOOGLETRANSLATE(F114, ""en"", ""zu"")"),"Noma nini lapho kudingeka, kaningi njengoba kudingeka, isikhathi eside nje! 😉")</f>
        <v>Noma nini lapho kudingeka, kaningi njengoba kudingeka, isikhathi eside nje! 😉</v>
      </c>
      <c r="J114" s="29" t="str">
        <f ca="1">IFERROR(__xludf.DUMMYFUNCTION("GOOGLETRANSLATE(D114, ""pt"", ""zu"")"),"Noma nini lapho ngiyidinga, kwesinye isikhathi zinembile isikhathi esithathayo! 😉")</f>
        <v>Noma nini lapho ngiyidinga, kwesinye isikhathi zinembile isikhathi esithathayo! 😉</v>
      </c>
      <c r="K114" s="29" t="str">
        <f ca="1">IFERROR(__xludf.DUMMYFUNCTION("GOOGLETRANSLATE(F114, ""en"", ""af"")"),"Waar nodig, soveel keer as wat nodig is, so lank as wat nodig is! 😉")</f>
        <v>Waar nodig, soveel keer as wat nodig is, so lank as wat nodig is! 😉</v>
      </c>
      <c r="L114" s="20" t="str">
        <f ca="1">IFERROR(__xludf.DUMMYFUNCTION("GOOGLETRANSLATE(D114, ""pt"", ""af"")"),"As ek dit nodig het, is dit soms akkuraat vir die tyd wat dit neem! 😉")</f>
        <v>As ek dit nodig het, is dit soms akkuraat vir die tyd wat dit neem! 😉</v>
      </c>
      <c r="M114" s="30"/>
      <c r="N114" s="30"/>
      <c r="O114" s="30"/>
      <c r="P114" s="30"/>
      <c r="Q114" s="30"/>
      <c r="R114" s="30"/>
      <c r="S114" s="30"/>
      <c r="T114" s="30"/>
      <c r="U114" s="30"/>
      <c r="V114" s="30"/>
      <c r="W114" s="30"/>
      <c r="X114" s="30"/>
      <c r="Y114" s="30"/>
      <c r="Z114" s="30"/>
      <c r="AA114" s="30"/>
      <c r="AB114" s="30"/>
      <c r="AC114" s="30"/>
      <c r="AD114" s="30"/>
      <c r="AE114" s="30"/>
      <c r="AF114" s="30"/>
    </row>
    <row r="115" spans="1:32" ht="84">
      <c r="A115" s="23" t="s">
        <v>869</v>
      </c>
      <c r="B115" s="24" t="s">
        <v>870</v>
      </c>
      <c r="C115" s="23" t="s">
        <v>973</v>
      </c>
      <c r="D115" s="25" t="s">
        <v>974</v>
      </c>
      <c r="E115" s="25"/>
      <c r="F115" s="25" t="s">
        <v>975</v>
      </c>
      <c r="G115" s="27"/>
      <c r="H115" s="25"/>
      <c r="I115" s="27" t="str">
        <f ca="1">IFERROR(__xludf.DUMMYFUNCTION("GOOGLETRANSLATE(F115, ""en"", ""zu"")"),"Ukuncelisa ibele 🤱 kungafunwa kakhulu futhi kudinga ukufunda nokubekezela. Ngokuthola isikhathi nosizi olwanele, iningi lobunzima linganqotshwa.")</f>
        <v>Ukuncelisa ibele 🤱 kungafunwa kakhulu futhi kudinga ukufunda nokubekezela. Ngokuthola isikhathi nosizi olwanele, iningi lobunzima linganqotshwa.</v>
      </c>
      <c r="J115" s="29" t="str">
        <f ca="1">IFERROR(__xludf.DUMMYFUNCTION("GOOGLETRANSLATE(D115, ""pt"", ""zu"")"),"Ukwephula ibele 🤱 kungafunwa kakhulu futhi kudinga ukufunda nokubekezela. Ngokuhamba kwesikhathi nosizo olufanele iningi lobunzima liyanqotshwa.")</f>
        <v>Ukwephula ibele 🤱 kungafunwa kakhulu futhi kudinga ukufunda nokubekezela. Ngokuhamba kwesikhathi nosizo olufanele iningi lobunzima liyanqotshwa.</v>
      </c>
      <c r="K115" s="29" t="str">
        <f ca="1">IFERROR(__xludf.DUMMYFUNCTION("GOOGLETRANSLATE(F115, ""en"", ""af"")"),"Borsvoeding 🤱 kan baie veeleisend wees en vereis leer en geduld. Met tyd en voldoende hulp kan die oorgrote meerderheid van die probleme oorkom word.")</f>
        <v>Borsvoeding 🤱 kan baie veeleisend wees en vereis leer en geduld. Met tyd en voldoende hulp kan die oorgrote meerderheid van die probleme oorkom word.</v>
      </c>
      <c r="L115" s="20" t="str">
        <f ca="1">IFERROR(__xludf.DUMMYFUNCTION("GOOGLETRANSLATE(D115, ""pt"", ""af"")"),"Breekborsvoeding 🤱 kan baie veeleisend wees en dit verg 'n mate van leer en geduld. Met verloop van tyd en behoorlike hulp word die oorgrote meerderheid van die probleme oorkom.")</f>
        <v>Breekborsvoeding 🤱 kan baie veeleisend wees en dit verg 'n mate van leer en geduld. Met verloop van tyd en behoorlike hulp word die oorgrote meerderheid van die probleme oorkom.</v>
      </c>
      <c r="M115" s="30"/>
      <c r="N115" s="30"/>
      <c r="O115" s="30"/>
      <c r="P115" s="30"/>
      <c r="Q115" s="30"/>
      <c r="R115" s="30"/>
      <c r="S115" s="30"/>
      <c r="T115" s="30"/>
      <c r="U115" s="30"/>
      <c r="V115" s="30"/>
      <c r="W115" s="30"/>
      <c r="X115" s="30"/>
      <c r="Y115" s="30"/>
      <c r="Z115" s="30"/>
      <c r="AA115" s="30"/>
      <c r="AB115" s="30"/>
      <c r="AC115" s="30"/>
      <c r="AD115" s="30"/>
      <c r="AE115" s="30"/>
      <c r="AF115" s="30"/>
    </row>
    <row r="116" spans="1:32" ht="56.1">
      <c r="A116" s="23" t="s">
        <v>869</v>
      </c>
      <c r="B116" s="24" t="s">
        <v>870</v>
      </c>
      <c r="C116" s="23" t="s">
        <v>973</v>
      </c>
      <c r="D116" s="25" t="s">
        <v>976</v>
      </c>
      <c r="E116" s="25"/>
      <c r="F116" s="25" t="s">
        <v>977</v>
      </c>
      <c r="G116" s="27"/>
      <c r="H116" s="25"/>
      <c r="I116" s="27" t="str">
        <f ca="1">IFERROR(__xludf.DUMMYFUNCTION("GOOGLETRANSLATE(F116, ""en"", ""zu"")"),"Yini ubunzima bakho obukhulu? Ukushaya? Ngabe izingono zakho ziqhekekile? Ingabe unezinkinga ngokunikezwa kobisi?")</f>
        <v>Yini ubunzima bakho obukhulu? Ukushaya? Ngabe izingono zakho ziqhekekile? Ingabe unezinkinga ngokunikezwa kobisi?</v>
      </c>
      <c r="J116" s="29" t="str">
        <f ca="1">IFERROR(__xludf.DUMMYFUNCTION("GOOGLETRANSLATE(D116, ""pt"", ""zu"")"),"Yini ubunzima bakho obukhulu? Ngabe isibambo? Ingabe unayo imifantu? Ingabe ngenani lobisi?")</f>
        <v>Yini ubunzima bakho obukhulu? Ngabe isibambo? Ingabe unayo imifantu? Ingabe ngenani lobisi?</v>
      </c>
      <c r="K116" s="29" t="str">
        <f ca="1">IFERROR(__xludf.DUMMYFUNCTION("GOOGLETRANSLATE(F116, ""en"", ""af"")"),"Wat is jou grootste probleem? Grendel? Is u tepels gekraak? Het u probleme met melktoevoer?")</f>
        <v>Wat is jou grootste probleem? Grendel? Is u tepels gekraak? Het u probleme met melktoevoer?</v>
      </c>
      <c r="L116" s="20" t="str">
        <f ca="1">IFERROR(__xludf.DUMMYFUNCTION("GOOGLETRANSLATE(D116, ""pt"", ""af"")"),"Wat is u grootste probleem? Is dit die handvatsel? Het u krake? Is dit met die hoeveelheid melk?")</f>
        <v>Wat is u grootste probleem? Is dit die handvatsel? Het u krake? Is dit met die hoeveelheid melk?</v>
      </c>
      <c r="M116" s="30"/>
      <c r="N116" s="30"/>
      <c r="O116" s="30"/>
      <c r="P116" s="30"/>
      <c r="Q116" s="30"/>
      <c r="R116" s="30"/>
      <c r="S116" s="30"/>
      <c r="T116" s="30"/>
      <c r="U116" s="30"/>
      <c r="V116" s="30"/>
      <c r="W116" s="30"/>
      <c r="X116" s="30"/>
      <c r="Y116" s="30"/>
      <c r="Z116" s="30"/>
      <c r="AA116" s="30"/>
      <c r="AB116" s="30"/>
      <c r="AC116" s="30"/>
      <c r="AD116" s="30"/>
      <c r="AE116" s="30"/>
      <c r="AF116" s="30"/>
    </row>
    <row r="117" spans="1:32" ht="27.95">
      <c r="A117" s="23" t="s">
        <v>869</v>
      </c>
      <c r="B117" s="24" t="s">
        <v>872</v>
      </c>
      <c r="C117" s="23" t="s">
        <v>973</v>
      </c>
      <c r="D117" s="25" t="s">
        <v>373</v>
      </c>
      <c r="E117" s="25" t="s">
        <v>890</v>
      </c>
      <c r="F117" s="25"/>
      <c r="G117" s="27"/>
      <c r="H117" s="25"/>
      <c r="I117" s="27"/>
      <c r="J117" s="29" t="str">
        <f ca="1">IFERROR(__xludf.DUMMYFUNCTION("GOOGLETRANSLATE(D117, ""pt"", ""zu"")"),"Nqaka")</f>
        <v>Nqaka</v>
      </c>
      <c r="K117" s="29"/>
      <c r="L117" s="20" t="str">
        <f ca="1">IFERROR(__xludf.DUMMYFUNCTION("GOOGLETRANSLATE(D117, ""pt"", ""af"")"),"Vang")</f>
        <v>Vang</v>
      </c>
      <c r="M117" s="30"/>
      <c r="N117" s="30"/>
      <c r="O117" s="30"/>
      <c r="P117" s="30"/>
      <c r="Q117" s="30"/>
      <c r="R117" s="30"/>
      <c r="S117" s="30"/>
      <c r="T117" s="30"/>
      <c r="U117" s="30"/>
      <c r="V117" s="30"/>
      <c r="W117" s="30"/>
      <c r="X117" s="30"/>
      <c r="Y117" s="30"/>
      <c r="Z117" s="30"/>
      <c r="AA117" s="30"/>
      <c r="AB117" s="30"/>
      <c r="AC117" s="30"/>
      <c r="AD117" s="30"/>
      <c r="AE117" s="30"/>
      <c r="AF117" s="30"/>
    </row>
    <row r="118" spans="1:32" ht="27.95">
      <c r="A118" s="23" t="s">
        <v>869</v>
      </c>
      <c r="B118" s="24" t="s">
        <v>872</v>
      </c>
      <c r="C118" s="23" t="s">
        <v>973</v>
      </c>
      <c r="D118" s="25" t="s">
        <v>978</v>
      </c>
      <c r="E118" s="25" t="s">
        <v>897</v>
      </c>
      <c r="F118" s="25"/>
      <c r="G118" s="27"/>
      <c r="H118" s="25"/>
      <c r="I118" s="27"/>
      <c r="J118" s="29" t="str">
        <f ca="1">IFERROR(__xludf.DUMMYFUNCTION("GOOGLETRANSLATE(D118, ""pt"", ""zu"")"),"Ubuhlungu, imicibisholo, amanxeba")</f>
        <v>Ubuhlungu, imicibisholo, amanxeba</v>
      </c>
      <c r="K118" s="29"/>
      <c r="L118" s="20" t="str">
        <f ca="1">IFERROR(__xludf.DUMMYFUNCTION("GOOGLETRANSLATE(D118, ""pt"", ""af"")"),"Pyn, fissure, wonde")</f>
        <v>Pyn, fissure, wonde</v>
      </c>
      <c r="M118" s="30"/>
      <c r="N118" s="30"/>
      <c r="O118" s="30"/>
      <c r="P118" s="30"/>
      <c r="Q118" s="30"/>
      <c r="R118" s="30"/>
      <c r="S118" s="30"/>
      <c r="T118" s="30"/>
      <c r="U118" s="30"/>
      <c r="V118" s="30"/>
      <c r="W118" s="30"/>
      <c r="X118" s="30"/>
      <c r="Y118" s="30"/>
      <c r="Z118" s="30"/>
      <c r="AA118" s="30"/>
      <c r="AB118" s="30"/>
      <c r="AC118" s="30"/>
      <c r="AD118" s="30"/>
      <c r="AE118" s="30"/>
      <c r="AF118" s="30"/>
    </row>
    <row r="119" spans="1:32" ht="27.95">
      <c r="A119" s="23" t="s">
        <v>869</v>
      </c>
      <c r="B119" s="24" t="s">
        <v>872</v>
      </c>
      <c r="C119" s="23" t="s">
        <v>973</v>
      </c>
      <c r="D119" s="25" t="s">
        <v>979</v>
      </c>
      <c r="E119" s="25" t="s">
        <v>980</v>
      </c>
      <c r="F119" s="25"/>
      <c r="G119" s="27"/>
      <c r="H119" s="25"/>
      <c r="I119" s="27"/>
      <c r="J119" s="29" t="str">
        <f ca="1">IFERROR(__xludf.DUMMYFUNCTION("GOOGLETRANSLATE(D119, ""pt"", ""zu"")"),"Ngabe nginobisi?")</f>
        <v>Ngabe nginobisi?</v>
      </c>
      <c r="K119" s="29"/>
      <c r="L119" s="20" t="str">
        <f ca="1">IFERROR(__xludf.DUMMYFUNCTION("GOOGLETRANSLATE(D119, ""pt"", ""af"")"),"Het ek SUF -melk?")</f>
        <v>Het ek SUF -melk?</v>
      </c>
      <c r="M119" s="30"/>
      <c r="N119" s="30"/>
      <c r="O119" s="30"/>
      <c r="P119" s="30"/>
      <c r="Q119" s="30"/>
      <c r="R119" s="30"/>
      <c r="S119" s="30"/>
      <c r="T119" s="30"/>
      <c r="U119" s="30"/>
      <c r="V119" s="30"/>
      <c r="W119" s="30"/>
      <c r="X119" s="30"/>
      <c r="Y119" s="30"/>
      <c r="Z119" s="30"/>
      <c r="AA119" s="30"/>
      <c r="AB119" s="30"/>
      <c r="AC119" s="30"/>
      <c r="AD119" s="30"/>
      <c r="AE119" s="30"/>
      <c r="AF119" s="30"/>
    </row>
    <row r="120" spans="1:32" ht="180">
      <c r="A120" s="23" t="s">
        <v>869</v>
      </c>
      <c r="B120" s="24" t="s">
        <v>870</v>
      </c>
      <c r="C120" s="23" t="s">
        <v>981</v>
      </c>
      <c r="D120" s="25" t="s">
        <v>579</v>
      </c>
      <c r="E120" s="25"/>
      <c r="F120" s="25" t="s">
        <v>982</v>
      </c>
      <c r="G120" s="27"/>
      <c r="H120" s="25"/>
      <c r="I120" s="27" t="str">
        <f ca="1">IFERROR(__xludf.DUMMYFUNCTION("GOOGLETRANSLATE(F120, ""en"", ""zu"")"),"Lapho izihlangu zengono kanye / noma ama-pacifiers wethulwa ngaphambi kokuncelisa ibele kahle, kuvame ukuveza lokho okubizwa ngokuthi yi-latch ebekwe ebeleni kusukela ebeleni kuhluke ngokuphelele kukho indlela abayenza ngayo ngesihlangu sengontolo noma i-"&amp;"pacifier. 👶")</f>
        <v>Lapho izihlangu zengono kanye / noma ama-pacifiers wethulwa ngaphambi kokuncelisa ibele kahle, kuvame ukuveza lokho okubizwa ngokuthi yi-latch ebekwe ebeleni kusukela ebeleni kuhluke ngokuphelele kukho indlela abayenza ngayo ngesihlangu sengontolo noma i-pacifier. 👶</v>
      </c>
      <c r="J120" s="29" t="str">
        <f ca="1">IFERROR(__xludf.DUMMYFUNCTION("GOOGLETRANSLATE(D120, ""pt"", ""zu"")"),"Lapho i-silicone kanye / noma i-bible / i-pacifiers yethulwa ngaphambi kokuba ukuncelisa ibele kusungulwe kahle, lokhu kuvame ukukhanga ""izingono ezihlotshisiwe"" eziholele enganeni ukuze zibe nokubamba okubi kakhulu kwehlukile ngendlela ozibeka ngayo ng"&amp;"e-silicone ingono noma nge-pacifier. 👶")</f>
        <v>Lapho i-silicone kanye / noma i-bible / i-pacifiers yethulwa ngaphambi kokuba ukuncelisa ibele kusungulwe kahle, lokhu kuvame ukukhanga "izingono ezihlotshisiwe" eziholele enganeni ukuze zibe nokubamba okubi kakhulu kwehlukile ngendlela ozibeka ngayo nge-silicone ingono noma nge-pacifier. 👶</v>
      </c>
      <c r="K120" s="29" t="str">
        <f ca="1">IFERROR(__xludf.DUMMYFUNCTION("GOOGLETRANSLATE(F120, ""en"", ""af"")"),"As tepelskerms en/of fopspeen ingestel word voordat borsvoeding goed gevestig is, veroorsaak dit dikwels die sogenaamde 'tepelverwarring', wat veroorsaak dat die baba 'n slegte grendel op die bors vorm, aangesien die manier waarop hulle hulself op die bor"&amp;"s moet plaas, heeltemal anders is as van mekaar Die manier waarop hulle met 'n tepelskild of fopspeen is. 👶")</f>
        <v>As tepelskerms en/of fopspeen ingestel word voordat borsvoeding goed gevestig is, veroorsaak dit dikwels die sogenaamde 'tepelverwarring', wat veroorsaak dat die baba 'n slegte grendel op die bors vorm, aangesien die manier waarop hulle hulself op die bors moet plaas, heeltemal anders is as van mekaar Die manier waarop hulle met 'n tepelskild of fopspeen is. 👶</v>
      </c>
      <c r="L120" s="20" t="str">
        <f ca="1">IFERROR(__xludf.DUMMYFUNCTION("GOOGLETRANSLATE(D120, ""pt"", ""af"")"),"As silikoon en/of Bybel/fopspeen ingestel word voordat borsvoeding goed gevestig is, veroorsaak dit dikwels die so -oproepe ""verwarring van tepels"" wat die baba lei om 'n slegte vangs te maak, want die vorm wat u in die bors moet plaas anders as die man"&amp;"ier waarop jy jouself met 'n silikoon -tepel of in 'n fopspeen plaas. 👶")</f>
        <v>As silikoon en/of Bybel/fopspeen ingestel word voordat borsvoeding goed gevestig is, veroorsaak dit dikwels die so -oproepe "verwarring van tepels" wat die baba lei om 'n slegte vangs te maak, want die vorm wat u in die bors moet plaas anders as die manier waarop jy jouself met 'n silikoon -tepel of in 'n fopspeen plaas. 👶</v>
      </c>
      <c r="M120" s="30"/>
      <c r="N120" s="30"/>
      <c r="O120" s="30"/>
      <c r="P120" s="30"/>
      <c r="Q120" s="30"/>
      <c r="R120" s="30"/>
      <c r="S120" s="30"/>
      <c r="T120" s="30"/>
      <c r="U120" s="30"/>
      <c r="V120" s="30"/>
      <c r="W120" s="30"/>
      <c r="X120" s="30"/>
      <c r="Y120" s="30"/>
      <c r="Z120" s="30"/>
      <c r="AA120" s="30"/>
      <c r="AB120" s="30"/>
      <c r="AC120" s="30"/>
      <c r="AD120" s="30"/>
      <c r="AE120" s="30"/>
      <c r="AF120" s="30"/>
    </row>
    <row r="121" spans="1:32" ht="105">
      <c r="A121" s="23" t="s">
        <v>869</v>
      </c>
      <c r="B121" s="24" t="s">
        <v>870</v>
      </c>
      <c r="C121" s="23" t="s">
        <v>981</v>
      </c>
      <c r="D121" s="25" t="s">
        <v>983</v>
      </c>
      <c r="E121" s="25"/>
      <c r="F121" s="25" t="s">
        <v>984</v>
      </c>
      <c r="G121" s="27"/>
      <c r="H121" s="25"/>
      <c r="I121" s="27" t="str">
        <f ca="1">IFERROR(__xludf.DUMMYFUNCTION("GOOGLETRANSLATE(F121, ""en"", ""zu"")"),"Lokhu yingakho kufanele sibambezele ukwethula izihlangu zengono noma ama-pacifiers kuze kube yilapho ukuncelisa ibele kusungulwe kahle (ngemuva kwamasonto angaba ngu-6 ubudala uma ngabe bekungekho zinkinga ngalesi sikhathi).")</f>
        <v>Lokhu yingakho kufanele sibambezele ukwethula izihlangu zengono noma ama-pacifiers kuze kube yilapho ukuncelisa ibele kusungulwe kahle (ngemuva kwamasonto angaba ngu-6 ubudala uma ngabe bekungekho zinkinga ngalesi sikhathi).</v>
      </c>
      <c r="J121" s="29" t="str">
        <f ca="1">IFERROR(__xludf.DUMMYFUNCTION("GOOGLETRANSLATE(D121, ""pt"", ""zu"")"),"Yingakho ukwethulwa kwanoma yiziphi zalezi zinto kufanele kubambezelwe kuze kube yilapho ukuncelisa ibele kusungulwe kahle (cishe ngemuva kwamasonto ayi-6 ubudala uma kungekho nzima phakathi).")</f>
        <v>Yingakho ukwethulwa kwanoma yiziphi zalezi zinto kufanele kubambezelwe kuze kube yilapho ukuncelisa ibele kusungulwe kahle (cishe ngemuva kwamasonto ayi-6 ubudala uma kungekho nzima phakathi).</v>
      </c>
      <c r="K121" s="29" t="str">
        <f ca="1">IFERROR(__xludf.DUMMYFUNCTION("GOOGLETRANSLATE(F121, ""en"", ""af"")"),"Dit is die rede waarom ons moet vertraag om tepelskerms of fopspeen in te stel totdat borsvoeding goed gevestig is (na ongeveer 6 weke ouderdom as daar nie probleme was in hierdie tyd nie).")</f>
        <v>Dit is die rede waarom ons moet vertraag om tepelskerms of fopspeen in te stel totdat borsvoeding goed gevestig is (na ongeveer 6 weke ouderdom as daar nie probleme was in hierdie tyd nie).</v>
      </c>
      <c r="L121" s="20" t="str">
        <f ca="1">IFERROR(__xludf.DUMMYFUNCTION("GOOGLETRANSLATE(D121, ""pt"", ""af"")"),"Dit is waarom die bekendstelling van enige van hierdie elemente vertraag moet word totdat borsvoeding goed gevestig is (ongeveer na 6 weke ouderdom as daar geen probleme in die middel was nie).")</f>
        <v>Dit is waarom die bekendstelling van enige van hierdie elemente vertraag moet word totdat borsvoeding goed gevestig is (ongeveer na 6 weke ouderdom as daar geen probleme in die middel was nie).</v>
      </c>
      <c r="M121" s="30"/>
      <c r="N121" s="30"/>
      <c r="O121" s="30"/>
      <c r="P121" s="30"/>
      <c r="Q121" s="30"/>
      <c r="R121" s="30"/>
      <c r="S121" s="30"/>
      <c r="T121" s="30"/>
      <c r="U121" s="30"/>
      <c r="V121" s="30"/>
      <c r="W121" s="30"/>
      <c r="X121" s="30"/>
      <c r="Y121" s="30"/>
      <c r="Z121" s="30"/>
      <c r="AA121" s="30"/>
      <c r="AB121" s="30"/>
      <c r="AC121" s="30"/>
      <c r="AD121" s="30"/>
      <c r="AE121" s="30"/>
      <c r="AF121" s="30"/>
    </row>
    <row r="122" spans="1:32" ht="120">
      <c r="A122" s="23" t="s">
        <v>869</v>
      </c>
      <c r="B122" s="24" t="s">
        <v>870</v>
      </c>
      <c r="C122" s="23" t="s">
        <v>897</v>
      </c>
      <c r="D122" s="25" t="s">
        <v>985</v>
      </c>
      <c r="E122" s="25"/>
      <c r="F122" s="25" t="s">
        <v>986</v>
      </c>
      <c r="G122" s="27"/>
      <c r="H122" s="25"/>
      <c r="I122" s="27" t="str">
        <f ca="1">IFERROR(__xludf.DUMMYFUNCTION("GOOGLETRANSLATE(F122, ""en"", ""zu"")"),"Ngemuva kokuthi ukuncelisa ibele kusungulwe kahle (imvamisa ngemuva kwamaviki ayi-6 ngaphandle kwezingqinamba), akufanele kube kubuhlungu futhi.
 Ubuhlungu, izilonda kanye nemifantu cishe kuhlale kungenxa ye-latch empofu.")</f>
        <v>Ngemuva kokuthi ukuncelisa ibele kusungulwe kahle (imvamisa ngemuva kwamaviki ayi-6 ngaphandle kwezingqinamba), akufanele kube kubuhlungu futhi.
 Ubuhlungu, izilonda kanye nemifantu cishe kuhlale kungenxa ye-latch empofu.</v>
      </c>
      <c r="J122" s="29" t="str">
        <f ca="1">IFERROR(__xludf.DUMMYFUNCTION("GOOGLETRANSLATE(D122, ""pt"", ""zu"")"),"Ngemuva kokuncelisa ibele (imvamisa ngemuva kwamaviki ayi-6 ngaphandle kwezinkinga) abukho buhlungu obufanele ngesikhathi sokuncelisa ibele.
Ubuhlungu, amanxeba nemifantu cishe kuhlale kuwuphawu lokubamba okubi.")</f>
        <v>Ngemuva kokuncelisa ibele (imvamisa ngemuva kwamaviki ayi-6 ngaphandle kwezinkinga) abukho buhlungu obufanele ngesikhathi sokuncelisa ibele.
Ubuhlungu, amanxeba nemifantu cishe kuhlale kuwuphawu lokubamba okubi.</v>
      </c>
      <c r="K122" s="29" t="str">
        <f ca="1">IFERROR(__xludf.DUMMYFUNCTION("GOOGLETRANSLATE(F122, ""en"", ""af"")"),"Nadat borsvoeding goed gevestig is (gewoonlik na 6 weke sonder terugslae), moet dit nie meer pynlik wees nie.
 Pyn, sere en krake is byna altyd te wyte aan 'n swak grendel.")</f>
        <v>Nadat borsvoeding goed gevestig is (gewoonlik na 6 weke sonder terugslae), moet dit nie meer pynlik wees nie.
 Pyn, sere en krake is byna altyd te wyte aan 'n swak grendel.</v>
      </c>
      <c r="L122" s="20" t="str">
        <f ca="1">IFERROR(__xludf.DUMMYFUNCTION("GOOGLETRANSLATE(D122, ""pt"", ""af"")"),"Na die borsvoeding (gewoonlik na 6 weke sonder terugslae) is daar geen veronderstelde pyn tydens die borsvoeding nie.
Pyn, wonde en krake is byna altyd 'n teken van slegte handvatsel.")</f>
        <v>Na die borsvoeding (gewoonlik na 6 weke sonder terugslae) is daar geen veronderstelde pyn tydens die borsvoeding nie.
Pyn, wonde en krake is byna altyd 'n teken van slegte handvatsel.</v>
      </c>
      <c r="M122" s="30"/>
      <c r="N122" s="30"/>
      <c r="O122" s="30"/>
      <c r="P122" s="30"/>
      <c r="Q122" s="30"/>
      <c r="R122" s="30"/>
      <c r="S122" s="30"/>
      <c r="T122" s="30"/>
      <c r="U122" s="30"/>
      <c r="V122" s="30"/>
      <c r="W122" s="30"/>
      <c r="X122" s="30"/>
      <c r="Y122" s="30"/>
      <c r="Z122" s="30"/>
      <c r="AA122" s="30"/>
      <c r="AB122" s="30"/>
      <c r="AC122" s="30"/>
      <c r="AD122" s="30"/>
      <c r="AE122" s="30"/>
      <c r="AF122" s="30"/>
    </row>
    <row r="123" spans="1:32" ht="27.95">
      <c r="A123" s="23" t="s">
        <v>869</v>
      </c>
      <c r="B123" s="24" t="s">
        <v>872</v>
      </c>
      <c r="C123" s="23" t="s">
        <v>897</v>
      </c>
      <c r="D123" s="25" t="s">
        <v>373</v>
      </c>
      <c r="E123" s="25" t="s">
        <v>890</v>
      </c>
      <c r="F123" s="25"/>
      <c r="G123" s="27"/>
      <c r="H123" s="25"/>
      <c r="I123" s="27"/>
      <c r="J123" s="29" t="str">
        <f ca="1">IFERROR(__xludf.DUMMYFUNCTION("GOOGLETRANSLATE(D123, ""pt"", ""zu"")"),"Nqaka")</f>
        <v>Nqaka</v>
      </c>
      <c r="K123" s="29"/>
      <c r="L123" s="20" t="str">
        <f ca="1">IFERROR(__xludf.DUMMYFUNCTION("GOOGLETRANSLATE(D123, ""pt"", ""af"")"),"Vang")</f>
        <v>Vang</v>
      </c>
      <c r="M123" s="30"/>
      <c r="N123" s="30"/>
      <c r="O123" s="30"/>
      <c r="P123" s="30"/>
      <c r="Q123" s="30"/>
      <c r="R123" s="30"/>
      <c r="S123" s="30"/>
      <c r="T123" s="30"/>
      <c r="U123" s="30"/>
      <c r="V123" s="30"/>
      <c r="W123" s="30"/>
      <c r="X123" s="30"/>
      <c r="Y123" s="30"/>
      <c r="Z123" s="30"/>
      <c r="AA123" s="30"/>
      <c r="AB123" s="30"/>
      <c r="AC123" s="30"/>
      <c r="AD123" s="30"/>
      <c r="AE123" s="30"/>
      <c r="AF123" s="30"/>
    </row>
    <row r="124" spans="1:32" ht="45">
      <c r="A124" s="23" t="s">
        <v>869</v>
      </c>
      <c r="B124" s="24" t="s">
        <v>870</v>
      </c>
      <c r="C124" s="23" t="s">
        <v>987</v>
      </c>
      <c r="D124" s="25" t="s">
        <v>607</v>
      </c>
      <c r="E124" s="25"/>
      <c r="F124" s="25" t="s">
        <v>89</v>
      </c>
      <c r="G124" s="27"/>
      <c r="H124" s="25"/>
      <c r="I124" s="27" t="str">
        <f ca="1">IFERROR(__xludf.DUMMYFUNCTION("GOOGLETRANSLATE(F124, ""en"", ""zu"")"),"Ukukhiqizwa kobisi 💦 kuhlale kungumsebenzi wesidingo / sokuvuselela.")</f>
        <v>Ukukhiqizwa kobisi 💦 kuhlale kungumsebenzi wesidingo / sokuvuselela.</v>
      </c>
      <c r="J124" s="29" t="str">
        <f ca="1">IFERROR(__xludf.DUMMYFUNCTION("GOOGLETRANSLATE(D124, ""pt"", ""zu"")"),"Ukukhiqizwa kobisi kuhlale kungenxa yokusesha / ukukhuthaza.")</f>
        <v>Ukukhiqizwa kobisi kuhlale kungenxa yokusesha / ukukhuthaza.</v>
      </c>
      <c r="K124" s="29" t="str">
        <f ca="1">IFERROR(__xludf.DUMMYFUNCTION("GOOGLETRANSLATE(F124, ""en"", ""af"")"),"Melkproduksie 💦 is altyd 'n funksie van vraag/stimulus.")</f>
        <v>Melkproduksie 💦 is altyd 'n funksie van vraag/stimulus.</v>
      </c>
      <c r="L124" s="20" t="str">
        <f ca="1">IFERROR(__xludf.DUMMYFUNCTION("GOOGLETRANSLATE(D124, ""pt"", ""af"")"),"Melkproduksie is altyd te wyte aan soek/stimulus.")</f>
        <v>Melkproduksie is altyd te wyte aan soek/stimulus.</v>
      </c>
      <c r="M124" s="30"/>
      <c r="N124" s="30"/>
      <c r="O124" s="30"/>
      <c r="P124" s="30"/>
      <c r="Q124" s="30"/>
      <c r="R124" s="30"/>
      <c r="S124" s="30"/>
      <c r="T124" s="30"/>
      <c r="U124" s="30"/>
      <c r="V124" s="30"/>
      <c r="W124" s="30"/>
      <c r="X124" s="30"/>
      <c r="Y124" s="30"/>
      <c r="Z124" s="30"/>
      <c r="AA124" s="30"/>
      <c r="AB124" s="30"/>
      <c r="AC124" s="30"/>
      <c r="AD124" s="30"/>
      <c r="AE124" s="30"/>
      <c r="AF124" s="30"/>
    </row>
    <row r="125" spans="1:32" ht="90">
      <c r="A125" s="23" t="s">
        <v>869</v>
      </c>
      <c r="B125" s="24" t="s">
        <v>870</v>
      </c>
      <c r="C125" s="23" t="s">
        <v>987</v>
      </c>
      <c r="D125" s="25" t="s">
        <v>610</v>
      </c>
      <c r="E125" s="25"/>
      <c r="F125" s="25" t="s">
        <v>90</v>
      </c>
      <c r="G125" s="27"/>
      <c r="H125" s="25"/>
      <c r="I125" s="27" t="str">
        <f ca="1">IFERROR(__xludf.DUMMYFUNCTION("GOOGLETRANSLATE(F125, ""en"", ""zu"")"),"Ukuncelisa ibele ngokufunwa (noma nini lapho ingane ifuna), kunokuba ngezikhathi ezithile noma kumasheduli athile, kuyindlela engcono kakhulu yokuqinisekisa ukuthi ingane yakho ithola konke ukudla akudingayo.")</f>
        <v>Ukuncelisa ibele ngokufunwa (noma nini lapho ingane ifuna), kunokuba ngezikhathi ezithile noma kumasheduli athile, kuyindlela engcono kakhulu yokuqinisekisa ukuthi ingane yakho ithola konke ukudla akudingayo.</v>
      </c>
      <c r="J125" s="29" t="str">
        <f ca="1">IFERROR(__xludf.DUMMYFUNCTION("GOOGLETRANSLATE(D125, ""pt"", ""zu"")"),"Ukuncelisa ibele ngaphandle kwesikhathi, amashejuli kanye nesidingo (noma nini lapho ingane ibuza) iyindlela engcono kakhulu yokuqinisekisa ukuthi ingane yakho ithola konke ukudla okudingayo.")</f>
        <v>Ukuncelisa ibele ngaphandle kwesikhathi, amashejuli kanye nesidingo (noma nini lapho ingane ibuza) iyindlela engcono kakhulu yokuqinisekisa ukuthi ingane yakho ithola konke ukudla okudingayo.</v>
      </c>
      <c r="K125" s="29" t="str">
        <f ca="1">IFERROR(__xludf.DUMMYFUNCTION("GOOGLETRANSLATE(F125, ""en"", ""af"")"),"Borsvoeding op aanvraag (wanneer die baba dit wil), eerder as op sekere tye of op sekere skedules, is die beste manier om te verseker dat u baba al die kos kry wat sy benodig.")</f>
        <v>Borsvoeding op aanvraag (wanneer die baba dit wil), eerder as op sekere tye of op sekere skedules, is die beste manier om te verseker dat u baba al die kos kry wat sy benodig.</v>
      </c>
      <c r="L125" s="20" t="str">
        <f ca="1">IFERROR(__xludf.DUMMYFUNCTION("GOOGLETRANSLATE(D125, ""pt"", ""af"")"),"Borsvoeding sonder 'n tyd, skedules en op aanvraag (wanneer die baba dit vra) is die beste manier om te verseker dat u baba al die kos ontvang wat u benodig.")</f>
        <v>Borsvoeding sonder 'n tyd, skedules en op aanvraag (wanneer die baba dit vra) is die beste manier om te verseker dat u baba al die kos ontvang wat u benodig.</v>
      </c>
      <c r="M125" s="30"/>
      <c r="N125" s="30"/>
      <c r="O125" s="30"/>
      <c r="P125" s="30"/>
      <c r="Q125" s="30"/>
      <c r="R125" s="30"/>
      <c r="S125" s="30"/>
      <c r="T125" s="30"/>
      <c r="U125" s="30"/>
      <c r="V125" s="30"/>
      <c r="W125" s="30"/>
      <c r="X125" s="30"/>
      <c r="Y125" s="30"/>
      <c r="Z125" s="30"/>
      <c r="AA125" s="30"/>
      <c r="AB125" s="30"/>
      <c r="AC125" s="30"/>
      <c r="AD125" s="30"/>
      <c r="AE125" s="30"/>
      <c r="AF125" s="30"/>
    </row>
    <row r="126" spans="1:32" ht="90">
      <c r="A126" s="23" t="s">
        <v>869</v>
      </c>
      <c r="B126" s="24" t="s">
        <v>870</v>
      </c>
      <c r="C126" s="23" t="s">
        <v>987</v>
      </c>
      <c r="D126" s="25" t="s">
        <v>613</v>
      </c>
      <c r="E126" s="25"/>
      <c r="F126" s="25" t="s">
        <v>91</v>
      </c>
      <c r="G126" s="27"/>
      <c r="H126" s="25"/>
      <c r="I126" s="27" t="str">
        <f ca="1">IFERROR(__xludf.DUMMYFUNCTION("GOOGLETRANSLATE(F126, ""en"", ""zu"")"),"Ukwandisa ukukhiqizwa ⬆ ⬆ Veza futhi / noma ukhiphe amabele akho kaningi. Akufanele unikeze isifuba sesibili kuze kube yilapho owokuqala esekhishwe.")</f>
        <v>Ukwandisa ukukhiqizwa ⬆ ⬆ Veza futhi / noma ukhiphe amabele akho kaningi. Akufanele unikeze isifuba sesibili kuze kube yilapho owokuqala esekhishwe.</v>
      </c>
      <c r="J126" s="29" t="str">
        <f ca="1">IFERROR(__xludf.DUMMYFUNCTION("GOOGLETRANSLATE(D126, ""pt"", ""zu"")"),"Ukwandisa ukukhiqizwa ⬆ vele unikeze futhi / noma ukhiphe isifuba kaningi. Umuntu akufanele anikeze isifuba sesibili ngaphandle kokuqinisekisa ukuthi owokuqala wadedelwa.")</f>
        <v>Ukwandisa ukukhiqizwa ⬆ vele unikeze futhi / noma ukhiphe isifuba kaningi. Umuntu akufanele anikeze isifuba sesibili ngaphandle kokuqinisekisa ukuthi owokuqala wadedelwa.</v>
      </c>
      <c r="K126" s="29" t="str">
        <f ca="1">IFERROR(__xludf.DUMMYFUNCTION("GOOGLETRANSLATE(F126, ""en"", ""af"")"),"Om die produksie te verhoog ⬆ Bied u borste net meer gereeld aan en/of leeg. U moet nie die tweede bors aanbied voordat die eerste een leeggemaak is nie.")</f>
        <v>Om die produksie te verhoog ⬆ Bied u borste net meer gereeld aan en/of leeg. U moet nie die tweede bors aanbied voordat die eerste een leeggemaak is nie.</v>
      </c>
      <c r="L126" s="20" t="str">
        <f ca="1">IFERROR(__xludf.DUMMYFUNCTION("GOOGLETRANSLATE(D126, ""pt"", ""af"")"),"Om die produksie te verhoog ⬆ Bied en/of leeg die bors net meer gereeld. 'N Mens moet nie die tweede bors aanbied sonder om te waarborg dat die eerste leeggemaak is nie.")</f>
        <v>Om die produksie te verhoog ⬆ Bied en/of leeg die bors net meer gereeld. 'N Mens moet nie die tweede bors aanbied sonder om te waarborg dat die eerste leeggemaak is nie.</v>
      </c>
      <c r="M126" s="30"/>
      <c r="N126" s="30"/>
      <c r="O126" s="30"/>
      <c r="P126" s="30"/>
      <c r="Q126" s="30"/>
      <c r="R126" s="30"/>
      <c r="S126" s="30"/>
      <c r="T126" s="30"/>
      <c r="U126" s="30"/>
      <c r="V126" s="30"/>
      <c r="W126" s="30"/>
      <c r="X126" s="30"/>
      <c r="Y126" s="30"/>
      <c r="Z126" s="30"/>
      <c r="AA126" s="30"/>
      <c r="AB126" s="30"/>
      <c r="AC126" s="30"/>
      <c r="AD126" s="30"/>
      <c r="AE126" s="30"/>
      <c r="AF126" s="30"/>
    </row>
    <row r="127" spans="1:32" ht="75">
      <c r="A127" s="23" t="s">
        <v>869</v>
      </c>
      <c r="B127" s="24" t="s">
        <v>870</v>
      </c>
      <c r="C127" s="23" t="s">
        <v>987</v>
      </c>
      <c r="D127" s="25" t="s">
        <v>616</v>
      </c>
      <c r="E127" s="25"/>
      <c r="F127" s="25" t="s">
        <v>92</v>
      </c>
      <c r="G127" s="27"/>
      <c r="H127" s="25"/>
      <c r="I127" s="27" t="str">
        <f ca="1">IFERROR(__xludf.DUMMYFUNCTION("GOOGLETRANSLATE(F127, ""en"", ""zu"")"),"Kodwa-ke, uma ingane yakho ikhiphe ngokuphelele owokuqala futhi ifuna okuningi, inikezela owesibili. Lokhu kwenzeka kakhulu ngesikhathi sokukhula kokukhula.")</f>
        <v>Kodwa-ke, uma ingane yakho ikhiphe ngokuphelele owokuqala futhi ifuna okuningi, inikezela owesibili. Lokhu kwenzeka kakhulu ngesikhathi sokukhula kokukhula.</v>
      </c>
      <c r="J127" s="29" t="str">
        <f ca="1">IFERROR(__xludf.DUMMYFUNCTION("GOOGLETRANSLATE(D127, ""pt"", ""zu"")"),"Kodwa-ke, futhi njengoba kwenzeka kakhulu eziqongweni zokukhula, eyokuqala ngokugcwele futhi iyaqhubeka nokubheka, kunikelwa okwesibili.")</f>
        <v>Kodwa-ke, futhi njengoba kwenzeka kakhulu eziqongweni zokukhula, eyokuqala ngokugcwele futhi iyaqhubeka nokubheka, kunikelwa okwesibili.</v>
      </c>
      <c r="K127" s="29" t="str">
        <f ca="1">IFERROR(__xludf.DUMMYFUNCTION("GOOGLETRANSLATE(F127, ""en"", ""af"")"),"As u baba egter die eerste een heeltemal leeggemaak het en meer wil hê, bied die tweede een aan. Dit gebeur baie tydens groeispoor.")</f>
        <v>As u baba egter die eerste een heeltemal leeggemaak het en meer wil hê, bied die tweede een aan. Dit gebeur baie tydens groeispoor.</v>
      </c>
      <c r="L127" s="20" t="str">
        <f ca="1">IFERROR(__xludf.DUMMYFUNCTION("GOOGLETRANSLATE(D127, ""pt"", ""af"")"),"Maar aangesien dit baie op groeipieke gebeur, word die eerste een volledig en voortgegaan om te soek, word die tweede aangebied.")</f>
        <v>Maar aangesien dit baie op groeipieke gebeur, word die eerste een volledig en voortgegaan om te soek, word die tweede aangebied.</v>
      </c>
      <c r="M127" s="30"/>
      <c r="N127" s="30"/>
      <c r="O127" s="30"/>
      <c r="P127" s="30"/>
      <c r="Q127" s="30"/>
      <c r="R127" s="30"/>
      <c r="S127" s="30"/>
      <c r="T127" s="30"/>
      <c r="U127" s="30"/>
      <c r="V127" s="30"/>
      <c r="W127" s="30"/>
      <c r="X127" s="30"/>
      <c r="Y127" s="30"/>
      <c r="Z127" s="30"/>
      <c r="AA127" s="30"/>
      <c r="AB127" s="30"/>
      <c r="AC127" s="30"/>
      <c r="AD127" s="30"/>
      <c r="AE127" s="30"/>
      <c r="AF127" s="30"/>
    </row>
    <row r="128" spans="1:32" ht="27.95">
      <c r="A128" s="23" t="s">
        <v>869</v>
      </c>
      <c r="B128" s="24" t="s">
        <v>872</v>
      </c>
      <c r="C128" s="23" t="s">
        <v>987</v>
      </c>
      <c r="D128" s="25" t="s">
        <v>988</v>
      </c>
      <c r="E128" s="25"/>
      <c r="F128" s="25"/>
      <c r="G128" s="27"/>
      <c r="H128" s="25"/>
      <c r="I128" s="27"/>
      <c r="J128" s="29" t="str">
        <f ca="1">IFERROR(__xludf.DUMMYFUNCTION("GOOGLETRANSLATE(D128, ""pt"", ""zu"")"),"QD anikeze i-2nd?")</f>
        <v>QD anikeze i-2nd?</v>
      </c>
      <c r="K128" s="29"/>
      <c r="L128" s="20" t="str">
        <f ca="1">IFERROR(__xludf.DUMMYFUNCTION("GOOGLETRANSLATE(D128, ""pt"", ""af"")"),"QD bied die 2de aan?")</f>
        <v>QD bied die 2de aan?</v>
      </c>
      <c r="M128" s="30"/>
      <c r="N128" s="30"/>
      <c r="O128" s="30"/>
      <c r="P128" s="30"/>
      <c r="Q128" s="30"/>
      <c r="R128" s="30"/>
      <c r="S128" s="30"/>
      <c r="T128" s="30"/>
      <c r="U128" s="30"/>
      <c r="V128" s="30"/>
      <c r="W128" s="30"/>
      <c r="X128" s="30"/>
      <c r="Y128" s="30"/>
      <c r="Z128" s="30"/>
      <c r="AA128" s="30"/>
      <c r="AB128" s="30"/>
      <c r="AC128" s="30"/>
      <c r="AD128" s="30"/>
      <c r="AE128" s="30"/>
      <c r="AF128" s="30"/>
    </row>
    <row r="129" spans="1:32" ht="111.95">
      <c r="A129" s="23" t="s">
        <v>869</v>
      </c>
      <c r="B129" s="24" t="s">
        <v>870</v>
      </c>
      <c r="C129" s="23" t="s">
        <v>989</v>
      </c>
      <c r="D129" s="25" t="s">
        <v>705</v>
      </c>
      <c r="E129" s="25"/>
      <c r="F129" s="25" t="s">
        <v>187</v>
      </c>
      <c r="G129" s="27"/>
      <c r="H129" s="25"/>
      <c r="I129" s="27" t="str">
        <f ca="1">IFERROR(__xludf.DUMMYFUNCTION("GOOGLETRANSLATE(F129, ""en"", ""zu"")"),"Kwesinye isikhathi, lapho ukugeleza kobisi kunamandla kakhulu noma ubisi lwe-ecession Reflex lushesha kakhulu, ubisi lungakwazi ukuxubha ngokushesha, olungadala ukujaha noma ukugoqa. Ngamanye amagama, ubisi kungenzeka luphume nengcindezi eningi. 💦")</f>
        <v>Kwesinye isikhathi, lapho ukugeleza kobisi kunamandla kakhulu noma ubisi lwe-ecession Reflex lushesha kakhulu, ubisi lungakwazi ukuxubha ngokushesha, olungadala ukujaha noma ukugoqa. Ngamanye amagama, ubisi kungenzeka luphume nengcindezi eningi. 💦</v>
      </c>
      <c r="J129" s="29" t="str">
        <f ca="1">IFERROR(__xludf.DUMMYFUNCTION("GOOGLETRANSLATE(D129, ""pt"", ""zu"")"),"Kwesinye isikhathi, lapho ukugeleza kobisi kuqinile kakhulu noma ukuboniswa kwama-hormone kushesha kakhulu, ubisi lungaphuma luyaziswa kakhulu okuletha ukufunwa okuthile. 💦")</f>
        <v>Kwesinye isikhathi, lapho ukugeleza kobisi kuqinile kakhulu noma ukuboniswa kwama-hormone kushesha kakhulu, ubisi lungaphuma luyaziswa kakhulu okuletha ukufunwa okuthile. 💦</v>
      </c>
      <c r="K129" s="29" t="str">
        <f ca="1">IFERROR(__xludf.DUMMYFUNCTION("GOOGLETRANSLATE(F129, ""en"", ""af"")"),"Soms, as die vloei van melk te sterk is of die refleks van die melkuitwerping baie vinnig is, kan die melk te vinnig spuit, wat kan verstik of gagging veroorsaak. Met ander woorde, die melk kom miskien met baie druk uit. 💦")</f>
        <v>Soms, as die vloei van melk te sterk is of die refleks van die melkuitwerping baie vinnig is, kan die melk te vinnig spuit, wat kan verstik of gagging veroorsaak. Met ander woorde, die melk kom miskien met baie druk uit. 💦</v>
      </c>
      <c r="L129" s="20" t="str">
        <f ca="1">IFERROR(__xludf.DUMMYFUNCTION("GOOGLETRANSLATE(D129, ""pt"", ""af"")"),"Soms, as die melkvloei baie sterk is of die weerspieëling van hormone baie vinnig is, kan melk te vinnig uitgaan, wat aanleiding gee tot 'n bietjie verstikking, dit wil sê die melk kan baie druk uitkom. 💦")</f>
        <v>Soms, as die melkvloei baie sterk is of die weerspieëling van hormone baie vinnig is, kan melk te vinnig uitgaan, wat aanleiding gee tot 'n bietjie verstikking, dit wil sê die melk kan baie druk uitkom. 💦</v>
      </c>
      <c r="M129" s="30"/>
      <c r="N129" s="30"/>
      <c r="O129" s="30"/>
      <c r="P129" s="30"/>
      <c r="Q129" s="30"/>
      <c r="R129" s="30"/>
      <c r="S129" s="30"/>
      <c r="T129" s="30"/>
      <c r="U129" s="30"/>
      <c r="V129" s="30"/>
      <c r="W129" s="30"/>
      <c r="X129" s="30"/>
      <c r="Y129" s="30"/>
      <c r="Z129" s="30"/>
      <c r="AA129" s="30"/>
      <c r="AB129" s="30"/>
      <c r="AC129" s="30"/>
      <c r="AD129" s="30"/>
      <c r="AE129" s="30"/>
      <c r="AF129" s="30"/>
    </row>
    <row r="130" spans="1:32" ht="120">
      <c r="A130" s="23" t="s">
        <v>869</v>
      </c>
      <c r="B130" s="24" t="s">
        <v>870</v>
      </c>
      <c r="C130" s="23" t="s">
        <v>989</v>
      </c>
      <c r="D130" s="25" t="s">
        <v>708</v>
      </c>
      <c r="E130" s="25"/>
      <c r="F130" s="25" t="s">
        <v>990</v>
      </c>
      <c r="G130" s="27"/>
      <c r="H130" s="25"/>
      <c r="I130" s="27" t="str">
        <f ca="1">IFERROR(__xludf.DUMMYFUNCTION("GOOGLETRANSLATE(F130, ""en"", ""zu"")"),"Zama ukuncelisa ukuncelisa emuva emuva (noma ukubeka phansi phansi), noma zama ukuvusa isifuba ukukhipha ""ama-squirt"" okuqala 💦 kusengaphambili bese kuncelisa ingane yakho ngemuva kwalokho.")</f>
        <v>Zama ukuncelisa ukuncelisa emuva emuva (noma ukubeka phansi phansi), noma zama ukuvusa isifuba ukukhipha "ama-squirt" okuqala 💦 kusengaphambili bese kuncelisa ingane yakho ngemuva kwalokho.</v>
      </c>
      <c r="J130" s="29" t="str">
        <f ca="1">IFERROR(__xludf.DUMMYFUNCTION("GOOGLETRANSLATE(D130, ""pt"", ""zu"")"),"Zama ukuncelisa ukuncelisa ngemuva kwakho emuva emuva (ukuncika okuningi noma okulele emhlane wakho) noma zama ukuvuselela ibele ngaphambili ukuvumela ingane yokuqala ""encane"" ibeka ingane ebeleni ngokuhamba kwesikhathi.")</f>
        <v>Zama ukuncelisa ukuncelisa ngemuva kwakho emuva emuva (ukuncika okuningi noma okulele emhlane wakho) noma zama ukuvuselela ibele ngaphambili ukuvumela ingane yokuqala "encane" ibeka ingane ebeleni ngokuhamba kwesikhathi.</v>
      </c>
      <c r="K130" s="29" t="str">
        <f ca="1">IFERROR(__xludf.DUMMYFUNCTION("GOOGLETRANSLATE(F130, ""en"", ""af"")"),"Probeer borsvoeding leun terug (of gaan lê selfs), of probeer om die bors te stimuleer om die eerste ""spuit"" vooraf te laat uit te laat en dan daarna u baba te laat borsvoed.")</f>
        <v>Probeer borsvoeding leun terug (of gaan lê selfs), of probeer om die bors te stimuleer om die eerste "spuit" vooraf te laat uit te laat en dan daarna u baba te laat borsvoed.</v>
      </c>
      <c r="L130" s="20" t="str">
        <f ca="1">IFERROR(__xludf.DUMMYFUNCTION("GOOGLETRANSLATE(D130, ""pt"", ""af"")"),"Probeer borsvoed met u mees geneigde rug (meer leun of selfs op u rug lê) of probeer om die bors voorheen te stimuleer om die eerste 'klein spuit' uit te laat kom en die baba later net aan die bors te sit.")</f>
        <v>Probeer borsvoed met u mees geneigde rug (meer leun of selfs op u rug lê) of probeer om die bors voorheen te stimuleer om die eerste 'klein spuit' uit te laat kom en die baba later net aan die bors te sit.</v>
      </c>
      <c r="M130" s="30"/>
      <c r="N130" s="30"/>
      <c r="O130" s="30"/>
      <c r="P130" s="30"/>
      <c r="Q130" s="30"/>
      <c r="R130" s="30"/>
      <c r="S130" s="30"/>
      <c r="T130" s="30"/>
      <c r="U130" s="30"/>
      <c r="V130" s="30"/>
      <c r="W130" s="30"/>
      <c r="X130" s="30"/>
      <c r="Y130" s="30"/>
      <c r="Z130" s="30"/>
      <c r="AA130" s="30"/>
      <c r="AB130" s="30"/>
      <c r="AC130" s="30"/>
      <c r="AD130" s="30"/>
      <c r="AE130" s="30"/>
      <c r="AF130" s="30"/>
    </row>
    <row r="131" spans="1:32" ht="60">
      <c r="A131" s="23" t="s">
        <v>869</v>
      </c>
      <c r="B131" s="24" t="s">
        <v>870</v>
      </c>
      <c r="C131" s="23" t="s">
        <v>991</v>
      </c>
      <c r="D131" s="25" t="s">
        <v>785</v>
      </c>
      <c r="E131" s="25"/>
      <c r="F131" s="25" t="s">
        <v>249</v>
      </c>
      <c r="G131" s="27"/>
      <c r="H131" s="25"/>
      <c r="I131" s="27" t="str">
        <f ca="1">IFERROR(__xludf.DUMMYFUNCTION("GOOGLETRANSLATE(F131, ""en"", ""zu"")"),"Ubisi lwebele lungafudunyezwa (noma luncishisiwe) ngezindlela ezihlukile, kepha izindlela eziphephe kunazo zonke ziyi:")</f>
        <v>Ubisi lwebele lungafudunyezwa (noma luncishisiwe) ngezindlela ezihlukile, kepha izindlela eziphephe kunazo zonke ziyi:</v>
      </c>
      <c r="J131" s="29" t="str">
        <f ca="1">IFERROR(__xludf.DUMMYFUNCTION("GOOGLETRANSLATE(D131, ""pt"", ""zu"")"),"Ubisi lwebele lungafudunyezwa (noma luncishisiwe) ngezindlela ezihlukile, kepha abaphephe kunazo zonke yilezi:")</f>
        <v>Ubisi lwebele lungafudunyezwa (noma luncishisiwe) ngezindlela ezihlukile, kepha abaphephe kunazo zonke yilezi:</v>
      </c>
      <c r="K131" s="29" t="str">
        <f ca="1">IFERROR(__xludf.DUMMYFUNCTION("GOOGLETRANSLATE(F131, ""en"", ""af"")"),"Borsmelk kan op verskillende maniere verhit (of ontdooi) verhit word, maar die veiligste maniere is:")</f>
        <v>Borsmelk kan op verskillende maniere verhit (of ontdooi) verhit word, maar die veiligste maniere is:</v>
      </c>
      <c r="L131" s="20" t="str">
        <f ca="1">IFERROR(__xludf.DUMMYFUNCTION("GOOGLETRANSLATE(D131, ""pt"", ""af"")"),"Borsmelk kan op verskillende maniere verhit (of ontdooi) verhit word, maar die veiligste is:")</f>
        <v>Borsmelk kan op verskillende maniere verhit (of ontdooi) verhit word, maar die veiligste is:</v>
      </c>
      <c r="M131" s="30"/>
      <c r="N131" s="30"/>
      <c r="O131" s="30"/>
      <c r="P131" s="30"/>
      <c r="Q131" s="30"/>
      <c r="R131" s="30"/>
      <c r="S131" s="30"/>
      <c r="T131" s="30"/>
      <c r="U131" s="30"/>
      <c r="V131" s="30"/>
      <c r="W131" s="30"/>
      <c r="X131" s="30"/>
      <c r="Y131" s="30"/>
      <c r="Z131" s="30"/>
      <c r="AA131" s="30"/>
      <c r="AB131" s="30"/>
      <c r="AC131" s="30"/>
      <c r="AD131" s="30"/>
      <c r="AE131" s="30"/>
      <c r="AF131" s="30"/>
    </row>
    <row r="132" spans="1:32" ht="90">
      <c r="A132" s="23" t="s">
        <v>869</v>
      </c>
      <c r="B132" s="24" t="s">
        <v>870</v>
      </c>
      <c r="C132" s="23" t="s">
        <v>991</v>
      </c>
      <c r="D132" s="25" t="s">
        <v>992</v>
      </c>
      <c r="E132" s="25"/>
      <c r="F132" s="25" t="s">
        <v>993</v>
      </c>
      <c r="G132" s="27"/>
      <c r="H132" s="25"/>
      <c r="I132" s="27" t="str">
        <f ca="1">IFERROR(__xludf.DUMMYFUNCTION("GOOGLETRANSLATE(F132, ""en"", ""zu"")"),"1) Vuselela isitsha esizungeze amanzi ompompi ashisayo
 Noma")</f>
        <v>1) Vuselela isitsha esizungeze amanzi ompompi ashisayo
 Noma</v>
      </c>
      <c r="J132" s="29" t="str">
        <f ca="1">IFERROR(__xludf.DUMMYFUNCTION("GOOGLETRANSLATE(D132, ""pt"", ""zu"")"),"1) Shake isitsha emanzini ashisayo ahamba amanzi 🚰 (uze uyeke ukuzizwa ebanda, uma uzizwa sengathi ubisi olushisayo lufudumele kakhulu)
Noma")</f>
        <v>1) Shake isitsha emanzini ashisayo ahamba amanzi 🚰 (uze uyeke ukuzizwa ebanda, uma uzizwa sengathi ubisi olushisayo lufudumele kakhulu)
Noma</v>
      </c>
      <c r="K132" s="29" t="str">
        <f ca="1">IFERROR(__xludf.DUMMYFUNCTION("GOOGLETRANSLATE(F132, ""en"", ""af"")"),"1) Roer die houer rond in warm kraanwater 🚰 (totdat dit nie meer koud voel nie; as die melk warm voel, is dit al te warm).
 Of")</f>
        <v>1) Roer die houer rond in warm kraanwater 🚰 (totdat dit nie meer koud voel nie; as die melk warm voel, is dit al te warm).
 Of</v>
      </c>
      <c r="L132" s="20" t="str">
        <f ca="1">IFERROR(__xludf.DUMMYFUNCTION("GOOGLETRANSLATE(D132, ""pt"", ""af"")"),"1) Skud die houer in warm lopende water 🚰 (totdat jy ophou om die koue te voel, as jy voel dat warm melk te veel opgewarm is)
Of")</f>
        <v>1) Skud die houer in warm lopende water 🚰 (totdat jy ophou om die koue te voel, as jy voel dat warm melk te veel opgewarm is)
Of</v>
      </c>
      <c r="M132" s="30"/>
      <c r="N132" s="30"/>
      <c r="O132" s="30"/>
      <c r="P132" s="30"/>
      <c r="Q132" s="30"/>
      <c r="R132" s="30"/>
      <c r="S132" s="30"/>
      <c r="T132" s="30"/>
      <c r="U132" s="30"/>
      <c r="V132" s="30"/>
      <c r="W132" s="30"/>
      <c r="X132" s="30"/>
      <c r="Y132" s="30"/>
      <c r="Z132" s="30"/>
      <c r="AA132" s="30"/>
      <c r="AB132" s="30"/>
      <c r="AC132" s="30"/>
      <c r="AD132" s="30"/>
      <c r="AE132" s="30"/>
      <c r="AF132" s="30"/>
    </row>
    <row r="133" spans="1:32" ht="30">
      <c r="A133" s="23" t="s">
        <v>869</v>
      </c>
      <c r="B133" s="24" t="s">
        <v>870</v>
      </c>
      <c r="C133" s="23" t="s">
        <v>991</v>
      </c>
      <c r="D133" s="25" t="s">
        <v>791</v>
      </c>
      <c r="E133" s="25"/>
      <c r="F133" s="25" t="s">
        <v>251</v>
      </c>
      <c r="G133" s="27"/>
      <c r="H133" s="25"/>
      <c r="I133" s="27" t="str">
        <f ca="1">IFERROR(__xludf.DUMMYFUNCTION("GOOGLETRANSLATE(F133, ""en"", ""zu"")"),"2) Sebenzisa i-bhodlela efudumele 🍼")</f>
        <v>2) Sebenzisa i-bhodlela efudumele 🍼</v>
      </c>
      <c r="J133" s="29" t="str">
        <f ca="1">IFERROR(__xludf.DUMMYFUNCTION("GOOGLETRANSLATE(D133, ""pt"", ""zu"")"),"2) Sebenzisa i-heater yeBhayibheli 🍼")</f>
        <v>2) Sebenzisa i-heater yeBhayibheli 🍼</v>
      </c>
      <c r="K133" s="29" t="str">
        <f ca="1">IFERROR(__xludf.DUMMYFUNCTION("GOOGLETRANSLATE(F133, ""en"", ""af"")"),"2) Gebruik 'n bottel warmer 🍼")</f>
        <v>2) Gebruik 'n bottel warmer 🍼</v>
      </c>
      <c r="L133" s="20" t="str">
        <f ca="1">IFERROR(__xludf.DUMMYFUNCTION("GOOGLETRANSLATE(D133, ""pt"", ""af"")"),"2) Gebruik 'n Bybelverwarmer 🍼")</f>
        <v>2) Gebruik 'n Bybelverwarmer 🍼</v>
      </c>
      <c r="M133" s="30"/>
      <c r="N133" s="30"/>
      <c r="O133" s="30"/>
      <c r="P133" s="30"/>
      <c r="Q133" s="30"/>
      <c r="R133" s="30"/>
      <c r="S133" s="30"/>
      <c r="T133" s="30"/>
      <c r="U133" s="30"/>
      <c r="V133" s="30"/>
      <c r="W133" s="30"/>
      <c r="X133" s="30"/>
      <c r="Y133" s="30"/>
      <c r="Z133" s="30"/>
      <c r="AA133" s="30"/>
      <c r="AB133" s="30"/>
      <c r="AC133" s="30"/>
      <c r="AD133" s="30"/>
      <c r="AE133" s="30"/>
      <c r="AF133" s="30"/>
    </row>
    <row r="134" spans="1:32" ht="75">
      <c r="A134" s="23" t="s">
        <v>869</v>
      </c>
      <c r="B134" s="24" t="s">
        <v>870</v>
      </c>
      <c r="C134" s="23" t="s">
        <v>991</v>
      </c>
      <c r="D134" s="25" t="s">
        <v>794</v>
      </c>
      <c r="E134" s="25"/>
      <c r="F134" s="25" t="s">
        <v>994</v>
      </c>
      <c r="G134" s="27"/>
      <c r="H134" s="25"/>
      <c r="I134" s="27" t="str">
        <f ca="1">IFERROR(__xludf.DUMMYFUNCTION("GOOGLETRANSLATE(F134, ""en"", ""zu"")"),"Amazinga okushisa afanele ukushisa komzimba wethu, ngakho-ke ubisi akufanele luzizwe aluvuthi futhi lubanda ezandleni zethu. ✋")</f>
        <v>Amazinga okushisa afanele ukushisa komzimba wethu, ngakho-ke ubisi akufanele luzizwe aluvuthi futhi lubanda ezandleni zethu. ✋</v>
      </c>
      <c r="J134" s="29" t="str">
        <f ca="1">IFERROR(__xludf.DUMMYFUNCTION("GOOGLETRANSLATE(D134, ""pt"", ""zu"")"),"Izinga lokushisa elifanelekile ukushisa komzimba wethu, ngakho-ke akufanele sizwe nobisi alushisi futhi alubandi lapho sikuzwa ezandleni zethu. ✋")</f>
        <v>Izinga lokushisa elifanelekile ukushisa komzimba wethu, ngakho-ke akufanele sizwe nobisi alushisi futhi alubandi lapho sikuzwa ezandleni zethu. ✋</v>
      </c>
      <c r="K134" s="29" t="str">
        <f ca="1">IFERROR(__xludf.DUMMYFUNCTION("GOOGLETRANSLATE(F134, ""en"", ""af"")"),"Die ideale temperatuur is ons liggaamstemperatuur, so die melk moet nie warm of koud op ons hande voel nie. ✋")</f>
        <v>Die ideale temperatuur is ons liggaamstemperatuur, so die melk moet nie warm of koud op ons hande voel nie. ✋</v>
      </c>
      <c r="L134" s="20" t="str">
        <f ca="1">IFERROR(__xludf.DUMMYFUNCTION("GOOGLETRANSLATE(D134, ""pt"", ""af"")"),"Die ideale temperatuur is ons liggaamstemperatuur, so ons moet nie die melk voel nie, of koud as ons dit in ons hande voel. ✋")</f>
        <v>Die ideale temperatuur is ons liggaamstemperatuur, so ons moet nie die melk voel nie, of koud as ons dit in ons hande voel. ✋</v>
      </c>
      <c r="M134" s="30"/>
      <c r="N134" s="30"/>
      <c r="O134" s="30"/>
      <c r="P134" s="30"/>
      <c r="Q134" s="30"/>
      <c r="R134" s="30"/>
      <c r="S134" s="30"/>
      <c r="T134" s="30"/>
      <c r="U134" s="30"/>
      <c r="V134" s="30"/>
      <c r="W134" s="30"/>
      <c r="X134" s="30"/>
      <c r="Y134" s="30"/>
      <c r="Z134" s="30"/>
      <c r="AA134" s="30"/>
      <c r="AB134" s="30"/>
      <c r="AC134" s="30"/>
      <c r="AD134" s="30"/>
      <c r="AE134" s="30"/>
      <c r="AF134" s="30"/>
    </row>
    <row r="135" spans="1:32" ht="45">
      <c r="A135" s="23" t="s">
        <v>869</v>
      </c>
      <c r="B135" s="24" t="s">
        <v>870</v>
      </c>
      <c r="C135" s="23" t="s">
        <v>880</v>
      </c>
      <c r="D135" s="25" t="s">
        <v>995</v>
      </c>
      <c r="E135" s="25"/>
      <c r="F135" s="25" t="s">
        <v>996</v>
      </c>
      <c r="G135" s="27"/>
      <c r="H135" s="25"/>
      <c r="I135" s="27" t="str">
        <f ca="1">IFERROR(__xludf.DUMMYFUNCTION("GOOGLETRANSLATE(F135, ""en"", ""zu"")"),"Ungaxhumana nomeluleki wokuzithandela wokuzithandela ngokusebenzisa isayithi lebele le-SOS.")</f>
        <v>Ungaxhumana nomeluleki wokuzithandela wokuzithandela ngokusebenzisa isayithi lebele le-SOS.</v>
      </c>
      <c r="J135" s="29" t="str">
        <f ca="1">IFERROR(__xludf.DUMMYFUNCTION("GOOGLETRANSLATE(D135, ""pt"", ""zu"")"),"Ungathola ukuxhumana kwe-cam yokuncelisa ibele (i-sosfueling iwebhusayithi yokuncelisa ibele.")</f>
        <v>Ungathola ukuxhumana kwe-cam yokuncelisa ibele (i-sosfueling iwebhusayithi yokuncelisa ibele.</v>
      </c>
      <c r="K135" s="29" t="str">
        <f ca="1">IFERROR(__xludf.DUMMYFUNCTION("GOOGLETRANSLATE(F135, ""en"", ""af"")"),"U kan 'n vrywillige laktasiekonsultant kontak via die SOS -borsvoedingswebwerf.")</f>
        <v>U kan 'n vrywillige laktasiekonsultant kontak via die SOS -borsvoedingswebwerf.</v>
      </c>
      <c r="L135" s="20" t="str">
        <f ca="1">IFERROR(__xludf.DUMMYFUNCTION("GOOGLETRANSLATE(D135, ""pt"", ""af"")"),"U kan 'n kontak vind van 'n vrywillige borsvoedende nok (SOS -borsvoedingswebwerf.")</f>
        <v>U kan 'n kontak vind van 'n vrywillige borsvoedende nok (SOS -borsvoedingswebwerf.</v>
      </c>
      <c r="M135" s="30"/>
      <c r="N135" s="30"/>
      <c r="O135" s="30"/>
      <c r="P135" s="30"/>
      <c r="Q135" s="30"/>
      <c r="R135" s="30"/>
      <c r="S135" s="30"/>
      <c r="T135" s="30"/>
      <c r="U135" s="30"/>
      <c r="V135" s="30"/>
      <c r="W135" s="30"/>
      <c r="X135" s="30"/>
      <c r="Y135" s="30"/>
      <c r="Z135" s="30"/>
      <c r="AA135" s="30"/>
      <c r="AB135" s="30"/>
      <c r="AC135" s="30"/>
      <c r="AD135" s="30"/>
      <c r="AE135" s="30"/>
      <c r="AF135" s="30"/>
    </row>
    <row r="136" spans="1:32" ht="42">
      <c r="A136" s="23" t="s">
        <v>869</v>
      </c>
      <c r="B136" s="24" t="s">
        <v>872</v>
      </c>
      <c r="C136" s="23" t="s">
        <v>880</v>
      </c>
      <c r="D136" s="25" t="s">
        <v>997</v>
      </c>
      <c r="E136" s="31" t="s">
        <v>998</v>
      </c>
      <c r="F136" s="25"/>
      <c r="G136" s="27"/>
      <c r="H136" s="25"/>
      <c r="I136" s="27"/>
      <c r="J136" s="29" t="str">
        <f ca="1">IFERROR(__xludf.DUMMYFUNCTION("GOOGLETRANSLATE(D136, ""pt"", ""zu"")"),"Thintana nesiza 🤱")</f>
        <v>Thintana nesiza 🤱</v>
      </c>
      <c r="K136" s="29"/>
      <c r="L136" s="20" t="str">
        <f ca="1">IFERROR(__xludf.DUMMYFUNCTION("GOOGLETRANSLATE(D136, ""pt"", ""af"")"),"Raadpleeg die webwerf 🤱")</f>
        <v>Raadpleeg die webwerf 🤱</v>
      </c>
      <c r="M136" s="30"/>
      <c r="N136" s="30"/>
      <c r="O136" s="30"/>
      <c r="P136" s="30"/>
      <c r="Q136" s="30"/>
      <c r="R136" s="30"/>
      <c r="S136" s="30"/>
      <c r="T136" s="30"/>
      <c r="U136" s="30"/>
      <c r="V136" s="30"/>
      <c r="W136" s="30"/>
      <c r="X136" s="30"/>
      <c r="Y136" s="30"/>
      <c r="Z136" s="30"/>
      <c r="AA136" s="30"/>
      <c r="AB136" s="30"/>
      <c r="AC136" s="30"/>
      <c r="AD136" s="30"/>
      <c r="AE136" s="30"/>
      <c r="AF136" s="30"/>
    </row>
    <row r="137" spans="1:32" ht="105">
      <c r="A137" s="23" t="s">
        <v>869</v>
      </c>
      <c r="B137" s="24" t="s">
        <v>870</v>
      </c>
      <c r="C137" s="23" t="s">
        <v>999</v>
      </c>
      <c r="D137" s="25" t="s">
        <v>576</v>
      </c>
      <c r="E137" s="25"/>
      <c r="F137" s="25" t="s">
        <v>29</v>
      </c>
      <c r="G137" s="27"/>
      <c r="H137" s="25"/>
      <c r="I137" s="27" t="str">
        <f ca="1">IFERROR(__xludf.DUMMYFUNCTION("GOOGLETRANSLATE(F137, ""en"", ""zu"")"),"Abicah izihlangu izihlangu akudingeki. Ngisho nefulethi noma i-inverted noma izingono ezivame ukukhonjwa ngaphakathi kodwa ingahle iveze ekubandeni (ngokwesibonelo) ayidingi izihlangu zengontolo ze-silicone.")</f>
        <v>Abicah izihlangu izihlangu akudingeki. Ngisho nefulethi noma i-inverted noma izingono ezivame ukukhonjwa ngaphakathi kodwa ingahle iveze ekubandeni (ngokwesibonelo) ayidingi izihlangu zengontolo ze-silicone.</v>
      </c>
      <c r="J137" s="29" t="str">
        <f ca="1">IFERROR(__xludf.DUMMYFUNCTION("GOOGLETRANSLATE(D137, ""pt"", ""zu"")"),"Ama-nozzles we-silicone awadingekile. Ngisho nezingono ezingajulile noma ezifuywayo ezivame ngaphakathi kodwa ziphuma namakhaza (ngokwesibonelo) azidingi izingono ze-silicone.")</f>
        <v>Ama-nozzles we-silicone awadingekile. Ngisho nezingono ezingajulile noma ezifuywayo ezivame ngaphakathi kodwa ziphuma namakhaza (ngokwesibonelo) azidingi izingono ze-silicone.</v>
      </c>
      <c r="K137" s="29" t="str">
        <f ca="1">IFERROR(__xludf.DUMMYFUNCTION("GOOGLETRANSLATE(F137, ""en"", ""af"")"),"Silikoon -tepelskerms is onnodig. Selfs plat of omgekeerde of tepels wat gewoonlik na binne gerig word, maar regop kan word van koudheid (byvoorbeeld), benodig nie silikoon -tepelskerms nie.")</f>
        <v>Silikoon -tepelskerms is onnodig. Selfs plat of omgekeerde of tepels wat gewoonlik na binne gerig word, maar regop kan word van koudheid (byvoorbeeld), benodig nie silikoon -tepelskerms nie.</v>
      </c>
      <c r="L137" s="20" t="str">
        <f ca="1">IFERROR(__xludf.DUMMYFUNCTION("GOOGLETRANSLATE(D137, ""pt"", ""af"")"),"Silikoonspuitpunte is onnodig. Selfs vlak of plat tepels wat gewoonlik binne is, maar met die koue (byvoorbeeld) uitkom, het nie silikoon tepels nodig nie.")</f>
        <v>Silikoonspuitpunte is onnodig. Selfs vlak of plat tepels wat gewoonlik binne is, maar met die koue (byvoorbeeld) uitkom, het nie silikoon tepels nodig nie.</v>
      </c>
      <c r="M137" s="30"/>
      <c r="N137" s="30"/>
      <c r="O137" s="30"/>
      <c r="P137" s="30"/>
      <c r="Q137" s="30"/>
      <c r="R137" s="30"/>
      <c r="S137" s="30"/>
      <c r="T137" s="30"/>
      <c r="U137" s="30"/>
      <c r="V137" s="30"/>
      <c r="W137" s="30"/>
      <c r="X137" s="30"/>
      <c r="Y137" s="30"/>
      <c r="Z137" s="30"/>
      <c r="AA137" s="30"/>
      <c r="AB137" s="30"/>
      <c r="AC137" s="30"/>
      <c r="AD137" s="30"/>
      <c r="AE137" s="30"/>
      <c r="AF137" s="30"/>
    </row>
    <row r="138" spans="1:32" ht="45">
      <c r="A138" s="23" t="s">
        <v>869</v>
      </c>
      <c r="B138" s="24" t="s">
        <v>870</v>
      </c>
      <c r="C138" s="23" t="s">
        <v>999</v>
      </c>
      <c r="D138" s="25" t="s">
        <v>1000</v>
      </c>
      <c r="E138" s="25"/>
      <c r="F138" s="25" t="s">
        <v>1001</v>
      </c>
      <c r="G138" s="27"/>
      <c r="H138" s="25"/>
      <c r="I138" s="27" t="str">
        <f ca="1">IFERROR(__xludf.DUMMYFUNCTION("GOOGLETRANSLATE(F138, ""en"", ""zu"")"),"Ubunzima bengane yakho buzoba bukhulu kunokufunda indlela efanele yokuthambisa e-Areola.")</f>
        <v>Ubunzima bengane yakho buzoba bukhulu kunokufunda indlela efanele yokuthambisa e-Areola.</v>
      </c>
      <c r="J138" s="29" t="str">
        <f ca="1">IFERROR(__xludf.DUMMYFUNCTION("GOOGLETRANSLATE(D138, ""pt"", ""zu"")"),"Ubunzima bengane buzoba bukhulu kunokufunda inqubo efanelekile yokubamba e-Areola.")</f>
        <v>Ubunzima bengane buzoba bukhulu kunokufunda inqubo efanelekile yokubamba e-Areola.</v>
      </c>
      <c r="K138" s="29" t="str">
        <f ca="1">IFERROR(__xludf.DUMMYFUNCTION("GOOGLETRANSLATE(F138, ""en"", ""af"")"),"Die probleme vir u baba sal groter wees as om die regte tegniek te leer om aan die areola te klap.")</f>
        <v>Die probleme vir u baba sal groter wees as om die regte tegniek te leer om aan die areola te klap.</v>
      </c>
      <c r="L138" s="20" t="str">
        <f ca="1">IFERROR(__xludf.DUMMYFUNCTION("GOOGLETRANSLATE(D138, ""pt"", ""af"")"),"Probleme vir die baba sal groter wees as om die regte tegniek te leer om in die areola te vang.")</f>
        <v>Probleme vir die baba sal groter wees as om die regte tegniek te leer om in die areola te vang.</v>
      </c>
      <c r="M138" s="30"/>
      <c r="N138" s="30"/>
      <c r="O138" s="30"/>
      <c r="P138" s="30"/>
      <c r="Q138" s="30"/>
      <c r="R138" s="30"/>
      <c r="S138" s="30"/>
      <c r="T138" s="30"/>
      <c r="U138" s="30"/>
      <c r="V138" s="30"/>
      <c r="W138" s="30"/>
      <c r="X138" s="30"/>
      <c r="Y138" s="30"/>
      <c r="Z138" s="30"/>
      <c r="AA138" s="30"/>
      <c r="AB138" s="30"/>
      <c r="AC138" s="30"/>
      <c r="AD138" s="30"/>
      <c r="AE138" s="30"/>
      <c r="AF138" s="30"/>
    </row>
    <row r="139" spans="1:32" ht="30">
      <c r="A139" s="23" t="s">
        <v>869</v>
      </c>
      <c r="B139" s="24" t="s">
        <v>870</v>
      </c>
      <c r="C139" s="23" t="s">
        <v>999</v>
      </c>
      <c r="D139" s="25" t="s">
        <v>1002</v>
      </c>
      <c r="E139" s="25"/>
      <c r="F139" s="25" t="s">
        <v>1003</v>
      </c>
      <c r="G139" s="27"/>
      <c r="H139" s="25"/>
      <c r="I139" s="27" t="str">
        <f ca="1">IFERROR(__xludf.DUMMYFUNCTION("GOOGLETRANSLATE(F139, ""en"", ""zu"")"),"Qaphela: Izinsana zincelisa i-areola hhayi ingono. 😉")</f>
        <v>Qaphela: Izinsana zincelisa i-areola hhayi ingono. 😉</v>
      </c>
      <c r="J139" s="29" t="str">
        <f ca="1">IFERROR(__xludf.DUMMYFUNCTION("GOOGLETRANSLATE(D139, ""pt"", ""zu"")"),"Qaphela: Izinsana zincela ku-areola hhayi emqoleni. 😉")</f>
        <v>Qaphela: Izinsana zincela ku-areola hhayi emqoleni. 😉</v>
      </c>
      <c r="K139" s="29" t="str">
        <f ca="1">IFERROR(__xludf.DUMMYFUNCTION("GOOGLETRANSLATE(F139, ""en"", ""af"")"),"Opmerking: babas borsvoed op die areola en nie die tepel nie. 😉")</f>
        <v>Opmerking: babas borsvoed op die areola en nie die tepel nie. 😉</v>
      </c>
      <c r="L139" s="20" t="str">
        <f ca="1">IFERROR(__xludf.DUMMYFUNCTION("GOOGLETRANSLATE(D139, ""pt"", ""af"")"),"Opmerking: babas suig in die areola en nie in die bek nie. 😉")</f>
        <v>Opmerking: babas suig in die areola en nie in die bek nie. 😉</v>
      </c>
      <c r="M139" s="30"/>
      <c r="N139" s="30"/>
      <c r="O139" s="30"/>
      <c r="P139" s="30"/>
      <c r="Q139" s="30"/>
      <c r="R139" s="30"/>
      <c r="S139" s="30"/>
      <c r="T139" s="30"/>
      <c r="U139" s="30"/>
      <c r="V139" s="30"/>
      <c r="W139" s="30"/>
      <c r="X139" s="30"/>
      <c r="Y139" s="30"/>
      <c r="Z139" s="30"/>
      <c r="AA139" s="30"/>
      <c r="AB139" s="30"/>
      <c r="AC139" s="30"/>
      <c r="AD139" s="30"/>
      <c r="AE139" s="30"/>
      <c r="AF139" s="30"/>
    </row>
    <row r="140" spans="1:32" ht="27.95">
      <c r="A140" s="23" t="s">
        <v>869</v>
      </c>
      <c r="B140" s="24" t="s">
        <v>872</v>
      </c>
      <c r="C140" s="23" t="s">
        <v>999</v>
      </c>
      <c r="D140" s="25" t="s">
        <v>1004</v>
      </c>
      <c r="E140" s="25" t="s">
        <v>890</v>
      </c>
      <c r="F140" s="25"/>
      <c r="G140" s="27"/>
      <c r="H140" s="25"/>
      <c r="I140" s="27"/>
      <c r="J140" s="29" t="str">
        <f ca="1">IFERROR(__xludf.DUMMYFUNCTION("GOOGLETRANSLATE(D140, ""pt"", ""zu"")"),"Ukuhlola kubanjiwe?")</f>
        <v>Ukuhlola kubanjiwe?</v>
      </c>
      <c r="K140" s="29"/>
      <c r="L140" s="20" t="str">
        <f ca="1">IFERROR(__xludf.DUMMYFUNCTION("GOOGLETRANSLATE(D140, ""pt"", ""af"")"),"Kyk gevang?")</f>
        <v>Kyk gevang?</v>
      </c>
      <c r="M140" s="30"/>
      <c r="N140" s="30"/>
      <c r="O140" s="30"/>
      <c r="P140" s="30"/>
      <c r="Q140" s="30"/>
      <c r="R140" s="30"/>
      <c r="S140" s="30"/>
      <c r="T140" s="30"/>
      <c r="U140" s="30"/>
      <c r="V140" s="30"/>
      <c r="W140" s="30"/>
      <c r="X140" s="30"/>
      <c r="Y140" s="30"/>
      <c r="Z140" s="30"/>
      <c r="AA140" s="30"/>
      <c r="AB140" s="30"/>
      <c r="AC140" s="30"/>
      <c r="AD140" s="30"/>
      <c r="AE140" s="30"/>
      <c r="AF140" s="30"/>
    </row>
    <row r="141" spans="1:32" ht="60">
      <c r="A141" s="23" t="s">
        <v>869</v>
      </c>
      <c r="B141" s="24" t="s">
        <v>870</v>
      </c>
      <c r="C141" s="23" t="s">
        <v>1005</v>
      </c>
      <c r="D141" s="25" t="s">
        <v>1006</v>
      </c>
      <c r="E141" s="25"/>
      <c r="F141" s="25" t="s">
        <v>1007</v>
      </c>
      <c r="G141" s="27"/>
      <c r="H141" s="25"/>
      <c r="I141" s="27" t="str">
        <f ca="1">IFERROR(__xludf.DUMMYFUNCTION("GOOGLETRANSLATE(F141, ""en"", ""zu"")"),"Izingono ezihlangene ngokweqiniso zizodonsa ngaphakathi (ngisho nangaphezulu) lapho kuvuswa (noma kusuka kubanda / iqhwa).")</f>
        <v>Izingono ezihlangene ngokweqiniso zizodonsa ngaphakathi (ngisho nangaphezulu) lapho kuvuswa (noma kusuka kubanda / iqhwa).</v>
      </c>
      <c r="J141" s="29" t="str">
        <f ca="1">IFERROR(__xludf.DUMMYFUNCTION("GOOGLETRANSLATE(D141, ""pt"", ""zu"")"),"Izingono eziyiqiniso ezihlanekezelwe lapho kuvuswa (noma kubanda / iqhwa) kuqoqa (ngisho nangaphezulu).")</f>
        <v>Izingono eziyiqiniso ezihlanekezelwe lapho kuvuswa (noma kubanda / iqhwa) kuqoqa (ngisho nangaphezulu).</v>
      </c>
      <c r="K141" s="29" t="str">
        <f ca="1">IFERROR(__xludf.DUMMYFUNCTION("GOOGLETRANSLATE(F141, ""en"", ""af"")"),"Waarlik omgekeerde tepels trek (selfs meer) na binne as dit gestimuleer word (of van koudheid/ys).")</f>
        <v>Waarlik omgekeerde tepels trek (selfs meer) na binne as dit gestimuleer word (of van koudheid/ys).</v>
      </c>
      <c r="L141" s="20" t="str">
        <f ca="1">IFERROR(__xludf.DUMMYFUNCTION("GOOGLETRANSLATE(D141, ""pt"", ""af"")"),"Ware omgekeerde tepels wanneer dit gestimuleer word (of koud/ys) versamel (selfs meer).")</f>
        <v>Ware omgekeerde tepels wanneer dit gestimuleer word (of koud/ys) versamel (selfs meer).</v>
      </c>
      <c r="M141" s="30"/>
      <c r="N141" s="30"/>
      <c r="O141" s="30"/>
      <c r="P141" s="30"/>
      <c r="Q141" s="30"/>
      <c r="R141" s="30"/>
      <c r="S141" s="30"/>
      <c r="T141" s="30"/>
      <c r="U141" s="30"/>
      <c r="V141" s="30"/>
      <c r="W141" s="30"/>
      <c r="X141" s="30"/>
      <c r="Y141" s="30"/>
      <c r="Z141" s="30"/>
      <c r="AA141" s="30"/>
      <c r="AB141" s="30"/>
      <c r="AC141" s="30"/>
      <c r="AD141" s="30"/>
      <c r="AE141" s="30"/>
      <c r="AF141" s="30"/>
    </row>
    <row r="142" spans="1:32" ht="45">
      <c r="A142" s="23" t="s">
        <v>869</v>
      </c>
      <c r="B142" s="24" t="s">
        <v>870</v>
      </c>
      <c r="C142" s="23" t="s">
        <v>1005</v>
      </c>
      <c r="D142" s="25" t="s">
        <v>1008</v>
      </c>
      <c r="E142" s="25"/>
      <c r="F142" s="25" t="s">
        <v>1009</v>
      </c>
      <c r="G142" s="27"/>
      <c r="H142" s="25"/>
      <c r="I142" s="27" t="str">
        <f ca="1">IFERROR(__xludf.DUMMYFUNCTION("GOOGLETRANSLATE(F142, ""en"", ""zu"")"),"Lokhu kuphazamisa ukuncelisa ibele 😕 futhi kudinga izeluleko ezithile.")</f>
        <v>Lokhu kuphazamisa ukuncelisa ibele 😕 futhi kudinga izeluleko ezithile.</v>
      </c>
      <c r="J142" s="29" t="str">
        <f ca="1">IFERROR(__xludf.DUMMYFUNCTION("GOOGLETRANSLATE(D142, ""pt"", ""zu"")"),"Lesi simo siphazamisa ukuncelisa ibele 😕 futhi sidinga ukwelulekwa okuthile.")</f>
        <v>Lesi simo siphazamisa ukuncelisa ibele 😕 futhi sidinga ukwelulekwa okuthile.</v>
      </c>
      <c r="K142" s="29" t="str">
        <f ca="1">IFERROR(__xludf.DUMMYFUNCTION("GOOGLETRANSLATE(F142, ""en"", ""af"")"),"Dit bemoei dit met borsvoeding 😕 en vereis spesifieke advies.")</f>
        <v>Dit bemoei dit met borsvoeding 😕 en vereis spesifieke advies.</v>
      </c>
      <c r="L142" s="20" t="str">
        <f ca="1">IFERROR(__xludf.DUMMYFUNCTION("GOOGLETRANSLATE(D142, ""pt"", ""af"")"),"Hierdie situasie belemmer borsvoeding 😕 en benodig spesifieke berading.")</f>
        <v>Hierdie situasie belemmer borsvoeding 😕 en benodig spesifieke berading.</v>
      </c>
      <c r="M142" s="30"/>
      <c r="N142" s="30"/>
      <c r="O142" s="30"/>
      <c r="P142" s="30"/>
      <c r="Q142" s="30"/>
      <c r="R142" s="30"/>
      <c r="S142" s="30"/>
      <c r="T142" s="30"/>
      <c r="U142" s="30"/>
      <c r="V142" s="30"/>
      <c r="W142" s="30"/>
      <c r="X142" s="30"/>
      <c r="Y142" s="30"/>
      <c r="Z142" s="30"/>
      <c r="AA142" s="30"/>
      <c r="AB142" s="30"/>
      <c r="AC142" s="30"/>
      <c r="AD142" s="30"/>
      <c r="AE142" s="30"/>
      <c r="AF142" s="30"/>
    </row>
    <row r="143" spans="1:32" ht="42">
      <c r="A143" s="23" t="s">
        <v>869</v>
      </c>
      <c r="B143" s="24" t="s">
        <v>870</v>
      </c>
      <c r="C143" s="23" t="s">
        <v>1005</v>
      </c>
      <c r="D143" s="25" t="s">
        <v>1010</v>
      </c>
      <c r="E143" s="25"/>
      <c r="F143" s="25" t="s">
        <v>1011</v>
      </c>
      <c r="G143" s="27"/>
      <c r="H143" s="25"/>
      <c r="I143" s="27" t="str">
        <f ca="1">IFERROR(__xludf.DUMMYFUNCTION("GOOGLETRANSLATE(F143, ""en"", ""zu"")"),"Khuluma nomeluleki we-lactation ukuthola usizo. 🆘")</f>
        <v>Khuluma nomeluleki we-lactation ukuthola usizo. 🆘</v>
      </c>
      <c r="J143" s="29" t="str">
        <f ca="1">IFERROR(__xludf.DUMMYFUNCTION("GOOGLETRANSLATE(D143, ""pt"", ""zu"")"),"Thintana ne-cam (umeluleki webele) ukukusiza. 🆘")</f>
        <v>Thintana ne-cam (umeluleki webele) ukukusiza. 🆘</v>
      </c>
      <c r="K143" s="29" t="str">
        <f ca="1">IFERROR(__xludf.DUMMYFUNCTION("GOOGLETRANSLATE(F143, ""en"", ""af"")"),"Gesels met 'n laktasiekonsultant om hulp. 🆘")</f>
        <v>Gesels met 'n laktasiekonsultant om hulp. 🆘</v>
      </c>
      <c r="L143" s="20" t="str">
        <f ca="1">IFERROR(__xludf.DUMMYFUNCTION("GOOGLETRANSLATE(D143, ""pt"", ""af"")"),"Raadpleeg 'n nok (borsvoedingsberader) om u te help. 🆘")</f>
        <v>Raadpleeg 'n nok (borsvoedingsberader) om u te help. 🆘</v>
      </c>
      <c r="M143" s="30"/>
      <c r="N143" s="30"/>
      <c r="O143" s="30"/>
      <c r="P143" s="30"/>
      <c r="Q143" s="30"/>
      <c r="R143" s="30"/>
      <c r="S143" s="30"/>
      <c r="T143" s="30"/>
      <c r="U143" s="30"/>
      <c r="V143" s="30"/>
      <c r="W143" s="30"/>
      <c r="X143" s="30"/>
      <c r="Y143" s="30"/>
      <c r="Z143" s="30"/>
      <c r="AA143" s="30"/>
      <c r="AB143" s="30"/>
      <c r="AC143" s="30"/>
      <c r="AD143" s="30"/>
      <c r="AE143" s="30"/>
      <c r="AF143" s="30"/>
    </row>
    <row r="144" spans="1:32" ht="27.95">
      <c r="A144" s="23" t="s">
        <v>869</v>
      </c>
      <c r="B144" s="24" t="s">
        <v>872</v>
      </c>
      <c r="C144" s="23" t="s">
        <v>1005</v>
      </c>
      <c r="D144" s="25" t="s">
        <v>1012</v>
      </c>
      <c r="E144" s="25" t="s">
        <v>880</v>
      </c>
      <c r="F144" s="25"/>
      <c r="G144" s="27"/>
      <c r="H144" s="25"/>
      <c r="I144" s="27"/>
      <c r="J144" s="29" t="str">
        <f ca="1">IFERROR(__xludf.DUMMYFUNCTION("GOOGLETRANSLATE(D144, ""pt"", ""zu"")"),"Thola i-cam")</f>
        <v>Thola i-cam</v>
      </c>
      <c r="K144" s="29"/>
      <c r="L144" s="20" t="str">
        <f ca="1">IFERROR(__xludf.DUMMYFUNCTION("GOOGLETRANSLATE(D144, ""pt"", ""af"")"),"Soek nok")</f>
        <v>Soek nok</v>
      </c>
      <c r="M144" s="30"/>
      <c r="N144" s="30"/>
      <c r="O144" s="30"/>
      <c r="P144" s="30"/>
      <c r="Q144" s="30"/>
      <c r="R144" s="30"/>
      <c r="S144" s="30"/>
      <c r="T144" s="30"/>
      <c r="U144" s="30"/>
      <c r="V144" s="30"/>
      <c r="W144" s="30"/>
      <c r="X144" s="30"/>
      <c r="Y144" s="30"/>
      <c r="Z144" s="30"/>
      <c r="AA144" s="30"/>
      <c r="AB144" s="30"/>
      <c r="AC144" s="30"/>
      <c r="AD144" s="30"/>
      <c r="AE144" s="30"/>
      <c r="AF144" s="30"/>
    </row>
    <row r="145" spans="1:32" ht="60">
      <c r="A145" s="23" t="s">
        <v>869</v>
      </c>
      <c r="B145" s="24" t="s">
        <v>870</v>
      </c>
      <c r="C145" s="23" t="s">
        <v>980</v>
      </c>
      <c r="D145" s="25" t="s">
        <v>672</v>
      </c>
      <c r="E145" s="25"/>
      <c r="F145" s="25" t="s">
        <v>1013</v>
      </c>
      <c r="G145" s="27"/>
      <c r="H145" s="25"/>
      <c r="I145" s="27" t="str">
        <f ca="1">IFERROR(__xludf.DUMMYFUNCTION("GOOGLETRANSLATE(F145, ""en"", ""zu"")"),"Ukuphela kwendlela yokwazi ukuthi ingane yakho ithola ubisi lwebele ngokwanele luyinombolo yama-diapers emanzi phakathi nosuku.")</f>
        <v>Ukuphela kwendlela yokwazi ukuthi ingane yakho ithola ubisi lwebele ngokwanele luyinombolo yama-diapers emanzi phakathi nosuku.</v>
      </c>
      <c r="J145" s="29" t="str">
        <f ca="1">IFERROR(__xludf.DUMMYFUNCTION("GOOGLETRANSLATE(D145, ""pt"", ""zu"")"),"Ukuphela kwendlela yokwazi ukuthi ingane idla khona ebeleni ingeyinombolo yama-diaper emanzi phakathi nosuku.")</f>
        <v>Ukuphela kwendlela yokwazi ukuthi ingane idla khona ebeleni ingeyinombolo yama-diaper emanzi phakathi nosuku.</v>
      </c>
      <c r="K145" s="29" t="str">
        <f ca="1">IFERROR(__xludf.DUMMYFUNCTION("GOOGLETRANSLATE(F145, ""en"", ""af"")"),"Die enigste manier om te weet of u baba genoeg borsmelk kry, is deur die aantal nat doeke gedurende die dag.")</f>
        <v>Die enigste manier om te weet of u baba genoeg borsmelk kry, is deur die aantal nat doeke gedurende die dag.</v>
      </c>
      <c r="L145" s="20" t="str">
        <f ca="1">IFERROR(__xludf.DUMMYFUNCTION("GOOGLETRANSLATE(D145, ""pt"", ""af"")"),"Die enigste manier om te weet of die baba reg in die bors eet, is deur die aantal doeke wat gedurende die dag nat is.")</f>
        <v>Die enigste manier om te weet of die baba reg in die bors eet, is deur die aantal doeke wat gedurende die dag nat is.</v>
      </c>
      <c r="M145" s="30"/>
      <c r="N145" s="30"/>
      <c r="O145" s="30"/>
      <c r="P145" s="30"/>
      <c r="Q145" s="30"/>
      <c r="R145" s="30"/>
      <c r="S145" s="30"/>
      <c r="T145" s="30"/>
      <c r="U145" s="30"/>
      <c r="V145" s="30"/>
      <c r="W145" s="30"/>
      <c r="X145" s="30"/>
      <c r="Y145" s="30"/>
      <c r="Z145" s="30"/>
      <c r="AA145" s="30"/>
      <c r="AB145" s="30"/>
      <c r="AC145" s="30"/>
      <c r="AD145" s="30"/>
      <c r="AE145" s="30"/>
      <c r="AF145" s="30"/>
    </row>
    <row r="146" spans="1:32" ht="84">
      <c r="A146" s="23" t="s">
        <v>869</v>
      </c>
      <c r="B146" s="24" t="s">
        <v>870</v>
      </c>
      <c r="C146" s="23" t="s">
        <v>980</v>
      </c>
      <c r="D146" s="25" t="s">
        <v>675</v>
      </c>
      <c r="E146" s="25"/>
      <c r="F146" s="25" t="s">
        <v>1014</v>
      </c>
      <c r="G146" s="27"/>
      <c r="H146" s="25"/>
      <c r="I146" s="27" t="str">
        <f ca="1">IFERROR(__xludf.DUMMYFUNCTION("GOOGLETRANSLATE(F146, ""en"", ""zu"")"),"Ngemuva kokuthi ubisi lwakho selufikile (imvamisa cishe ezinsukwini ezi-3 ngemuva kokuzalwa), ingane yakho kufanele ibe okungenani ama-diaper ayi-6 ngosuku, ngomchamo ocacile.")</f>
        <v>Ngemuva kokuthi ubisi lwakho selufikile (imvamisa cishe ezinsukwini ezi-3 ngemuva kokuzalwa), ingane yakho kufanele ibe okungenani ama-diaper ayi-6 ngosuku, ngomchamo ocacile.</v>
      </c>
      <c r="J146" s="29" t="str">
        <f ca="1">IFERROR(__xludf.DUMMYFUNCTION("GOOGLETRANSLATE(D146, ""pt"", ""zu"")"),"Ngemuva kokukhuphuka kobisi (+/- esijwayelekile ngosuku lwe-3 ngemuva kokubeletha) Ingane kufanele ibe okungenani i-6 ngosuku, ngomchamo ocacile.")</f>
        <v>Ngemuva kokukhuphuka kobisi (+/- esijwayelekile ngosuku lwe-3 ngemuva kokubeletha) Ingane kufanele ibe okungenani i-6 ngosuku, ngomchamo ocacile.</v>
      </c>
      <c r="K146" s="29" t="str">
        <f ca="1">IFERROR(__xludf.DUMMYFUNCTION("GOOGLETRANSLATE(F146, ""en"", ""af"")"),"Nadat u melk ingekom het (gewoonlik ongeveer 3 dae na geboorte), moet u baba ten minste 6 nat doeke per dag hê, met 'n duidelike urine.")</f>
        <v>Nadat u melk ingekom het (gewoonlik ongeveer 3 dae na geboorte), moet u baba ten minste 6 nat doeke per dag hê, met 'n duidelike urine.</v>
      </c>
      <c r="L146" s="20" t="str">
        <f ca="1">IFERROR(__xludf.DUMMYFUNCTION("GOOGLETRANSLATE(D146, ""pt"", ""af"")"),"Na die opkoms van melk (+/- Gewoonlik op die 3de dag na bevalling) moet die baba minstens 6 per dag natmaak, met 'n duidelike urine.")</f>
        <v>Na die opkoms van melk (+/- Gewoonlik op die 3de dag na bevalling) moet die baba minstens 6 per dag natmaak, met 'n duidelike urine.</v>
      </c>
      <c r="M146" s="30"/>
      <c r="N146" s="30"/>
      <c r="O146" s="30"/>
      <c r="P146" s="30"/>
      <c r="Q146" s="30"/>
      <c r="R146" s="30"/>
      <c r="S146" s="30"/>
      <c r="T146" s="30"/>
      <c r="U146" s="30"/>
      <c r="V146" s="30"/>
      <c r="W146" s="30"/>
      <c r="X146" s="30"/>
      <c r="Y146" s="30"/>
      <c r="Z146" s="30"/>
      <c r="AA146" s="30"/>
      <c r="AB146" s="30"/>
      <c r="AC146" s="30"/>
      <c r="AD146" s="30"/>
      <c r="AE146" s="30"/>
      <c r="AF146" s="30"/>
    </row>
    <row r="147" spans="1:32" ht="105">
      <c r="A147" s="23" t="s">
        <v>869</v>
      </c>
      <c r="B147" s="24" t="s">
        <v>870</v>
      </c>
      <c r="C147" s="23" t="s">
        <v>980</v>
      </c>
      <c r="D147" s="25" t="s">
        <v>678</v>
      </c>
      <c r="E147" s="25"/>
      <c r="F147" s="25" t="s">
        <v>1015</v>
      </c>
      <c r="G147" s="27"/>
      <c r="H147" s="25"/>
      <c r="I147" s="27" t="str">
        <f ca="1">IFERROR(__xludf.DUMMYFUNCTION("GOOGLETRANSLATE(F147, ""en"", ""zu"")"),"Amasu anjengokukala ngaphambi nangemva kokudla akufanele asetshenziswe ⛔ noma azame ukupompa ukubona ukuthi ungathola ubisi olungakanani ngoba ngaphandle kwamanani akho izinkomba, awasho lutho ngokwabo. 😕")</f>
        <v>Amasu anjengokukala ngaphambi nangemva kokudla akufanele asetshenziswe ⛔ noma azame ukupompa ukubona ukuthi ungathola ubisi olungakanani ngoba ngaphandle kwamanani akho izinkomba, awasho lutho ngokwabo. 😕</v>
      </c>
      <c r="J147" s="29" t="str">
        <f ca="1">IFERROR(__xludf.DUMMYFUNCTION("GOOGLETRANSLATE(D147, ""pt"", ""zu"")"),"Amasu anjengokuzisola ngaphambi nangemva kokuncelisa akufanele asetshenziswe ⛔ futhi azame ukwenza isizinda ukubona ukuthi ubisi olungakanani luphuma ngoba lungasho lutho ngokwabo, alusho lutho ngokwabo. 😕")</f>
        <v>Amasu anjengokuzisola ngaphambi nangemva kokuncelisa akufanele asetshenziswe ⛔ futhi azame ukwenza isizinda ukubona ukuthi ubisi olungakanani luphuma ngoba lungasho lutho ngokwabo, alusho lutho ngokwabo. 😕</v>
      </c>
      <c r="K147" s="29" t="str">
        <f ca="1">IFERROR(__xludf.DUMMYFUNCTION("GOOGLETRANSLATE(F147, ""en"", ""af"")"),"Tegnieke soos om voor en na voeding te weeg, moet nie gebruik word nie ⛔ of probeer pomp om te sien hoeveel melk u kan kry, want behalwe dat dit vals aanwyser is, beteken dit niks vanself nie. 😕")</f>
        <v>Tegnieke soos om voor en na voeding te weeg, moet nie gebruik word nie ⛔ of probeer pomp om te sien hoeveel melk u kan kry, want behalwe dat dit vals aanwyser is, beteken dit niks vanself nie. 😕</v>
      </c>
      <c r="L147" s="20" t="str">
        <f ca="1">IFERROR(__xludf.DUMMYFUNCTION("GOOGLETRANSLATE(D147, ""pt"", ""af"")"),"Tegnieke soos spyt voor en na borsvoeding moet nie gebruik word nie ⛔ en probeer om onttrekking te maak om te sien hoeveel melk uitkom, want behalwe dat hulle vals is, beteken dit niks alleen nie. 😕")</f>
        <v>Tegnieke soos spyt voor en na borsvoeding moet nie gebruik word nie ⛔ en probeer om onttrekking te maak om te sien hoeveel melk uitkom, want behalwe dat hulle vals is, beteken dit niks alleen nie. 😕</v>
      </c>
      <c r="M147" s="30"/>
      <c r="N147" s="30"/>
      <c r="O147" s="30"/>
      <c r="P147" s="30"/>
      <c r="Q147" s="30"/>
      <c r="R147" s="30"/>
      <c r="S147" s="30"/>
      <c r="T147" s="30"/>
      <c r="U147" s="30"/>
      <c r="V147" s="30"/>
      <c r="W147" s="30"/>
      <c r="X147" s="30"/>
      <c r="Y147" s="30"/>
      <c r="Z147" s="30"/>
      <c r="AA147" s="30"/>
      <c r="AB147" s="30"/>
      <c r="AC147" s="30"/>
      <c r="AD147" s="30"/>
      <c r="AE147" s="30"/>
      <c r="AF147" s="30"/>
    </row>
    <row r="148" spans="1:32" ht="45">
      <c r="A148" s="23" t="s">
        <v>869</v>
      </c>
      <c r="B148" s="24" t="s">
        <v>870</v>
      </c>
      <c r="C148" s="23" t="s">
        <v>980</v>
      </c>
      <c r="D148" s="25" t="s">
        <v>681</v>
      </c>
      <c r="E148" s="25"/>
      <c r="F148" s="25" t="s">
        <v>1016</v>
      </c>
      <c r="G148" s="27"/>
      <c r="H148" s="25"/>
      <c r="I148" s="27" t="str">
        <f ca="1">IFERROR(__xludf.DUMMYFUNCTION("GOOGLETRANSLATE(F148, ""en"", ""zu"")"),"Owokuqala kungenxa yokuthi ingane ayihlali inomhlengeli ofanayo kukho konke okuzondla.")</f>
        <v>Owokuqala kungenxa yokuthi ingane ayihlali inomhlengeli ofanayo kukho konke okuzondla.</v>
      </c>
      <c r="J148" s="29" t="str">
        <f ca="1">IFERROR(__xludf.DUMMYFUNCTION("GOOGLETRANSLATE(D148, ""pt"", ""zu"")"),"Owokuqala ngoba ingane ayihlali incelisa okufanayo kukho konke ukuncelisa.")</f>
        <v>Owokuqala ngoba ingane ayihlali incelisa okufanayo kukho konke ukuncelisa.</v>
      </c>
      <c r="K148" s="29" t="str">
        <f ca="1">IFERROR(__xludf.DUMMYFUNCTION("GOOGLETRANSLATE(F148, ""en"", ""af"")"),"Die eerste een is omdat die baba nie altyd dieselfde hoeveelheid by elke voeding verpleeg nie.")</f>
        <v>Die eerste een is omdat die baba nie altyd dieselfde hoeveelheid by elke voeding verpleeg nie.</v>
      </c>
      <c r="L148" s="20" t="str">
        <f ca="1">IFERROR(__xludf.DUMMYFUNCTION("GOOGLETRANSLATE(D148, ""pt"", ""af"")"),"Die eerste omdat die baba nie altyd dieselfde in elke borsvoeding borsvoed nie.")</f>
        <v>Die eerste omdat die baba nie altyd dieselfde in elke borsvoeding borsvoed nie.</v>
      </c>
      <c r="M148" s="30"/>
      <c r="N148" s="30"/>
      <c r="O148" s="30"/>
      <c r="P148" s="30"/>
      <c r="Q148" s="30"/>
      <c r="R148" s="30"/>
      <c r="S148" s="30"/>
      <c r="T148" s="30"/>
      <c r="U148" s="30"/>
      <c r="V148" s="30"/>
      <c r="W148" s="30"/>
      <c r="X148" s="30"/>
      <c r="Y148" s="30"/>
      <c r="Z148" s="30"/>
      <c r="AA148" s="30"/>
      <c r="AB148" s="30"/>
      <c r="AC148" s="30"/>
      <c r="AD148" s="30"/>
      <c r="AE148" s="30"/>
      <c r="AF148" s="30"/>
    </row>
    <row r="149" spans="1:32" ht="90">
      <c r="A149" s="23" t="s">
        <v>869</v>
      </c>
      <c r="B149" s="24" t="s">
        <v>870</v>
      </c>
      <c r="C149" s="23" t="s">
        <v>980</v>
      </c>
      <c r="D149" s="25" t="s">
        <v>684</v>
      </c>
      <c r="E149" s="25"/>
      <c r="F149" s="25" t="s">
        <v>1017</v>
      </c>
      <c r="G149" s="27"/>
      <c r="H149" s="25"/>
      <c r="I149" s="27" t="str">
        <f ca="1">IFERROR(__xludf.DUMMYFUNCTION("GOOGLETRANSLATE(F149, ""en"", ""zu"")"),"Elesibili kungenxa yokuthi alikho ipompo isebenza ngempumelelo njengengane ngqo esifubeni, nangaphandle, ayikho inani elibekiwe lobisi lwebele.")</f>
        <v>Elesibili kungenxa yokuthi alikho ipompo isebenza ngempumelelo njengengane ngqo esifubeni, nangaphandle, ayikho inani elibekiwe lobisi lwebele.</v>
      </c>
      <c r="J149" s="29" t="str">
        <f ca="1">IFERROR(__xludf.DUMMYFUNCTION("GOOGLETRANSLATE(D149, ""pt"", ""zu"")"),"Okwesibili ngoba akukho okukhishwe okusebenzayo njengengane ebeleni ngokuqondile qiniseka ukuthi alikho inani elichazwe ubisi lwebele noma.")</f>
        <v>Okwesibili ngoba akukho okukhishwe okusebenzayo njengengane ebeleni ngokuqondile qiniseka ukuthi alikho inani elichazwe ubisi lwebele noma.</v>
      </c>
      <c r="K149" s="29" t="str">
        <f ca="1">IFERROR(__xludf.DUMMYFUNCTION("GOOGLETRANSLATE(F149, ""en"", ""af"")"),"Die tweede een is omdat geen pomp so effektief is soos 'n baba direk op die bors nie, en daarbenewens is daar geen vasgestelde hoeveelheid vir borsmelk nie.")</f>
        <v>Die tweede een is omdat geen pomp so effektief is soos 'n baba direk op die bors nie, en daarbenewens is daar geen vasgestelde hoeveelheid vir borsmelk nie.</v>
      </c>
      <c r="L149" s="20" t="str">
        <f ca="1">IFERROR(__xludf.DUMMYFUNCTION("GOOGLETRANSLATE(D149, ""pt"", ""af"")"),"Die tweede omdat geen afzuiger so effektief is as die baba in die bors nie, is dit ook seker dat daar geen hoeveelheid vir borsmelk gedefinieer is nie.")</f>
        <v>Die tweede omdat geen afzuiger so effektief is as die baba in die bors nie, is dit ook seker dat daar geen hoeveelheid vir borsmelk gedefinieer is nie.</v>
      </c>
      <c r="M149" s="30"/>
      <c r="N149" s="30"/>
      <c r="O149" s="30"/>
      <c r="P149" s="30"/>
      <c r="Q149" s="30"/>
      <c r="R149" s="30"/>
      <c r="S149" s="30"/>
      <c r="T149" s="30"/>
      <c r="U149" s="30"/>
      <c r="V149" s="30"/>
      <c r="W149" s="30"/>
      <c r="X149" s="30"/>
      <c r="Y149" s="30"/>
      <c r="Z149" s="30"/>
      <c r="AA149" s="30"/>
      <c r="AB149" s="30"/>
      <c r="AC149" s="30"/>
      <c r="AD149" s="30"/>
      <c r="AE149" s="30"/>
      <c r="AF149" s="30"/>
    </row>
    <row r="150" spans="1:32" ht="90">
      <c r="A150" s="23" t="s">
        <v>869</v>
      </c>
      <c r="B150" s="24" t="s">
        <v>870</v>
      </c>
      <c r="C150" s="23" t="s">
        <v>980</v>
      </c>
      <c r="D150" s="25" t="s">
        <v>686</v>
      </c>
      <c r="E150" s="25"/>
      <c r="F150" s="25" t="s">
        <v>156</v>
      </c>
      <c r="G150" s="27"/>
      <c r="H150" s="25"/>
      <c r="I150" s="27" t="str">
        <f ca="1">IFERROR(__xludf.DUMMYFUNCTION("GOOGLETRANSLATE(F150, ""en"", ""zu"")"),"Umama ngamunye, ingane, nokondlayo ahlukile ❤ Futhi lapho ukuncelisa ibele, ukukhiqizwa kuhlale kuvumelaniswa kahle nendlala nezidingo zengane.")</f>
        <v>Umama ngamunye, ingane, nokondlayo ahlukile ❤ Futhi lapho ukuncelisa ibele, ukukhiqizwa kuhlale kuvumelaniswa kahle nendlala nezidingo zengane.</v>
      </c>
      <c r="J150" s="29" t="str">
        <f ca="1">IFERROR(__xludf.DUMMYFUNCTION("GOOGLETRANSLATE(D150, ""pt"", ""zu"")"),"Umama ngamunye, ingane nokuncelisa ibele ahlukile ❤ Futhi uma ekunceliseni ibele okukhethekile ukukhiqizwa kuhlale kuvumelaniswa kahle nendlala nokudinga ingane.")</f>
        <v>Umama ngamunye, ingane nokuncelisa ibele ahlukile ❤ Futhi uma ekunceliseni ibele okukhethekile ukukhiqizwa kuhlale kuvumelaniswa kahle nendlala nokudinga ingane.</v>
      </c>
      <c r="K150" s="29" t="str">
        <f ca="1">IFERROR(__xludf.DUMMYFUNCTION("GOOGLETRANSLATE(F150, ""en"", ""af"")"),"Elke moeder, baba en voeding is uniek ❤ en as ek uitsluitlik borsvoed, is produksie altyd perfek aangepas by die honger en behoeftes van die baba.")</f>
        <v>Elke moeder, baba en voeding is uniek ❤ en as ek uitsluitlik borsvoed, is produksie altyd perfek aangepas by die honger en behoeftes van die baba.</v>
      </c>
      <c r="L150" s="20" t="str">
        <f ca="1">IFERROR(__xludf.DUMMYFUNCTION("GOOGLETRANSLATE(D150, ""pt"", ""af"")"),"Elke moeder, baba en borsvoeding is uniek ❤ en as ek in eksklusiewe borsvoeding is, is die produksie altyd perfek aangepas by die honger en behoefte van die baba.")</f>
        <v>Elke moeder, baba en borsvoeding is uniek ❤ en as ek in eksklusiewe borsvoeding is, is die produksie altyd perfek aangepas by die honger en behoefte van die baba.</v>
      </c>
      <c r="M150" s="30"/>
      <c r="N150" s="30"/>
      <c r="O150" s="30"/>
      <c r="P150" s="30"/>
      <c r="Q150" s="30"/>
      <c r="R150" s="30"/>
      <c r="S150" s="30"/>
      <c r="T150" s="30"/>
      <c r="U150" s="30"/>
      <c r="V150" s="30"/>
      <c r="W150" s="30"/>
      <c r="X150" s="30"/>
      <c r="Y150" s="30"/>
      <c r="Z150" s="30"/>
      <c r="AA150" s="30"/>
      <c r="AB150" s="30"/>
      <c r="AC150" s="30"/>
      <c r="AD150" s="30"/>
      <c r="AE150" s="30"/>
      <c r="AF150" s="30"/>
    </row>
    <row r="151" spans="1:32" ht="105">
      <c r="A151" s="23" t="s">
        <v>869</v>
      </c>
      <c r="B151" s="24" t="s">
        <v>870</v>
      </c>
      <c r="C151" s="23" t="s">
        <v>980</v>
      </c>
      <c r="D151" s="25" t="s">
        <v>689</v>
      </c>
      <c r="E151" s="25"/>
      <c r="F151" s="25" t="s">
        <v>157</v>
      </c>
      <c r="G151" s="27"/>
      <c r="H151" s="25"/>
      <c r="I151" s="27" t="str">
        <f ca="1">IFERROR(__xludf.DUMMYFUNCTION("GOOGLETRANSLATE(F151, ""en"", ""zu"")"),"Ukuncelisa ibele ngesidingo (noma nini lapho ingane ifuna) esikhundleni sezikhathi ezithile noma amashejuli ⛔⌚ iyindlela engcono kakhulu yokuqinisekisa ukuthi ingane yakho ithola konke ukudla abakudingayo.")</f>
        <v>Ukuncelisa ibele ngesidingo (noma nini lapho ingane ifuna) esikhundleni sezikhathi ezithile noma amashejuli ⛔⌚ iyindlela engcono kakhulu yokuqinisekisa ukuthi ingane yakho ithola konke ukudla abakudingayo.</v>
      </c>
      <c r="J151" s="29" t="str">
        <f ca="1">IFERROR(__xludf.DUMMYFUNCTION("GOOGLETRANSLATE(D151, ""pt"", ""zu"")"),"Ukuncelisa ibele ngaphandle kwesikhathi, amashejuli ⛔⌚ nangesidingo samahhala (noma nini lapho ingane ibuza) iyindlela engcono kakhulu yokuqinisekisa ukuthi ingane yakho ithola konke ukudla okudingayo.")</f>
        <v>Ukuncelisa ibele ngaphandle kwesikhathi, amashejuli ⛔⌚ nangesidingo samahhala (noma nini lapho ingane ibuza) iyindlela engcono kakhulu yokuqinisekisa ukuthi ingane yakho ithola konke ukudla okudingayo.</v>
      </c>
      <c r="K151" s="29" t="str">
        <f ca="1">IFERROR(__xludf.DUMMYFUNCTION("GOOGLETRANSLATE(F151, ""en"", ""af"")"),"Borsvoeding op aanvraag (wanneer die baba wil) in plaas van op sekere tye of skedules ⛔⌚ is die beste manier om te verseker dat u baba al die kos kry wat hulle benodig.")</f>
        <v>Borsvoeding op aanvraag (wanneer die baba wil) in plaas van op sekere tye of skedules ⛔⌚ is die beste manier om te verseker dat u baba al die kos kry wat hulle benodig.</v>
      </c>
      <c r="L151" s="20" t="str">
        <f ca="1">IFERROR(__xludf.DUMMYFUNCTION("GOOGLETRANSLATE(D151, ""pt"", ""af"")"),"Borsvoeding sonder 'n tyd, skedules ⛔⌚ en in vrye vraag (wanneer die baba dit vra) is die beste manier om te verseker dat u baba al die kos ontvang wat u benodig.")</f>
        <v>Borsvoeding sonder 'n tyd, skedules ⛔⌚ en in vrye vraag (wanneer die baba dit vra) is die beste manier om te verseker dat u baba al die kos ontvang wat u benodig.</v>
      </c>
      <c r="M151" s="30"/>
      <c r="N151" s="30"/>
      <c r="O151" s="30"/>
      <c r="P151" s="30"/>
      <c r="Q151" s="30"/>
      <c r="R151" s="30"/>
      <c r="S151" s="30"/>
      <c r="T151" s="30"/>
      <c r="U151" s="30"/>
      <c r="V151" s="30"/>
      <c r="W151" s="30"/>
      <c r="X151" s="30"/>
      <c r="Y151" s="30"/>
      <c r="Z151" s="30"/>
      <c r="AA151" s="30"/>
      <c r="AB151" s="30"/>
      <c r="AC151" s="30"/>
      <c r="AD151" s="30"/>
      <c r="AE151" s="30"/>
      <c r="AF151" s="30"/>
    </row>
    <row r="152" spans="1:32" ht="27.95">
      <c r="A152" s="23" t="s">
        <v>869</v>
      </c>
      <c r="B152" s="24" t="s">
        <v>872</v>
      </c>
      <c r="C152" s="23" t="s">
        <v>980</v>
      </c>
      <c r="D152" s="25" t="s">
        <v>1018</v>
      </c>
      <c r="E152" s="25" t="s">
        <v>987</v>
      </c>
      <c r="F152" s="25"/>
      <c r="G152" s="27"/>
      <c r="H152" s="25"/>
      <c r="I152" s="27"/>
      <c r="J152" s="29" t="str">
        <f ca="1">IFERROR(__xludf.DUMMYFUNCTION("GOOGLETRANSLATE(D152, ""pt"", ""zu"")"),"Khulisa ukukhiqizwa?")</f>
        <v>Khulisa ukukhiqizwa?</v>
      </c>
      <c r="K152" s="29"/>
      <c r="L152" s="20" t="str">
        <f ca="1">IFERROR(__xludf.DUMMYFUNCTION("GOOGLETRANSLATE(D152, ""pt"", ""af"")"),"Verhoog die produksie?")</f>
        <v>Verhoog die produksie?</v>
      </c>
      <c r="M152" s="30"/>
      <c r="N152" s="30"/>
      <c r="O152" s="30"/>
      <c r="P152" s="30"/>
      <c r="Q152" s="30"/>
      <c r="R152" s="30"/>
      <c r="S152" s="30"/>
      <c r="T152" s="30"/>
      <c r="U152" s="30"/>
      <c r="V152" s="30"/>
      <c r="W152" s="30"/>
      <c r="X152" s="30"/>
      <c r="Y152" s="30"/>
      <c r="Z152" s="30"/>
      <c r="AA152" s="30"/>
      <c r="AB152" s="30"/>
      <c r="AC152" s="30"/>
      <c r="AD152" s="30"/>
      <c r="AE152" s="30"/>
      <c r="AF152" s="30"/>
    </row>
    <row r="153" spans="1:32" ht="27.95">
      <c r="A153" s="23" t="s">
        <v>869</v>
      </c>
      <c r="B153" s="24" t="s">
        <v>872</v>
      </c>
      <c r="C153" s="23" t="s">
        <v>980</v>
      </c>
      <c r="D153" s="25" t="s">
        <v>1019</v>
      </c>
      <c r="E153" s="25" t="s">
        <v>1020</v>
      </c>
      <c r="F153" s="25"/>
      <c r="G153" s="27"/>
      <c r="H153" s="25"/>
      <c r="I153" s="27"/>
      <c r="J153" s="29" t="str">
        <f ca="1">IFERROR(__xludf.DUMMYFUNCTION("GOOGLETRANSLATE(D153, ""pt"", ""zu"")"),"Ukukhathazeka ngesisindo?")</f>
        <v>Ukukhathazeka ngesisindo?</v>
      </c>
      <c r="K153" s="29"/>
      <c r="L153" s="20" t="str">
        <f ca="1">IFERROR(__xludf.DUMMYFUNCTION("GOOGLETRANSLATE(D153, ""pt"", ""af"")"),"Besorgdheid oor gewig?")</f>
        <v>Besorgdheid oor gewig?</v>
      </c>
      <c r="M153" s="30"/>
      <c r="N153" s="30"/>
      <c r="O153" s="30"/>
      <c r="P153" s="30"/>
      <c r="Q153" s="30"/>
      <c r="R153" s="30"/>
      <c r="S153" s="30"/>
      <c r="T153" s="30"/>
      <c r="U153" s="30"/>
      <c r="V153" s="30"/>
      <c r="W153" s="30"/>
      <c r="X153" s="30"/>
      <c r="Y153" s="30"/>
      <c r="Z153" s="30"/>
      <c r="AA153" s="30"/>
      <c r="AB153" s="30"/>
      <c r="AC153" s="30"/>
      <c r="AD153" s="30"/>
      <c r="AE153" s="30"/>
      <c r="AF153" s="30"/>
    </row>
    <row r="154" spans="1:32" ht="60">
      <c r="A154" s="23" t="s">
        <v>869</v>
      </c>
      <c r="B154" s="24" t="s">
        <v>870</v>
      </c>
      <c r="C154" s="23" t="s">
        <v>1020</v>
      </c>
      <c r="D154" s="25" t="s">
        <v>846</v>
      </c>
      <c r="E154" s="25"/>
      <c r="F154" s="25" t="s">
        <v>292</v>
      </c>
      <c r="G154" s="27"/>
      <c r="H154" s="25"/>
      <c r="I154" s="27" t="str">
        <f ca="1">IFERROR(__xludf.DUMMYFUNCTION("GOOGLETRANSLATE(F154, ""en"", ""zu"")"),"Izinzuzo zesisindo sezingane, abazali abathintekayo kakhulu, bavame ukususelwa kuma-average. 📊")</f>
        <v>Izinzuzo zesisindo sezingane, abazali abathintekayo kakhulu, bavame ukususelwa kuma-average. 📊</v>
      </c>
      <c r="J154" s="29" t="str">
        <f ca="1">IFERROR(__xludf.DUMMYFUNCTION("GOOGLETRANSLATE(D154, ""pt"", ""zu"")"),"Isisindo sanda kwezingane ezikhathaza abazali abakhathazekile zivame ngokuya ngokwesilinganiso. 📊")</f>
        <v>Isisindo sanda kwezingane ezikhathaza abazali abakhathazekile zivame ngokuya ngokwesilinganiso. 📊</v>
      </c>
      <c r="K154" s="29" t="str">
        <f ca="1">IFERROR(__xludf.DUMMYFUNCTION("GOOGLETRANSLATE(F154, ""en"", ""af"")"),"Babas se gewigstoename, waaroor ouers so besorg is, is gewoonlik gebaseer op gemiddeldes. 📊")</f>
        <v>Babas se gewigstoename, waaroor ouers so besorg is, is gewoonlik gebaseer op gemiddeldes. 📊</v>
      </c>
      <c r="L154" s="20" t="str">
        <f ca="1">IFERROR(__xludf.DUMMYFUNCTION("GOOGLETRANSLATE(D154, ""pt"", ""af"")"),"Die gewigstoename van babas wat bekommerd is, is gewoonlik gemiddeld gebaseer. 📊")</f>
        <v>Die gewigstoename van babas wat bekommerd is, is gewoonlik gemiddeld gebaseer. 📊</v>
      </c>
      <c r="M154" s="30"/>
      <c r="N154" s="30"/>
      <c r="O154" s="30"/>
      <c r="P154" s="30"/>
      <c r="Q154" s="30"/>
      <c r="R154" s="30"/>
      <c r="S154" s="30"/>
      <c r="T154" s="30"/>
      <c r="U154" s="30"/>
      <c r="V154" s="30"/>
      <c r="W154" s="30"/>
      <c r="X154" s="30"/>
      <c r="Y154" s="30"/>
      <c r="Z154" s="30"/>
      <c r="AA154" s="30"/>
      <c r="AB154" s="30"/>
      <c r="AC154" s="30"/>
      <c r="AD154" s="30"/>
      <c r="AE154" s="30"/>
      <c r="AF154" s="30"/>
    </row>
    <row r="155" spans="1:32" ht="135">
      <c r="A155" s="23" t="s">
        <v>869</v>
      </c>
      <c r="B155" s="24" t="s">
        <v>870</v>
      </c>
      <c r="C155" s="23" t="s">
        <v>1020</v>
      </c>
      <c r="D155" s="25" t="s">
        <v>849</v>
      </c>
      <c r="E155" s="25"/>
      <c r="F155" s="25" t="s">
        <v>293</v>
      </c>
      <c r="G155" s="27"/>
      <c r="H155" s="25"/>
      <c r="I155" s="27" t="str">
        <f ca="1">IFERROR(__xludf.DUMMYFUNCTION("GOOGLETRANSLATE(F155, ""en"", ""zu"")"),"Lokhu kusho ukuthi izingane ezinempilo zithola okungaphezulu kwesilinganiso nezinye izingane eziningi eziphilile ngokulinganayo zithola okungaphansi kwesilinganiso ngaphandle kokuthi kubhekwe njengenkinga.")</f>
        <v>Lokhu kusho ukuthi izingane ezinempilo zithola okungaphezulu kwesilinganiso nezinye izingane eziningi eziphilile ngokulinganayo zithola okungaphansi kwesilinganiso ngaphandle kokuthi kubhekwe njengenkinga.</v>
      </c>
      <c r="J155" s="29" t="str">
        <f ca="1">IFERROR(__xludf.DUMMYFUNCTION("GOOGLETRANSLATE(D155, ""pt"", ""zu"")"),"Lokhu kusho ukuthi izingane ezinempilo zikhuphuke ngaphezu kwesilinganiso kanye naphakathidlwana, ziphilile ngokulinganayo, zikhuphuke ngaphansi kwesilinganiso ngaphandle kokuthathwa njengenkinga ngaphandle kokuthathwa njengenkinga.")</f>
        <v>Lokhu kusho ukuthi izingane ezinempilo zikhuphuke ngaphezu kwesilinganiso kanye naphakathidlwana, ziphilile ngokulinganayo, zikhuphuke ngaphansi kwesilinganiso ngaphandle kokuthathwa njengenkinga ngaphandle kokuthathwa njengenkinga.</v>
      </c>
      <c r="K155" s="29" t="str">
        <f ca="1">IFERROR(__xludf.DUMMYFUNCTION("GOOGLETRANSLATE(F155, ""en"", ""af"")"),"Dit beteken dat gesonde kinders meer as die gemiddelde verdien, en baie ander ewe gesonde kinders kry minder as die gemiddelde sonder dat dit as 'n probleem beskou word.")</f>
        <v>Dit beteken dat gesonde kinders meer as die gemiddelde verdien, en baie ander ewe gesonde kinders kry minder as die gemiddelde sonder dat dit as 'n probleem beskou word.</v>
      </c>
      <c r="L155" s="20" t="str">
        <f ca="1">IFERROR(__xludf.DUMMYFUNCTION("GOOGLETRANSLATE(D155, ""pt"", ""af"")"),"Dit beteken dat gesonde kinders meer toegeneem het as die gemiddelde sowel as soveel, ewe gesond, minder as die gemiddelde toegeneem het sonder om as 'n probleem beskou te word.")</f>
        <v>Dit beteken dat gesonde kinders meer toegeneem het as die gemiddelde sowel as soveel, ewe gesond, minder as die gemiddelde toegeneem het sonder om as 'n probleem beskou te word.</v>
      </c>
      <c r="M155" s="30"/>
      <c r="N155" s="30"/>
      <c r="O155" s="30"/>
      <c r="P155" s="30"/>
      <c r="Q155" s="30"/>
      <c r="R155" s="30"/>
      <c r="S155" s="30"/>
      <c r="T155" s="30"/>
      <c r="U155" s="30"/>
      <c r="V155" s="30"/>
      <c r="W155" s="30"/>
      <c r="X155" s="30"/>
      <c r="Y155" s="30"/>
      <c r="Z155" s="30"/>
      <c r="AA155" s="30"/>
      <c r="AB155" s="30"/>
      <c r="AC155" s="30"/>
      <c r="AD155" s="30"/>
      <c r="AE155" s="30"/>
      <c r="AF155" s="30"/>
    </row>
    <row r="156" spans="1:32" ht="90">
      <c r="A156" s="23" t="s">
        <v>869</v>
      </c>
      <c r="B156" s="24" t="s">
        <v>870</v>
      </c>
      <c r="C156" s="23" t="s">
        <v>1020</v>
      </c>
      <c r="D156" s="25" t="s">
        <v>852</v>
      </c>
      <c r="E156" s="25"/>
      <c r="F156" s="25" t="s">
        <v>294</v>
      </c>
      <c r="G156" s="27"/>
      <c r="H156" s="25"/>
      <c r="I156" s="27" t="str">
        <f ca="1">IFERROR(__xludf.DUMMYFUNCTION("GOOGLETRANSLATE(F156, ""en"", ""zu"")"),"Uma begcina ngaphakathi kwe-permentile yabo (engakhuphuki phezulu noma phansi e-percentiles) futhi azikho ezinye izimpawu zokukhathazeka, isisindo ngokwaso akufanele sibe yinkinga! 😉")</f>
        <v>Uma begcina ngaphakathi kwe-permentile yabo (engakhuphuki phezulu noma phansi e-percentiles) futhi azikho ezinye izimpawu zokukhathazeka, isisindo ngokwaso akufanele sibe yinkinga! 😉</v>
      </c>
      <c r="J156" s="29" t="str">
        <f ca="1">IFERROR(__xludf.DUMMYFUNCTION("GOOGLETRANSLATE(D156, ""pt"", ""zu"")"),"Uma uhlala e-percentile yakho (awukaze uwele ama-percentiles, noma phansi noma phansi) futhi azikho ezinye izimpawu zokukhathazeka, isisindo sodwa akufanele sibe! 😉")</f>
        <v>Uma uhlala e-percentile yakho (awukaze uwele ama-percentiles, noma phansi noma phansi) futhi azikho ezinye izimpawu zokukhathazeka, isisindo sodwa akufanele sibe! 😉</v>
      </c>
      <c r="K156" s="29" t="str">
        <f ca="1">IFERROR(__xludf.DUMMYFUNCTION("GOOGLETRANSLATE(F156, ""en"", ""af"")"),"As hulle binne hul persentiel bly (nie in persentiele beweeg nie) en daar geen ander tekens van kommer is nie, moet die gewig op sigself nie 'n kommer wees nie! 😉")</f>
        <v>As hulle binne hul persentiel bly (nie in persentiele beweeg nie) en daar geen ander tekens van kommer is nie, moet die gewig op sigself nie 'n kommer wees nie! 😉</v>
      </c>
      <c r="L156" s="20" t="str">
        <f ca="1">IFERROR(__xludf.DUMMYFUNCTION("GOOGLETRANSLATE(D156, ""pt"", ""af"")"),"As u in u persentiel bly (u het nie persentiele gekruis nie, hetsy op of af) en daar is geen ander tekens van kommer nie, moet die gewig alleen nie wees nie! 😉")</f>
        <v>As u in u persentiel bly (u het nie persentiele gekruis nie, hetsy op of af) en daar is geen ander tekens van kommer nie, moet die gewig alleen nie wees nie! 😉</v>
      </c>
      <c r="M156" s="30"/>
      <c r="N156" s="30"/>
      <c r="O156" s="30"/>
      <c r="P156" s="30"/>
      <c r="Q156" s="30"/>
      <c r="R156" s="30"/>
      <c r="S156" s="30"/>
      <c r="T156" s="30"/>
      <c r="U156" s="30"/>
      <c r="V156" s="30"/>
      <c r="W156" s="30"/>
      <c r="X156" s="30"/>
      <c r="Y156" s="30"/>
      <c r="Z156" s="30"/>
      <c r="AA156" s="30"/>
      <c r="AB156" s="30"/>
      <c r="AC156" s="30"/>
      <c r="AD156" s="30"/>
      <c r="AE156" s="30"/>
      <c r="AF156" s="30"/>
    </row>
    <row r="157" spans="1:32" ht="27.95">
      <c r="A157" s="23" t="s">
        <v>869</v>
      </c>
      <c r="B157" s="24" t="s">
        <v>872</v>
      </c>
      <c r="C157" s="23" t="s">
        <v>1020</v>
      </c>
      <c r="D157" s="25" t="s">
        <v>1018</v>
      </c>
      <c r="E157" s="25" t="s">
        <v>987</v>
      </c>
      <c r="F157" s="25"/>
      <c r="G157" s="27"/>
      <c r="H157" s="25"/>
      <c r="I157" s="27"/>
      <c r="J157" s="29" t="str">
        <f ca="1">IFERROR(__xludf.DUMMYFUNCTION("GOOGLETRANSLATE(D157, ""pt"", ""zu"")"),"Khulisa ukukhiqizwa?")</f>
        <v>Khulisa ukukhiqizwa?</v>
      </c>
      <c r="K157" s="29"/>
      <c r="L157" s="20" t="str">
        <f ca="1">IFERROR(__xludf.DUMMYFUNCTION("GOOGLETRANSLATE(D157, ""pt"", ""af"")"),"Verhoog die produksie?")</f>
        <v>Verhoog die produksie?</v>
      </c>
      <c r="M157" s="30"/>
      <c r="N157" s="30"/>
      <c r="O157" s="30"/>
      <c r="P157" s="30"/>
      <c r="Q157" s="30"/>
      <c r="R157" s="30"/>
      <c r="S157" s="30"/>
      <c r="T157" s="30"/>
      <c r="U157" s="30"/>
      <c r="V157" s="30"/>
      <c r="W157" s="30"/>
      <c r="X157" s="30"/>
      <c r="Y157" s="30"/>
      <c r="Z157" s="30"/>
      <c r="AA157" s="30"/>
      <c r="AB157" s="30"/>
      <c r="AC157" s="30"/>
      <c r="AD157" s="30"/>
      <c r="AE157" s="30"/>
      <c r="AF157" s="30"/>
    </row>
    <row r="158" spans="1:32" ht="27.95">
      <c r="A158" s="23" t="s">
        <v>869</v>
      </c>
      <c r="B158" s="24" t="s">
        <v>872</v>
      </c>
      <c r="C158" s="23" t="s">
        <v>1020</v>
      </c>
      <c r="D158" s="25" t="s">
        <v>1021</v>
      </c>
      <c r="E158" s="25" t="s">
        <v>980</v>
      </c>
      <c r="F158" s="25"/>
      <c r="G158" s="27"/>
      <c r="H158" s="25"/>
      <c r="I158" s="27"/>
      <c r="J158" s="29" t="str">
        <f ca="1">IFERROR(__xludf.DUMMYFUNCTION("GOOGLETRANSLATE(D158, ""pt"", ""zu"")"),"Kwanele?")</f>
        <v>Kwanele?</v>
      </c>
      <c r="K158" s="29"/>
      <c r="L158" s="20" t="str">
        <f ca="1">IFERROR(__xludf.DUMMYFUNCTION("GOOGLETRANSLATE(D158, ""pt"", ""af"")"),"Is dit genoeg?")</f>
        <v>Is dit genoeg?</v>
      </c>
      <c r="M158" s="30"/>
      <c r="N158" s="30"/>
      <c r="O158" s="30"/>
      <c r="P158" s="30"/>
      <c r="Q158" s="30"/>
      <c r="R158" s="30"/>
      <c r="S158" s="30"/>
      <c r="T158" s="30"/>
      <c r="U158" s="30"/>
      <c r="V158" s="30"/>
      <c r="W158" s="30"/>
      <c r="X158" s="30"/>
      <c r="Y158" s="30"/>
      <c r="Z158" s="30"/>
      <c r="AA158" s="30"/>
      <c r="AB158" s="30"/>
      <c r="AC158" s="30"/>
      <c r="AD158" s="30"/>
      <c r="AE158" s="30"/>
      <c r="AF158" s="30"/>
    </row>
    <row r="159" spans="1:32" ht="371.1">
      <c r="A159" s="23" t="s">
        <v>1022</v>
      </c>
      <c r="B159" s="24" t="s">
        <v>870</v>
      </c>
      <c r="C159" s="35" t="s">
        <v>1023</v>
      </c>
      <c r="D159" s="25" t="s">
        <v>1024</v>
      </c>
      <c r="E159" s="36"/>
      <c r="F159" s="98" t="s">
        <v>1025</v>
      </c>
      <c r="G159" s="30"/>
      <c r="H159" s="32"/>
      <c r="I159" s="27" t="str">
        <f ca="1">IFERROR(__xludf.DUMMYFUNCTION("GOOGLETRANSLATE(F159, ""en"", ""zu"")"),"Imihlahlandlela Yezizwe (ikakhulukazi i-World Health Organisation), ituse ukuncelisa ibele kuphela kuze kube izinyanga eziyisithupha ubudala futhi njengesengezo ekudleni okuqinile inqobo nje uma umama kanye nesifiso sengane.
 Ukugcina ukuncelisa ibele, "&amp;"vele uqhubeke nesidingo nesikhuthazo.
 Ukwandisa ukukhiqizwa kanye nokunikezwa kobisi, kwandise inani lezikhathi amabele avuselelwa (yingane, ngesandla, noma ngephampu) futhi azithumbi ngokuphelele.
 Ukunciphisa ukunikezwa kobisi, gwema ukuthulula ngo"&amp;"kuphelele amabele.
 Okwezeluleko eziningi zohlobo ""olunye"" noma ""ithiphu"" futhi. Ungaphinde uthayiphe ""Imenyu"" ukuze ubuye emuva ubone izinketho zami noma nini lapho ufuna.")</f>
        <v>Imihlahlandlela Yezizwe (ikakhulukazi i-World Health Organisation), ituse ukuncelisa ibele kuphela kuze kube izinyanga eziyisithupha ubudala futhi njengesengezo ekudleni okuqinile inqobo nje uma umama kanye nesifiso sengane.
 Ukugcina ukuncelisa ibele, vele uqhubeke nesidingo nesikhuthazo.
 Ukwandisa ukukhiqizwa kanye nokunikezwa kobisi, kwandise inani lezikhathi amabele avuselelwa (yingane, ngesandla, noma ngephampu) futhi azithumbi ngokuphelele.
 Ukunciphisa ukunikezwa kobisi, gwema ukuthulula ngokuphelele amabele.
 Okwezeluleko eziningi zohlobo "olunye" noma "ithiphu" futhi. Ungaphinde uthayiphe "Imenyu" ukuze ubuye emuva ubone izinketho zami noma nini lapho ufuna.</v>
      </c>
      <c r="J159" s="29" t="str">
        <f ca="1">IFERROR(__xludf.DUMMYFUNCTION("GOOGLETRANSLATE(D159, ""pt"", ""zu"")"),"Imigqa eqondisayo yomhlaba (okungukuthi I-World Health Organisation) ituse ukuncelisa ibele kuphela ezinyangeni ezi-6 ubudala futhi ngokuhlangana nokudla okuphelele ngenkathi umama kamama eqonda kanjalo.
Ukugcina ukuncelisa ibele nje ukugcina ukusesha "&amp;"/ ukukhuthaza.
Ukwandisa ukukhiqizwa kukhulisa inani lezikhathi ibele livuselelwa (nengane, noma ukukhishwa kwesandla, noma ngephampu) bese kukhishwa ipompo).
Ukunciphisa ukugwema isifuba kuyagwenywa.
Ukuze uthole amathiphu amaningi athi ""Omunye"&amp;""" noma ""Ithiphu"" futhi. Uma ufuna ungasho nje ukuthi ""Imenyu"" ukuze ubone izinketho futhi.")</f>
        <v>Imigqa eqondisayo yomhlaba (okungukuthi I-World Health Organisation) ituse ukuncelisa ibele kuphela ezinyangeni ezi-6 ubudala futhi ngokuhlangana nokudla okuphelele ngenkathi umama kamama eqonda kanjalo.
Ukugcina ukuncelisa ibele nje ukugcina ukusesha / ukukhuthaza.
Ukwandisa ukukhiqizwa kukhulisa inani lezikhathi ibele livuselelwa (nengane, noma ukukhishwa kwesandla, noma ngephampu) bese kukhishwa ipompo).
Ukunciphisa ukugwema isifuba kuyagwenywa.
Ukuze uthole amathiphu amaningi athi "Omunye" noma "Ithiphu" futhi. Uma ufuna ungasho nje ukuthi "Imenyu" ukuze ubone izinketho futhi.</v>
      </c>
      <c r="K159" s="29" t="str">
        <f ca="1">IFERROR(__xludf.DUMMYFUNCTION("GOOGLETRANSLATE(F159, ""en"", ""af"")"),"Internasionale riglyne (veral die Wêreldgesondheidsorganisasie) beveel eksklusief borsvoeding aan tot 6 maande ouderdom en as aanvulling op vaste kos vir so lank as wat die moeder en baba wil hê.
 Hou die vraag en stimulus aan om borsvoeding te handhaaf"&amp;".
 Om die produksie en melktoevoer te verhoog, verhoog die aantal kere wat die borste gestimuleer word (deur die baba, handmatig of met 'n pomp) en maak dit heeltemal leeg.
 Om die melktoevoer te verminder, moet u die borste heeltemal leegmaak.
 Vir"&amp;" meer wenke tik ''n ander' of 'wenk' weer. U kan ook 'Menu' tik om terug te gaan en my opsies te sien wanneer u wil.")</f>
        <v>Internasionale riglyne (veral die Wêreldgesondheidsorganisasie) beveel eksklusief borsvoeding aan tot 6 maande ouderdom en as aanvulling op vaste kos vir so lank as wat die moeder en baba wil hê.
 Hou die vraag en stimulus aan om borsvoeding te handhaaf.
 Om die produksie en melktoevoer te verhoog, verhoog die aantal kere wat die borste gestimuleer word (deur die baba, handmatig of met 'n pomp) en maak dit heeltemal leeg.
 Om die melktoevoer te verminder, moet u die borste heeltemal leegmaak.
 Vir meer wenke tik ''n ander' of 'wenk' weer. U kan ook 'Menu' tik om terug te gaan en my opsies te sien wanneer u wil.</v>
      </c>
      <c r="L159" s="20" t="str">
        <f ca="1">IFERROR(__xludf.DUMMYFUNCTION("GOOGLETRANSLATE(D159, ""pt"", ""af"")"),"Die World Guiding Lines (naamlik die Wêreldgesondheidsorganisasie) beveel aan dat borsvoeding uitsluitlik tot 6 maande ouderdom en in samewerking met voedsel voltooi word terwyl moedermoeder dit dus verstaan.
Om borsvoeding te handhaaf, handhaaf dit ne"&amp;"t soek/stimulus.
Om die produksie te verhoog, verhoog die aantal kere wat die bors gestimuleer word (met die baba, of hand ekstraksie, of met pomp) en volledig leeggemaak word.
Om te verminder, word die bors vermy.
Vir meer wenke sê weer ""'n and"&amp;"er"" of ""wenk"" weer. As u wil, kan u net 'Menu' sê om die opsies weer te sien.")</f>
        <v>Die World Guiding Lines (naamlik die Wêreldgesondheidsorganisasie) beveel aan dat borsvoeding uitsluitlik tot 6 maande ouderdom en in samewerking met voedsel voltooi word terwyl moedermoeder dit dus verstaan.
Om borsvoeding te handhaaf, handhaaf dit net soek/stimulus.
Om die produksie te verhoog, verhoog die aantal kere wat die bors gestimuleer word (met die baba, of hand ekstraksie, of met pomp) en volledig leeggemaak word.
Om te verminder, word die bors vermy.
Vir meer wenke sê weer "'n ander" of "wenk" weer. As u wil, kan u net 'Menu' sê om die opsies weer te sien.</v>
      </c>
      <c r="M159" s="30"/>
      <c r="N159" s="30"/>
      <c r="O159" s="30"/>
      <c r="P159" s="30"/>
      <c r="Q159" s="30"/>
      <c r="R159" s="30"/>
      <c r="S159" s="30"/>
      <c r="T159" s="30"/>
      <c r="U159" s="30"/>
      <c r="V159" s="30"/>
      <c r="W159" s="30"/>
      <c r="X159" s="30"/>
      <c r="Y159" s="30"/>
      <c r="Z159" s="30"/>
      <c r="AA159" s="30"/>
      <c r="AB159" s="30"/>
      <c r="AC159" s="30"/>
      <c r="AD159" s="30"/>
      <c r="AE159" s="30"/>
      <c r="AF159" s="30"/>
    </row>
    <row r="160" spans="1:32" ht="285">
      <c r="A160" s="23" t="s">
        <v>1022</v>
      </c>
      <c r="B160" s="24" t="s">
        <v>870</v>
      </c>
      <c r="C160" s="35" t="s">
        <v>1026</v>
      </c>
      <c r="D160" s="25" t="s">
        <v>1027</v>
      </c>
      <c r="E160" s="36"/>
      <c r="F160" s="98" t="s">
        <v>1028</v>
      </c>
      <c r="G160" s="30"/>
      <c r="H160" s="32"/>
      <c r="I160" s="27" t="str">
        <f ca="1">IFERROR(__xludf.DUMMYFUNCTION("GOOGLETRANSLATE(F160, ""en"", ""zu"")"),"Ukunakekela ingane kungumsebenzi ongapheli futhi oqeda amandla.
 Zinakekele! Zama ukuphumula, okungenani ngesikhathi esisodwa sengane yakho. Noma vele uhlale phansi uvale amehlo akho.
 Uma unezinkinga ""ukunqamula"" ubuchopho bakho, zama ukucabanga ok"&amp;"okugcina lapho uzizwa uphumule ngokuphelele:
 Lokho kuzihlaziya kokugcina, ntambama ephelele ebhishi noma epaki, lelo sonto elangeni ... zzzz;)
 Ungathanda okuningi? Thayipha ""enye"" ​​noma ""ithiphu"" noma """)</f>
        <v>Ukunakekela ingane kungumsebenzi ongapheli futhi oqeda amandla.
 Zinakekele! Zama ukuphumula, okungenani ngesikhathi esisodwa sengane yakho. Noma vele uhlale phansi uvale amehlo akho.
 Uma unezinkinga "ukunqamula" ubuchopho bakho, zama ukucabanga okokugcina lapho uzizwa uphumule ngokuphelele:
 Lokho kuzihlaziya kokugcina, ntambama ephelele ebhishi noma epaki, lelo sonto elangeni ... zzzz;)
 Ungathanda okuningi? Thayipha "enye" ​​noma "ithiphu" noma "</v>
      </c>
      <c r="J160" s="29" t="str">
        <f ca="1">IFERROR(__xludf.DUMMYFUNCTION("GOOGLETRANSLATE(D160, ""pt"", ""zu"")"),"Ukunakekela ingane kungumsebenzi ongapheli futhi oqeda kakhulu.
Uzinakekele! Zama ukuphumula, okuncane, okungenani okungu-1 kwabayisithupha. Kwanele ukuthi uzizwe futhi uvale amehlo akho.
Uma unobunzima ""ukucisha"" ubuchopho, zama ukucabanga okokug"&amp;"cina ubonakale uphumule ngokuphelele (O):
Kulokho okugcina, lokho ntambama ephelele ebhishi, lokho kushona kwelanga ... zzzz;)
Okuningi? Ithi ""enye"" ​​noma ""ithiphu"" noma ""futhi.")</f>
        <v>Ukunakekela ingane kungumsebenzi ongapheli futhi oqeda kakhulu.
Uzinakekele! Zama ukuphumula, okuncane, okungenani okungu-1 kwabayisithupha. Kwanele ukuthi uzizwe futhi uvale amehlo akho.
Uma unobunzima "ukucisha" ubuchopho, zama ukucabanga okokugcina ubonakale uphumule ngokuphelele (O):
Kulokho okugcina, lokho ntambama ephelele ebhishi, lokho kushona kwelanga ... zzzz;)
Okuningi? Ithi "enye" ​​noma "ithiphu" noma "futhi.</v>
      </c>
      <c r="K160" s="29" t="str">
        <f ca="1">IFERROR(__xludf.DUMMYFUNCTION("GOOGLETRANSLATE(F160, ""en"", ""af"")"),"Die versorging van 'n baba is 'n eindelose en uitputtende werk.
 Pas jouself op! Probeer om te rus, ten minste tydens een van u baba se slapies. Of gaan sit net en maak jou oë toe.
 As u probleme ondervind om u brein te “ontkoppel”, probeer dan nadink"&amp;" oor die laaste keer dat u heeltemal ontspanne gevoel het:
 Daardie laaste massering, daardie perfekte middag op die strand of park, daardie sonnige Sondag ... zzzz;)
 Wil u meer hê? Tik weer 'n ander 'of' wenk '.")</f>
        <v>Die versorging van 'n baba is 'n eindelose en uitputtende werk.
 Pas jouself op! Probeer om te rus, ten minste tydens een van u baba se slapies. Of gaan sit net en maak jou oë toe.
 As u probleme ondervind om u brein te “ontkoppel”, probeer dan nadink oor die laaste keer dat u heeltemal ontspanne gevoel het:
 Daardie laaste massering, daardie perfekte middag op die strand of park, daardie sonnige Sondag ... zzzz;)
 Wil u meer hê? Tik weer 'n ander 'of' wenk '.</v>
      </c>
      <c r="L160" s="20" t="str">
        <f ca="1">IFERROR(__xludf.DUMMYFUNCTION("GOOGLETRANSLATE(D160, ""pt"", ""af"")"),"Die versorging van 'n baba is 'n eindelose en baie uitputtende werk.
Pas jou op! Probeer om 'n bietjie te rus in minstens 1 van die sesdes. Dit is genoeg dat u ook u oë voel en toemaak.
As u probleme ondervind om die brein te ""afskakel"", probeer d"&amp;"an om die laaste keer te dink dat u heeltemal ontspanne voel (O):
In daardie laaste massering, daardie perfekte laatmiddag op die strand, daardie sonsondergang ... zzzz;)
Meer? Sê weer ""'n ander"" of ""wenk"".")</f>
        <v>Die versorging van 'n baba is 'n eindelose en baie uitputtende werk.
Pas jou op! Probeer om 'n bietjie te rus in minstens 1 van die sesdes. Dit is genoeg dat u ook u oë voel en toemaak.
As u probleme ondervind om die brein te "afskakel", probeer dan om die laaste keer te dink dat u heeltemal ontspanne voel (O):
In daardie laaste massering, daardie perfekte laatmiddag op die strand, daardie sonsondergang ... zzzz;)
Meer? Sê weer "'n ander" of "wenk".</v>
      </c>
      <c r="M160" s="30"/>
      <c r="N160" s="30"/>
      <c r="O160" s="30"/>
      <c r="P160" s="30"/>
      <c r="Q160" s="30"/>
      <c r="R160" s="30"/>
      <c r="S160" s="30"/>
      <c r="T160" s="30"/>
      <c r="U160" s="30"/>
      <c r="V160" s="30"/>
      <c r="W160" s="30"/>
      <c r="X160" s="30"/>
      <c r="Y160" s="30"/>
      <c r="Z160" s="30"/>
      <c r="AA160" s="30"/>
      <c r="AB160" s="30"/>
      <c r="AC160" s="30"/>
      <c r="AD160" s="30"/>
      <c r="AE160" s="30"/>
      <c r="AF160" s="30"/>
    </row>
    <row r="161" spans="1:32" ht="285">
      <c r="A161" s="23" t="s">
        <v>1022</v>
      </c>
      <c r="B161" s="24" t="s">
        <v>870</v>
      </c>
      <c r="C161" s="35" t="s">
        <v>1026</v>
      </c>
      <c r="D161" s="25" t="s">
        <v>1027</v>
      </c>
      <c r="E161" s="36"/>
      <c r="F161" s="98" t="s">
        <v>1029</v>
      </c>
      <c r="G161" s="30"/>
      <c r="H161" s="32"/>
      <c r="I161" s="27" t="str">
        <f ca="1">IFERROR(__xludf.DUMMYFUNCTION("GOOGLETRANSLATE(F161, ""en"", ""zu"")"),"Ukunakekela ingane kungumsebenzi ongapheli futhi oqeda amandla.
Zinakekele! Zama ukuphumula, okungenani ngesikhathi esisodwa sengane yakho. Noma vele uhlale phansi uvale amehlo akho.
Uma unezinkinga ""ukunqamula"" ubuchopho bakho, zama ukucabanga okok"&amp;"ugcina lapho uzizwa uphumule ngokuphelele:
Lokho kuzihlaziya kokugcina, ntambama ephelele ebhishi noma epaki, lelo sonto elangeni ... zzzz;)
Ungathanda okuningi? Thayipha ""enye"" ​​noma ""ithiphu"" noma """)</f>
        <v>Ukunakekela ingane kungumsebenzi ongapheli futhi oqeda amandla.
Zinakekele! Zama ukuphumula, okungenani ngesikhathi esisodwa sengane yakho. Noma vele uhlale phansi uvale amehlo akho.
Uma unezinkinga "ukunqamula" ubuchopho bakho, zama ukucabanga okokugcina lapho uzizwa uphumule ngokuphelele:
Lokho kuzihlaziya kokugcina, ntambama ephelele ebhishi noma epaki, lelo sonto elangeni ... zzzz;)
Ungathanda okuningi? Thayipha "enye" ​​noma "ithiphu" noma "</v>
      </c>
      <c r="J161" s="29" t="str">
        <f ca="1">IFERROR(__xludf.DUMMYFUNCTION("GOOGLETRANSLATE(D161, ""pt"", ""zu"")"),"Ukunakekela ingane kungumsebenzi ongapheli futhi oqeda kakhulu.
Uzinakekele! Zama ukuphumula, okuncane, okungenani okungu-1 kwabayisithupha. Kwanele ukuthi uzizwe futhi uvale amehlo akho.
Uma unobunzima ""ukucisha"" ubuchopho, zama ukucabanga okokug"&amp;"cina ubonakale uphumule ngokuphelele (O):
Kulokho okugcina, lokho ntambama ephelele ebhishi, lokho kushona kwelanga ... zzzz;)
Okuningi? Ithi ""enye"" ​​noma ""ithiphu"" noma ""futhi.")</f>
        <v>Ukunakekela ingane kungumsebenzi ongapheli futhi oqeda kakhulu.
Uzinakekele! Zama ukuphumula, okuncane, okungenani okungu-1 kwabayisithupha. Kwanele ukuthi uzizwe futhi uvale amehlo akho.
Uma unobunzima "ukucisha" ubuchopho, zama ukucabanga okokugcina ubonakale uphumule ngokuphelele (O):
Kulokho okugcina, lokho ntambama ephelele ebhishi, lokho kushona kwelanga ... zzzz;)
Okuningi? Ithi "enye" ​​noma "ithiphu" noma "futhi.</v>
      </c>
      <c r="K161" s="29" t="str">
        <f ca="1">IFERROR(__xludf.DUMMYFUNCTION("GOOGLETRANSLATE(F161, ""en"", ""af"")"),"Die versorging van 'n baba is 'n eindelose en uitputtende werk.
Pas jouself op! Probeer om te rus, ten minste tydens een van u baba se slapies. Of gaan sit net en maak jou oë toe.
As u probleme ondervind om u brein te “ontkoppel”, probeer dan nadink o"&amp;"or die laaste keer dat u heeltemal ontspanne gevoel het:
Daardie laaste massering, daardie perfekte middag op die strand of park, daardie sonnige Sondag ... zzzz;)
Wil u meer hê? Tik weer 'n ander 'of' wenk '.")</f>
        <v>Die versorging van 'n baba is 'n eindelose en uitputtende werk.
Pas jouself op! Probeer om te rus, ten minste tydens een van u baba se slapies. Of gaan sit net en maak jou oë toe.
As u probleme ondervind om u brein te “ontkoppel”, probeer dan nadink oor die laaste keer dat u heeltemal ontspanne gevoel het:
Daardie laaste massering, daardie perfekte middag op die strand of park, daardie sonnige Sondag ... zzzz;)
Wil u meer hê? Tik weer 'n ander 'of' wenk '.</v>
      </c>
      <c r="L161" s="20" t="str">
        <f ca="1">IFERROR(__xludf.DUMMYFUNCTION("GOOGLETRANSLATE(D161, ""pt"", ""af"")"),"Die versorging van 'n baba is 'n eindelose en baie uitputtende werk.
Pas jou op! Probeer om 'n bietjie te rus in minstens 1 van die sesdes. Dit is genoeg dat u ook u oë voel en toemaak.
As u probleme ondervind om die brein te ""afskakel"", probeer d"&amp;"an om die laaste keer te dink dat u heeltemal ontspanne voel (O):
In daardie laaste massering, daardie perfekte laatmiddag op die strand, daardie sonsondergang ... zzzz;)
Meer? Sê weer ""'n ander"" of ""wenk"".")</f>
        <v>Die versorging van 'n baba is 'n eindelose en baie uitputtende werk.
Pas jou op! Probeer om 'n bietjie te rus in minstens 1 van die sesdes. Dit is genoeg dat u ook u oë voel en toemaak.
As u probleme ondervind om die brein te "afskakel", probeer dan om die laaste keer te dink dat u heeltemal ontspanne voel (O):
In daardie laaste massering, daardie perfekte laatmiddag op die strand, daardie sonsondergang ... zzzz;)
Meer? Sê weer "'n ander" of "wenk".</v>
      </c>
      <c r="M161" s="30"/>
      <c r="N161" s="30"/>
      <c r="O161" s="30"/>
      <c r="P161" s="30"/>
      <c r="Q161" s="30"/>
      <c r="R161" s="30"/>
      <c r="S161" s="30"/>
      <c r="T161" s="30"/>
      <c r="U161" s="30"/>
      <c r="V161" s="30"/>
      <c r="W161" s="30"/>
      <c r="X161" s="30"/>
      <c r="Y161" s="30"/>
      <c r="Z161" s="30"/>
      <c r="AA161" s="30"/>
      <c r="AB161" s="30"/>
      <c r="AC161" s="30"/>
      <c r="AD161" s="30"/>
      <c r="AE161" s="30"/>
      <c r="AF161" s="30"/>
    </row>
    <row r="162" spans="1:32" ht="165">
      <c r="A162" s="23" t="s">
        <v>1022</v>
      </c>
      <c r="B162" s="24" t="s">
        <v>870</v>
      </c>
      <c r="C162" s="35" t="s">
        <v>1030</v>
      </c>
      <c r="D162" s="25" t="s">
        <v>1031</v>
      </c>
      <c r="E162" s="36"/>
      <c r="F162" s="98" t="s">
        <v>1032</v>
      </c>
      <c r="G162" s="30"/>
      <c r="H162" s="32"/>
      <c r="I162" s="27" t="str">
        <f ca="1">IFERROR(__xludf.DUMMYFUNCTION("GOOGLETRANSLATE(F162, ""en"", ""zu"")"),"Uma kunokukhala noma ukucasuka okuhlale kwenzeka ngasikhathi sinye, imvamisa ekupheleni kosuku, kuvame ukukhombisa ukukhathala kwabanakekeli.
Ungasiza ngokuqinisekisa ukuthi umnakekeli oyisisekelo uphumula phakathi okungenani nenye yezindawo zengane.")</f>
        <v>Uma kunokukhala noma ukucasuka okuhlale kwenzeka ngasikhathi sinye, imvamisa ekupheleni kosuku, kuvame ukukhombisa ukukhathala kwabanakekeli.
Ungasiza ngokuqinisekisa ukuthi umnakekeli oyisisekelo uphumula phakathi okungenani nenye yezindawo zengane.</v>
      </c>
      <c r="J162" s="29" t="str">
        <f ca="1">IFERROR(__xludf.DUMMYFUNCTION("GOOGLETRANSLATE(D162, ""pt"", ""zu"")"),"Ukukhala okuthile noma ukucasuka njalo ngasikhathi sinye, imvamisa ekupheleni kosuku, imvamisa kuyisimangaliso sokukhathala komnakekeli.
Ungasiza ngokuqinisekisa ukuthi umnakekeli oyinhloko uphumule okungenani u-1 we-weaks yengane naye.")</f>
        <v>Ukukhala okuthile noma ukucasuka njalo ngasikhathi sinye, imvamisa ekupheleni kosuku, imvamisa kuyisimangaliso sokukhathala komnakekeli.
Ungasiza ngokuqinisekisa ukuthi umnakekeli oyinhloko uphumule okungenani u-1 we-weaks yengane naye.</v>
      </c>
      <c r="K162" s="29" t="str">
        <f ca="1">IFERROR(__xludf.DUMMYFUNCTION("GOOGLETRANSLATE(F162, ""en"", ""af"")"),"As daar 'n bietjie huil of irritasie is wat altyd op dieselfde tyd plaasvind, gewoonlik aan die einde van die dag, is dit gewoonlik 'n weerspieëling van die moegheid van die versorger.
U kan help deur te verseker dat die primêre versorger tydens ten min"&amp;"ste een van die baba se middagslapies rus.")</f>
        <v>As daar 'n bietjie huil of irritasie is wat altyd op dieselfde tyd plaasvind, gewoonlik aan die einde van die dag, is dit gewoonlik 'n weerspieëling van die moegheid van die versorger.
U kan help deur te verseker dat die primêre versorger tydens ten minste een van die baba se middagslapies rus.</v>
      </c>
      <c r="L162" s="20" t="str">
        <f ca="1">IFERROR(__xludf.DUMMYFUNCTION("GOOGLETRANSLATE(D162, ""pt"", ""af"")"),"Sommige huil of irritasie altyd op dieselfde tyd, gewoonlik aan die einde van die dag, is gewoonlik spieël van die moegheid van die versorger.
U kan help deur te verseker dat die hoofversorger minstens 1 van die baba se seaks by hom rus.")</f>
        <v>Sommige huil of irritasie altyd op dieselfde tyd, gewoonlik aan die einde van die dag, is gewoonlik spieël van die moegheid van die versorger.
U kan help deur te verseker dat die hoofversorger minstens 1 van die baba se seaks by hom rus.</v>
      </c>
      <c r="M162" s="30"/>
      <c r="N162" s="30"/>
      <c r="O162" s="30"/>
      <c r="P162" s="30"/>
      <c r="Q162" s="30"/>
      <c r="R162" s="30"/>
      <c r="S162" s="30"/>
      <c r="T162" s="30"/>
      <c r="U162" s="30"/>
      <c r="V162" s="30"/>
      <c r="W162" s="30"/>
      <c r="X162" s="30"/>
      <c r="Y162" s="30"/>
      <c r="Z162" s="30"/>
      <c r="AA162" s="30"/>
      <c r="AB162" s="30"/>
      <c r="AC162" s="30"/>
      <c r="AD162" s="30"/>
      <c r="AE162" s="30"/>
      <c r="AF162" s="30"/>
    </row>
    <row r="163" spans="1:32" ht="240">
      <c r="A163" s="23" t="s">
        <v>1022</v>
      </c>
      <c r="B163" s="24" t="s">
        <v>870</v>
      </c>
      <c r="C163" s="35" t="s">
        <v>1033</v>
      </c>
      <c r="D163" s="25" t="s">
        <v>1034</v>
      </c>
      <c r="E163" s="36"/>
      <c r="F163" s="98" t="s">
        <v>1035</v>
      </c>
      <c r="G163" s="30"/>
      <c r="H163" s="32"/>
      <c r="I163" s="27" t="str">
        <f ca="1">IFERROR(__xludf.DUMMYFUNCTION("GOOGLETRANSLATE(F163, ""en"", ""zu"")"),"Ama-98% ezingane azoba neziqephu ze-colic phakathi kwazo 3 - Isonto lazo le-4 - 4 - 4 izinyanga ezi-3 ubudala.
I-Colic yisimo esilinganiselwe, okusho ukuthi noma ngabe akukho okwenziwayo, kunyamalala ngokwemvelo. Ukunikeza ama-massage nsuku zonke lapho "&amp;"ingane yakho izolile iyindlela engcono kakhulu yokubhekana nayo.
Kuthiwani ngamaqiniso athile? Ungathanda yini ukufunda ezinye? Thayipha ""iqiniso.""")</f>
        <v>Ama-98% ezingane azoba neziqephu ze-colic phakathi kwazo 3 - Isonto lazo le-4 - 4 - 4 izinyanga ezi-3 ubudala.
I-Colic yisimo esilinganiselwe, okusho ukuthi noma ngabe akukho okwenziwayo, kunyamalala ngokwemvelo. Ukunikeza ama-massage nsuku zonke lapho ingane yakho izolile iyindlela engcono kakhulu yokubhekana nayo.
Kuthiwani ngamaqiniso athile? Ungathanda yini ukufunda ezinye? Thayipha "iqiniso."</v>
      </c>
      <c r="J163" s="29" t="str">
        <f ca="1">IFERROR(__xludf.DUMMYFUNCTION("GOOGLETRANSLATE(D163, ""pt"", ""zu"")"),"Ama-98% ezingane azoba neziqephu zokuqhekeka phakathi kwesonto lesithathu / lesi-4 lempilo nenyanga yesi-3/4 yeminyaka yobudala.
Ama-cramps azilinganiselwe, okungukuthi, noma ngabe akukho okwenziwayo, anyamalala ngokwemvelo. Ukuqala ukwakheka kwansuku "&amp;"zonke ngesikhathi lapho ingane ithule iyindlela engcono yokubhekana nayo.
Namaqiniso athile? Ngabe ufuna ukwazi? Ubhala ""Iqiniso"".")</f>
        <v>Ama-98% ezingane azoba neziqephu zokuqhekeka phakathi kwesonto lesithathu / lesi-4 lempilo nenyanga yesi-3/4 yeminyaka yobudala.
Ama-cramps azilinganiselwe, okungukuthi, noma ngabe akukho okwenziwayo, anyamalala ngokwemvelo. Ukuqala ukwakheka kwansuku zonke ngesikhathi lapho ingane ithule iyindlela engcono yokubhekana nayo.
Namaqiniso athile? Ngabe ufuna ukwazi? Ubhala "Iqiniso".</v>
      </c>
      <c r="K163" s="29" t="str">
        <f ca="1">IFERROR(__xludf.DUMMYFUNCTION("GOOGLETRANSLATE(F163, ""en"", ""af"")"),"98% van die babas het episodes van koliek tussen hul 3de - 4de week van die lewe en 3 - 4 maande ouderdom.
Koliek is 'n selfbeperkte toestand, wat beteken dat selfs al word niks gedoen nie, dit natuurlik verdwyn. Om daaglikse masserings te gee as u baba"&amp;" kalm is, is die beste manier om dit aan te pak.
Hoe gaan dit met sommige feite? Wil u sommige leer? Tik “feit.”")</f>
        <v>98% van die babas het episodes van koliek tussen hul 3de - 4de week van die lewe en 3 - 4 maande ouderdom.
Koliek is 'n selfbeperkte toestand, wat beteken dat selfs al word niks gedoen nie, dit natuurlik verdwyn. Om daaglikse masserings te gee as u baba kalm is, is die beste manier om dit aan te pak.
Hoe gaan dit met sommige feite? Wil u sommige leer? Tik “feit.”</v>
      </c>
      <c r="L163" s="20" t="str">
        <f ca="1">IFERROR(__xludf.DUMMYFUNCTION("GOOGLETRANSLATE(D163, ""pt"", ""af"")"),"98% van die babas het episodes van krampe tussen die 3de/4de week van die lewe en die 3de/4de maand.
Die krampe is selfbeperk, dit wil sê, selfs al word niks gedoen nie, verdwyn hulle natuurlik. Om daaglikse masserings te begin op die tydstip waarop di"&amp;"e baba stiller is, is die beste manier om daarmee om te gaan.
En sommige feite? Wil jy weet? Skryf 'feit'.")</f>
        <v>98% van die babas het episodes van krampe tussen die 3de/4de week van die lewe en die 3de/4de maand.
Die krampe is selfbeperk, dit wil sê, selfs al word niks gedoen nie, verdwyn hulle natuurlik. Om daaglikse masserings te begin op die tydstip waarop die baba stiller is, is die beste manier om daarmee om te gaan.
En sommige feite? Wil jy weet? Skryf 'feit'.</v>
      </c>
      <c r="M163" s="30"/>
      <c r="N163" s="30"/>
      <c r="O163" s="30"/>
      <c r="P163" s="30"/>
      <c r="Q163" s="30"/>
      <c r="R163" s="30"/>
      <c r="S163" s="30"/>
      <c r="T163" s="30"/>
      <c r="U163" s="30"/>
      <c r="V163" s="30"/>
      <c r="W163" s="30"/>
      <c r="X163" s="30"/>
      <c r="Y163" s="30"/>
      <c r="Z163" s="30"/>
      <c r="AA163" s="30"/>
      <c r="AB163" s="30"/>
      <c r="AC163" s="30"/>
      <c r="AD163" s="30"/>
      <c r="AE163" s="30"/>
      <c r="AF163" s="30"/>
    </row>
    <row r="164" spans="1:32" ht="225">
      <c r="A164" s="23" t="s">
        <v>1022</v>
      </c>
      <c r="B164" s="24" t="s">
        <v>870</v>
      </c>
      <c r="C164" s="35" t="s">
        <v>1036</v>
      </c>
      <c r="D164" s="25" t="s">
        <v>1037</v>
      </c>
      <c r="E164" s="36"/>
      <c r="F164" s="98" t="s">
        <v>1038</v>
      </c>
      <c r="G164" s="30"/>
      <c r="H164" s="32"/>
      <c r="I164" s="27" t="str">
        <f ca="1">IFERROR(__xludf.DUMMYFUNCTION("GOOGLETRANSLATE(F164, ""en"", ""zu"")"),"Ngemuva kokuthi ukuncelisa ibele kusungulwe kahle (imvamisa ngemuva kwamaviki ayi-6 ngaphandle kwezingqinamba), akufanele kube kubuhlungu futhi.
Izilonda nemifantu cishe zihlale ngenxa ye-latch empofu.
Ithiphu:
Kubalulekile ukufunda ngokushesha okukhu"&amp;"lu ukuthi ungayibona kanjani i-latch enhle ukuze ukwazi ukulungisa noma ukusisiza noma nini lapho ingane yakho ingahanjiswa kahle.")</f>
        <v>Ngemuva kokuthi ukuncelisa ibele kusungulwe kahle (imvamisa ngemuva kwamaviki ayi-6 ngaphandle kwezingqinamba), akufanele kube kubuhlungu futhi.
Izilonda nemifantu cishe zihlale ngenxa ye-latch empofu.
Ithiphu:
Kubalulekile ukufunda ngokushesha okukhulu ukuthi ungayibona kanjani i-latch enhle ukuze ukwazi ukulungisa noma ukusisiza noma nini lapho ingane yakho ingahanjiswa kahle.</v>
      </c>
      <c r="J164" s="29" t="str">
        <f ca="1">IFERROR(__xludf.DUMMYFUNCTION("GOOGLETRANSLATE(D164, ""pt"", ""zu"")"),"Ngemuva kokuncelisa ibele (imvamisa ngemuva kwamaviki ayi-6 ngaphandle kwezinkinga) abukho buhlungu obufanele ngesikhathi sokuncelisa ibele.
Amanxeba nemifantu cishe ihlala iwuphawu lokubamba okubi.
Ithiphu:
Kubalulekile ukufunda, ngokushesha okukh"&amp;"ulu, ukubona isibambo esihle sokulungisa noma ukusiza ukuqondisa noma nini lapho ingane ingakwenzi kahle.")</f>
        <v>Ngemuva kokuncelisa ibele (imvamisa ngemuva kwamaviki ayi-6 ngaphandle kwezinkinga) abukho buhlungu obufanele ngesikhathi sokuncelisa ibele.
Amanxeba nemifantu cishe ihlala iwuphawu lokubamba okubi.
Ithiphu:
Kubalulekile ukufunda, ngokushesha okukhulu, ukubona isibambo esihle sokulungisa noma ukusiza ukuqondisa noma nini lapho ingane ingakwenzi kahle.</v>
      </c>
      <c r="K164" s="29" t="str">
        <f ca="1">IFERROR(__xludf.DUMMYFUNCTION("GOOGLETRANSLATE(F164, ""en"", ""af"")"),"Nadat borsvoeding goed gevestig is (gewoonlik na 6 weke sonder terugslae), moet dit nie meer pynlik wees nie.
Sere en krake is byna altyd te wyte aan 'n swak grendel.
Wenk:
Dit is belangrik om so gou as moontlik te leer hoe om 'n goeie grendel te iden"&amp;"tifiseer om dit reg te stel of te help regstel wanneer u baba nie behoorlik vasgemaak is nie.")</f>
        <v>Nadat borsvoeding goed gevestig is (gewoonlik na 6 weke sonder terugslae), moet dit nie meer pynlik wees nie.
Sere en krake is byna altyd te wyte aan 'n swak grendel.
Wenk:
Dit is belangrik om so gou as moontlik te leer hoe om 'n goeie grendel te identifiseer om dit reg te stel of te help regstel wanneer u baba nie behoorlik vasgemaak is nie.</v>
      </c>
      <c r="L164" s="20" t="str">
        <f ca="1">IFERROR(__xludf.DUMMYFUNCTION("GOOGLETRANSLATE(D164, ""pt"", ""af"")"),"Na die borsvoeding (gewoonlik na 6 weke sonder terugslae) is daar geen veronderstelde pyn tydens die borsvoeding nie.
Wonde en krake is byna altyd 'n teken van 'n slegte handvatsel.
Wenk:
Dit is belangrik om so gou as moontlik te leer om 'n goeie h"&amp;"andvatsel te identifiseer om reg te stel of te help regstel wanneer die baba dit nie reg doen nie.")</f>
        <v>Na die borsvoeding (gewoonlik na 6 weke sonder terugslae) is daar geen veronderstelde pyn tydens die borsvoeding nie.
Wonde en krake is byna altyd 'n teken van 'n slegte handvatsel.
Wenk:
Dit is belangrik om so gou as moontlik te leer om 'n goeie handvatsel te identifiseer om reg te stel of te help regstel wanneer die baba dit nie reg doen nie.</v>
      </c>
      <c r="M164" s="30"/>
      <c r="N164" s="30"/>
      <c r="O164" s="30"/>
      <c r="P164" s="30"/>
      <c r="Q164" s="30"/>
      <c r="R164" s="30"/>
      <c r="S164" s="30"/>
      <c r="T164" s="30"/>
      <c r="U164" s="30"/>
      <c r="V164" s="30"/>
      <c r="W164" s="30"/>
      <c r="X164" s="30"/>
      <c r="Y164" s="30"/>
      <c r="Z164" s="30"/>
      <c r="AA164" s="30"/>
      <c r="AB164" s="30"/>
      <c r="AC164" s="30"/>
      <c r="AD164" s="30"/>
      <c r="AE164" s="30"/>
      <c r="AF164" s="30"/>
    </row>
    <row r="165" spans="1:32" ht="300">
      <c r="A165" s="23" t="s">
        <v>1022</v>
      </c>
      <c r="B165" s="24" t="s">
        <v>870</v>
      </c>
      <c r="C165" s="35" t="s">
        <v>1039</v>
      </c>
      <c r="D165" s="25" t="s">
        <v>1040</v>
      </c>
      <c r="E165" s="36"/>
      <c r="F165" s="98" t="s">
        <v>1041</v>
      </c>
      <c r="G165" s="30"/>
      <c r="H165" s="32"/>
      <c r="I165" s="27" t="str">
        <f ca="1">IFERROR(__xludf.DUMMYFUNCTION("GOOGLETRANSLATE(F165, ""en"", ""zu"")"),"Ukukhala okungathandeki, isisu esiqinile, nokukhala kwesinye isikhathi kuyaphazamiseka lapho imilenze yabo ilusa ngokushesha ezinye zezimpawu ze-colic.
Ukuncelisa njalo futhi kuphethe ingane yakho phansi engalweni yakho yizinketho ezinempilo nezemvelo u"&amp;"kusiza ukubhekana nalesi sigaba esinzima.
Okwezeluleko eziningi zohlobo ""olunye"" noma ""ithiphu"" futhi. Nginawo amaqiniso okufanele ngiwahlanganyele. Ungaphinde uthayiphe ""Imenyu"" ukuze ubuye emuva ubone izinketho zami noma nini lapho ufuna.")</f>
        <v>Ukukhala okungathandeki, isisu esiqinile, nokukhala kwesinye isikhathi kuyaphazamiseka lapho imilenze yabo ilusa ngokushesha ezinye zezimpawu ze-colic.
Ukuncelisa njalo futhi kuphethe ingane yakho phansi engalweni yakho yizinketho ezinempilo nezemvelo ukusiza ukubhekana nalesi sigaba esinzima.
Okwezeluleko eziningi zohlobo "olunye" noma "ithiphu" futhi. Nginawo amaqiniso okufanele ngiwahlanganyele. Ungaphinde uthayiphe "Imenyu" ukuze ubuye emuva ubone izinketho zami noma nini lapho ufuna.</v>
      </c>
      <c r="J165" s="29" t="str">
        <f ca="1">IFERROR(__xludf.DUMMYFUNCTION("GOOGLETRANSLATE(D165, ""pt"", ""zu"")"),"Ukukhala okungathandeki, isisu esinzima, kwesinye isikhathi ukukhala kwaphazamisa umzuzu wemilenze eyelulwa ngokuzumayo, lezi ziyizimpawu ezimbalwa nje zama-cramp.
Ukuncelisa njalo futhi kunikeze ingane ithambile ukuyibeka engalweni yakho ingalo ngezin"&amp;"ye izindlela ezinempilo nezemvelo ezisiza ukubhekana nalesi sigaba esinzima.
Ukuze uthole amathiphu amaningi athi ""Omunye"" noma ""Ithiphu"" futhi. Nami ngibe ""namaqiniso"" okufanele ngihlanganyele. Uma ufuna ungasho nje ukuthi ""Imenyu"" ukuze ubone"&amp;" izinketho futhi.")</f>
        <v>Ukukhala okungathandeki, isisu esinzima, kwesinye isikhathi ukukhala kwaphazamisa umzuzu wemilenze eyelulwa ngokuzumayo, lezi ziyizimpawu ezimbalwa nje zama-cramp.
Ukuncelisa njalo futhi kunikeze ingane ithambile ukuyibeka engalweni yakho ingalo ngezinye izindlela ezinempilo nezemvelo ezisiza ukubhekana nalesi sigaba esinzima.
Ukuze uthole amathiphu amaningi athi "Omunye" noma "Ithiphu" futhi. Nami ngibe "namaqiniso" okufanele ngihlanganyele. Uma ufuna ungasho nje ukuthi "Imenyu" ukuze ubone izinketho futhi.</v>
      </c>
      <c r="K165" s="29" t="str">
        <f ca="1">IFERROR(__xludf.DUMMYFUNCTION("GOOGLETRANSLATE(F165, ""en"", ""af"")"),"Onversoenbare huil, 'n ferm buik en huil wat soms onderbreek word as hul bene skielik uitsteek, is net 'n paar tekens van koliek.
'N Paar gesonde en natuurlike opsies om hierdie moeilike fase te help om hierdie moeilike fase te hanteer, is meer gereeld "&amp;"borsvoeding en hou u baba -gesig op u arm.
Vir meer wenke tik ''n ander' of 'wenk' weer. Ek het ook feite om te deel. U kan ook 'Menu' tik om terug te gaan en my opsies te sien wanneer u wil.")</f>
        <v>Onversoenbare huil, 'n ferm buik en huil wat soms onderbreek word as hul bene skielik uitsteek, is net 'n paar tekens van koliek.
'N Paar gesonde en natuurlike opsies om hierdie moeilike fase te help om hierdie moeilike fase te hanteer, is meer gereeld borsvoeding en hou u baba -gesig op u arm.
Vir meer wenke tik ''n ander' of 'wenk' weer. Ek het ook feite om te deel. U kan ook 'Menu' tik om terug te gaan en my opsies te sien wanneer u wil.</v>
      </c>
      <c r="L165" s="20" t="str">
        <f ca="1">IFERROR(__xludf.DUMMYFUNCTION("GOOGLETRANSLATE(D165, ""pt"", ""af"")"),"'N Onversoenbare huil, 'n harde buik, 'n geskreeu onderbreek soms die oomblik toe die bene skielik strek, dit is net 'n paar tekens van krampe.
Borsvoeding meer gereeld en die baba -skoot gee om dit op u arm op ons arm te plaas, is 'n paar gesonde en n"&amp;"atuurlike alternatiewe wat help om hierdie moeilike fase te hanteer.
Vir meer wenke sê weer ""'n ander"" of ""wenk"" weer. Ek het ook 'feite' om te deel. As u wil, kan u net 'Menu' sê om die opsies weer te sien.")</f>
        <v>'N Onversoenbare huil, 'n harde buik, 'n geskreeu onderbreek soms die oomblik toe die bene skielik strek, dit is net 'n paar tekens van krampe.
Borsvoeding meer gereeld en die baba -skoot gee om dit op u arm op ons arm te plaas, is 'n paar gesonde en natuurlike alternatiewe wat help om hierdie moeilike fase te hanteer.
Vir meer wenke sê weer "'n ander" of "wenk" weer. Ek het ook 'feite' om te deel. As u wil, kan u net 'Menu' sê om die opsies weer te sien.</v>
      </c>
      <c r="M165" s="30"/>
      <c r="N165" s="30"/>
      <c r="O165" s="30"/>
      <c r="P165" s="30"/>
      <c r="Q165" s="30"/>
      <c r="R165" s="30"/>
      <c r="S165" s="30"/>
      <c r="T165" s="30"/>
      <c r="U165" s="30"/>
      <c r="V165" s="30"/>
      <c r="W165" s="30"/>
      <c r="X165" s="30"/>
      <c r="Y165" s="30"/>
      <c r="Z165" s="30"/>
      <c r="AA165" s="30"/>
      <c r="AB165" s="30"/>
      <c r="AC165" s="30"/>
      <c r="AD165" s="30"/>
      <c r="AE165" s="30"/>
      <c r="AF165" s="30"/>
    </row>
    <row r="166" spans="1:32" ht="195">
      <c r="A166" s="23" t="s">
        <v>1042</v>
      </c>
      <c r="B166" s="24" t="s">
        <v>870</v>
      </c>
      <c r="C166" s="23" t="s">
        <v>1043</v>
      </c>
      <c r="D166" s="25" t="s">
        <v>1044</v>
      </c>
      <c r="E166" s="37"/>
      <c r="F166" s="98" t="s">
        <v>1045</v>
      </c>
      <c r="G166" s="30"/>
      <c r="H166" s="32"/>
      <c r="I166" s="27" t="str">
        <f ca="1">IFERROR(__xludf.DUMMYFUNCTION("GOOGLETRANSLATE(F166, ""en"", ""zu"")"),"Imihlahlandlela Yezwe Yezizwe (ikakhulukazi iWorld Health Organisation) itusa ukuncelisa ibele kuphela kuze kube yizinyanga eziyisithupha ubudala futhi njengesengezo ekudleni okuqinile inqobo nje uma umama kanye nesifiso sengane.
Ukuze ufunde kabanzi, t"&amp;"hayipha ""noma"" iqiniso ""futhi. Nginezeluleko zokuhlanganyela. Ukuhamba, vele uthayiphe ""imenyu"".")</f>
        <v>Imihlahlandlela Yezwe Yezizwe (ikakhulukazi iWorld Health Organisation) itusa ukuncelisa ibele kuphela kuze kube yizinyanga eziyisithupha ubudala futhi njengesengezo ekudleni okuqinile inqobo nje uma umama kanye nesifiso sengane.
Ukuze ufunde kabanzi, thayipha "noma" iqiniso "futhi. Nginezeluleko zokuhlanganyela. Ukuhamba, vele uthayiphe "imenyu".</v>
      </c>
      <c r="J166" s="29" t="str">
        <f ca="1">IFERROR(__xludf.DUMMYFUNCTION("GOOGLETRANSLATE(D166, ""pt"", ""zu"")"),"Imigqa eqondisayo yomhlaba (okungukuthi i-World Health Organisation) Incoma ukuncelisa ibele kuphela ezinyangeni ezi-6 ubudala futhi ngokuhlangana nokudla okuhambisanayo njengoba umama ohambisanayo aqonda kanjalo.
Ngaphezu kwalokho, bhala ""noma"" iqin"&amp;"iso ""futhi. Nami ngibe ""namathiphu"" ukuze abelane. Ukushiya nje ""imenyu"".")</f>
        <v>Imigqa eqondisayo yomhlaba (okungukuthi i-World Health Organisation) Incoma ukuncelisa ibele kuphela ezinyangeni ezi-6 ubudala futhi ngokuhlangana nokudla okuhambisanayo njengoba umama ohambisanayo aqonda kanjalo.
Ngaphezu kwalokho, bhala "noma" iqiniso "futhi. Nami ngibe "namathiphu" ukuze abelane. Ukushiya nje "imenyu".</v>
      </c>
      <c r="K166" s="29" t="str">
        <f ca="1">IFERROR(__xludf.DUMMYFUNCTION("GOOGLETRANSLATE(F166, ""en"", ""af"")"),"Internasionale riglyne (veral die Wêreldgesondheidsorganisasie) beveel eksklusief borsvoeding aan tot 6 maande ouderdom en as aanvulling op vaste kos vir so lank as wat die moeder en baba wil hê.
Om meer te wete te kom, tik weer “meer” of “feit”. Ek het"&amp;" ook wenke om te deel. Om te vertrek, tik net “Menu” in.")</f>
        <v>Internasionale riglyne (veral die Wêreldgesondheidsorganisasie) beveel eksklusief borsvoeding aan tot 6 maande ouderdom en as aanvulling op vaste kos vir so lank as wat die moeder en baba wil hê.
Om meer te wete te kom, tik weer “meer” of “feit”. Ek het ook wenke om te deel. Om te vertrek, tik net “Menu” in.</v>
      </c>
      <c r="L166" s="20" t="str">
        <f ca="1">IFERROR(__xludf.DUMMYFUNCTION("GOOGLETRANSLATE(D166, ""pt"", ""af"")"),"Die World Guiding Lines (naamlik die Wêreldgesondheidsorganisasie) beveel aan dat borsvoeding uitsluitlik tot 6 maande ouderdom en in samewerking met aanvullende voedsel as baba -moeder dit dus verstaan.
Skryf ook weer 'meer' of 'feit'. Ek het ook 'wen"&amp;"ke' om te deel. Om net 'spyskaart' te verlaat.")</f>
        <v>Die World Guiding Lines (naamlik die Wêreldgesondheidsorganisasie) beveel aan dat borsvoeding uitsluitlik tot 6 maande ouderdom en in samewerking met aanvullende voedsel as baba -moeder dit dus verstaan.
Skryf ook weer 'meer' of 'feit'. Ek het ook 'wenke' om te deel. Om net 'spyskaart' te verlaat.</v>
      </c>
      <c r="M166" s="30"/>
      <c r="N166" s="30"/>
      <c r="O166" s="30"/>
      <c r="P166" s="30"/>
      <c r="Q166" s="30"/>
      <c r="R166" s="30"/>
      <c r="S166" s="30"/>
      <c r="T166" s="30"/>
      <c r="U166" s="30"/>
      <c r="V166" s="30"/>
      <c r="W166" s="30"/>
      <c r="X166" s="30"/>
      <c r="Y166" s="30"/>
      <c r="Z166" s="30"/>
      <c r="AA166" s="30"/>
      <c r="AB166" s="30"/>
      <c r="AC166" s="30"/>
      <c r="AD166" s="30"/>
      <c r="AE166" s="30"/>
      <c r="AF166" s="30"/>
    </row>
    <row r="167" spans="1:32" ht="270">
      <c r="A167" s="23" t="s">
        <v>1042</v>
      </c>
      <c r="B167" s="24" t="s">
        <v>870</v>
      </c>
      <c r="C167" s="38" t="s">
        <v>1046</v>
      </c>
      <c r="D167" s="25" t="s">
        <v>1047</v>
      </c>
      <c r="E167" s="36"/>
      <c r="F167" s="98" t="s">
        <v>1048</v>
      </c>
      <c r="G167" s="30"/>
      <c r="H167" s="32"/>
      <c r="I167" s="27" t="str">
        <f ca="1">IFERROR(__xludf.DUMMYFUNCTION("GOOGLETRANSLATE(F167, ""en"", ""zu"")"),"Abesifazane banamabele ama-2 ngoba bakulungele ukondla izingane ezi-2 ngasikhathi sinye.
Uma une-1 nje ingane, ibele elingu-1 ukudla. Okuhlukile yilapho ubisi lwakho lungena, khona-ke ngaso sonke isikhathi nikeza zombili (ukukhuthaza ukukhiqizwa) kanye "&amp;"/ noma ngesikhathi sokukhula kokukhula (noma ngesikhathi sokukhula kokukhula (lapho icala 1 kungenzeka lunganele ukwanelisa ukwanda kwengane yakho ngokuzumayo).
(Into enhle kunokuhlinzekwa okugciniwe njalo ukulungele ukuhamba, kunjalo?)")</f>
        <v>Abesifazane banamabele ama-2 ngoba bakulungele ukondla izingane ezi-2 ngasikhathi sinye.
Uma une-1 nje ingane, ibele elingu-1 ukudla. Okuhlukile yilapho ubisi lwakho lungena, khona-ke ngaso sonke isikhathi nikeza zombili (ukukhuthaza ukukhiqizwa) kanye / noma ngesikhathi sokukhula kokukhula (noma ngesikhathi sokukhula kokukhula (lapho icala 1 kungenzeka lunganele ukwanelisa ukwanda kwengane yakho ngokuzumayo).
(Into enhle kunokuhlinzekwa okugciniwe njalo ukulungele ukuhamba, kunjalo?)</v>
      </c>
      <c r="J167" s="29" t="str">
        <f ca="1">IFERROR(__xludf.DUMMYFUNCTION("GOOGLETRANSLATE(D167, ""pt"", ""zu"")"),"Abesifazane banamabele ama-2 ngoba bakulungele ukudla ngasikhathi sinye 2.
Uma kwenzeka kuyingane eyi-1 kuphela, ibele eli-1 isidlo. Ngaphandle kokukhuphuka kobisi kufanele kuhlinzekwe njalo (ukukhuthaza) kanye / noma esiqongweni sokukhula, lapho kunge"&amp;"nzeka ukuthi 1 kungenzeka ukuthi kunganele ukwanelisa ukwanda okungazelelwe kwezidingo zezingane.
(Into enhle iwumuthi wokubhuka njalo elungele futhi kwesokudla emnyango, kwesokudla?)")</f>
        <v>Abesifazane banamabele ama-2 ngoba bakulungele ukudla ngasikhathi sinye 2.
Uma kwenzeka kuyingane eyi-1 kuphela, ibele eli-1 isidlo. Ngaphandle kokukhuphuka kobisi kufanele kuhlinzekwe njalo (ukukhuthaza) kanye / noma esiqongweni sokukhula, lapho kungenzeka ukuthi 1 kungenzeka ukuthi kunganele ukwanelisa ukwanda okungazelelwe kwezidingo zezingane.
(Into enhle iwumuthi wokubhuka njalo elungele futhi kwesokudla emnyango, kwesokudla?)</v>
      </c>
      <c r="K167" s="29" t="str">
        <f ca="1">IFERROR(__xludf.DUMMYFUNCTION("GOOGLETRANSLATE(F167, ""en"", ""af"")"),"Vroue het 2 borste omdat hulle bereid is om 2 babas tegelyk te voed.
As u net 1 baba het, is 1 bors 'n maaltyd. Die uitsondering is wanneer u melk binnekom, en bied altyd albei (om produksie te stimuleer) en/of tydens groeispoor (in welke geval 1 miskie"&amp;"n nie genoeg is om u baba se skielike toename in aptyt te bevredig nie).
(Goeie ding dat daar 'n reserwe -aanbod altyd gereed is om te gaan, nie waar nie?)")</f>
        <v>Vroue het 2 borste omdat hulle bereid is om 2 babas tegelyk te voed.
As u net 1 baba het, is 1 bors 'n maaltyd. Die uitsondering is wanneer u melk binnekom, en bied altyd albei (om produksie te stimuleer) en/of tydens groeispoor (in welke geval 1 miskien nie genoeg is om u baba se skielike toename in aptyt te bevredig nie).
(Goeie ding dat daar 'n reserwe -aanbod altyd gereed is om te gaan, nie waar nie?)</v>
      </c>
      <c r="L167" s="20" t="str">
        <f ca="1">IFERROR(__xludf.DUMMYFUNCTION("GOOGLETRANSLATE(D167, ""pt"", ""af"")"),"Vroue het 2 borste omdat hulle bereid is om gelyktydig 2 babas te eet.
As dit slegs 1 baba is, is 1 bors 'n maaltyd. Behalwe totdat melkklim altyd aangebied moet word (om te stimuleer) en/of op 'n groeipeak, waar 1 moontlik nie voldoende sal wees om aa"&amp;"n die skielike toename in bababehoeftes te voldoen nie.
(Goeie ding is 'n reserwe -dosis wat altyd gereed is en langsaan, nie waar nie?)")</f>
        <v>Vroue het 2 borste omdat hulle bereid is om gelyktydig 2 babas te eet.
As dit slegs 1 baba is, is 1 bors 'n maaltyd. Behalwe totdat melkklim altyd aangebied moet word (om te stimuleer) en/of op 'n groeipeak, waar 1 moontlik nie voldoende sal wees om aan die skielike toename in bababehoeftes te voldoen nie.
(Goeie ding is 'n reserwe -dosis wat altyd gereed is en langsaan, nie waar nie?)</v>
      </c>
      <c r="M167" s="30"/>
      <c r="N167" s="30"/>
      <c r="O167" s="30"/>
      <c r="P167" s="30"/>
      <c r="Q167" s="30"/>
      <c r="R167" s="30"/>
      <c r="S167" s="30"/>
      <c r="T167" s="30"/>
      <c r="U167" s="30"/>
      <c r="V167" s="30"/>
      <c r="W167" s="30"/>
      <c r="X167" s="30"/>
      <c r="Y167" s="30"/>
      <c r="Z167" s="30"/>
      <c r="AA167" s="30"/>
      <c r="AB167" s="30"/>
      <c r="AC167" s="30"/>
      <c r="AD167" s="30"/>
      <c r="AE167" s="30"/>
      <c r="AF167" s="30"/>
    </row>
    <row r="168" spans="1:32" ht="165">
      <c r="A168" s="23" t="s">
        <v>1042</v>
      </c>
      <c r="B168" s="24" t="s">
        <v>870</v>
      </c>
      <c r="C168" s="23" t="s">
        <v>1049</v>
      </c>
      <c r="D168" s="25" t="s">
        <v>1050</v>
      </c>
      <c r="E168" s="36"/>
      <c r="F168" s="98" t="s">
        <v>1051</v>
      </c>
      <c r="G168" s="30"/>
      <c r="H168" s="32"/>
      <c r="I168" s="27" t="str">
        <f ca="1">IFERROR(__xludf.DUMMYFUNCTION("GOOGLETRANSLATE(F168, ""en"", ""zu"")"),"Ubuwazi ukuthi iLa Leche League (Inhlangano engenzi inzuzo) ihlala inamavolontiya atholakalayo ukusiza?
Ungaxhumana nomeluleki wokuzithandela wokuzithandela nganoma yisiphi isikhathi lapha ⬇
(Qaphela: Ungabhala i-LC nganoma yisiphi isikhathi futhi "&amp;"ngizokukhumbula ngesiza)")</f>
        <v>Ubuwazi ukuthi iLa Leche League (Inhlangano engenzi inzuzo) ihlala inamavolontiya atholakalayo ukusiza?
Ungaxhumana nomeluleki wokuzithandela wokuzithandela nganoma yisiphi isikhathi lapha ⬇
(Qaphela: Ungabhala i-LC nganoma yisiphi isikhathi futhi ngizokukhumbula ngesiza)</v>
      </c>
      <c r="J168" s="29" t="str">
        <f ca="1">IFERROR(__xludf.DUMMYFUNCTION("GOOGLETRANSLATE(D168, ""pt"", ""zu"")"),"Ubuwazi ukuthi ukuncelisa ibele kwe-SOS (okungeyona inhlangano) kuhlale kunamavolontiya atholakalayo ukusiza?
Nganoma yisiphi isikhathi futhi nganoma yisiphi isikhathi ungathola oxhumana naye we-cam yokuzithandela (umeluleki webele) lapha ⬇")</f>
        <v>Ubuwazi ukuthi ukuncelisa ibele kwe-SOS (okungeyona inhlangano) kuhlale kunamavolontiya atholakalayo ukusiza?
Nganoma yisiphi isikhathi futhi nganoma yisiphi isikhathi ungathola oxhumana naye we-cam yokuzithandela (umeluleki webele) lapha ⬇</v>
      </c>
      <c r="K168" s="29" t="str">
        <f ca="1">IFERROR(__xludf.DUMMYFUNCTION("GOOGLETRANSLATE(F168, ""en"", ""af"")"),"Het u geweet dat La Leche League ('n organisasie sonder winsoogmerk) altyd vrywilligers beskikbaar het om te help?
U kan te eniger tyd hier 'n vrywillige laktasiekonsultant kontak ⬇
(Opmerking: u kan LC enige tyd skryf en ek sal u van die webwerf o"&amp;"nthou)")</f>
        <v>Het u geweet dat La Leche League ('n organisasie sonder winsoogmerk) altyd vrywilligers beskikbaar het om te help?
U kan te eniger tyd hier 'n vrywillige laktasiekonsultant kontak ⬇
(Opmerking: u kan LC enige tyd skryf en ek sal u van die webwerf onthou)</v>
      </c>
      <c r="L168" s="20" t="str">
        <f ca="1">IFERROR(__xludf.DUMMYFUNCTION("GOOGLETRANSLATE(D168, ""pt"", ""af"")"),"Het u geweet dat SOS -borsvoeding (nie -winsgewende vereniging) altyd vrywilligers beskikbaar het om te help?
Hier kan u te eniger tyd en te eniger tyd 'n kontak van 'n vrywilliger -nok (borsvoedingskonsultant) vind ⬇")</f>
        <v>Het u geweet dat SOS -borsvoeding (nie -winsgewende vereniging) altyd vrywilligers beskikbaar het om te help?
Hier kan u te eniger tyd en te eniger tyd 'n kontak van 'n vrywilliger -nok (borsvoedingskonsultant) vind ⬇</v>
      </c>
      <c r="M168" s="30"/>
      <c r="N168" s="30"/>
      <c r="O168" s="30"/>
      <c r="P168" s="30"/>
      <c r="Q168" s="30"/>
      <c r="R168" s="30"/>
      <c r="S168" s="30"/>
      <c r="T168" s="30"/>
      <c r="U168" s="30"/>
      <c r="V168" s="30"/>
      <c r="W168" s="30"/>
      <c r="X168" s="30"/>
      <c r="Y168" s="30"/>
      <c r="Z168" s="30"/>
      <c r="AA168" s="30"/>
      <c r="AB168" s="30"/>
      <c r="AC168" s="30"/>
      <c r="AD168" s="30"/>
      <c r="AE168" s="30"/>
      <c r="AF168" s="30"/>
    </row>
    <row r="169" spans="1:32" ht="15">
      <c r="A169" s="23" t="s">
        <v>1042</v>
      </c>
      <c r="B169" s="24" t="s">
        <v>872</v>
      </c>
      <c r="C169" s="23" t="s">
        <v>1052</v>
      </c>
      <c r="D169" s="25" t="s">
        <v>1053</v>
      </c>
      <c r="E169" s="39" t="s">
        <v>998</v>
      </c>
      <c r="F169" s="99" t="s">
        <v>1054</v>
      </c>
      <c r="G169" s="30"/>
      <c r="H169" s="39" t="s">
        <v>1055</v>
      </c>
      <c r="I169" s="27" t="str">
        <f ca="1">IFERROR(__xludf.DUMMYFUNCTION("GOOGLETRANSLATE(F169, ""en"", ""zu"")"),"LA Leche League")</f>
        <v>LA Leche League</v>
      </c>
      <c r="J169" s="29" t="str">
        <f ca="1">IFERROR(__xludf.DUMMYFUNCTION("GOOGLETRANSLATE(D169, ""pt"", ""zu"")"),"Ibele le-SOS")</f>
        <v>Ibele le-SOS</v>
      </c>
      <c r="K169" s="29" t="str">
        <f ca="1">IFERROR(__xludf.DUMMYFUNCTION("GOOGLETRANSLATE(F169, ""en"", ""af"")"),"La Leche League")</f>
        <v>La Leche League</v>
      </c>
      <c r="L169" s="20" t="str">
        <f ca="1">IFERROR(__xludf.DUMMYFUNCTION("GOOGLETRANSLATE(D169, ""pt"", ""af"")"),"SOS borsvoeding")</f>
        <v>SOS borsvoeding</v>
      </c>
      <c r="M169" s="30"/>
      <c r="N169" s="30"/>
      <c r="O169" s="30"/>
      <c r="P169" s="30"/>
      <c r="Q169" s="30"/>
      <c r="R169" s="30"/>
      <c r="S169" s="30"/>
      <c r="T169" s="30"/>
      <c r="U169" s="30"/>
      <c r="V169" s="30"/>
      <c r="W169" s="30"/>
      <c r="X169" s="30"/>
      <c r="Y169" s="30"/>
      <c r="Z169" s="30"/>
      <c r="AA169" s="30"/>
      <c r="AB169" s="30"/>
      <c r="AC169" s="30"/>
      <c r="AD169" s="30"/>
      <c r="AE169" s="30"/>
      <c r="AF169" s="30"/>
    </row>
    <row r="170" spans="1:32" ht="225">
      <c r="A170" s="23" t="s">
        <v>1042</v>
      </c>
      <c r="B170" s="24" t="s">
        <v>870</v>
      </c>
      <c r="C170" s="38" t="s">
        <v>1052</v>
      </c>
      <c r="D170" s="25" t="s">
        <v>1056</v>
      </c>
      <c r="E170" s="36"/>
      <c r="F170" s="98" t="s">
        <v>1057</v>
      </c>
      <c r="G170" s="30"/>
      <c r="H170" s="32"/>
      <c r="I170" s="27" t="str">
        <f ca="1">IFERROR(__xludf.DUMMYFUNCTION("GOOGLETRANSLATE(F170, ""en"", ""zu"")"),"Ngemuva kokuthi ukuncelisa ibele kusungulwe kahle (imvamisa ngemuva kwamaviki ayi-6 ngaphandle kwezingqinamba), akufanele kube kubuhlungu futhi.
Izilonda nemifantu cishe zihlale ngenxa ye-latch empofu.
Abacebisi be-lactation bahlala belungele ukusiza.
 "&amp;"
Ukuze ufunde kabanzi, thayipha ""noma"" iqiniso ""futhi. Nginezeluleko zokuhlanganyela.")</f>
        <v>Ngemuva kokuthi ukuncelisa ibele kusungulwe kahle (imvamisa ngemuva kwamaviki ayi-6 ngaphandle kwezingqinamba), akufanele kube kubuhlungu futhi.
Izilonda nemifantu cishe zihlale ngenxa ye-latch empofu.
Abacebisi be-lactation bahlala belungele ukusiza.
Ukuze ufunde kabanzi, thayipha "noma" iqiniso "futhi. Nginezeluleko zokuhlanganyela.</v>
      </c>
      <c r="J170" s="29" t="str">
        <f ca="1">IFERROR(__xludf.DUMMYFUNCTION("GOOGLETRANSLATE(D170, ""pt"", ""zu"")"),"Ngemuva kokuncelisa ibele (imvamisa ngemuva kwamaviki ayi-6 ngaphandle kwezinkinga) abukho buhlungu obufanele ngesikhathi sokuncelisa ibele.
Amanxeba nemifantu cishe ngaso sonke isikhathi kuwuphawu lwesibambo esibi sengane.
Abaluleki bebele (i-Cam) ba"&amp;"hlala betholakala ukusiza.
Ngaphezu kwalokho, bhala ""noma"" iqiniso ""futhi. Nami ngibe ""namathiphu"" ukuze abelane.")</f>
        <v>Ngemuva kokuncelisa ibele (imvamisa ngemuva kwamaviki ayi-6 ngaphandle kwezinkinga) abukho buhlungu obufanele ngesikhathi sokuncelisa ibele.
Amanxeba nemifantu cishe ngaso sonke isikhathi kuwuphawu lwesibambo esibi sengane.
Abaluleki bebele (i-Cam) bahlala betholakala ukusiza.
Ngaphezu kwalokho, bhala "noma" iqiniso "futhi. Nami ngibe "namathiphu" ukuze abelane.</v>
      </c>
      <c r="K170" s="29" t="str">
        <f ca="1">IFERROR(__xludf.DUMMYFUNCTION("GOOGLETRANSLATE(F170, ""en"", ""af"")"),"Nadat borsvoeding goed gevestig is (gewoonlik na 6 weke sonder terugslae), moet dit nie meer pynlik wees nie.
Sere en krake is byna altyd te wyte aan 'n swak grendel.
Laktasieskonsultante is altyd gereed om te help.
Om meer te wete te kom, tik weer “m"&amp;"eer” of “feit”. Ek het ook wenke om te deel.")</f>
        <v>Nadat borsvoeding goed gevestig is (gewoonlik na 6 weke sonder terugslae), moet dit nie meer pynlik wees nie.
Sere en krake is byna altyd te wyte aan 'n swak grendel.
Laktasieskonsultante is altyd gereed om te help.
Om meer te wete te kom, tik weer “meer” of “feit”. Ek het ook wenke om te deel.</v>
      </c>
      <c r="L170" s="20" t="str">
        <f ca="1">IFERROR(__xludf.DUMMYFUNCTION("GOOGLETRANSLATE(D170, ""pt"", ""af"")"),"Na die borsvoeding (gewoonlik na 6 weke sonder terugslae) is daar geen veronderstelde pyn tydens die borsvoeding nie.
Wonde en krake is byna altyd 'n teken van die baba se slegte handvatsel.
Borsvoedingskonsultante (CAM) is altyd beskikbaar om te help"&amp;".
Skryf ook weer 'meer' of 'feit'. Ek het ook 'wenke' om te deel.")</f>
        <v>Na die borsvoeding (gewoonlik na 6 weke sonder terugslae) is daar geen veronderstelde pyn tydens die borsvoeding nie.
Wonde en krake is byna altyd 'n teken van die baba se slegte handvatsel.
Borsvoedingskonsultante (CAM) is altyd beskikbaar om te help.
Skryf ook weer 'meer' of 'feit'. Ek het ook 'wenke' om te deel.</v>
      </c>
      <c r="M170" s="30"/>
      <c r="N170" s="30"/>
      <c r="O170" s="30"/>
      <c r="P170" s="30"/>
      <c r="Q170" s="30"/>
      <c r="R170" s="30"/>
      <c r="S170" s="30"/>
      <c r="T170" s="30"/>
      <c r="U170" s="30"/>
      <c r="V170" s="30"/>
      <c r="W170" s="30"/>
      <c r="X170" s="30"/>
      <c r="Y170" s="30"/>
      <c r="Z170" s="30"/>
      <c r="AA170" s="30"/>
      <c r="AB170" s="30"/>
      <c r="AC170" s="30"/>
      <c r="AD170" s="30"/>
      <c r="AE170" s="30"/>
      <c r="AF170" s="30"/>
    </row>
    <row r="171" spans="1:32" ht="285">
      <c r="A171" s="23" t="s">
        <v>1042</v>
      </c>
      <c r="B171" s="24" t="s">
        <v>870</v>
      </c>
      <c r="C171" s="38" t="s">
        <v>1058</v>
      </c>
      <c r="D171" s="25" t="s">
        <v>1059</v>
      </c>
      <c r="E171" s="36"/>
      <c r="F171" s="98" t="s">
        <v>1060</v>
      </c>
      <c r="G171" s="30"/>
      <c r="H171" s="32"/>
      <c r="I171" s="27" t="str">
        <f ca="1">IFERROR(__xludf.DUMMYFUNCTION("GOOGLETRANSLATE(F171, ""en"", ""zu"")"),"Indlela yokwazi ukuthi ingane yakho ithola ubisi lwebele ngokwanele luyinombolo yama-diapers emanzi phakathi nosuku.
Ngemuva kokuthi ubisi lwakho selufikile (imvamisa cishe ezinsukwini ezi-3 ngemuva kokuzalwa), ingane yakho kufanele ibe okungenani ama-d"&amp;"iaper ayi-6 ngosuku, ngomchamo ocacile.
Ubuwazi lokho? Ungathanda yini ukufunda okwengeziwe?
Ungathayipha ngezihloko (ezihlobene nokuncelisa ibele) ukuthi unemibuzo mayelana ... ngizokwazi ukwazi ukuthi ngingakusiza kanjani!")</f>
        <v>Indlela yokwazi ukuthi ingane yakho ithola ubisi lwebele ngokwanele luyinombolo yama-diapers emanzi phakathi nosuku.
Ngemuva kokuthi ubisi lwakho selufikile (imvamisa cishe ezinsukwini ezi-3 ngemuva kokuzalwa), ingane yakho kufanele ibe okungenani ama-diaper ayi-6 ngosuku, ngomchamo ocacile.
Ubuwazi lokho? Ungathanda yini ukufunda okwengeziwe?
Ungathayipha ngezihloko (ezihlobene nokuncelisa ibele) ukuthi unemibuzo mayelana ... ngizokwazi ukwazi ukuthi ngingakusiza kanjani!</v>
      </c>
      <c r="J171" s="29" t="str">
        <f ca="1">IFERROR(__xludf.DUMMYFUNCTION("GOOGLETRANSLATE(D171, ""pt"", ""zu"")"),"Indlela esikwazi ngayo uma ingane idla kahle ebeleni ingeyinombolo yama-diapers emanzi phakathi nosuku.
Ngemuva kokukhuphuka kobisi (+/- esijwayelekile ngosuku lwe-3 ngemuva kokubeletha) Ingane kufanele ibe ngaphezulu kuka-6 ngosuku, ngomchamo ocacile."&amp;"
Uthi bewazi? Ngabe ufuna ukwazi izinto eziningi?
Ungabhala nezindikimba (ezihlobene nokuncelisa ibele) ezikunikeza ukungabaza ... Ngiyakwazi ukuthi ngingakusiza kanjani!")</f>
        <v>Indlela esikwazi ngayo uma ingane idla kahle ebeleni ingeyinombolo yama-diapers emanzi phakathi nosuku.
Ngemuva kokukhuphuka kobisi (+/- esijwayelekile ngosuku lwe-3 ngemuva kokubeletha) Ingane kufanele ibe ngaphezulu kuka-6 ngosuku, ngomchamo ocacile.
Uthi bewazi? Ngabe ufuna ukwazi izinto eziningi?
Ungabhala nezindikimba (ezihlobene nokuncelisa ibele) ezikunikeza ukungabaza ... Ngiyakwazi ukuthi ngingakusiza kanjani!</v>
      </c>
      <c r="K171" s="29" t="str">
        <f ca="1">IFERROR(__xludf.DUMMYFUNCTION("GOOGLETRANSLATE(F171, ""en"", ""af"")"),"Die manier om te weet of u baba genoeg borsmelk kry, is die aantal nat doeke gedurende die dag.
Nadat u melk ingekom het (gewoonlik ongeveer 3 dae na geboorte), moet u baba ten minste 6 nat doeke per dag hê, met 'n duidelike urine.
Het jy geweet dat? "&amp;"Wil u meer leer?
U kan onderwerpe (wat verband hou met borsvoeding) invoer waaroor u vrae het ... Ek sal kan weet hoe om u te help!")</f>
        <v>Die manier om te weet of u baba genoeg borsmelk kry, is die aantal nat doeke gedurende die dag.
Nadat u melk ingekom het (gewoonlik ongeveer 3 dae na geboorte), moet u baba ten minste 6 nat doeke per dag hê, met 'n duidelike urine.
Het jy geweet dat? Wil u meer leer?
U kan onderwerpe (wat verband hou met borsvoeding) invoer waaroor u vrae het ... Ek sal kan weet hoe om u te help!</v>
      </c>
      <c r="L171" s="20" t="str">
        <f ca="1">IFERROR(__xludf.DUMMYFUNCTION("GOOGLETRANSLATE(D171, ""pt"", ""af"")"),"Die manier waarop ons weet of die baba goed in die bors eet, is deur die aantal doeke wat gedurende die dag nat is.
Na die opkoms van melk (+/- Gewoonlik op die 3de dag na bevalling) moet die baba meer as 6 per dag natgemaak word, met 'n duidelike urin"&amp;"e.
Het jy geweet? Wil u meer dinge weet?
U kan ook temas skryf (wat verband hou met borsvoeding) wat u twyfel gee ... ek kan weet hoe om u te help!")</f>
        <v>Die manier waarop ons weet of die baba goed in die bors eet, is deur die aantal doeke wat gedurende die dag nat is.
Na die opkoms van melk (+/- Gewoonlik op die 3de dag na bevalling) moet die baba meer as 6 per dag natgemaak word, met 'n duidelike urine.
Het jy geweet? Wil u meer dinge weet?
U kan ook temas skryf (wat verband hou met borsvoeding) wat u twyfel gee ... ek kan weet hoe om u te help!</v>
      </c>
      <c r="M171" s="30"/>
      <c r="N171" s="30"/>
      <c r="O171" s="30"/>
      <c r="P171" s="30"/>
      <c r="Q171" s="30"/>
      <c r="R171" s="30"/>
      <c r="S171" s="30"/>
      <c r="T171" s="30"/>
      <c r="U171" s="30"/>
      <c r="V171" s="30"/>
      <c r="W171" s="30"/>
      <c r="X171" s="30"/>
      <c r="Y171" s="30"/>
      <c r="Z171" s="30"/>
      <c r="AA171" s="30"/>
      <c r="AB171" s="30"/>
      <c r="AC171" s="30"/>
      <c r="AD171" s="30"/>
      <c r="AE171" s="30"/>
      <c r="AF171" s="30"/>
    </row>
    <row r="172" spans="1:32" ht="165">
      <c r="A172" s="23" t="s">
        <v>1042</v>
      </c>
      <c r="B172" s="24" t="s">
        <v>870</v>
      </c>
      <c r="C172" s="38" t="s">
        <v>1061</v>
      </c>
      <c r="D172" s="25" t="s">
        <v>1062</v>
      </c>
      <c r="E172" s="36"/>
      <c r="F172" s="98" t="s">
        <v>1063</v>
      </c>
      <c r="G172" s="30"/>
      <c r="H172" s="32"/>
      <c r="I172" s="27" t="str">
        <f ca="1">IFERROR(__xludf.DUMMYFUNCTION("GOOGLETRANSLATE(F172, ""en"", ""zu"")"),"Ukuncelisa ibele ngokufunwa (noma nini lapho ingane ifuna), kunokuba ngezikhathi ezithile noma kumasheduli athile, kuyindlela engcono kakhulu yokuqinisekisa ukuthi ingane yakho ithola konke ukudla akudingayo.
Kuze kube izinyanga eziyisithupha ubudala, i"&amp;"ngane yakho ayidingi enye into ukuba ibe nokudla okulinganiselayo nentuthuko enhle.")</f>
        <v>Ukuncelisa ibele ngokufunwa (noma nini lapho ingane ifuna), kunokuba ngezikhathi ezithile noma kumasheduli athile, kuyindlela engcono kakhulu yokuqinisekisa ukuthi ingane yakho ithola konke ukudla akudingayo.
Kuze kube izinyanga eziyisithupha ubudala, ingane yakho ayidingi enye into ukuba ibe nokudla okulinganiselayo nentuthuko enhle.</v>
      </c>
      <c r="J172" s="29" t="str">
        <f ca="1">IFERROR(__xludf.DUMMYFUNCTION("GOOGLETRANSLATE(D172, ""pt"", ""zu"")"),"Ukuncelisa ibele ngaphandle kwesikhathi, amashejuli kanye nesidingo (noma nini lapho ingane ibuza) iyindlela engcono kakhulu yokuqinisekisa ukuthi ingane ithola konke ukudla akudingayo.
Kuze kube nezinyanga eziyisithupha ubudala ingane idinga noma yini"&amp;" enye ukudla okulinganiselayo nentuthuko enhle.")</f>
        <v>Ukuncelisa ibele ngaphandle kwesikhathi, amashejuli kanye nesidingo (noma nini lapho ingane ibuza) iyindlela engcono kakhulu yokuqinisekisa ukuthi ingane ithola konke ukudla akudingayo.
Kuze kube nezinyanga eziyisithupha ubudala ingane idinga noma yini enye ukudla okulinganiselayo nentuthuko enhle.</v>
      </c>
      <c r="K172" s="29" t="str">
        <f ca="1">IFERROR(__xludf.DUMMYFUNCTION("GOOGLETRANSLATE(F172, ""en"", ""af"")"),"Borsvoeding op aanvraag (wanneer die baba dit wil), eerder as op sekere tye of op sekere skedules, is die beste manier om te verseker dat u baba al die kos kry wat sy benodig.
Tot 6 maande ouderdom het u baba niks anders nodig om 'n gebalanseerde dieet "&amp;"en goeie ontwikkeling te hê nie.")</f>
        <v>Borsvoeding op aanvraag (wanneer die baba dit wil), eerder as op sekere tye of op sekere skedules, is die beste manier om te verseker dat u baba al die kos kry wat sy benodig.
Tot 6 maande ouderdom het u baba niks anders nodig om 'n gebalanseerde dieet en goeie ontwikkeling te hê nie.</v>
      </c>
      <c r="L172" s="20" t="str">
        <f ca="1">IFERROR(__xludf.DUMMYFUNCTION("GOOGLETRANSLATE(D172, ""pt"", ""af"")"),"Borsvoeding sonder 'n tyd, skedules en op aanvraag (wanneer die baba dit vra) is die beste manier om te verseker dat die baba al die kos ontvang wat hy benodig.
Tot 6 maande ouderdom het die baba absoluut enigiets anders nodig om 'n gebalanseerde dieet"&amp;" en goeie ontwikkeling te hê.")</f>
        <v>Borsvoeding sonder 'n tyd, skedules en op aanvraag (wanneer die baba dit vra) is die beste manier om te verseker dat die baba al die kos ontvang wat hy benodig.
Tot 6 maande ouderdom het die baba absoluut enigiets anders nodig om 'n gebalanseerde dieet en goeie ontwikkeling te hê.</v>
      </c>
      <c r="M172" s="30"/>
      <c r="N172" s="30"/>
      <c r="O172" s="30"/>
      <c r="P172" s="30"/>
      <c r="Q172" s="30"/>
      <c r="R172" s="30"/>
      <c r="S172" s="30"/>
      <c r="T172" s="30"/>
      <c r="U172" s="30"/>
      <c r="V172" s="30"/>
      <c r="W172" s="30"/>
      <c r="X172" s="30"/>
      <c r="Y172" s="30"/>
      <c r="Z172" s="30"/>
      <c r="AA172" s="30"/>
      <c r="AB172" s="30"/>
      <c r="AC172" s="30"/>
      <c r="AD172" s="30"/>
      <c r="AE172" s="30"/>
      <c r="AF172" s="30"/>
    </row>
    <row r="173" spans="1:32" ht="279.95">
      <c r="A173" s="23" t="s">
        <v>1042</v>
      </c>
      <c r="B173" s="24" t="s">
        <v>870</v>
      </c>
      <c r="C173" s="38" t="s">
        <v>1064</v>
      </c>
      <c r="D173" s="25" t="s">
        <v>1065</v>
      </c>
      <c r="E173" s="36"/>
      <c r="F173" s="98" t="s">
        <v>1066</v>
      </c>
      <c r="G173" s="30"/>
      <c r="H173" s="32"/>
      <c r="I173" s="27" t="str">
        <f ca="1">IFERROR(__xludf.DUMMYFUNCTION("GOOGLETRANSLATE(F173, ""en"", ""zu"")"),"Kungukuthi isinqumo sabazali kuphela sokuncelisa ibele kuphela, ukuncelisa ibele nokweneza ngefomula, noma athathe isikhundla sobisi lwebele ngokuphelele.
Kodwa-ke, abazali bangaphansi kwengcindezi enkulu yokuyeka ukuncelisa ibele, okufika isikhathi esi"&amp;"ningi, kwenzeka ngenxa yokuntuleka kolwazi noma ukutholakala kokwazisa kanye / noma ukusekela isinqumo sabazali.
Izincomo zomhlaba wonke zithi zonke izingane kufanele zibele amabele kuze kube izinyanga eziyisithupha ubudala, futhi ukuncelisa ibele kufan"&amp;"ele kungezele ukudla okuqinile inqobo nje uma ingane nonina bethanda.")</f>
        <v>Kungukuthi isinqumo sabazali kuphela sokuncelisa ibele kuphela, ukuncelisa ibele nokweneza ngefomula, noma athathe isikhundla sobisi lwebele ngokuphelele.
Kodwa-ke, abazali bangaphansi kwengcindezi enkulu yokuyeka ukuncelisa ibele, okufika isikhathi esiningi, kwenzeka ngenxa yokuntuleka kolwazi noma ukutholakala kokwazisa kanye / noma ukusekela isinqumo sabazali.
Izincomo zomhlaba wonke zithi zonke izingane kufanele zibele amabele kuze kube izinyanga eziyisithupha ubudala, futhi ukuncelisa ibele kufanele kungezele ukudla okuqinile inqobo nje uma ingane nonina bethanda.</v>
      </c>
      <c r="J173" s="29" t="str">
        <f ca="1">IFERROR(__xludf.DUMMYFUNCTION("GOOGLETRANSLATE(D173, ""pt"", ""zu"")"),"Kuku-kubazali kuphela ukuncelisa kuphela, ukuletha noma okunye esikhundleni sobisi lwebele.
Kodwa-ke, bonke abazali bahlushwa izicindezi ezinkulu zokushiya ubisi lwebele futhi bevame ukwenziwa ngokungazi noma ukungatholakali kwesikhathi sokwazisa kanye"&amp;" / noma ukusekela isinqumo sangaphambilini sabazali.
Izincomo zomhlaba ukuthi zonke izingane zinceliswe amabele kuze kube izinyanga eziyisithupha ubudala nokuthi ukuncelisa ibele kuhlala kuhambisana njengomama nengane, bayakuqonda.")</f>
        <v>Kuku-kubazali kuphela ukuncelisa kuphela, ukuletha noma okunye esikhundleni sobisi lwebele.
Kodwa-ke, bonke abazali bahlushwa izicindezi ezinkulu zokushiya ubisi lwebele futhi bevame ukwenziwa ngokungazi noma ukungatholakali kwesikhathi sokwazisa kanye / noma ukusekela isinqumo sangaphambilini sabazali.
Izincomo zomhlaba ukuthi zonke izingane zinceliswe amabele kuze kube izinyanga eziyisithupha ubudala nokuthi ukuncelisa ibele kuhlala kuhambisana njengomama nengane, bayakuqonda.</v>
      </c>
      <c r="K173" s="29" t="str">
        <f ca="1">IFERROR(__xludf.DUMMYFUNCTION("GOOGLETRANSLATE(F173, ""en"", ""af"")"),"Dit is slegs die ouers se besluit om uitsluitlik te borsvoed, borsvoed en aanvulling met formule, of selfs borsmelk heeltemal te vervang.
Ouers is egter onder groot druk om borsvoeding te stop, wat die meeste van die tyd voorkom as gevolg van 'n gebrek "&amp;"aan kennis of beskikbaarheid om die ouers se besluit in te lig en/of te ondersteun.
Wêreldwye aanbevelings noem dat alle babas uitsluitlik tot 6 maande oud moet geborsvoed word, en borsvoeding moet soliede kos aanvul so lank as wat die baba en moeder da"&amp;"arvan hou.")</f>
        <v>Dit is slegs die ouers se besluit om uitsluitlik te borsvoed, borsvoed en aanvulling met formule, of selfs borsmelk heeltemal te vervang.
Ouers is egter onder groot druk om borsvoeding te stop, wat die meeste van die tyd voorkom as gevolg van 'n gebrek aan kennis of beskikbaarheid om die ouers se besluit in te lig en/of te ondersteun.
Wêreldwye aanbevelings noem dat alle babas uitsluitlik tot 6 maande oud moet geborsvoed word, en borsvoeding moet soliede kos aanvul so lank as wat die baba en moeder daarvan hou.</v>
      </c>
      <c r="L173" s="20" t="str">
        <f ca="1">IFERROR(__xludf.DUMMYFUNCTION("GOOGLETRANSLATE(D173, ""pt"", ""af"")"),"Dit is slegs aan ouers om uitsluitlik te borsvoed, borsmelk aan te vul of selfs te vervang.
Alle ouers het egter geweldige druk om borsmelk te laat vaar en word dikwels slegs deur onkunde of onbeskikbaarheid van tyd gemaak om die voorafgaande besluit v"&amp;"an ouers in te lig en/of te ondersteun.
Die aanbevelings van die wêreld is dat alle babas tot 6 maande oud is en dat borsvoeding aanvullend bly as 'n moeder en baba, hulle verstaan ​​dit.")</f>
        <v>Dit is slegs aan ouers om uitsluitlik te borsvoed, borsmelk aan te vul of selfs te vervang.
Alle ouers het egter geweldige druk om borsmelk te laat vaar en word dikwels slegs deur onkunde of onbeskikbaarheid van tyd gemaak om die voorafgaande besluit van ouers in te lig en/of te ondersteun.
Die aanbevelings van die wêreld is dat alle babas tot 6 maande oud is en dat borsvoeding aanvullend bly as 'n moeder en baba, hulle verstaan ​​dit.</v>
      </c>
      <c r="M173" s="30"/>
      <c r="N173" s="30"/>
      <c r="O173" s="30"/>
      <c r="P173" s="30"/>
      <c r="Q173" s="30"/>
      <c r="R173" s="30"/>
      <c r="S173" s="30"/>
      <c r="T173" s="30"/>
      <c r="U173" s="30"/>
      <c r="V173" s="30"/>
      <c r="W173" s="30"/>
      <c r="X173" s="30"/>
      <c r="Y173" s="30"/>
      <c r="Z173" s="30"/>
      <c r="AA173" s="30"/>
      <c r="AB173" s="30"/>
      <c r="AC173" s="30"/>
      <c r="AD173" s="30"/>
      <c r="AE173" s="30"/>
      <c r="AF173" s="30"/>
    </row>
    <row r="174" spans="1:32" ht="150">
      <c r="A174" s="23" t="s">
        <v>1042</v>
      </c>
      <c r="B174" s="24" t="s">
        <v>870</v>
      </c>
      <c r="C174" s="38" t="s">
        <v>1067</v>
      </c>
      <c r="D174" s="25" t="s">
        <v>1068</v>
      </c>
      <c r="E174" s="36"/>
      <c r="F174" s="98" t="s">
        <v>1069</v>
      </c>
      <c r="G174" s="30"/>
      <c r="H174" s="32"/>
      <c r="I174" s="27" t="str">
        <f ca="1">IFERROR(__xludf.DUMMYFUNCTION("GOOGLETRANSLATE(F174, ""en"", ""zu"")"),"Izingane yibo kuphela abakwaziyo ukuvuselela futhi bathuthe ngokuphelele isifuba, kepha lokhu akusho ukuthi ngeke sikwazi ukukwenza ngaphandle kwabo.
Uma usuqedile ngalokhu kwanamuhla, ungathayipha ""Imenyu"" ukuze ubuye ukuze ubone izinketho. Nginamakh"&amp;"ono amasha nolwazi nsuku zonke! 😊")</f>
        <v>Izingane yibo kuphela abakwaziyo ukuvuselela futhi bathuthe ngokuphelele isifuba, kepha lokhu akusho ukuthi ngeke sikwazi ukukwenza ngaphandle kwabo.
Uma usuqedile ngalokhu kwanamuhla, ungathayipha "Imenyu" ukuze ubuye ukuze ubone izinketho. Nginamakhono amasha nolwazi nsuku zonke! 😊</v>
      </c>
      <c r="J174" s="29" t="str">
        <f ca="1">IFERROR(__xludf.DUMMYFUNCTION("GOOGLETRANSLATE(D174, ""pt"", ""zu"")"),"Ingane nguyena kuphela ongavuselela futhi athuthe isifuba kodwa akusho ukuthi ngeke sikwazi ukwenza lokho lapho kungekho.
Uma kwanele namhlanje kuthi ""imenyu"" futhi ubone izinketho futhi. Nginemisebenzi emisha nolwazi nsuku zonke. 😊")</f>
        <v>Ingane nguyena kuphela ongavuselela futhi athuthe isifuba kodwa akusho ukuthi ngeke sikwazi ukwenza lokho lapho kungekho.
Uma kwanele namhlanje kuthi "imenyu" futhi ubone izinketho futhi. Nginemisebenzi emisha nolwazi nsuku zonke. 😊</v>
      </c>
      <c r="K174" s="29" t="str">
        <f ca="1">IFERROR(__xludf.DUMMYFUNCTION("GOOGLETRANSLATE(F174, ""en"", ""af"")"),"Babas is die enigste wat die bors werklik kan stimuleer en heeltemal leegmaak, maar dit beteken nie dat ons dit nie sonder hulle kan doen nie.
As u hiermee klaar is vir vandag, kan u 'Menu' tik om terug te gaan om die opsies te sien. Ek het elke dag nuw"&amp;"e vermoëns en inligting! 😊")</f>
        <v>Babas is die enigste wat die bors werklik kan stimuleer en heeltemal leegmaak, maar dit beteken nie dat ons dit nie sonder hulle kan doen nie.
As u hiermee klaar is vir vandag, kan u 'Menu' tik om terug te gaan om die opsies te sien. Ek het elke dag nuwe vermoëns en inligting! 😊</v>
      </c>
      <c r="L174" s="20" t="str">
        <f ca="1">IFERROR(__xludf.DUMMYFUNCTION("GOOGLETRANSLATE(D174, ""pt"", ""af"")"),"Die baba is die enigste wat die bors werklik kan stimuleer en leegmaak, maar beteken nie dat ons dit nie in sy afwesigheid kan doen nie.
As dit vandag genoeg is, staan ​​dit ""menu"" en kyk weer na die opsies. Ek het elke dag nuwe funksies en inligting"&amp;". 😊")</f>
        <v>Die baba is die enigste wat die bors werklik kan stimuleer en leegmaak, maar beteken nie dat ons dit nie in sy afwesigheid kan doen nie.
As dit vandag genoeg is, staan ​​dit "menu" en kyk weer na die opsies. Ek het elke dag nuwe funksies en inligting. 😊</v>
      </c>
      <c r="M174" s="30"/>
      <c r="N174" s="30"/>
      <c r="O174" s="30"/>
      <c r="P174" s="30"/>
      <c r="Q174" s="30"/>
      <c r="R174" s="30"/>
      <c r="S174" s="30"/>
      <c r="T174" s="30"/>
      <c r="U174" s="30"/>
      <c r="V174" s="30"/>
      <c r="W174" s="30"/>
      <c r="X174" s="30"/>
      <c r="Y174" s="30"/>
      <c r="Z174" s="30"/>
      <c r="AA174" s="30"/>
      <c r="AB174" s="30"/>
      <c r="AC174" s="30"/>
      <c r="AD174" s="30"/>
      <c r="AE174" s="30"/>
      <c r="AF174" s="30"/>
    </row>
    <row r="175" spans="1:32">
      <c r="I175" s="27"/>
      <c r="J175" s="29"/>
      <c r="K175" s="20"/>
      <c r="L175" s="20"/>
    </row>
    <row r="176" spans="1:32">
      <c r="I176" s="27"/>
      <c r="J176" s="29"/>
      <c r="K176" s="20"/>
      <c r="L176" s="20"/>
    </row>
    <row r="177" spans="9:12">
      <c r="I177" s="27"/>
      <c r="J177" s="29"/>
      <c r="K177" s="20"/>
      <c r="L177" s="20"/>
    </row>
    <row r="178" spans="9:12">
      <c r="I178" s="27"/>
      <c r="J178" s="29"/>
      <c r="K178" s="20"/>
      <c r="L178" s="20"/>
    </row>
    <row r="179" spans="9:12">
      <c r="I179" s="27"/>
      <c r="J179" s="29"/>
      <c r="K179" s="20"/>
      <c r="L179" s="20"/>
    </row>
    <row r="180" spans="9:12">
      <c r="I180" s="27"/>
      <c r="J180" s="29"/>
      <c r="K180" s="20"/>
      <c r="L180" s="20"/>
    </row>
    <row r="181" spans="9:12">
      <c r="I181" s="27"/>
      <c r="J181" s="29"/>
      <c r="K181" s="20"/>
      <c r="L181" s="20"/>
    </row>
    <row r="182" spans="9:12">
      <c r="I182" s="27"/>
      <c r="J182" s="29"/>
      <c r="K182" s="20"/>
      <c r="L182" s="20"/>
    </row>
    <row r="183" spans="9:12">
      <c r="I183" s="27"/>
      <c r="J183" s="20"/>
      <c r="K183" s="20"/>
      <c r="L183" s="20"/>
    </row>
    <row r="184" spans="9:12">
      <c r="I184" s="27"/>
      <c r="J184" s="20"/>
      <c r="K184" s="20"/>
      <c r="L184" s="20"/>
    </row>
    <row r="185" spans="9:12">
      <c r="I185" s="27"/>
      <c r="J185" s="20"/>
      <c r="K185" s="20"/>
      <c r="L185" s="20"/>
    </row>
    <row r="186" spans="9:12">
      <c r="I186" s="27"/>
      <c r="J186" s="20"/>
      <c r="K186" s="20"/>
      <c r="L186" s="20"/>
    </row>
    <row r="187" spans="9:12">
      <c r="I187" s="27"/>
      <c r="J187" s="20"/>
      <c r="K187" s="20"/>
      <c r="L187" s="20"/>
    </row>
    <row r="188" spans="9:12">
      <c r="I188" s="27"/>
      <c r="J188" s="20"/>
      <c r="K188" s="20"/>
      <c r="L188" s="20"/>
    </row>
    <row r="189" spans="9:12">
      <c r="I189" s="20"/>
      <c r="J189" s="20"/>
      <c r="K189" s="20"/>
      <c r="L189" s="20"/>
    </row>
    <row r="190" spans="9:12">
      <c r="I190" s="20"/>
      <c r="J190" s="20"/>
      <c r="K190" s="20"/>
      <c r="L190" s="20"/>
    </row>
    <row r="191" spans="9:12">
      <c r="I191" s="20"/>
      <c r="J191" s="20"/>
      <c r="K191" s="20"/>
      <c r="L191" s="20"/>
    </row>
    <row r="192" spans="9:12">
      <c r="I192" s="20"/>
      <c r="J192" s="20"/>
      <c r="K192" s="20"/>
      <c r="L192" s="20"/>
    </row>
    <row r="193" spans="9:12">
      <c r="I193" s="20"/>
      <c r="J193" s="20"/>
      <c r="K193" s="20"/>
      <c r="L193" s="20"/>
    </row>
    <row r="194" spans="9:12">
      <c r="I194" s="20"/>
      <c r="J194" s="20"/>
      <c r="K194" s="20"/>
      <c r="L194" s="20"/>
    </row>
    <row r="195" spans="9:12">
      <c r="I195" s="20"/>
      <c r="J195" s="20"/>
      <c r="K195" s="20"/>
      <c r="L195" s="20"/>
    </row>
    <row r="196" spans="9:12">
      <c r="I196" s="20"/>
      <c r="J196" s="20"/>
      <c r="K196" s="20"/>
      <c r="L196" s="20"/>
    </row>
    <row r="197" spans="9:12">
      <c r="I197" s="20"/>
      <c r="J197" s="20"/>
      <c r="K197" s="20"/>
      <c r="L197" s="20"/>
    </row>
    <row r="198" spans="9:12">
      <c r="I198" s="20"/>
      <c r="J198" s="20"/>
      <c r="K198" s="20"/>
      <c r="L198" s="20"/>
    </row>
    <row r="199" spans="9:12">
      <c r="I199" s="20"/>
      <c r="J199" s="20"/>
      <c r="K199" s="20"/>
      <c r="L199" s="20"/>
    </row>
    <row r="200" spans="9:12">
      <c r="I200" s="20"/>
      <c r="J200" s="20"/>
      <c r="K200" s="20"/>
      <c r="L200" s="20"/>
    </row>
    <row r="201" spans="9:12">
      <c r="I201" s="20"/>
      <c r="J201" s="20"/>
      <c r="K201" s="20"/>
      <c r="L201" s="20"/>
    </row>
    <row r="202" spans="9:12">
      <c r="I202" s="20"/>
      <c r="J202" s="20"/>
      <c r="K202" s="20"/>
      <c r="L202" s="20"/>
    </row>
    <row r="203" spans="9:12">
      <c r="I203" s="20"/>
      <c r="J203" s="20"/>
      <c r="K203" s="20"/>
      <c r="L203" s="20"/>
    </row>
    <row r="204" spans="9:12">
      <c r="I204" s="20"/>
      <c r="J204" s="20"/>
      <c r="K204" s="20"/>
      <c r="L204" s="20"/>
    </row>
    <row r="205" spans="9:12">
      <c r="I205" s="20"/>
      <c r="J205" s="20"/>
      <c r="K205" s="20"/>
      <c r="L205" s="20"/>
    </row>
    <row r="206" spans="9:12">
      <c r="I206" s="20"/>
      <c r="J206" s="20"/>
      <c r="K206" s="20"/>
      <c r="L206" s="20"/>
    </row>
    <row r="207" spans="9:12">
      <c r="I207" s="20"/>
      <c r="J207" s="20"/>
      <c r="K207" s="20"/>
      <c r="L207" s="20"/>
    </row>
    <row r="208" spans="9:12">
      <c r="I208" s="20"/>
      <c r="J208" s="20"/>
      <c r="K208" s="20"/>
      <c r="L208" s="20"/>
    </row>
    <row r="209" spans="9:12">
      <c r="I209" s="20"/>
      <c r="J209" s="20"/>
      <c r="K209" s="20"/>
      <c r="L209" s="20"/>
    </row>
    <row r="210" spans="9:12">
      <c r="I210" s="20"/>
      <c r="J210" s="20"/>
      <c r="K210" s="20"/>
      <c r="L210" s="20"/>
    </row>
    <row r="211" spans="9:12">
      <c r="I211" s="20"/>
      <c r="J211" s="20"/>
      <c r="K211" s="20"/>
      <c r="L211" s="20"/>
    </row>
    <row r="212" spans="9:12">
      <c r="I212" s="20"/>
      <c r="J212" s="20"/>
      <c r="K212" s="20"/>
      <c r="L212" s="20"/>
    </row>
    <row r="213" spans="9:12">
      <c r="I213" s="20"/>
      <c r="J213" s="20"/>
      <c r="K213" s="20"/>
      <c r="L213" s="20"/>
    </row>
    <row r="214" spans="9:12">
      <c r="I214" s="20"/>
      <c r="J214" s="20"/>
      <c r="K214" s="20"/>
      <c r="L214" s="20"/>
    </row>
    <row r="215" spans="9:12">
      <c r="I215" s="20"/>
      <c r="J215" s="20"/>
      <c r="K215" s="20"/>
      <c r="L215" s="20"/>
    </row>
    <row r="216" spans="9:12">
      <c r="I216" s="20"/>
      <c r="J216" s="20"/>
      <c r="K216" s="20"/>
      <c r="L216" s="20"/>
    </row>
    <row r="217" spans="9:12">
      <c r="I217" s="20"/>
      <c r="J217" s="20"/>
      <c r="K217" s="20"/>
      <c r="L217" s="20"/>
    </row>
    <row r="218" spans="9:12">
      <c r="I218" s="20"/>
      <c r="J218" s="20"/>
      <c r="K218" s="20"/>
      <c r="L218" s="20"/>
    </row>
    <row r="219" spans="9:12">
      <c r="I219" s="20"/>
      <c r="J219" s="20"/>
      <c r="K219" s="20"/>
      <c r="L219" s="20"/>
    </row>
    <row r="220" spans="9:12">
      <c r="I220" s="20"/>
      <c r="J220" s="20"/>
      <c r="K220" s="20"/>
      <c r="L220" s="20"/>
    </row>
    <row r="221" spans="9:12">
      <c r="I221" s="20"/>
      <c r="J221" s="20"/>
      <c r="K221" s="20"/>
      <c r="L221" s="20"/>
    </row>
    <row r="222" spans="9:12">
      <c r="I222" s="20"/>
      <c r="J222" s="20"/>
      <c r="K222" s="20"/>
      <c r="L222" s="20"/>
    </row>
    <row r="223" spans="9:12">
      <c r="I223" s="20"/>
      <c r="J223" s="20"/>
      <c r="K223" s="20"/>
      <c r="L223" s="20"/>
    </row>
    <row r="224" spans="9:12">
      <c r="I224" s="20"/>
      <c r="J224" s="20"/>
      <c r="K224" s="20"/>
      <c r="L224" s="20"/>
    </row>
    <row r="225" spans="9:12">
      <c r="I225" s="20"/>
      <c r="J225" s="20"/>
      <c r="K225" s="20"/>
      <c r="L225" s="20"/>
    </row>
    <row r="226" spans="9:12">
      <c r="I226" s="20"/>
      <c r="J226" s="20"/>
      <c r="K226" s="20"/>
      <c r="L226" s="20"/>
    </row>
    <row r="227" spans="9:12">
      <c r="I227" s="20"/>
      <c r="J227" s="20"/>
      <c r="K227" s="20"/>
      <c r="L227" s="20"/>
    </row>
    <row r="228" spans="9:12">
      <c r="I228" s="20"/>
      <c r="J228" s="20"/>
      <c r="K228" s="20"/>
      <c r="L228" s="20"/>
    </row>
    <row r="229" spans="9:12">
      <c r="I229" s="20"/>
      <c r="J229" s="20"/>
      <c r="K229" s="20"/>
      <c r="L229" s="20"/>
    </row>
    <row r="230" spans="9:12">
      <c r="I230" s="20"/>
      <c r="J230" s="20"/>
      <c r="K230" s="20"/>
      <c r="L230" s="20"/>
    </row>
    <row r="231" spans="9:12">
      <c r="I231" s="20"/>
      <c r="J231" s="20"/>
      <c r="K231" s="20"/>
      <c r="L231" s="20"/>
    </row>
    <row r="232" spans="9:12">
      <c r="I232" s="20"/>
      <c r="J232" s="20"/>
      <c r="K232" s="20"/>
      <c r="L232" s="20"/>
    </row>
    <row r="233" spans="9:12">
      <c r="I233" s="20"/>
      <c r="J233" s="20"/>
      <c r="K233" s="20"/>
      <c r="L233" s="20"/>
    </row>
    <row r="234" spans="9:12">
      <c r="I234" s="20"/>
      <c r="J234" s="20"/>
      <c r="K234" s="20"/>
      <c r="L234" s="20"/>
    </row>
    <row r="235" spans="9:12">
      <c r="I235" s="20"/>
      <c r="J235" s="20"/>
      <c r="K235" s="20"/>
      <c r="L235" s="20"/>
    </row>
    <row r="236" spans="9:12">
      <c r="I236" s="20"/>
      <c r="J236" s="20"/>
      <c r="K236" s="20"/>
      <c r="L236" s="20"/>
    </row>
    <row r="237" spans="9:12">
      <c r="I237" s="20"/>
      <c r="J237" s="20"/>
      <c r="K237" s="20"/>
      <c r="L237" s="20"/>
    </row>
    <row r="238" spans="9:12">
      <c r="I238" s="20"/>
      <c r="J238" s="20"/>
      <c r="K238" s="20"/>
      <c r="L238" s="20"/>
    </row>
    <row r="239" spans="9:12">
      <c r="I239" s="20"/>
      <c r="J239" s="20"/>
      <c r="K239" s="20"/>
      <c r="L239" s="20"/>
    </row>
    <row r="240" spans="9:12">
      <c r="I240" s="20"/>
      <c r="J240" s="20"/>
      <c r="K240" s="20"/>
      <c r="L240" s="20"/>
    </row>
    <row r="241" spans="9:12">
      <c r="I241" s="20"/>
      <c r="J241" s="20"/>
      <c r="K241" s="20"/>
      <c r="L241" s="20"/>
    </row>
    <row r="242" spans="9:12">
      <c r="I242" s="20"/>
      <c r="J242" s="20"/>
      <c r="K242" s="20"/>
      <c r="L242" s="20"/>
    </row>
    <row r="243" spans="9:12">
      <c r="I243" s="20"/>
      <c r="J243" s="20"/>
      <c r="K243" s="20"/>
      <c r="L243" s="20"/>
    </row>
    <row r="244" spans="9:12">
      <c r="I244" s="20"/>
      <c r="J244" s="20"/>
      <c r="K244" s="20"/>
      <c r="L244" s="20"/>
    </row>
    <row r="245" spans="9:12">
      <c r="I245" s="20"/>
      <c r="J245" s="20"/>
      <c r="K245" s="20"/>
      <c r="L245" s="20"/>
    </row>
    <row r="246" spans="9:12">
      <c r="I246" s="20"/>
      <c r="J246" s="20"/>
      <c r="K246" s="20"/>
      <c r="L246" s="20"/>
    </row>
    <row r="247" spans="9:12">
      <c r="I247" s="20"/>
      <c r="J247" s="20"/>
      <c r="K247" s="20"/>
      <c r="L247" s="20"/>
    </row>
    <row r="248" spans="9:12">
      <c r="I248" s="20"/>
      <c r="J248" s="20"/>
      <c r="K248" s="20"/>
      <c r="L248" s="20"/>
    </row>
    <row r="249" spans="9:12">
      <c r="I249" s="20"/>
      <c r="J249" s="20"/>
      <c r="K249" s="20"/>
      <c r="L249" s="20"/>
    </row>
    <row r="250" spans="9:12">
      <c r="I250" s="20"/>
      <c r="J250" s="20"/>
      <c r="K250" s="20"/>
      <c r="L250" s="20"/>
    </row>
    <row r="251" spans="9:12">
      <c r="I251" s="20"/>
      <c r="J251" s="20"/>
      <c r="K251" s="20"/>
      <c r="L251" s="20"/>
    </row>
    <row r="252" spans="9:12">
      <c r="I252" s="20"/>
      <c r="J252" s="20"/>
      <c r="K252" s="20"/>
      <c r="L252" s="20"/>
    </row>
    <row r="253" spans="9:12">
      <c r="I253" s="20"/>
      <c r="J253" s="20"/>
      <c r="K253" s="20"/>
      <c r="L253" s="20"/>
    </row>
    <row r="254" spans="9:12">
      <c r="I254" s="20"/>
      <c r="J254" s="20"/>
      <c r="K254" s="20"/>
      <c r="L254" s="20"/>
    </row>
    <row r="255" spans="9:12">
      <c r="I255" s="20"/>
      <c r="J255" s="20"/>
      <c r="K255" s="20"/>
      <c r="L255" s="20"/>
    </row>
    <row r="256" spans="9:12">
      <c r="I256" s="20"/>
      <c r="J256" s="20"/>
      <c r="K256" s="20"/>
      <c r="L256" s="20"/>
    </row>
    <row r="257" spans="9:12">
      <c r="I257" s="20"/>
      <c r="J257" s="20"/>
      <c r="K257" s="20"/>
      <c r="L257" s="20"/>
    </row>
    <row r="258" spans="9:12">
      <c r="I258" s="20"/>
      <c r="J258" s="20"/>
      <c r="K258" s="20"/>
      <c r="L258" s="20"/>
    </row>
    <row r="259" spans="9:12">
      <c r="I259" s="20"/>
      <c r="J259" s="20"/>
      <c r="K259" s="20"/>
      <c r="L259" s="20"/>
    </row>
    <row r="260" spans="9:12">
      <c r="I260" s="20"/>
      <c r="J260" s="20"/>
      <c r="K260" s="20"/>
      <c r="L260" s="20"/>
    </row>
    <row r="261" spans="9:12">
      <c r="I261" s="20"/>
      <c r="J261" s="20"/>
      <c r="K261" s="20"/>
      <c r="L261" s="20"/>
    </row>
    <row r="262" spans="9:12">
      <c r="I262" s="20"/>
      <c r="J262" s="20"/>
      <c r="K262" s="20"/>
      <c r="L262" s="20"/>
    </row>
    <row r="263" spans="9:12">
      <c r="I263" s="20"/>
      <c r="J263" s="20"/>
      <c r="K263" s="20"/>
      <c r="L263" s="20"/>
    </row>
    <row r="264" spans="9:12">
      <c r="I264" s="20"/>
      <c r="J264" s="20"/>
      <c r="K264" s="20"/>
      <c r="L264" s="20"/>
    </row>
    <row r="265" spans="9:12">
      <c r="I265" s="20"/>
      <c r="J265" s="20"/>
      <c r="K265" s="20"/>
      <c r="L265" s="20"/>
    </row>
    <row r="266" spans="9:12">
      <c r="I266" s="20"/>
      <c r="J266" s="20"/>
      <c r="K266" s="20"/>
      <c r="L266" s="20"/>
    </row>
    <row r="267" spans="9:12">
      <c r="I267" s="20"/>
      <c r="J267" s="20"/>
      <c r="K267" s="20"/>
      <c r="L267" s="20"/>
    </row>
    <row r="268" spans="9:12">
      <c r="I268" s="20"/>
      <c r="J268" s="20"/>
      <c r="K268" s="20"/>
      <c r="L268" s="20"/>
    </row>
    <row r="269" spans="9:12">
      <c r="I269" s="20"/>
      <c r="J269" s="20"/>
      <c r="K269" s="20"/>
      <c r="L269" s="20"/>
    </row>
    <row r="270" spans="9:12">
      <c r="I270" s="20"/>
      <c r="J270" s="20"/>
      <c r="K270" s="20"/>
      <c r="L270" s="20"/>
    </row>
    <row r="271" spans="9:12">
      <c r="I271" s="20"/>
      <c r="J271" s="20"/>
      <c r="K271" s="20"/>
      <c r="L271" s="20"/>
    </row>
    <row r="272" spans="9:12">
      <c r="I272" s="20"/>
      <c r="J272" s="20"/>
      <c r="K272" s="20"/>
      <c r="L272" s="20"/>
    </row>
    <row r="273" spans="9:12">
      <c r="I273" s="20"/>
      <c r="J273" s="20"/>
      <c r="K273" s="20"/>
      <c r="L273" s="20"/>
    </row>
    <row r="274" spans="9:12">
      <c r="I274" s="20"/>
      <c r="J274" s="20"/>
      <c r="K274" s="20"/>
      <c r="L274" s="20"/>
    </row>
    <row r="275" spans="9:12">
      <c r="I275" s="20"/>
      <c r="J275" s="20"/>
      <c r="K275" s="20"/>
      <c r="L275" s="20"/>
    </row>
    <row r="276" spans="9:12">
      <c r="I276" s="20"/>
      <c r="J276" s="20"/>
      <c r="K276" s="20"/>
      <c r="L276" s="20"/>
    </row>
    <row r="277" spans="9:12">
      <c r="I277" s="20"/>
      <c r="J277" s="20"/>
      <c r="K277" s="20"/>
      <c r="L277" s="20"/>
    </row>
    <row r="278" spans="9:12">
      <c r="I278" s="20"/>
      <c r="J278" s="20"/>
      <c r="K278" s="20"/>
      <c r="L278" s="20"/>
    </row>
    <row r="279" spans="9:12">
      <c r="I279" s="20"/>
      <c r="J279" s="20"/>
      <c r="K279" s="20"/>
      <c r="L279" s="20"/>
    </row>
    <row r="280" spans="9:12">
      <c r="I280" s="20"/>
      <c r="J280" s="20"/>
      <c r="K280" s="20"/>
      <c r="L280" s="20"/>
    </row>
    <row r="281" spans="9:12">
      <c r="I281" s="20"/>
      <c r="J281" s="20"/>
      <c r="K281" s="20"/>
      <c r="L281" s="20"/>
    </row>
    <row r="282" spans="9:12">
      <c r="I282" s="20"/>
      <c r="J282" s="20"/>
      <c r="K282" s="20"/>
      <c r="L282" s="20"/>
    </row>
    <row r="283" spans="9:12">
      <c r="I283" s="20"/>
      <c r="J283" s="20"/>
      <c r="K283" s="20"/>
      <c r="L283" s="20"/>
    </row>
    <row r="284" spans="9:12">
      <c r="I284" s="20"/>
      <c r="J284" s="20"/>
      <c r="K284" s="20"/>
      <c r="L284" s="20"/>
    </row>
    <row r="285" spans="9:12">
      <c r="I285" s="20"/>
      <c r="J285" s="20"/>
      <c r="K285" s="20"/>
      <c r="L285" s="20"/>
    </row>
    <row r="286" spans="9:12">
      <c r="I286" s="20"/>
      <c r="J286" s="20"/>
      <c r="K286" s="20"/>
      <c r="L286" s="20"/>
    </row>
    <row r="287" spans="9:12">
      <c r="I287" s="20"/>
      <c r="J287" s="20"/>
      <c r="K287" s="20"/>
      <c r="L287" s="20"/>
    </row>
    <row r="288" spans="9:12">
      <c r="I288" s="20"/>
      <c r="J288" s="20"/>
      <c r="K288" s="20"/>
      <c r="L288" s="20"/>
    </row>
    <row r="289" spans="9:12">
      <c r="I289" s="20"/>
      <c r="J289" s="20"/>
      <c r="K289" s="20"/>
      <c r="L289" s="20"/>
    </row>
    <row r="290" spans="9:12">
      <c r="I290" s="20"/>
      <c r="J290" s="20"/>
      <c r="K290" s="20"/>
      <c r="L290" s="20"/>
    </row>
    <row r="291" spans="9:12">
      <c r="I291" s="20"/>
      <c r="J291" s="20"/>
      <c r="K291" s="20"/>
      <c r="L291" s="20"/>
    </row>
    <row r="292" spans="9:12">
      <c r="I292" s="20"/>
      <c r="J292" s="20"/>
      <c r="K292" s="20"/>
      <c r="L292" s="20"/>
    </row>
    <row r="293" spans="9:12">
      <c r="I293" s="20"/>
      <c r="J293" s="20"/>
      <c r="K293" s="20"/>
      <c r="L293" s="20"/>
    </row>
    <row r="294" spans="9:12">
      <c r="I294" s="20"/>
      <c r="J294" s="20"/>
      <c r="K294" s="20"/>
      <c r="L294" s="20"/>
    </row>
    <row r="295" spans="9:12">
      <c r="I295" s="20"/>
      <c r="J295" s="20"/>
      <c r="K295" s="20"/>
      <c r="L295" s="20"/>
    </row>
    <row r="296" spans="9:12">
      <c r="I296" s="20"/>
      <c r="J296" s="20"/>
      <c r="K296" s="20"/>
      <c r="L296" s="20"/>
    </row>
    <row r="297" spans="9:12">
      <c r="I297" s="20"/>
      <c r="J297" s="20"/>
      <c r="K297" s="20"/>
      <c r="L297" s="20"/>
    </row>
    <row r="298" spans="9:12">
      <c r="I298" s="20"/>
      <c r="J298" s="20"/>
      <c r="K298" s="20"/>
      <c r="L298" s="20"/>
    </row>
    <row r="299" spans="9:12">
      <c r="I299" s="20"/>
      <c r="J299" s="20"/>
      <c r="K299" s="20"/>
      <c r="L299" s="20"/>
    </row>
    <row r="300" spans="9:12">
      <c r="I300" s="20"/>
      <c r="J300" s="20"/>
      <c r="K300" s="20"/>
      <c r="L300" s="20"/>
    </row>
    <row r="301" spans="9:12">
      <c r="I301" s="20"/>
      <c r="J301" s="20"/>
      <c r="K301" s="20"/>
      <c r="L301" s="20"/>
    </row>
    <row r="302" spans="9:12">
      <c r="I302" s="20"/>
      <c r="J302" s="20"/>
      <c r="K302" s="20"/>
      <c r="L302" s="20"/>
    </row>
    <row r="303" spans="9:12">
      <c r="I303" s="20"/>
      <c r="J303" s="20"/>
      <c r="K303" s="20"/>
      <c r="L303" s="20"/>
    </row>
    <row r="304" spans="9:12">
      <c r="I304" s="20"/>
      <c r="J304" s="20"/>
      <c r="K304" s="20"/>
      <c r="L304" s="20"/>
    </row>
    <row r="305" spans="9:12">
      <c r="I305" s="20"/>
      <c r="J305" s="20"/>
      <c r="K305" s="20"/>
      <c r="L305" s="20"/>
    </row>
    <row r="306" spans="9:12">
      <c r="I306" s="20"/>
      <c r="J306" s="20"/>
      <c r="K306" s="20"/>
      <c r="L306" s="20"/>
    </row>
    <row r="307" spans="9:12">
      <c r="I307" s="20"/>
      <c r="J307" s="20"/>
      <c r="K307" s="20"/>
      <c r="L307" s="20"/>
    </row>
    <row r="308" spans="9:12">
      <c r="I308" s="20"/>
      <c r="J308" s="20"/>
      <c r="K308" s="20"/>
      <c r="L308" s="20"/>
    </row>
    <row r="309" spans="9:12">
      <c r="I309" s="20"/>
      <c r="J309" s="20"/>
      <c r="K309" s="20"/>
      <c r="L309" s="20"/>
    </row>
    <row r="310" spans="9:12">
      <c r="I310" s="20"/>
      <c r="J310" s="20"/>
      <c r="K310" s="20"/>
      <c r="L310" s="20"/>
    </row>
    <row r="311" spans="9:12">
      <c r="I311" s="20"/>
      <c r="J311" s="20"/>
      <c r="K311" s="20"/>
      <c r="L311" s="20"/>
    </row>
    <row r="312" spans="9:12">
      <c r="I312" s="20"/>
      <c r="J312" s="20"/>
      <c r="K312" s="20"/>
      <c r="L312" s="20"/>
    </row>
    <row r="313" spans="9:12">
      <c r="I313" s="20"/>
      <c r="J313" s="20"/>
      <c r="K313" s="20"/>
      <c r="L313" s="20"/>
    </row>
    <row r="314" spans="9:12">
      <c r="I314" s="20"/>
      <c r="J314" s="20"/>
      <c r="K314" s="20"/>
      <c r="L314" s="20"/>
    </row>
    <row r="315" spans="9:12">
      <c r="I315" s="20"/>
      <c r="J315" s="20"/>
      <c r="K315" s="20"/>
      <c r="L315" s="20"/>
    </row>
    <row r="316" spans="9:12">
      <c r="I316" s="20"/>
      <c r="J316" s="20"/>
      <c r="K316" s="20"/>
      <c r="L316" s="20"/>
    </row>
    <row r="317" spans="9:12">
      <c r="I317" s="20"/>
      <c r="J317" s="20"/>
      <c r="K317" s="20"/>
      <c r="L317" s="20"/>
    </row>
    <row r="318" spans="9:12">
      <c r="I318" s="20"/>
      <c r="J318" s="20"/>
      <c r="K318" s="20"/>
      <c r="L318" s="20"/>
    </row>
    <row r="319" spans="9:12">
      <c r="I319" s="20"/>
      <c r="J319" s="20"/>
      <c r="K319" s="20"/>
      <c r="L319" s="20"/>
    </row>
    <row r="320" spans="9:12">
      <c r="I320" s="20"/>
      <c r="J320" s="20"/>
      <c r="K320" s="20"/>
      <c r="L320" s="20"/>
    </row>
    <row r="321" spans="9:12">
      <c r="I321" s="20"/>
      <c r="J321" s="20"/>
      <c r="K321" s="20"/>
      <c r="L321" s="20"/>
    </row>
    <row r="322" spans="9:12">
      <c r="I322" s="20"/>
      <c r="J322" s="20"/>
      <c r="K322" s="20"/>
      <c r="L322" s="20"/>
    </row>
    <row r="323" spans="9:12">
      <c r="I323" s="20"/>
      <c r="J323" s="20"/>
      <c r="K323" s="20"/>
      <c r="L323" s="20"/>
    </row>
    <row r="324" spans="9:12">
      <c r="I324" s="20"/>
      <c r="J324" s="20"/>
      <c r="K324" s="20"/>
      <c r="L324" s="20"/>
    </row>
    <row r="325" spans="9:12">
      <c r="I325" s="20"/>
      <c r="J325" s="20"/>
      <c r="K325" s="20"/>
      <c r="L325" s="20"/>
    </row>
    <row r="326" spans="9:12">
      <c r="I326" s="20"/>
      <c r="J326" s="20"/>
      <c r="K326" s="20"/>
      <c r="L326" s="20"/>
    </row>
    <row r="327" spans="9:12">
      <c r="I327" s="20"/>
      <c r="J327" s="20"/>
      <c r="K327" s="20"/>
      <c r="L327" s="20"/>
    </row>
    <row r="328" spans="9:12">
      <c r="I328" s="20"/>
      <c r="J328" s="20"/>
      <c r="K328" s="20"/>
      <c r="L328" s="20"/>
    </row>
    <row r="329" spans="9:12">
      <c r="I329" s="20"/>
      <c r="J329" s="20"/>
      <c r="K329" s="20"/>
      <c r="L329" s="20"/>
    </row>
    <row r="330" spans="9:12">
      <c r="I330" s="20"/>
      <c r="J330" s="20"/>
      <c r="K330" s="20"/>
      <c r="L330" s="20"/>
    </row>
    <row r="331" spans="9:12">
      <c r="I331" s="20"/>
      <c r="J331" s="20"/>
      <c r="K331" s="20"/>
      <c r="L331" s="20"/>
    </row>
    <row r="332" spans="9:12">
      <c r="I332" s="20"/>
      <c r="J332" s="20"/>
      <c r="K332" s="20"/>
      <c r="L332" s="20"/>
    </row>
    <row r="333" spans="9:12">
      <c r="I333" s="20"/>
      <c r="J333" s="20"/>
      <c r="K333" s="20"/>
      <c r="L333" s="20"/>
    </row>
    <row r="334" spans="9:12">
      <c r="I334" s="20"/>
      <c r="J334" s="20"/>
      <c r="K334" s="20"/>
      <c r="L334" s="20"/>
    </row>
    <row r="335" spans="9:12">
      <c r="I335" s="20"/>
      <c r="J335" s="20"/>
      <c r="K335" s="20"/>
      <c r="L335" s="20"/>
    </row>
    <row r="336" spans="9:12">
      <c r="I336" s="20"/>
      <c r="J336" s="20"/>
      <c r="K336" s="20"/>
      <c r="L336" s="20"/>
    </row>
    <row r="337" spans="9:12">
      <c r="I337" s="20"/>
      <c r="J337" s="20"/>
      <c r="K337" s="20"/>
      <c r="L337" s="20"/>
    </row>
    <row r="338" spans="9:12">
      <c r="I338" s="20"/>
      <c r="J338" s="20"/>
      <c r="K338" s="20"/>
      <c r="L338" s="20"/>
    </row>
    <row r="339" spans="9:12">
      <c r="I339" s="20"/>
      <c r="J339" s="20"/>
      <c r="K339" s="20"/>
      <c r="L339" s="20"/>
    </row>
    <row r="340" spans="9:12">
      <c r="I340" s="20"/>
      <c r="J340" s="20"/>
      <c r="K340" s="20"/>
      <c r="L340" s="20"/>
    </row>
    <row r="341" spans="9:12">
      <c r="I341" s="20"/>
      <c r="J341" s="20"/>
      <c r="K341" s="20"/>
      <c r="L341" s="20"/>
    </row>
    <row r="342" spans="9:12">
      <c r="I342" s="20"/>
      <c r="J342" s="20"/>
      <c r="K342" s="20"/>
      <c r="L342" s="20"/>
    </row>
    <row r="343" spans="9:12">
      <c r="I343" s="20"/>
      <c r="J343" s="20"/>
      <c r="K343" s="20"/>
      <c r="L343" s="20"/>
    </row>
    <row r="344" spans="9:12">
      <c r="I344" s="20"/>
      <c r="J344" s="20"/>
      <c r="K344" s="20"/>
      <c r="L344" s="20"/>
    </row>
    <row r="345" spans="9:12">
      <c r="I345" s="20"/>
      <c r="J345" s="20"/>
      <c r="K345" s="20"/>
      <c r="L345" s="20"/>
    </row>
    <row r="346" spans="9:12">
      <c r="I346" s="20"/>
      <c r="J346" s="20"/>
      <c r="K346" s="20"/>
      <c r="L346" s="20"/>
    </row>
    <row r="347" spans="9:12">
      <c r="I347" s="20"/>
      <c r="J347" s="20"/>
      <c r="K347" s="20"/>
      <c r="L347" s="20"/>
    </row>
    <row r="348" spans="9:12">
      <c r="I348" s="20"/>
      <c r="J348" s="20"/>
      <c r="K348" s="20"/>
      <c r="L348" s="20"/>
    </row>
    <row r="349" spans="9:12">
      <c r="I349" s="20"/>
      <c r="J349" s="20"/>
      <c r="K349" s="20"/>
      <c r="L349" s="20"/>
    </row>
    <row r="350" spans="9:12">
      <c r="I350" s="20"/>
      <c r="J350" s="20"/>
      <c r="K350" s="20"/>
      <c r="L350" s="20"/>
    </row>
    <row r="351" spans="9:12">
      <c r="I351" s="20"/>
      <c r="J351" s="20"/>
      <c r="K351" s="20"/>
      <c r="L351" s="20"/>
    </row>
    <row r="352" spans="9:12">
      <c r="I352" s="20"/>
      <c r="J352" s="20"/>
      <c r="K352" s="20"/>
      <c r="L352" s="20"/>
    </row>
    <row r="353" spans="9:12">
      <c r="I353" s="20"/>
      <c r="J353" s="20"/>
      <c r="K353" s="20"/>
      <c r="L353" s="20"/>
    </row>
    <row r="354" spans="9:12">
      <c r="I354" s="20"/>
      <c r="J354" s="20"/>
      <c r="K354" s="20"/>
      <c r="L354" s="20"/>
    </row>
    <row r="355" spans="9:12">
      <c r="I355" s="20"/>
      <c r="J355" s="20"/>
      <c r="K355" s="20"/>
      <c r="L355" s="20"/>
    </row>
    <row r="356" spans="9:12">
      <c r="I356" s="20"/>
      <c r="J356" s="20"/>
      <c r="K356" s="20"/>
      <c r="L356" s="20"/>
    </row>
    <row r="357" spans="9:12">
      <c r="I357" s="20"/>
      <c r="J357" s="20"/>
      <c r="K357" s="20"/>
      <c r="L357" s="20"/>
    </row>
    <row r="358" spans="9:12">
      <c r="I358" s="20"/>
      <c r="J358" s="20"/>
      <c r="K358" s="20"/>
      <c r="L358" s="20"/>
    </row>
    <row r="359" spans="9:12">
      <c r="I359" s="20"/>
      <c r="J359" s="20"/>
      <c r="K359" s="20"/>
      <c r="L359" s="20"/>
    </row>
    <row r="360" spans="9:12">
      <c r="I360" s="20"/>
      <c r="J360" s="20"/>
      <c r="K360" s="20"/>
      <c r="L360" s="20"/>
    </row>
    <row r="361" spans="9:12">
      <c r="I361" s="20"/>
      <c r="J361" s="20"/>
      <c r="K361" s="20"/>
      <c r="L361" s="20"/>
    </row>
    <row r="362" spans="9:12">
      <c r="I362" s="20"/>
      <c r="J362" s="20"/>
      <c r="K362" s="20"/>
      <c r="L362" s="20"/>
    </row>
    <row r="363" spans="9:12">
      <c r="I363" s="20"/>
      <c r="J363" s="20"/>
      <c r="K363" s="20"/>
      <c r="L363" s="20"/>
    </row>
    <row r="364" spans="9:12">
      <c r="I364" s="20"/>
      <c r="J364" s="20"/>
      <c r="K364" s="20"/>
      <c r="L364" s="20"/>
    </row>
    <row r="365" spans="9:12">
      <c r="I365" s="20"/>
      <c r="J365" s="20"/>
      <c r="K365" s="20"/>
      <c r="L365" s="20"/>
    </row>
    <row r="366" spans="9:12">
      <c r="I366" s="20"/>
      <c r="J366" s="20"/>
      <c r="K366" s="20"/>
      <c r="L366" s="20"/>
    </row>
    <row r="367" spans="9:12">
      <c r="I367" s="20"/>
      <c r="J367" s="20"/>
      <c r="K367" s="20"/>
      <c r="L367" s="20"/>
    </row>
    <row r="368" spans="9:12">
      <c r="I368" s="20"/>
      <c r="J368" s="20"/>
      <c r="K368" s="20"/>
      <c r="L368" s="20"/>
    </row>
    <row r="369" spans="9:12">
      <c r="I369" s="20"/>
      <c r="J369" s="20"/>
      <c r="K369" s="20"/>
      <c r="L369" s="20"/>
    </row>
    <row r="370" spans="9:12">
      <c r="I370" s="20"/>
      <c r="J370" s="20"/>
      <c r="K370" s="20"/>
      <c r="L370" s="20"/>
    </row>
    <row r="371" spans="9:12">
      <c r="I371" s="20"/>
      <c r="J371" s="20"/>
      <c r="K371" s="20"/>
      <c r="L371" s="20"/>
    </row>
    <row r="372" spans="9:12">
      <c r="I372" s="20"/>
      <c r="J372" s="20"/>
      <c r="K372" s="20"/>
      <c r="L372" s="20"/>
    </row>
    <row r="373" spans="9:12">
      <c r="I373" s="20"/>
      <c r="J373" s="20"/>
      <c r="K373" s="20"/>
      <c r="L373" s="20"/>
    </row>
    <row r="374" spans="9:12">
      <c r="I374" s="20"/>
      <c r="J374" s="20"/>
      <c r="K374" s="20"/>
      <c r="L374" s="20"/>
    </row>
    <row r="375" spans="9:12">
      <c r="I375" s="20"/>
      <c r="J375" s="20"/>
      <c r="K375" s="20"/>
      <c r="L375" s="20"/>
    </row>
    <row r="376" spans="9:12">
      <c r="I376" s="20"/>
      <c r="J376" s="20"/>
      <c r="K376" s="20"/>
      <c r="L376" s="20"/>
    </row>
    <row r="377" spans="9:12">
      <c r="I377" s="20"/>
      <c r="J377" s="20"/>
      <c r="K377" s="20"/>
      <c r="L377" s="20"/>
    </row>
    <row r="378" spans="9:12">
      <c r="I378" s="20"/>
      <c r="J378" s="20"/>
      <c r="K378" s="20"/>
      <c r="L378" s="20"/>
    </row>
    <row r="379" spans="9:12">
      <c r="I379" s="20"/>
      <c r="J379" s="20"/>
      <c r="K379" s="20"/>
      <c r="L379" s="20"/>
    </row>
    <row r="380" spans="9:12">
      <c r="I380" s="20"/>
      <c r="J380" s="20"/>
      <c r="K380" s="20"/>
      <c r="L380" s="20"/>
    </row>
    <row r="381" spans="9:12">
      <c r="I381" s="20"/>
      <c r="J381" s="20"/>
      <c r="K381" s="20"/>
      <c r="L381" s="20"/>
    </row>
    <row r="382" spans="9:12">
      <c r="I382" s="20"/>
      <c r="J382" s="20"/>
      <c r="K382" s="20"/>
      <c r="L382" s="20"/>
    </row>
    <row r="383" spans="9:12">
      <c r="I383" s="20"/>
      <c r="J383" s="20"/>
      <c r="K383" s="20"/>
      <c r="L383" s="20"/>
    </row>
    <row r="384" spans="9:12">
      <c r="I384" s="20"/>
      <c r="J384" s="20"/>
      <c r="K384" s="20"/>
      <c r="L384" s="20"/>
    </row>
    <row r="385" spans="9:12">
      <c r="I385" s="20"/>
      <c r="J385" s="20"/>
      <c r="K385" s="20"/>
      <c r="L385" s="20"/>
    </row>
    <row r="386" spans="9:12">
      <c r="I386" s="20"/>
      <c r="J386" s="20"/>
      <c r="K386" s="20"/>
      <c r="L386" s="20"/>
    </row>
    <row r="387" spans="9:12">
      <c r="I387" s="20"/>
      <c r="J387" s="20"/>
      <c r="K387" s="20"/>
      <c r="L387" s="20"/>
    </row>
    <row r="388" spans="9:12">
      <c r="I388" s="20"/>
      <c r="J388" s="20"/>
      <c r="K388" s="20"/>
      <c r="L388" s="20"/>
    </row>
    <row r="389" spans="9:12">
      <c r="I389" s="20"/>
      <c r="J389" s="20"/>
      <c r="K389" s="20"/>
      <c r="L389" s="20"/>
    </row>
    <row r="390" spans="9:12">
      <c r="I390" s="20"/>
      <c r="J390" s="20"/>
      <c r="K390" s="20"/>
      <c r="L390" s="20"/>
    </row>
    <row r="391" spans="9:12">
      <c r="I391" s="20"/>
      <c r="J391" s="20"/>
      <c r="K391" s="20"/>
      <c r="L391" s="20"/>
    </row>
    <row r="392" spans="9:12">
      <c r="I392" s="20"/>
      <c r="J392" s="20"/>
      <c r="K392" s="20"/>
      <c r="L392" s="20"/>
    </row>
    <row r="393" spans="9:12">
      <c r="I393" s="20"/>
      <c r="J393" s="20"/>
      <c r="K393" s="20"/>
      <c r="L393" s="20"/>
    </row>
    <row r="394" spans="9:12">
      <c r="I394" s="20"/>
      <c r="J394" s="20"/>
      <c r="K394" s="20"/>
      <c r="L394" s="20"/>
    </row>
    <row r="395" spans="9:12">
      <c r="I395" s="20"/>
      <c r="J395" s="20"/>
      <c r="K395" s="20"/>
      <c r="L395" s="20"/>
    </row>
    <row r="396" spans="9:12">
      <c r="I396" s="20"/>
      <c r="J396" s="20"/>
      <c r="K396" s="20"/>
      <c r="L396" s="20"/>
    </row>
    <row r="397" spans="9:12">
      <c r="I397" s="20"/>
      <c r="J397" s="20"/>
      <c r="K397" s="20"/>
      <c r="L397" s="20"/>
    </row>
    <row r="398" spans="9:12">
      <c r="I398" s="20"/>
      <c r="J398" s="20"/>
      <c r="K398" s="20"/>
      <c r="L398" s="20"/>
    </row>
    <row r="399" spans="9:12">
      <c r="I399" s="20"/>
      <c r="J399" s="20"/>
      <c r="K399" s="20"/>
      <c r="L399" s="20"/>
    </row>
    <row r="400" spans="9:12">
      <c r="I400" s="20"/>
      <c r="J400" s="20"/>
      <c r="K400" s="20"/>
      <c r="L400" s="20"/>
    </row>
    <row r="401" spans="9:12">
      <c r="I401" s="20"/>
      <c r="J401" s="20"/>
      <c r="K401" s="20"/>
      <c r="L401" s="20"/>
    </row>
    <row r="402" spans="9:12">
      <c r="I402" s="20"/>
      <c r="J402" s="20"/>
      <c r="K402" s="20"/>
      <c r="L402" s="20"/>
    </row>
    <row r="403" spans="9:12">
      <c r="I403" s="20"/>
      <c r="J403" s="20"/>
      <c r="K403" s="20"/>
      <c r="L403" s="20"/>
    </row>
    <row r="404" spans="9:12">
      <c r="I404" s="20"/>
      <c r="J404" s="20"/>
      <c r="K404" s="20"/>
      <c r="L404" s="20"/>
    </row>
    <row r="405" spans="9:12">
      <c r="I405" s="20"/>
      <c r="J405" s="20"/>
      <c r="K405" s="20"/>
      <c r="L405" s="20"/>
    </row>
    <row r="406" spans="9:12">
      <c r="I406" s="20"/>
      <c r="J406" s="20"/>
      <c r="K406" s="20"/>
      <c r="L406" s="20"/>
    </row>
    <row r="407" spans="9:12">
      <c r="I407" s="20"/>
      <c r="J407" s="20"/>
      <c r="K407" s="20"/>
      <c r="L407" s="20"/>
    </row>
    <row r="408" spans="9:12">
      <c r="I408" s="20"/>
      <c r="J408" s="20"/>
      <c r="K408" s="20"/>
      <c r="L408" s="20"/>
    </row>
    <row r="409" spans="9:12">
      <c r="I409" s="20"/>
      <c r="J409" s="20"/>
      <c r="K409" s="20"/>
      <c r="L409" s="20"/>
    </row>
    <row r="410" spans="9:12">
      <c r="I410" s="20"/>
      <c r="J410" s="20"/>
      <c r="K410" s="20"/>
      <c r="L410" s="20"/>
    </row>
    <row r="411" spans="9:12">
      <c r="I411" s="20"/>
      <c r="J411" s="20"/>
      <c r="K411" s="20"/>
      <c r="L411" s="20"/>
    </row>
    <row r="412" spans="9:12">
      <c r="I412" s="20"/>
      <c r="J412" s="20"/>
      <c r="K412" s="20"/>
      <c r="L412" s="20"/>
    </row>
    <row r="413" spans="9:12">
      <c r="I413" s="20"/>
      <c r="J413" s="20"/>
      <c r="K413" s="20"/>
      <c r="L413" s="20"/>
    </row>
    <row r="414" spans="9:12">
      <c r="I414" s="20"/>
      <c r="J414" s="20"/>
      <c r="K414" s="20"/>
      <c r="L414" s="20"/>
    </row>
    <row r="415" spans="9:12">
      <c r="I415" s="20"/>
      <c r="J415" s="20"/>
      <c r="K415" s="20"/>
      <c r="L415" s="20"/>
    </row>
    <row r="416" spans="9:12">
      <c r="I416" s="20"/>
      <c r="J416" s="20"/>
      <c r="K416" s="20"/>
      <c r="L416" s="20"/>
    </row>
    <row r="417" spans="9:12">
      <c r="I417" s="20"/>
      <c r="J417" s="20"/>
      <c r="K417" s="20"/>
      <c r="L417" s="20"/>
    </row>
    <row r="418" spans="9:12">
      <c r="I418" s="20"/>
      <c r="J418" s="20"/>
      <c r="K418" s="20"/>
      <c r="L418" s="20"/>
    </row>
    <row r="419" spans="9:12">
      <c r="I419" s="20"/>
      <c r="J419" s="20"/>
      <c r="K419" s="20"/>
      <c r="L419" s="20"/>
    </row>
    <row r="420" spans="9:12">
      <c r="I420" s="20"/>
      <c r="J420" s="20"/>
      <c r="K420" s="20"/>
      <c r="L420" s="20"/>
    </row>
    <row r="421" spans="9:12">
      <c r="I421" s="20"/>
      <c r="J421" s="20"/>
      <c r="K421" s="20"/>
      <c r="L421" s="20"/>
    </row>
    <row r="422" spans="9:12">
      <c r="I422" s="20"/>
      <c r="J422" s="20"/>
      <c r="K422" s="20"/>
      <c r="L422" s="20"/>
    </row>
    <row r="423" spans="9:12">
      <c r="I423" s="20"/>
      <c r="J423" s="20"/>
      <c r="K423" s="20"/>
      <c r="L423" s="20"/>
    </row>
    <row r="424" spans="9:12">
      <c r="I424" s="20"/>
      <c r="J424" s="20"/>
      <c r="K424" s="20"/>
      <c r="L424" s="20"/>
    </row>
    <row r="425" spans="9:12">
      <c r="I425" s="20"/>
      <c r="J425" s="20"/>
      <c r="K425" s="20"/>
      <c r="L425" s="20"/>
    </row>
    <row r="426" spans="9:12">
      <c r="I426" s="20"/>
      <c r="J426" s="20"/>
      <c r="K426" s="20"/>
      <c r="L426" s="20"/>
    </row>
    <row r="427" spans="9:12">
      <c r="I427" s="20"/>
      <c r="J427" s="20"/>
      <c r="K427" s="20"/>
      <c r="L427" s="20"/>
    </row>
    <row r="428" spans="9:12">
      <c r="I428" s="20"/>
      <c r="J428" s="20"/>
      <c r="K428" s="20"/>
      <c r="L428" s="20"/>
    </row>
    <row r="429" spans="9:12">
      <c r="I429" s="20"/>
      <c r="J429" s="20"/>
      <c r="K429" s="20"/>
      <c r="L429" s="20"/>
    </row>
    <row r="430" spans="9:12">
      <c r="I430" s="20"/>
      <c r="J430" s="20"/>
      <c r="K430" s="20"/>
      <c r="L430" s="20"/>
    </row>
    <row r="431" spans="9:12">
      <c r="I431" s="20"/>
      <c r="J431" s="20"/>
      <c r="K431" s="20"/>
      <c r="L431" s="20"/>
    </row>
    <row r="432" spans="9:12">
      <c r="I432" s="20"/>
      <c r="J432" s="20"/>
      <c r="K432" s="20"/>
      <c r="L432" s="20"/>
    </row>
    <row r="433" spans="9:12">
      <c r="I433" s="20"/>
      <c r="J433" s="20"/>
      <c r="K433" s="20"/>
      <c r="L433" s="20"/>
    </row>
    <row r="434" spans="9:12">
      <c r="I434" s="20"/>
      <c r="J434" s="20"/>
      <c r="K434" s="20"/>
      <c r="L434" s="20"/>
    </row>
    <row r="435" spans="9:12">
      <c r="I435" s="20"/>
      <c r="J435" s="20"/>
      <c r="K435" s="20"/>
      <c r="L435" s="20"/>
    </row>
    <row r="436" spans="9:12">
      <c r="I436" s="20"/>
      <c r="J436" s="20"/>
      <c r="K436" s="20"/>
      <c r="L436" s="20"/>
    </row>
    <row r="437" spans="9:12">
      <c r="I437" s="20"/>
      <c r="J437" s="20"/>
      <c r="K437" s="20"/>
      <c r="L437" s="20"/>
    </row>
    <row r="438" spans="9:12">
      <c r="I438" s="20"/>
      <c r="J438" s="20"/>
      <c r="K438" s="20"/>
      <c r="L438" s="20"/>
    </row>
    <row r="439" spans="9:12">
      <c r="I439" s="20"/>
      <c r="J439" s="20"/>
      <c r="K439" s="20"/>
      <c r="L439" s="20"/>
    </row>
    <row r="440" spans="9:12">
      <c r="I440" s="20"/>
      <c r="J440" s="20"/>
      <c r="K440" s="20"/>
      <c r="L440" s="20"/>
    </row>
    <row r="441" spans="9:12">
      <c r="I441" s="20"/>
      <c r="J441" s="20"/>
      <c r="K441" s="20"/>
      <c r="L441" s="20"/>
    </row>
    <row r="442" spans="9:12">
      <c r="I442" s="20"/>
      <c r="J442" s="20"/>
      <c r="K442" s="20"/>
      <c r="L442" s="20"/>
    </row>
    <row r="443" spans="9:12">
      <c r="I443" s="20"/>
      <c r="J443" s="20"/>
      <c r="K443" s="20"/>
      <c r="L443" s="20"/>
    </row>
    <row r="444" spans="9:12">
      <c r="I444" s="20"/>
      <c r="J444" s="20"/>
      <c r="K444" s="20"/>
      <c r="L444" s="20"/>
    </row>
    <row r="445" spans="9:12">
      <c r="I445" s="20"/>
      <c r="J445" s="20"/>
      <c r="K445" s="20"/>
      <c r="L445" s="20"/>
    </row>
    <row r="446" spans="9:12">
      <c r="I446" s="20"/>
      <c r="J446" s="20"/>
      <c r="K446" s="20"/>
      <c r="L446" s="20"/>
    </row>
    <row r="447" spans="9:12">
      <c r="I447" s="20"/>
      <c r="J447" s="20"/>
      <c r="K447" s="20"/>
      <c r="L447" s="20"/>
    </row>
    <row r="448" spans="9:12">
      <c r="I448" s="20"/>
      <c r="J448" s="20"/>
      <c r="K448" s="20"/>
      <c r="L448" s="20"/>
    </row>
    <row r="449" spans="9:12">
      <c r="I449" s="20"/>
      <c r="J449" s="20"/>
      <c r="K449" s="20"/>
      <c r="L449" s="20"/>
    </row>
    <row r="450" spans="9:12">
      <c r="I450" s="20"/>
      <c r="J450" s="20"/>
      <c r="K450" s="20"/>
      <c r="L450" s="20"/>
    </row>
    <row r="451" spans="9:12">
      <c r="I451" s="20"/>
      <c r="J451" s="20"/>
      <c r="K451" s="20"/>
      <c r="L451" s="20"/>
    </row>
    <row r="452" spans="9:12">
      <c r="I452" s="20"/>
      <c r="J452" s="20"/>
      <c r="K452" s="20"/>
      <c r="L452" s="20"/>
    </row>
    <row r="453" spans="9:12">
      <c r="I453" s="20"/>
      <c r="J453" s="20"/>
      <c r="K453" s="20"/>
      <c r="L453" s="20"/>
    </row>
    <row r="454" spans="9:12">
      <c r="I454" s="20"/>
      <c r="J454" s="20"/>
      <c r="K454" s="20"/>
      <c r="L454" s="20"/>
    </row>
    <row r="455" spans="9:12">
      <c r="I455" s="20"/>
      <c r="J455" s="20"/>
      <c r="K455" s="20"/>
      <c r="L455" s="20"/>
    </row>
    <row r="456" spans="9:12">
      <c r="I456" s="20"/>
      <c r="J456" s="20"/>
      <c r="K456" s="20"/>
      <c r="L456" s="20"/>
    </row>
    <row r="457" spans="9:12">
      <c r="I457" s="20"/>
      <c r="J457" s="20"/>
      <c r="K457" s="20"/>
      <c r="L457" s="20"/>
    </row>
    <row r="458" spans="9:12">
      <c r="I458" s="20"/>
      <c r="J458" s="20"/>
      <c r="K458" s="20"/>
      <c r="L458" s="20"/>
    </row>
    <row r="459" spans="9:12">
      <c r="I459" s="20"/>
      <c r="J459" s="20"/>
      <c r="K459" s="20"/>
      <c r="L459" s="20"/>
    </row>
    <row r="460" spans="9:12">
      <c r="I460" s="20"/>
      <c r="J460" s="20"/>
      <c r="K460" s="20"/>
      <c r="L460" s="20"/>
    </row>
    <row r="461" spans="9:12">
      <c r="I461" s="20"/>
      <c r="J461" s="20"/>
      <c r="K461" s="20"/>
      <c r="L461" s="20"/>
    </row>
    <row r="462" spans="9:12">
      <c r="I462" s="20"/>
      <c r="J462" s="20"/>
      <c r="K462" s="20"/>
      <c r="L462" s="20"/>
    </row>
    <row r="463" spans="9:12">
      <c r="I463" s="20"/>
      <c r="J463" s="20"/>
      <c r="K463" s="20"/>
      <c r="L463" s="20"/>
    </row>
    <row r="464" spans="9:12">
      <c r="I464" s="20"/>
      <c r="J464" s="20"/>
      <c r="K464" s="20"/>
      <c r="L464" s="20"/>
    </row>
    <row r="465" spans="9:12">
      <c r="I465" s="20"/>
      <c r="J465" s="20"/>
      <c r="K465" s="20"/>
      <c r="L465" s="20"/>
    </row>
    <row r="466" spans="9:12">
      <c r="I466" s="20"/>
      <c r="J466" s="20"/>
      <c r="K466" s="20"/>
      <c r="L466" s="20"/>
    </row>
    <row r="467" spans="9:12">
      <c r="I467" s="20"/>
      <c r="J467" s="20"/>
      <c r="K467" s="20"/>
      <c r="L467" s="20"/>
    </row>
    <row r="468" spans="9:12">
      <c r="I468" s="20"/>
      <c r="J468" s="20"/>
      <c r="K468" s="20"/>
      <c r="L468" s="20"/>
    </row>
    <row r="469" spans="9:12">
      <c r="I469" s="20"/>
      <c r="J469" s="20"/>
      <c r="K469" s="20"/>
      <c r="L469" s="20"/>
    </row>
    <row r="470" spans="9:12">
      <c r="I470" s="20"/>
      <c r="J470" s="20"/>
      <c r="K470" s="20"/>
      <c r="L470" s="20"/>
    </row>
    <row r="471" spans="9:12">
      <c r="I471" s="20"/>
      <c r="J471" s="20"/>
      <c r="K471" s="20"/>
      <c r="L471" s="20"/>
    </row>
    <row r="472" spans="9:12">
      <c r="I472" s="20"/>
      <c r="J472" s="20"/>
      <c r="K472" s="20"/>
      <c r="L472" s="20"/>
    </row>
    <row r="473" spans="9:12">
      <c r="I473" s="20"/>
      <c r="J473" s="20"/>
      <c r="K473" s="20"/>
      <c r="L473" s="20"/>
    </row>
    <row r="474" spans="9:12">
      <c r="I474" s="20"/>
      <c r="J474" s="20"/>
      <c r="K474" s="20"/>
      <c r="L474" s="20"/>
    </row>
    <row r="475" spans="9:12">
      <c r="I475" s="20"/>
      <c r="J475" s="20"/>
      <c r="K475" s="20"/>
      <c r="L475" s="20"/>
    </row>
    <row r="476" spans="9:12">
      <c r="I476" s="20"/>
      <c r="J476" s="20"/>
      <c r="K476" s="20"/>
      <c r="L476" s="20"/>
    </row>
    <row r="477" spans="9:12">
      <c r="I477" s="20"/>
      <c r="J477" s="20"/>
      <c r="K477" s="20"/>
      <c r="L477" s="20"/>
    </row>
    <row r="478" spans="9:12">
      <c r="I478" s="20"/>
      <c r="J478" s="20"/>
      <c r="K478" s="20"/>
      <c r="L478" s="20"/>
    </row>
    <row r="479" spans="9:12">
      <c r="I479" s="20"/>
      <c r="J479" s="20"/>
      <c r="K479" s="20"/>
      <c r="L479" s="20"/>
    </row>
    <row r="480" spans="9:12">
      <c r="I480" s="20"/>
      <c r="J480" s="20"/>
      <c r="K480" s="20"/>
      <c r="L480" s="20"/>
    </row>
    <row r="481" spans="9:12">
      <c r="I481" s="20"/>
      <c r="J481" s="20"/>
      <c r="K481" s="20"/>
      <c r="L481" s="20"/>
    </row>
    <row r="482" spans="9:12">
      <c r="I482" s="20"/>
      <c r="J482" s="20"/>
      <c r="K482" s="20"/>
      <c r="L482" s="20"/>
    </row>
    <row r="483" spans="9:12">
      <c r="I483" s="20"/>
      <c r="J483" s="20"/>
      <c r="K483" s="20"/>
      <c r="L483" s="20"/>
    </row>
    <row r="484" spans="9:12">
      <c r="I484" s="20"/>
      <c r="J484" s="20"/>
      <c r="K484" s="20"/>
      <c r="L484" s="20"/>
    </row>
    <row r="485" spans="9:12">
      <c r="I485" s="20"/>
      <c r="J485" s="20"/>
      <c r="K485" s="20"/>
      <c r="L485" s="20"/>
    </row>
    <row r="486" spans="9:12">
      <c r="I486" s="20"/>
      <c r="J486" s="20"/>
      <c r="K486" s="20"/>
      <c r="L486" s="20"/>
    </row>
    <row r="487" spans="9:12">
      <c r="I487" s="20"/>
      <c r="J487" s="20"/>
      <c r="K487" s="20"/>
      <c r="L487" s="20"/>
    </row>
    <row r="488" spans="9:12">
      <c r="I488" s="20"/>
      <c r="J488" s="20"/>
      <c r="K488" s="20"/>
      <c r="L488" s="20"/>
    </row>
    <row r="489" spans="9:12">
      <c r="I489" s="20"/>
      <c r="J489" s="20"/>
      <c r="K489" s="20"/>
      <c r="L489" s="20"/>
    </row>
    <row r="490" spans="9:12">
      <c r="I490" s="20"/>
      <c r="J490" s="20"/>
      <c r="K490" s="20"/>
      <c r="L490" s="20"/>
    </row>
    <row r="491" spans="9:12">
      <c r="I491" s="20"/>
      <c r="J491" s="20"/>
      <c r="K491" s="20"/>
      <c r="L491" s="20"/>
    </row>
    <row r="492" spans="9:12">
      <c r="I492" s="20"/>
      <c r="J492" s="20"/>
      <c r="K492" s="20"/>
      <c r="L492" s="20"/>
    </row>
    <row r="493" spans="9:12">
      <c r="I493" s="20"/>
      <c r="J493" s="20"/>
      <c r="K493" s="20"/>
      <c r="L493" s="20"/>
    </row>
    <row r="494" spans="9:12">
      <c r="I494" s="20"/>
      <c r="J494" s="20"/>
      <c r="K494" s="20"/>
      <c r="L494" s="20"/>
    </row>
    <row r="495" spans="9:12">
      <c r="I495" s="20"/>
      <c r="J495" s="20"/>
      <c r="K495" s="20"/>
      <c r="L495" s="20"/>
    </row>
    <row r="496" spans="9:12">
      <c r="I496" s="20"/>
      <c r="J496" s="20"/>
      <c r="K496" s="20"/>
      <c r="L496" s="20"/>
    </row>
    <row r="497" spans="9:12">
      <c r="I497" s="20"/>
      <c r="J497" s="20"/>
      <c r="K497" s="20"/>
      <c r="L497" s="20"/>
    </row>
    <row r="498" spans="9:12">
      <c r="I498" s="20"/>
      <c r="J498" s="20"/>
      <c r="K498" s="20"/>
      <c r="L498" s="20"/>
    </row>
    <row r="499" spans="9:12">
      <c r="I499" s="20"/>
      <c r="J499" s="20"/>
      <c r="K499" s="20"/>
      <c r="L499" s="20"/>
    </row>
    <row r="500" spans="9:12">
      <c r="I500" s="20"/>
      <c r="J500" s="20"/>
      <c r="K500" s="20"/>
      <c r="L500" s="20"/>
    </row>
    <row r="501" spans="9:12">
      <c r="I501" s="20"/>
      <c r="J501" s="20"/>
      <c r="K501" s="20"/>
      <c r="L501" s="20"/>
    </row>
    <row r="502" spans="9:12">
      <c r="I502" s="20"/>
      <c r="J502" s="20"/>
      <c r="K502" s="20"/>
      <c r="L502" s="20"/>
    </row>
    <row r="503" spans="9:12">
      <c r="I503" s="20"/>
      <c r="J503" s="20"/>
      <c r="K503" s="20"/>
      <c r="L503" s="20"/>
    </row>
    <row r="504" spans="9:12">
      <c r="I504" s="20"/>
      <c r="J504" s="20"/>
      <c r="K504" s="20"/>
      <c r="L504" s="20"/>
    </row>
    <row r="505" spans="9:12">
      <c r="I505" s="20"/>
      <c r="J505" s="20"/>
      <c r="K505" s="20"/>
      <c r="L505" s="20"/>
    </row>
    <row r="506" spans="9:12">
      <c r="I506" s="20"/>
      <c r="J506" s="20"/>
      <c r="K506" s="20"/>
      <c r="L506" s="20"/>
    </row>
    <row r="507" spans="9:12">
      <c r="I507" s="20"/>
      <c r="J507" s="20"/>
      <c r="K507" s="20"/>
      <c r="L507" s="20"/>
    </row>
    <row r="508" spans="9:12">
      <c r="I508" s="20"/>
      <c r="J508" s="20"/>
      <c r="K508" s="20"/>
      <c r="L508" s="20"/>
    </row>
    <row r="509" spans="9:12">
      <c r="I509" s="20"/>
      <c r="J509" s="20"/>
      <c r="K509" s="20"/>
      <c r="L509" s="20"/>
    </row>
    <row r="510" spans="9:12">
      <c r="I510" s="20"/>
      <c r="J510" s="20"/>
      <c r="K510" s="20"/>
      <c r="L510" s="20"/>
    </row>
    <row r="511" spans="9:12">
      <c r="I511" s="20"/>
      <c r="J511" s="20"/>
      <c r="K511" s="20"/>
      <c r="L511" s="20"/>
    </row>
    <row r="512" spans="9:12">
      <c r="I512" s="20"/>
      <c r="J512" s="20"/>
      <c r="K512" s="20"/>
      <c r="L512" s="20"/>
    </row>
    <row r="513" spans="9:12">
      <c r="I513" s="20"/>
      <c r="J513" s="20"/>
      <c r="K513" s="20"/>
      <c r="L513" s="20"/>
    </row>
    <row r="514" spans="9:12">
      <c r="I514" s="20"/>
      <c r="J514" s="20"/>
      <c r="K514" s="20"/>
      <c r="L514" s="20"/>
    </row>
    <row r="515" spans="9:12">
      <c r="I515" s="20"/>
      <c r="J515" s="20"/>
      <c r="K515" s="20"/>
      <c r="L515" s="20"/>
    </row>
    <row r="516" spans="9:12">
      <c r="I516" s="20"/>
      <c r="J516" s="20"/>
      <c r="K516" s="20"/>
      <c r="L516" s="20"/>
    </row>
    <row r="517" spans="9:12">
      <c r="I517" s="20"/>
      <c r="J517" s="20"/>
      <c r="K517" s="20"/>
      <c r="L517" s="20"/>
    </row>
    <row r="518" spans="9:12">
      <c r="I518" s="20"/>
      <c r="J518" s="20"/>
      <c r="K518" s="20"/>
      <c r="L518" s="20"/>
    </row>
    <row r="519" spans="9:12">
      <c r="I519" s="20"/>
      <c r="J519" s="20"/>
      <c r="K519" s="20"/>
      <c r="L519" s="20"/>
    </row>
    <row r="520" spans="9:12">
      <c r="I520" s="20"/>
      <c r="J520" s="20"/>
      <c r="K520" s="20"/>
      <c r="L520" s="20"/>
    </row>
    <row r="521" spans="9:12">
      <c r="I521" s="20"/>
      <c r="J521" s="20"/>
      <c r="K521" s="20"/>
      <c r="L521" s="20"/>
    </row>
    <row r="522" spans="9:12">
      <c r="I522" s="20"/>
      <c r="J522" s="20"/>
      <c r="K522" s="20"/>
      <c r="L522" s="20"/>
    </row>
    <row r="523" spans="9:12">
      <c r="I523" s="20"/>
      <c r="J523" s="20"/>
      <c r="K523" s="20"/>
      <c r="L523" s="20"/>
    </row>
    <row r="524" spans="9:12">
      <c r="I524" s="20"/>
      <c r="J524" s="20"/>
      <c r="K524" s="20"/>
      <c r="L524" s="20"/>
    </row>
    <row r="525" spans="9:12">
      <c r="I525" s="20"/>
      <c r="J525" s="20"/>
      <c r="K525" s="20"/>
      <c r="L525" s="20"/>
    </row>
    <row r="526" spans="9:12">
      <c r="I526" s="20"/>
      <c r="J526" s="20"/>
      <c r="K526" s="20"/>
      <c r="L526" s="20"/>
    </row>
    <row r="527" spans="9:12">
      <c r="I527" s="20"/>
      <c r="J527" s="20"/>
      <c r="K527" s="20"/>
      <c r="L527" s="20"/>
    </row>
    <row r="528" spans="9:12">
      <c r="I528" s="20"/>
      <c r="J528" s="20"/>
      <c r="K528" s="20"/>
      <c r="L528" s="20"/>
    </row>
    <row r="529" spans="9:12">
      <c r="I529" s="20"/>
      <c r="J529" s="20"/>
      <c r="K529" s="20"/>
      <c r="L529" s="20"/>
    </row>
    <row r="530" spans="9:12">
      <c r="I530" s="20"/>
      <c r="J530" s="20"/>
      <c r="K530" s="20"/>
      <c r="L530" s="20"/>
    </row>
    <row r="531" spans="9:12">
      <c r="I531" s="20"/>
      <c r="J531" s="20"/>
      <c r="K531" s="20"/>
      <c r="L531" s="20"/>
    </row>
    <row r="532" spans="9:12">
      <c r="I532" s="20"/>
      <c r="J532" s="20"/>
      <c r="K532" s="20"/>
      <c r="L532" s="20"/>
    </row>
    <row r="533" spans="9:12">
      <c r="I533" s="20"/>
      <c r="J533" s="20"/>
      <c r="K533" s="20"/>
      <c r="L533" s="20"/>
    </row>
    <row r="534" spans="9:12">
      <c r="I534" s="20"/>
      <c r="J534" s="20"/>
      <c r="K534" s="20"/>
      <c r="L534" s="20"/>
    </row>
    <row r="535" spans="9:12">
      <c r="I535" s="20"/>
      <c r="J535" s="20"/>
      <c r="K535" s="20"/>
      <c r="L535" s="20"/>
    </row>
    <row r="536" spans="9:12">
      <c r="I536" s="20"/>
      <c r="J536" s="20"/>
      <c r="K536" s="20"/>
      <c r="L536" s="20"/>
    </row>
    <row r="537" spans="9:12">
      <c r="I537" s="20"/>
      <c r="J537" s="20"/>
      <c r="K537" s="20"/>
      <c r="L537" s="20"/>
    </row>
    <row r="538" spans="9:12">
      <c r="I538" s="20"/>
      <c r="J538" s="20"/>
      <c r="K538" s="20"/>
      <c r="L538" s="20"/>
    </row>
    <row r="539" spans="9:12">
      <c r="I539" s="20"/>
      <c r="J539" s="20"/>
      <c r="K539" s="20"/>
      <c r="L539" s="20"/>
    </row>
    <row r="540" spans="9:12">
      <c r="I540" s="20"/>
      <c r="J540" s="20"/>
      <c r="K540" s="20"/>
      <c r="L540" s="20"/>
    </row>
    <row r="541" spans="9:12">
      <c r="I541" s="20"/>
      <c r="J541" s="20"/>
      <c r="K541" s="20"/>
      <c r="L541" s="20"/>
    </row>
    <row r="542" spans="9:12">
      <c r="I542" s="20"/>
      <c r="J542" s="20"/>
      <c r="K542" s="20"/>
      <c r="L542" s="20"/>
    </row>
    <row r="543" spans="9:12">
      <c r="I543" s="20"/>
      <c r="J543" s="20"/>
      <c r="K543" s="20"/>
      <c r="L543" s="20"/>
    </row>
    <row r="544" spans="9:12">
      <c r="I544" s="20"/>
      <c r="J544" s="20"/>
      <c r="K544" s="20"/>
      <c r="L544" s="20"/>
    </row>
    <row r="545" spans="9:12">
      <c r="I545" s="20"/>
      <c r="J545" s="20"/>
      <c r="K545" s="20"/>
      <c r="L545" s="20"/>
    </row>
    <row r="546" spans="9:12">
      <c r="I546" s="20"/>
      <c r="J546" s="20"/>
      <c r="K546" s="20"/>
      <c r="L546" s="20"/>
    </row>
    <row r="547" spans="9:12">
      <c r="I547" s="20"/>
      <c r="J547" s="20"/>
      <c r="K547" s="20"/>
      <c r="L547" s="20"/>
    </row>
    <row r="548" spans="9:12">
      <c r="I548" s="20"/>
      <c r="J548" s="20"/>
      <c r="K548" s="20"/>
      <c r="L548" s="20"/>
    </row>
    <row r="549" spans="9:12">
      <c r="I549" s="20"/>
      <c r="J549" s="20"/>
      <c r="K549" s="20"/>
      <c r="L549" s="20"/>
    </row>
    <row r="550" spans="9:12">
      <c r="I550" s="20"/>
      <c r="J550" s="20"/>
      <c r="K550" s="20"/>
      <c r="L550" s="20"/>
    </row>
    <row r="551" spans="9:12">
      <c r="I551" s="20"/>
      <c r="J551" s="20"/>
      <c r="K551" s="20"/>
      <c r="L551" s="20"/>
    </row>
    <row r="552" spans="9:12">
      <c r="I552" s="20"/>
      <c r="J552" s="20"/>
      <c r="K552" s="20"/>
      <c r="L552" s="20"/>
    </row>
    <row r="553" spans="9:12">
      <c r="I553" s="20"/>
      <c r="J553" s="20"/>
      <c r="K553" s="20"/>
      <c r="L553" s="20"/>
    </row>
    <row r="554" spans="9:12">
      <c r="I554" s="20"/>
      <c r="J554" s="20"/>
      <c r="K554" s="20"/>
      <c r="L554" s="20"/>
    </row>
    <row r="555" spans="9:12">
      <c r="I555" s="20"/>
      <c r="J555" s="20"/>
      <c r="K555" s="20"/>
      <c r="L555" s="20"/>
    </row>
    <row r="556" spans="9:12">
      <c r="I556" s="20"/>
      <c r="J556" s="20"/>
      <c r="K556" s="20"/>
      <c r="L556" s="20"/>
    </row>
    <row r="557" spans="9:12">
      <c r="I557" s="20"/>
      <c r="J557" s="20"/>
      <c r="K557" s="20"/>
      <c r="L557" s="20"/>
    </row>
    <row r="558" spans="9:12">
      <c r="I558" s="20"/>
      <c r="J558" s="20"/>
      <c r="K558" s="20"/>
      <c r="L558" s="20"/>
    </row>
    <row r="559" spans="9:12">
      <c r="I559" s="20"/>
      <c r="J559" s="20"/>
      <c r="K559" s="20"/>
      <c r="L559" s="20"/>
    </row>
    <row r="560" spans="9:12">
      <c r="I560" s="20"/>
      <c r="J560" s="20"/>
      <c r="K560" s="20"/>
      <c r="L560" s="20"/>
    </row>
    <row r="561" spans="9:12">
      <c r="I561" s="20"/>
      <c r="J561" s="20"/>
      <c r="K561" s="20"/>
      <c r="L561" s="20"/>
    </row>
    <row r="562" spans="9:12">
      <c r="I562" s="20"/>
      <c r="J562" s="20"/>
      <c r="K562" s="20"/>
      <c r="L562" s="20"/>
    </row>
    <row r="563" spans="9:12">
      <c r="I563" s="20"/>
      <c r="J563" s="20"/>
      <c r="K563" s="20"/>
      <c r="L563" s="20"/>
    </row>
    <row r="564" spans="9:12">
      <c r="I564" s="20"/>
      <c r="J564" s="20"/>
      <c r="K564" s="20"/>
      <c r="L564" s="20"/>
    </row>
    <row r="565" spans="9:12">
      <c r="I565" s="20"/>
      <c r="J565" s="20"/>
      <c r="K565" s="20"/>
      <c r="L565" s="20"/>
    </row>
    <row r="566" spans="9:12">
      <c r="I566" s="20"/>
      <c r="J566" s="20"/>
      <c r="K566" s="20"/>
      <c r="L566" s="20"/>
    </row>
    <row r="567" spans="9:12">
      <c r="I567" s="20"/>
      <c r="J567" s="20"/>
      <c r="K567" s="20"/>
      <c r="L567" s="20"/>
    </row>
    <row r="568" spans="9:12">
      <c r="I568" s="20"/>
      <c r="J568" s="20"/>
      <c r="K568" s="20"/>
      <c r="L568" s="20"/>
    </row>
    <row r="569" spans="9:12">
      <c r="I569" s="20"/>
      <c r="J569" s="20"/>
      <c r="K569" s="20"/>
      <c r="L569" s="20"/>
    </row>
    <row r="570" spans="9:12">
      <c r="I570" s="20"/>
      <c r="J570" s="20"/>
      <c r="K570" s="20"/>
      <c r="L570" s="20"/>
    </row>
    <row r="571" spans="9:12">
      <c r="I571" s="20"/>
      <c r="J571" s="20"/>
      <c r="K571" s="20"/>
      <c r="L571" s="20"/>
    </row>
    <row r="572" spans="9:12">
      <c r="I572" s="20"/>
      <c r="J572" s="20"/>
      <c r="K572" s="20"/>
      <c r="L572" s="20"/>
    </row>
    <row r="573" spans="9:12">
      <c r="I573" s="20"/>
      <c r="J573" s="20"/>
      <c r="K573" s="20"/>
      <c r="L573" s="20"/>
    </row>
    <row r="574" spans="9:12">
      <c r="I574" s="20"/>
      <c r="J574" s="20"/>
      <c r="K574" s="20"/>
      <c r="L574" s="20"/>
    </row>
    <row r="575" spans="9:12">
      <c r="I575" s="20"/>
      <c r="J575" s="20"/>
      <c r="K575" s="20"/>
      <c r="L575" s="20"/>
    </row>
    <row r="576" spans="9:12">
      <c r="I576" s="20"/>
      <c r="J576" s="20"/>
      <c r="K576" s="20"/>
      <c r="L576" s="20"/>
    </row>
    <row r="577" spans="9:12">
      <c r="I577" s="20"/>
      <c r="J577" s="20"/>
      <c r="K577" s="20"/>
      <c r="L577" s="20"/>
    </row>
    <row r="578" spans="9:12">
      <c r="I578" s="20"/>
      <c r="J578" s="20"/>
      <c r="K578" s="20"/>
      <c r="L578" s="20"/>
    </row>
    <row r="579" spans="9:12">
      <c r="I579" s="20"/>
      <c r="J579" s="20"/>
      <c r="K579" s="20"/>
      <c r="L579" s="20"/>
    </row>
    <row r="580" spans="9:12">
      <c r="I580" s="20"/>
      <c r="J580" s="20"/>
      <c r="K580" s="20"/>
      <c r="L580" s="20"/>
    </row>
    <row r="581" spans="9:12">
      <c r="I581" s="20"/>
      <c r="J581" s="20"/>
      <c r="K581" s="20"/>
      <c r="L581" s="20"/>
    </row>
    <row r="582" spans="9:12">
      <c r="I582" s="20"/>
      <c r="J582" s="20"/>
      <c r="K582" s="20"/>
      <c r="L582" s="20"/>
    </row>
    <row r="583" spans="9:12">
      <c r="I583" s="20"/>
      <c r="J583" s="20"/>
      <c r="K583" s="20"/>
      <c r="L583" s="20"/>
    </row>
    <row r="584" spans="9:12">
      <c r="I584" s="20"/>
      <c r="J584" s="20"/>
      <c r="K584" s="20"/>
      <c r="L584" s="20"/>
    </row>
    <row r="585" spans="9:12">
      <c r="I585" s="20"/>
      <c r="J585" s="20"/>
      <c r="K585" s="20"/>
      <c r="L585" s="20"/>
    </row>
    <row r="586" spans="9:12">
      <c r="I586" s="20"/>
      <c r="J586" s="20"/>
      <c r="K586" s="20"/>
      <c r="L586" s="20"/>
    </row>
    <row r="587" spans="9:12">
      <c r="I587" s="20"/>
      <c r="J587" s="20"/>
      <c r="K587" s="20"/>
      <c r="L587" s="20"/>
    </row>
    <row r="588" spans="9:12">
      <c r="I588" s="20"/>
      <c r="J588" s="20"/>
      <c r="K588" s="20"/>
      <c r="L588" s="20"/>
    </row>
    <row r="589" spans="9:12">
      <c r="I589" s="20"/>
      <c r="J589" s="20"/>
      <c r="K589" s="20"/>
      <c r="L589" s="20"/>
    </row>
    <row r="590" spans="9:12">
      <c r="I590" s="20"/>
      <c r="J590" s="20"/>
      <c r="K590" s="20"/>
      <c r="L590" s="20"/>
    </row>
    <row r="591" spans="9:12">
      <c r="I591" s="20"/>
      <c r="J591" s="20"/>
      <c r="K591" s="20"/>
      <c r="L591" s="20"/>
    </row>
    <row r="592" spans="9:12">
      <c r="I592" s="20"/>
      <c r="J592" s="20"/>
      <c r="K592" s="20"/>
      <c r="L592" s="20"/>
    </row>
    <row r="593" spans="9:12">
      <c r="I593" s="20"/>
      <c r="J593" s="20"/>
      <c r="K593" s="20"/>
      <c r="L593" s="20"/>
    </row>
    <row r="594" spans="9:12">
      <c r="I594" s="20"/>
      <c r="J594" s="20"/>
      <c r="K594" s="20"/>
      <c r="L594" s="20"/>
    </row>
    <row r="595" spans="9:12">
      <c r="I595" s="20"/>
      <c r="J595" s="20"/>
      <c r="K595" s="20"/>
      <c r="L595" s="20"/>
    </row>
    <row r="596" spans="9:12">
      <c r="I596" s="20"/>
      <c r="J596" s="20"/>
      <c r="K596" s="20"/>
      <c r="L596" s="20"/>
    </row>
    <row r="597" spans="9:12">
      <c r="I597" s="20"/>
      <c r="J597" s="20"/>
      <c r="K597" s="20"/>
      <c r="L597" s="20"/>
    </row>
    <row r="598" spans="9:12">
      <c r="I598" s="20"/>
      <c r="J598" s="20"/>
      <c r="K598" s="20"/>
      <c r="L598" s="20"/>
    </row>
    <row r="599" spans="9:12">
      <c r="I599" s="20"/>
      <c r="J599" s="20"/>
      <c r="K599" s="20"/>
      <c r="L599" s="20"/>
    </row>
    <row r="600" spans="9:12">
      <c r="I600" s="20"/>
      <c r="J600" s="20"/>
      <c r="K600" s="20"/>
      <c r="L600" s="20"/>
    </row>
    <row r="601" spans="9:12">
      <c r="I601" s="20"/>
      <c r="J601" s="20"/>
      <c r="K601" s="20"/>
      <c r="L601" s="20"/>
    </row>
    <row r="602" spans="9:12">
      <c r="I602" s="20"/>
      <c r="J602" s="20"/>
      <c r="K602" s="20"/>
      <c r="L602" s="20"/>
    </row>
    <row r="603" spans="9:12">
      <c r="I603" s="20"/>
      <c r="J603" s="20"/>
      <c r="K603" s="20"/>
      <c r="L603" s="20"/>
    </row>
    <row r="604" spans="9:12">
      <c r="I604" s="20"/>
      <c r="J604" s="20"/>
      <c r="K604" s="20"/>
      <c r="L604" s="20"/>
    </row>
    <row r="605" spans="9:12">
      <c r="I605" s="20"/>
      <c r="J605" s="20"/>
      <c r="K605" s="20"/>
      <c r="L605" s="20"/>
    </row>
    <row r="606" spans="9:12">
      <c r="I606" s="20"/>
      <c r="J606" s="20"/>
      <c r="K606" s="20"/>
      <c r="L606" s="20"/>
    </row>
    <row r="607" spans="9:12">
      <c r="I607" s="20"/>
      <c r="J607" s="20"/>
      <c r="K607" s="20"/>
      <c r="L607" s="20"/>
    </row>
    <row r="608" spans="9:12">
      <c r="I608" s="20"/>
      <c r="J608" s="20"/>
      <c r="K608" s="20"/>
      <c r="L608" s="20"/>
    </row>
    <row r="609" spans="9:12">
      <c r="I609" s="20"/>
      <c r="J609" s="20"/>
      <c r="K609" s="20"/>
      <c r="L609" s="20"/>
    </row>
    <row r="610" spans="9:12">
      <c r="I610" s="20"/>
      <c r="J610" s="20"/>
      <c r="K610" s="20"/>
      <c r="L610" s="20"/>
    </row>
    <row r="611" spans="9:12">
      <c r="I611" s="20"/>
      <c r="J611" s="20"/>
      <c r="K611" s="20"/>
      <c r="L611" s="20"/>
    </row>
    <row r="612" spans="9:12">
      <c r="I612" s="20"/>
      <c r="J612" s="20"/>
      <c r="K612" s="20"/>
      <c r="L612" s="20"/>
    </row>
    <row r="613" spans="9:12">
      <c r="I613" s="20"/>
      <c r="J613" s="20"/>
      <c r="K613" s="20"/>
      <c r="L613" s="20"/>
    </row>
    <row r="614" spans="9:12">
      <c r="I614" s="20"/>
      <c r="J614" s="20"/>
      <c r="K614" s="20"/>
      <c r="L614" s="20"/>
    </row>
    <row r="615" spans="9:12">
      <c r="I615" s="20"/>
      <c r="J615" s="20"/>
      <c r="K615" s="20"/>
      <c r="L615" s="20"/>
    </row>
    <row r="616" spans="9:12">
      <c r="I616" s="20"/>
      <c r="J616" s="20"/>
      <c r="K616" s="20"/>
      <c r="L616" s="20"/>
    </row>
    <row r="617" spans="9:12">
      <c r="I617" s="20"/>
      <c r="J617" s="20"/>
      <c r="K617" s="20"/>
      <c r="L617" s="20"/>
    </row>
    <row r="618" spans="9:12">
      <c r="I618" s="20"/>
      <c r="J618" s="20"/>
      <c r="K618" s="20"/>
      <c r="L618" s="20"/>
    </row>
    <row r="619" spans="9:12">
      <c r="I619" s="20"/>
      <c r="J619" s="20"/>
      <c r="K619" s="20"/>
      <c r="L619" s="20"/>
    </row>
    <row r="620" spans="9:12">
      <c r="I620" s="20"/>
      <c r="J620" s="20"/>
      <c r="K620" s="20"/>
      <c r="L620" s="20"/>
    </row>
    <row r="621" spans="9:12">
      <c r="I621" s="20"/>
      <c r="J621" s="20"/>
      <c r="K621" s="20"/>
      <c r="L621" s="20"/>
    </row>
    <row r="622" spans="9:12">
      <c r="I622" s="20"/>
      <c r="J622" s="20"/>
      <c r="K622" s="20"/>
      <c r="L622" s="20"/>
    </row>
    <row r="623" spans="9:12">
      <c r="I623" s="20"/>
      <c r="J623" s="20"/>
      <c r="K623" s="20"/>
      <c r="L623" s="20"/>
    </row>
    <row r="624" spans="9:12">
      <c r="I624" s="20"/>
      <c r="J624" s="20"/>
      <c r="K624" s="20"/>
      <c r="L624" s="20"/>
    </row>
    <row r="625" spans="9:12">
      <c r="I625" s="20"/>
      <c r="J625" s="20"/>
      <c r="K625" s="20"/>
      <c r="L625" s="20"/>
    </row>
    <row r="626" spans="9:12">
      <c r="I626" s="20"/>
      <c r="J626" s="20"/>
      <c r="K626" s="20"/>
      <c r="L626" s="20"/>
    </row>
    <row r="627" spans="9:12">
      <c r="I627" s="20"/>
      <c r="J627" s="20"/>
      <c r="K627" s="20"/>
      <c r="L627" s="20"/>
    </row>
    <row r="628" spans="9:12">
      <c r="I628" s="20"/>
      <c r="J628" s="20"/>
      <c r="K628" s="20"/>
      <c r="L628" s="20"/>
    </row>
    <row r="629" spans="9:12">
      <c r="I629" s="20"/>
      <c r="J629" s="20"/>
      <c r="K629" s="20"/>
      <c r="L629" s="20"/>
    </row>
    <row r="630" spans="9:12">
      <c r="I630" s="20"/>
      <c r="J630" s="20"/>
      <c r="K630" s="20"/>
      <c r="L630" s="20"/>
    </row>
    <row r="631" spans="9:12">
      <c r="I631" s="20"/>
      <c r="J631" s="20"/>
      <c r="K631" s="20"/>
      <c r="L631" s="20"/>
    </row>
    <row r="632" spans="9:12">
      <c r="I632" s="20"/>
      <c r="J632" s="20"/>
      <c r="K632" s="20"/>
      <c r="L632" s="20"/>
    </row>
    <row r="633" spans="9:12">
      <c r="I633" s="20"/>
      <c r="J633" s="20"/>
      <c r="K633" s="20"/>
      <c r="L633" s="20"/>
    </row>
    <row r="634" spans="9:12">
      <c r="I634" s="20"/>
      <c r="J634" s="20"/>
      <c r="K634" s="20"/>
      <c r="L634" s="20"/>
    </row>
    <row r="635" spans="9:12">
      <c r="I635" s="20"/>
      <c r="J635" s="20"/>
      <c r="K635" s="20"/>
      <c r="L635" s="20"/>
    </row>
    <row r="636" spans="9:12">
      <c r="I636" s="20"/>
      <c r="J636" s="20"/>
      <c r="K636" s="20"/>
      <c r="L636" s="20"/>
    </row>
    <row r="637" spans="9:12">
      <c r="I637" s="20"/>
      <c r="J637" s="20"/>
      <c r="K637" s="20"/>
      <c r="L637" s="20"/>
    </row>
    <row r="638" spans="9:12">
      <c r="I638" s="20"/>
      <c r="J638" s="20"/>
      <c r="K638" s="20"/>
      <c r="L638" s="20"/>
    </row>
    <row r="639" spans="9:12">
      <c r="I639" s="20"/>
      <c r="J639" s="20"/>
      <c r="K639" s="20"/>
      <c r="L639" s="20"/>
    </row>
    <row r="640" spans="9:12">
      <c r="I640" s="20"/>
      <c r="J640" s="20"/>
      <c r="K640" s="20"/>
      <c r="L640" s="20"/>
    </row>
    <row r="641" spans="9:12">
      <c r="I641" s="20"/>
      <c r="J641" s="20"/>
      <c r="K641" s="20"/>
      <c r="L641" s="20"/>
    </row>
    <row r="642" spans="9:12">
      <c r="I642" s="20"/>
      <c r="J642" s="20"/>
      <c r="K642" s="20"/>
      <c r="L642" s="20"/>
    </row>
    <row r="643" spans="9:12">
      <c r="I643" s="20"/>
      <c r="J643" s="20"/>
      <c r="K643" s="20"/>
      <c r="L643" s="20"/>
    </row>
    <row r="644" spans="9:12">
      <c r="I644" s="20"/>
      <c r="J644" s="20"/>
      <c r="K644" s="20"/>
      <c r="L644" s="20"/>
    </row>
    <row r="645" spans="9:12">
      <c r="I645" s="20"/>
      <c r="J645" s="20"/>
      <c r="K645" s="20"/>
      <c r="L645" s="20"/>
    </row>
    <row r="646" spans="9:12">
      <c r="I646" s="20"/>
      <c r="J646" s="20"/>
      <c r="K646" s="20"/>
      <c r="L646" s="20"/>
    </row>
    <row r="647" spans="9:12">
      <c r="I647" s="20"/>
      <c r="J647" s="20"/>
      <c r="K647" s="20"/>
      <c r="L647" s="20"/>
    </row>
    <row r="648" spans="9:12">
      <c r="I648" s="20"/>
      <c r="J648" s="20"/>
      <c r="K648" s="20"/>
      <c r="L648" s="20"/>
    </row>
    <row r="649" spans="9:12">
      <c r="I649" s="20"/>
      <c r="J649" s="20"/>
      <c r="K649" s="20"/>
      <c r="L649" s="20"/>
    </row>
    <row r="650" spans="9:12">
      <c r="I650" s="20"/>
      <c r="J650" s="20"/>
      <c r="K650" s="20"/>
      <c r="L650" s="20"/>
    </row>
    <row r="651" spans="9:12">
      <c r="I651" s="20"/>
      <c r="J651" s="20"/>
      <c r="K651" s="20"/>
      <c r="L651" s="20"/>
    </row>
    <row r="652" spans="9:12">
      <c r="I652" s="20"/>
      <c r="J652" s="20"/>
      <c r="K652" s="20"/>
      <c r="L652" s="20"/>
    </row>
    <row r="653" spans="9:12">
      <c r="I653" s="20"/>
      <c r="J653" s="20"/>
      <c r="K653" s="20"/>
      <c r="L653" s="20"/>
    </row>
    <row r="654" spans="9:12">
      <c r="I654" s="20"/>
      <c r="J654" s="20"/>
      <c r="K654" s="20"/>
      <c r="L654" s="20"/>
    </row>
    <row r="655" spans="9:12">
      <c r="I655" s="20"/>
      <c r="J655" s="20"/>
      <c r="K655" s="20"/>
      <c r="L655" s="20"/>
    </row>
    <row r="656" spans="9:12">
      <c r="I656" s="20"/>
      <c r="J656" s="20"/>
      <c r="K656" s="20"/>
      <c r="L656" s="20"/>
    </row>
    <row r="657" spans="9:12">
      <c r="I657" s="20"/>
      <c r="J657" s="20"/>
      <c r="K657" s="20"/>
      <c r="L657" s="20"/>
    </row>
    <row r="658" spans="9:12">
      <c r="I658" s="20"/>
      <c r="J658" s="20"/>
      <c r="K658" s="20"/>
      <c r="L658" s="20"/>
    </row>
    <row r="659" spans="9:12">
      <c r="I659" s="20"/>
      <c r="J659" s="20"/>
      <c r="K659" s="20"/>
      <c r="L659" s="20"/>
    </row>
    <row r="660" spans="9:12">
      <c r="I660" s="20"/>
      <c r="J660" s="20"/>
      <c r="K660" s="20"/>
      <c r="L660" s="20"/>
    </row>
    <row r="661" spans="9:12">
      <c r="I661" s="20"/>
      <c r="J661" s="20"/>
      <c r="K661" s="20"/>
      <c r="L661" s="20"/>
    </row>
    <row r="662" spans="9:12">
      <c r="I662" s="20"/>
      <c r="J662" s="20"/>
      <c r="K662" s="20"/>
      <c r="L662" s="20"/>
    </row>
    <row r="663" spans="9:12">
      <c r="I663" s="20"/>
      <c r="J663" s="20"/>
      <c r="K663" s="20"/>
      <c r="L663" s="20"/>
    </row>
    <row r="664" spans="9:12">
      <c r="I664" s="20"/>
      <c r="J664" s="20"/>
      <c r="K664" s="20"/>
      <c r="L664" s="20"/>
    </row>
    <row r="665" spans="9:12">
      <c r="I665" s="20"/>
      <c r="J665" s="20"/>
      <c r="K665" s="20"/>
      <c r="L665" s="20"/>
    </row>
    <row r="666" spans="9:12">
      <c r="I666" s="20"/>
      <c r="J666" s="20"/>
      <c r="K666" s="20"/>
      <c r="L666" s="20"/>
    </row>
    <row r="667" spans="9:12">
      <c r="I667" s="20"/>
      <c r="J667" s="20"/>
      <c r="K667" s="20"/>
      <c r="L667" s="20"/>
    </row>
    <row r="668" spans="9:12">
      <c r="I668" s="20"/>
      <c r="J668" s="20"/>
      <c r="K668" s="20"/>
      <c r="L668" s="20"/>
    </row>
    <row r="669" spans="9:12">
      <c r="I669" s="20"/>
      <c r="J669" s="20"/>
      <c r="K669" s="20"/>
      <c r="L669" s="20"/>
    </row>
    <row r="670" spans="9:12">
      <c r="I670" s="20"/>
      <c r="J670" s="20"/>
      <c r="K670" s="20"/>
      <c r="L670" s="20"/>
    </row>
    <row r="671" spans="9:12">
      <c r="I671" s="20"/>
      <c r="J671" s="20"/>
      <c r="K671" s="20"/>
      <c r="L671" s="20"/>
    </row>
    <row r="672" spans="9:12">
      <c r="I672" s="20"/>
      <c r="J672" s="20"/>
      <c r="K672" s="20"/>
      <c r="L672" s="20"/>
    </row>
    <row r="673" spans="9:12">
      <c r="I673" s="20"/>
      <c r="J673" s="20"/>
      <c r="K673" s="20"/>
      <c r="L673" s="20"/>
    </row>
    <row r="674" spans="9:12">
      <c r="I674" s="20"/>
      <c r="J674" s="20"/>
      <c r="K674" s="20"/>
      <c r="L674" s="20"/>
    </row>
    <row r="675" spans="9:12">
      <c r="I675" s="20"/>
      <c r="J675" s="20"/>
      <c r="K675" s="20"/>
      <c r="L675" s="20"/>
    </row>
    <row r="676" spans="9:12">
      <c r="I676" s="20"/>
      <c r="J676" s="20"/>
      <c r="K676" s="20"/>
      <c r="L676" s="20"/>
    </row>
    <row r="677" spans="9:12">
      <c r="I677" s="20"/>
      <c r="J677" s="20"/>
      <c r="K677" s="20"/>
      <c r="L677" s="20"/>
    </row>
    <row r="678" spans="9:12">
      <c r="I678" s="20"/>
      <c r="J678" s="20"/>
      <c r="K678" s="20"/>
      <c r="L678" s="20"/>
    </row>
    <row r="679" spans="9:12">
      <c r="I679" s="20"/>
      <c r="J679" s="20"/>
      <c r="K679" s="20"/>
      <c r="L679" s="20"/>
    </row>
    <row r="680" spans="9:12">
      <c r="I680" s="20"/>
      <c r="J680" s="20"/>
      <c r="K680" s="20"/>
      <c r="L680" s="20"/>
    </row>
    <row r="681" spans="9:12">
      <c r="I681" s="20"/>
      <c r="J681" s="20"/>
      <c r="K681" s="20"/>
      <c r="L681" s="20"/>
    </row>
    <row r="682" spans="9:12">
      <c r="I682" s="20"/>
      <c r="J682" s="20"/>
      <c r="K682" s="20"/>
      <c r="L682" s="20"/>
    </row>
    <row r="683" spans="9:12">
      <c r="I683" s="20"/>
      <c r="J683" s="20"/>
      <c r="K683" s="20"/>
      <c r="L683" s="20"/>
    </row>
    <row r="684" spans="9:12">
      <c r="I684" s="20"/>
      <c r="J684" s="20"/>
      <c r="K684" s="20"/>
      <c r="L684" s="20"/>
    </row>
    <row r="685" spans="9:12">
      <c r="I685" s="20"/>
      <c r="J685" s="20"/>
      <c r="K685" s="20"/>
      <c r="L685" s="20"/>
    </row>
    <row r="686" spans="9:12">
      <c r="I686" s="20"/>
      <c r="J686" s="20"/>
      <c r="K686" s="20"/>
      <c r="L686" s="20"/>
    </row>
    <row r="687" spans="9:12">
      <c r="I687" s="20"/>
      <c r="J687" s="20"/>
      <c r="K687" s="20"/>
      <c r="L687" s="20"/>
    </row>
    <row r="688" spans="9:12">
      <c r="I688" s="20"/>
      <c r="J688" s="20"/>
      <c r="K688" s="20"/>
      <c r="L688" s="20"/>
    </row>
    <row r="689" spans="9:12">
      <c r="I689" s="20"/>
      <c r="J689" s="20"/>
      <c r="K689" s="20"/>
      <c r="L689" s="20"/>
    </row>
    <row r="690" spans="9:12">
      <c r="I690" s="20"/>
      <c r="J690" s="20"/>
      <c r="K690" s="20"/>
      <c r="L690" s="20"/>
    </row>
    <row r="691" spans="9:12">
      <c r="I691" s="20"/>
      <c r="J691" s="20"/>
      <c r="K691" s="20"/>
      <c r="L691" s="20"/>
    </row>
    <row r="692" spans="9:12">
      <c r="I692" s="20"/>
      <c r="J692" s="20"/>
      <c r="K692" s="20"/>
      <c r="L692" s="20"/>
    </row>
    <row r="693" spans="9:12">
      <c r="I693" s="20"/>
      <c r="J693" s="20"/>
      <c r="K693" s="20"/>
      <c r="L693" s="20"/>
    </row>
    <row r="694" spans="9:12">
      <c r="I694" s="20"/>
      <c r="J694" s="20"/>
      <c r="K694" s="20"/>
      <c r="L694" s="20"/>
    </row>
    <row r="695" spans="9:12">
      <c r="I695" s="20"/>
      <c r="J695" s="20"/>
      <c r="K695" s="20"/>
      <c r="L695" s="20"/>
    </row>
    <row r="696" spans="9:12">
      <c r="I696" s="20"/>
      <c r="J696" s="20"/>
      <c r="K696" s="20"/>
      <c r="L696" s="20"/>
    </row>
    <row r="697" spans="9:12">
      <c r="I697" s="20"/>
      <c r="J697" s="20"/>
      <c r="K697" s="20"/>
      <c r="L697" s="20"/>
    </row>
    <row r="698" spans="9:12">
      <c r="I698" s="20"/>
      <c r="J698" s="20"/>
      <c r="K698" s="20"/>
      <c r="L698" s="20"/>
    </row>
    <row r="699" spans="9:12">
      <c r="I699" s="20"/>
      <c r="J699" s="20"/>
      <c r="K699" s="20"/>
      <c r="L699" s="20"/>
    </row>
    <row r="700" spans="9:12">
      <c r="I700" s="20"/>
      <c r="J700" s="20"/>
      <c r="K700" s="20"/>
      <c r="L700" s="20"/>
    </row>
    <row r="701" spans="9:12">
      <c r="I701" s="20"/>
      <c r="J701" s="20"/>
      <c r="K701" s="20"/>
      <c r="L701" s="20"/>
    </row>
    <row r="702" spans="9:12">
      <c r="I702" s="20"/>
      <c r="J702" s="20"/>
      <c r="K702" s="20"/>
      <c r="L702" s="20"/>
    </row>
    <row r="703" spans="9:12">
      <c r="I703" s="20"/>
      <c r="J703" s="20"/>
      <c r="K703" s="20"/>
      <c r="L703" s="20"/>
    </row>
    <row r="704" spans="9:12">
      <c r="I704" s="20"/>
      <c r="J704" s="20"/>
      <c r="K704" s="20"/>
      <c r="L704" s="20"/>
    </row>
    <row r="705" spans="9:12">
      <c r="I705" s="20"/>
      <c r="J705" s="20"/>
      <c r="K705" s="20"/>
      <c r="L705" s="20"/>
    </row>
    <row r="706" spans="9:12">
      <c r="I706" s="20"/>
      <c r="J706" s="20"/>
      <c r="K706" s="20"/>
      <c r="L706" s="20"/>
    </row>
    <row r="707" spans="9:12">
      <c r="I707" s="20"/>
      <c r="J707" s="20"/>
      <c r="K707" s="20"/>
      <c r="L707" s="20"/>
    </row>
    <row r="708" spans="9:12">
      <c r="I708" s="20"/>
      <c r="J708" s="20"/>
      <c r="K708" s="20"/>
      <c r="L708" s="20"/>
    </row>
    <row r="709" spans="9:12">
      <c r="I709" s="20"/>
      <c r="J709" s="20"/>
      <c r="K709" s="20"/>
      <c r="L709" s="20"/>
    </row>
    <row r="710" spans="9:12">
      <c r="I710" s="20"/>
      <c r="J710" s="20"/>
      <c r="K710" s="20"/>
      <c r="L710" s="20"/>
    </row>
    <row r="711" spans="9:12">
      <c r="I711" s="20"/>
      <c r="J711" s="20"/>
      <c r="K711" s="20"/>
      <c r="L711" s="20"/>
    </row>
    <row r="712" spans="9:12">
      <c r="I712" s="20"/>
      <c r="J712" s="20"/>
      <c r="K712" s="20"/>
      <c r="L712" s="20"/>
    </row>
    <row r="713" spans="9:12">
      <c r="I713" s="20"/>
      <c r="J713" s="20"/>
      <c r="K713" s="20"/>
      <c r="L713" s="20"/>
    </row>
    <row r="714" spans="9:12">
      <c r="I714" s="20"/>
      <c r="J714" s="20"/>
      <c r="K714" s="20"/>
      <c r="L714" s="20"/>
    </row>
    <row r="715" spans="9:12">
      <c r="I715" s="20"/>
      <c r="J715" s="20"/>
      <c r="K715" s="20"/>
      <c r="L715" s="20"/>
    </row>
    <row r="716" spans="9:12">
      <c r="I716" s="20"/>
      <c r="J716" s="20"/>
      <c r="K716" s="20"/>
      <c r="L716" s="20"/>
    </row>
    <row r="717" spans="9:12">
      <c r="I717" s="20"/>
      <c r="J717" s="20"/>
      <c r="K717" s="20"/>
      <c r="L717" s="20"/>
    </row>
    <row r="718" spans="9:12">
      <c r="I718" s="20"/>
      <c r="J718" s="20"/>
      <c r="K718" s="20"/>
      <c r="L718" s="20"/>
    </row>
    <row r="719" spans="9:12">
      <c r="I719" s="20"/>
      <c r="J719" s="20"/>
      <c r="K719" s="20"/>
      <c r="L719" s="20"/>
    </row>
    <row r="720" spans="9:12">
      <c r="I720" s="20"/>
      <c r="J720" s="20"/>
      <c r="K720" s="20"/>
      <c r="L720" s="20"/>
    </row>
    <row r="721" spans="9:12">
      <c r="I721" s="20"/>
      <c r="J721" s="20"/>
      <c r="K721" s="20"/>
      <c r="L721" s="20"/>
    </row>
    <row r="722" spans="9:12">
      <c r="I722" s="20"/>
      <c r="J722" s="20"/>
      <c r="K722" s="20"/>
      <c r="L722" s="20"/>
    </row>
    <row r="723" spans="9:12">
      <c r="I723" s="20"/>
      <c r="J723" s="20"/>
      <c r="K723" s="20"/>
      <c r="L723" s="20"/>
    </row>
    <row r="724" spans="9:12">
      <c r="I724" s="20"/>
      <c r="J724" s="20"/>
      <c r="K724" s="20"/>
      <c r="L724" s="20"/>
    </row>
    <row r="725" spans="9:12">
      <c r="I725" s="20"/>
      <c r="J725" s="20"/>
      <c r="K725" s="20"/>
      <c r="L725" s="20"/>
    </row>
    <row r="726" spans="9:12">
      <c r="I726" s="20"/>
      <c r="J726" s="20"/>
      <c r="K726" s="20"/>
      <c r="L726" s="20"/>
    </row>
    <row r="727" spans="9:12">
      <c r="I727" s="20"/>
      <c r="J727" s="20"/>
      <c r="K727" s="20"/>
      <c r="L727" s="20"/>
    </row>
    <row r="728" spans="9:12">
      <c r="I728" s="20"/>
      <c r="J728" s="20"/>
      <c r="K728" s="20"/>
      <c r="L728" s="20"/>
    </row>
    <row r="729" spans="9:12">
      <c r="I729" s="20"/>
      <c r="J729" s="20"/>
      <c r="K729" s="20"/>
      <c r="L729" s="20"/>
    </row>
    <row r="730" spans="9:12">
      <c r="I730" s="20"/>
      <c r="J730" s="20"/>
      <c r="K730" s="20"/>
      <c r="L730" s="20"/>
    </row>
    <row r="731" spans="9:12">
      <c r="I731" s="20"/>
      <c r="J731" s="20"/>
      <c r="K731" s="20"/>
      <c r="L731" s="20"/>
    </row>
    <row r="732" spans="9:12">
      <c r="I732" s="20"/>
      <c r="J732" s="20"/>
      <c r="K732" s="20"/>
      <c r="L732" s="20"/>
    </row>
    <row r="733" spans="9:12">
      <c r="I733" s="20"/>
      <c r="J733" s="20"/>
      <c r="K733" s="20"/>
      <c r="L733" s="20"/>
    </row>
    <row r="734" spans="9:12">
      <c r="I734" s="20"/>
      <c r="J734" s="20"/>
      <c r="K734" s="20"/>
      <c r="L734" s="20"/>
    </row>
    <row r="735" spans="9:12">
      <c r="I735" s="20"/>
      <c r="J735" s="20"/>
      <c r="K735" s="20"/>
      <c r="L735" s="20"/>
    </row>
    <row r="736" spans="9:12">
      <c r="I736" s="20"/>
      <c r="J736" s="20"/>
      <c r="K736" s="20"/>
      <c r="L736" s="20"/>
    </row>
    <row r="737" spans="9:12">
      <c r="I737" s="20"/>
      <c r="J737" s="20"/>
      <c r="K737" s="20"/>
      <c r="L737" s="20"/>
    </row>
    <row r="738" spans="9:12">
      <c r="I738" s="20"/>
      <c r="J738" s="20"/>
      <c r="K738" s="20"/>
      <c r="L738" s="20"/>
    </row>
    <row r="739" spans="9:12">
      <c r="I739" s="20"/>
      <c r="J739" s="20"/>
      <c r="K739" s="20"/>
      <c r="L739" s="20"/>
    </row>
    <row r="740" spans="9:12">
      <c r="I740" s="20"/>
      <c r="J740" s="20"/>
      <c r="K740" s="20"/>
      <c r="L740" s="20"/>
    </row>
    <row r="741" spans="9:12">
      <c r="I741" s="20"/>
      <c r="J741" s="20"/>
      <c r="K741" s="20"/>
      <c r="L741" s="20"/>
    </row>
    <row r="742" spans="9:12">
      <c r="I742" s="20"/>
      <c r="J742" s="20"/>
      <c r="K742" s="20"/>
      <c r="L742" s="20"/>
    </row>
    <row r="743" spans="9:12">
      <c r="I743" s="20"/>
      <c r="J743" s="20"/>
      <c r="K743" s="20"/>
      <c r="L743" s="20"/>
    </row>
    <row r="744" spans="9:12">
      <c r="I744" s="20"/>
      <c r="J744" s="20"/>
      <c r="K744" s="20"/>
      <c r="L744" s="20"/>
    </row>
    <row r="745" spans="9:12">
      <c r="I745" s="20"/>
      <c r="J745" s="20"/>
      <c r="K745" s="20"/>
      <c r="L745" s="20"/>
    </row>
    <row r="746" spans="9:12">
      <c r="I746" s="20"/>
      <c r="J746" s="20"/>
      <c r="K746" s="20"/>
      <c r="L746" s="20"/>
    </row>
    <row r="747" spans="9:12">
      <c r="I747" s="20"/>
      <c r="J747" s="20"/>
      <c r="K747" s="20"/>
      <c r="L747" s="20"/>
    </row>
    <row r="748" spans="9:12">
      <c r="I748" s="20"/>
      <c r="J748" s="20"/>
      <c r="K748" s="20"/>
      <c r="L748" s="20"/>
    </row>
    <row r="749" spans="9:12">
      <c r="I749" s="20"/>
      <c r="J749" s="20"/>
      <c r="K749" s="20"/>
      <c r="L749" s="20"/>
    </row>
    <row r="750" spans="9:12">
      <c r="I750" s="20"/>
      <c r="J750" s="20"/>
      <c r="K750" s="20"/>
      <c r="L750" s="20"/>
    </row>
    <row r="751" spans="9:12">
      <c r="I751" s="20"/>
      <c r="J751" s="20"/>
      <c r="K751" s="20"/>
      <c r="L751" s="20"/>
    </row>
    <row r="752" spans="9:12">
      <c r="I752" s="20"/>
      <c r="J752" s="20"/>
      <c r="K752" s="20"/>
      <c r="L752" s="20"/>
    </row>
    <row r="753" spans="9:12">
      <c r="I753" s="20"/>
      <c r="J753" s="20"/>
      <c r="K753" s="20"/>
      <c r="L753" s="20"/>
    </row>
    <row r="754" spans="9:12">
      <c r="I754" s="20"/>
      <c r="J754" s="20"/>
      <c r="K754" s="20"/>
      <c r="L754" s="20"/>
    </row>
    <row r="755" spans="9:12">
      <c r="I755" s="20"/>
      <c r="J755" s="20"/>
      <c r="K755" s="20"/>
      <c r="L755" s="20"/>
    </row>
    <row r="756" spans="9:12">
      <c r="I756" s="20"/>
      <c r="J756" s="20"/>
      <c r="K756" s="20"/>
      <c r="L756" s="20"/>
    </row>
    <row r="757" spans="9:12">
      <c r="I757" s="20"/>
      <c r="J757" s="20"/>
      <c r="K757" s="20"/>
      <c r="L757" s="20"/>
    </row>
    <row r="758" spans="9:12">
      <c r="I758" s="20"/>
      <c r="J758" s="20"/>
      <c r="K758" s="20"/>
      <c r="L758" s="20"/>
    </row>
    <row r="759" spans="9:12">
      <c r="I759" s="20"/>
      <c r="J759" s="20"/>
      <c r="K759" s="20"/>
      <c r="L759" s="20"/>
    </row>
    <row r="760" spans="9:12">
      <c r="I760" s="20"/>
      <c r="J760" s="20"/>
      <c r="K760" s="20"/>
      <c r="L760" s="20"/>
    </row>
    <row r="761" spans="9:12">
      <c r="I761" s="20"/>
      <c r="J761" s="20"/>
      <c r="K761" s="20"/>
      <c r="L761" s="20"/>
    </row>
    <row r="762" spans="9:12">
      <c r="I762" s="20"/>
      <c r="J762" s="20"/>
      <c r="K762" s="20"/>
      <c r="L762" s="20"/>
    </row>
    <row r="763" spans="9:12">
      <c r="I763" s="20"/>
      <c r="J763" s="20"/>
      <c r="K763" s="20"/>
      <c r="L763" s="20"/>
    </row>
    <row r="764" spans="9:12">
      <c r="I764" s="20"/>
      <c r="J764" s="20"/>
      <c r="K764" s="20"/>
      <c r="L764" s="20"/>
    </row>
    <row r="765" spans="9:12">
      <c r="I765" s="20"/>
      <c r="J765" s="20"/>
      <c r="K765" s="20"/>
      <c r="L765" s="20"/>
    </row>
    <row r="766" spans="9:12">
      <c r="I766" s="20"/>
      <c r="J766" s="20"/>
      <c r="K766" s="20"/>
      <c r="L766" s="20"/>
    </row>
    <row r="767" spans="9:12">
      <c r="I767" s="20"/>
      <c r="J767" s="20"/>
      <c r="K767" s="20"/>
      <c r="L767" s="20"/>
    </row>
    <row r="768" spans="9:12">
      <c r="I768" s="20"/>
      <c r="J768" s="20"/>
      <c r="K768" s="20"/>
      <c r="L768" s="20"/>
    </row>
    <row r="769" spans="9:12">
      <c r="I769" s="20"/>
      <c r="J769" s="20"/>
      <c r="K769" s="20"/>
      <c r="L769" s="20"/>
    </row>
    <row r="770" spans="9:12">
      <c r="I770" s="20"/>
      <c r="J770" s="20"/>
      <c r="K770" s="20"/>
      <c r="L770" s="20"/>
    </row>
    <row r="771" spans="9:12">
      <c r="I771" s="20"/>
      <c r="J771" s="20"/>
      <c r="K771" s="20"/>
      <c r="L771" s="20"/>
    </row>
    <row r="772" spans="9:12">
      <c r="I772" s="20"/>
      <c r="J772" s="20"/>
      <c r="K772" s="20"/>
      <c r="L772" s="20"/>
    </row>
    <row r="773" spans="9:12">
      <c r="I773" s="20"/>
      <c r="J773" s="20"/>
      <c r="K773" s="20"/>
      <c r="L773" s="20"/>
    </row>
    <row r="774" spans="9:12">
      <c r="I774" s="20"/>
      <c r="J774" s="20"/>
      <c r="K774" s="20"/>
      <c r="L774" s="20"/>
    </row>
    <row r="775" spans="9:12">
      <c r="I775" s="20"/>
      <c r="J775" s="20"/>
      <c r="K775" s="20"/>
      <c r="L775" s="20"/>
    </row>
    <row r="776" spans="9:12">
      <c r="I776" s="20"/>
      <c r="J776" s="20"/>
      <c r="K776" s="20"/>
      <c r="L776" s="20"/>
    </row>
    <row r="777" spans="9:12">
      <c r="I777" s="20"/>
      <c r="J777" s="20"/>
      <c r="K777" s="20"/>
      <c r="L777" s="20"/>
    </row>
    <row r="778" spans="9:12">
      <c r="I778" s="20"/>
      <c r="J778" s="20"/>
      <c r="K778" s="20"/>
      <c r="L778" s="20"/>
    </row>
    <row r="779" spans="9:12">
      <c r="I779" s="20"/>
      <c r="J779" s="20"/>
      <c r="K779" s="20"/>
      <c r="L779" s="20"/>
    </row>
    <row r="780" spans="9:12">
      <c r="I780" s="20"/>
      <c r="J780" s="20"/>
      <c r="K780" s="20"/>
      <c r="L780" s="20"/>
    </row>
    <row r="781" spans="9:12">
      <c r="I781" s="20"/>
      <c r="J781" s="20"/>
      <c r="K781" s="20"/>
      <c r="L781" s="20"/>
    </row>
    <row r="782" spans="9:12">
      <c r="I782" s="20"/>
      <c r="J782" s="20"/>
      <c r="K782" s="20"/>
      <c r="L782" s="20"/>
    </row>
    <row r="783" spans="9:12">
      <c r="I783" s="20"/>
      <c r="J783" s="20"/>
      <c r="K783" s="20"/>
      <c r="L783" s="20"/>
    </row>
    <row r="784" spans="9:12">
      <c r="I784" s="20"/>
      <c r="J784" s="20"/>
      <c r="K784" s="20"/>
      <c r="L784" s="20"/>
    </row>
    <row r="785" spans="9:12">
      <c r="I785" s="20"/>
      <c r="J785" s="20"/>
      <c r="K785" s="20"/>
      <c r="L785" s="20"/>
    </row>
    <row r="786" spans="9:12">
      <c r="I786" s="20"/>
      <c r="J786" s="20"/>
      <c r="K786" s="20"/>
      <c r="L786" s="20"/>
    </row>
    <row r="787" spans="9:12">
      <c r="I787" s="20"/>
      <c r="J787" s="20"/>
      <c r="K787" s="20"/>
      <c r="L787" s="20"/>
    </row>
    <row r="788" spans="9:12">
      <c r="I788" s="20"/>
      <c r="J788" s="20"/>
      <c r="K788" s="20"/>
      <c r="L788" s="20"/>
    </row>
    <row r="789" spans="9:12">
      <c r="I789" s="20"/>
      <c r="J789" s="20"/>
      <c r="K789" s="20"/>
      <c r="L789" s="20"/>
    </row>
    <row r="790" spans="9:12">
      <c r="I790" s="20"/>
      <c r="J790" s="20"/>
      <c r="K790" s="20"/>
      <c r="L790" s="20"/>
    </row>
    <row r="791" spans="9:12">
      <c r="I791" s="20"/>
      <c r="J791" s="20"/>
      <c r="K791" s="20"/>
      <c r="L791" s="20"/>
    </row>
    <row r="792" spans="9:12">
      <c r="I792" s="20"/>
      <c r="J792" s="20"/>
      <c r="K792" s="20"/>
      <c r="L792" s="20"/>
    </row>
    <row r="793" spans="9:12">
      <c r="I793" s="20"/>
      <c r="J793" s="20"/>
      <c r="K793" s="20"/>
      <c r="L793" s="20"/>
    </row>
    <row r="794" spans="9:12">
      <c r="I794" s="20"/>
      <c r="J794" s="20"/>
      <c r="K794" s="20"/>
      <c r="L794" s="20"/>
    </row>
    <row r="795" spans="9:12">
      <c r="I795" s="20"/>
      <c r="J795" s="20"/>
      <c r="K795" s="20"/>
      <c r="L795" s="20"/>
    </row>
    <row r="796" spans="9:12">
      <c r="I796" s="20"/>
      <c r="J796" s="20"/>
      <c r="K796" s="20"/>
      <c r="L796" s="20"/>
    </row>
    <row r="797" spans="9:12">
      <c r="I797" s="20"/>
      <c r="J797" s="20"/>
      <c r="K797" s="20"/>
      <c r="L797" s="20"/>
    </row>
    <row r="798" spans="9:12">
      <c r="I798" s="20"/>
      <c r="J798" s="20"/>
      <c r="K798" s="20"/>
      <c r="L798" s="20"/>
    </row>
    <row r="799" spans="9:12">
      <c r="I799" s="20"/>
      <c r="J799" s="20"/>
      <c r="K799" s="20"/>
      <c r="L799" s="20"/>
    </row>
    <row r="800" spans="9:12">
      <c r="I800" s="20"/>
      <c r="J800" s="20"/>
      <c r="K800" s="20"/>
      <c r="L800" s="20"/>
    </row>
    <row r="801" spans="9:12">
      <c r="I801" s="20"/>
      <c r="J801" s="20"/>
      <c r="K801" s="20"/>
      <c r="L801" s="20"/>
    </row>
    <row r="802" spans="9:12">
      <c r="I802" s="20"/>
      <c r="J802" s="20"/>
      <c r="K802" s="20"/>
      <c r="L802" s="20"/>
    </row>
    <row r="803" spans="9:12">
      <c r="I803" s="20"/>
      <c r="J803" s="20"/>
      <c r="K803" s="20"/>
      <c r="L803" s="20"/>
    </row>
    <row r="804" spans="9:12">
      <c r="I804" s="20"/>
      <c r="J804" s="20"/>
      <c r="K804" s="20"/>
      <c r="L804" s="20"/>
    </row>
    <row r="805" spans="9:12">
      <c r="I805" s="20"/>
      <c r="J805" s="20"/>
      <c r="K805" s="20"/>
      <c r="L805" s="20"/>
    </row>
    <row r="806" spans="9:12">
      <c r="I806" s="20"/>
      <c r="J806" s="20"/>
      <c r="K806" s="20"/>
      <c r="L806" s="20"/>
    </row>
    <row r="807" spans="9:12">
      <c r="I807" s="20"/>
      <c r="J807" s="20"/>
      <c r="K807" s="20"/>
      <c r="L807" s="20"/>
    </row>
    <row r="808" spans="9:12">
      <c r="I808" s="20"/>
      <c r="J808" s="20"/>
      <c r="K808" s="20"/>
      <c r="L808" s="20"/>
    </row>
    <row r="809" spans="9:12">
      <c r="I809" s="20"/>
      <c r="J809" s="20"/>
      <c r="K809" s="20"/>
      <c r="L809" s="20"/>
    </row>
    <row r="810" spans="9:12">
      <c r="I810" s="20"/>
      <c r="J810" s="20"/>
      <c r="K810" s="20"/>
      <c r="L810" s="20"/>
    </row>
    <row r="811" spans="9:12">
      <c r="I811" s="20"/>
      <c r="J811" s="20"/>
      <c r="K811" s="20"/>
      <c r="L811" s="20"/>
    </row>
    <row r="812" spans="9:12">
      <c r="I812" s="20"/>
      <c r="J812" s="20"/>
      <c r="K812" s="20"/>
      <c r="L812" s="20"/>
    </row>
    <row r="813" spans="9:12">
      <c r="I813" s="20"/>
      <c r="J813" s="20"/>
      <c r="K813" s="20"/>
      <c r="L813" s="20"/>
    </row>
    <row r="814" spans="9:12">
      <c r="I814" s="20"/>
      <c r="J814" s="20"/>
      <c r="K814" s="20"/>
      <c r="L814" s="20"/>
    </row>
    <row r="815" spans="9:12">
      <c r="I815" s="20"/>
      <c r="J815" s="20"/>
      <c r="K815" s="20"/>
      <c r="L815" s="20"/>
    </row>
    <row r="816" spans="9:12">
      <c r="I816" s="20"/>
      <c r="J816" s="20"/>
      <c r="K816" s="20"/>
      <c r="L816" s="20"/>
    </row>
    <row r="817" spans="9:12">
      <c r="I817" s="20"/>
      <c r="J817" s="20"/>
      <c r="K817" s="20"/>
      <c r="L817" s="20"/>
    </row>
    <row r="818" spans="9:12">
      <c r="I818" s="20"/>
      <c r="J818" s="20"/>
      <c r="K818" s="20"/>
      <c r="L818" s="20"/>
    </row>
    <row r="819" spans="9:12">
      <c r="I819" s="20"/>
      <c r="J819" s="20"/>
      <c r="K819" s="20"/>
      <c r="L819" s="20"/>
    </row>
    <row r="820" spans="9:12">
      <c r="I820" s="20"/>
      <c r="J820" s="20"/>
      <c r="K820" s="20"/>
      <c r="L820" s="20"/>
    </row>
    <row r="821" spans="9:12">
      <c r="I821" s="20"/>
      <c r="J821" s="20"/>
      <c r="K821" s="20"/>
      <c r="L821" s="20"/>
    </row>
    <row r="822" spans="9:12">
      <c r="I822" s="20"/>
      <c r="J822" s="20"/>
      <c r="K822" s="20"/>
      <c r="L822" s="20"/>
    </row>
    <row r="823" spans="9:12">
      <c r="I823" s="20"/>
      <c r="J823" s="20"/>
      <c r="K823" s="20"/>
      <c r="L823" s="20"/>
    </row>
    <row r="824" spans="9:12">
      <c r="I824" s="20"/>
      <c r="J824" s="20"/>
      <c r="K824" s="20"/>
      <c r="L824" s="20"/>
    </row>
    <row r="825" spans="9:12">
      <c r="I825" s="20"/>
      <c r="J825" s="20"/>
      <c r="K825" s="20"/>
      <c r="L825" s="20"/>
    </row>
    <row r="826" spans="9:12">
      <c r="I826" s="20"/>
      <c r="J826" s="20"/>
      <c r="K826" s="20"/>
      <c r="L826" s="20"/>
    </row>
    <row r="827" spans="9:12">
      <c r="I827" s="20"/>
      <c r="J827" s="20"/>
      <c r="K827" s="20"/>
      <c r="L827" s="20"/>
    </row>
    <row r="828" spans="9:12">
      <c r="I828" s="20"/>
      <c r="J828" s="20"/>
      <c r="K828" s="20"/>
      <c r="L828" s="20"/>
    </row>
    <row r="829" spans="9:12">
      <c r="I829" s="20"/>
      <c r="J829" s="20"/>
      <c r="K829" s="20"/>
      <c r="L829" s="20"/>
    </row>
    <row r="830" spans="9:12">
      <c r="I830" s="20"/>
      <c r="J830" s="20"/>
      <c r="K830" s="20"/>
      <c r="L830" s="20"/>
    </row>
    <row r="831" spans="9:12">
      <c r="I831" s="20"/>
      <c r="J831" s="20"/>
      <c r="K831" s="20"/>
      <c r="L831" s="20"/>
    </row>
    <row r="832" spans="9:12">
      <c r="I832" s="20"/>
      <c r="J832" s="20"/>
      <c r="K832" s="20"/>
      <c r="L832" s="20"/>
    </row>
    <row r="833" spans="9:12">
      <c r="I833" s="20"/>
      <c r="J833" s="20"/>
      <c r="K833" s="20"/>
      <c r="L833" s="20"/>
    </row>
    <row r="834" spans="9:12">
      <c r="I834" s="20"/>
      <c r="J834" s="20"/>
      <c r="K834" s="20"/>
      <c r="L834" s="20"/>
    </row>
    <row r="835" spans="9:12">
      <c r="I835" s="20"/>
      <c r="J835" s="20"/>
      <c r="K835" s="20"/>
      <c r="L835" s="20"/>
    </row>
    <row r="836" spans="9:12">
      <c r="I836" s="20"/>
      <c r="J836" s="20"/>
      <c r="K836" s="20"/>
      <c r="L836" s="20"/>
    </row>
    <row r="837" spans="9:12">
      <c r="I837" s="20"/>
      <c r="J837" s="20"/>
      <c r="K837" s="20"/>
      <c r="L837" s="20"/>
    </row>
    <row r="838" spans="9:12">
      <c r="I838" s="20"/>
      <c r="J838" s="20"/>
      <c r="K838" s="20"/>
      <c r="L838" s="20"/>
    </row>
    <row r="839" spans="9:12">
      <c r="I839" s="20"/>
      <c r="J839" s="20"/>
      <c r="K839" s="20"/>
      <c r="L839" s="20"/>
    </row>
    <row r="840" spans="9:12">
      <c r="I840" s="20"/>
      <c r="J840" s="20"/>
      <c r="K840" s="20"/>
      <c r="L840" s="20"/>
    </row>
    <row r="841" spans="9:12">
      <c r="I841" s="20"/>
      <c r="J841" s="20"/>
      <c r="K841" s="20"/>
      <c r="L841" s="20"/>
    </row>
    <row r="842" spans="9:12">
      <c r="I842" s="20"/>
      <c r="J842" s="20"/>
      <c r="K842" s="20"/>
      <c r="L842" s="20"/>
    </row>
    <row r="843" spans="9:12">
      <c r="I843" s="20"/>
      <c r="J843" s="20"/>
      <c r="K843" s="20"/>
      <c r="L843" s="20"/>
    </row>
    <row r="844" spans="9:12">
      <c r="I844" s="20"/>
      <c r="J844" s="20"/>
      <c r="K844" s="20"/>
      <c r="L844" s="20"/>
    </row>
    <row r="845" spans="9:12">
      <c r="I845" s="20"/>
      <c r="J845" s="20"/>
      <c r="K845" s="20"/>
      <c r="L845" s="20"/>
    </row>
    <row r="846" spans="9:12">
      <c r="I846" s="20"/>
      <c r="J846" s="20"/>
      <c r="K846" s="20"/>
      <c r="L846" s="20"/>
    </row>
    <row r="847" spans="9:12">
      <c r="I847" s="20"/>
      <c r="J847" s="20"/>
      <c r="K847" s="20"/>
      <c r="L847" s="20"/>
    </row>
    <row r="848" spans="9:12">
      <c r="I848" s="20"/>
      <c r="J848" s="20"/>
      <c r="K848" s="20"/>
      <c r="L848" s="20"/>
    </row>
    <row r="849" spans="9:12">
      <c r="I849" s="20"/>
      <c r="J849" s="20"/>
      <c r="K849" s="20"/>
      <c r="L849" s="20"/>
    </row>
    <row r="850" spans="9:12">
      <c r="I850" s="20"/>
      <c r="J850" s="20"/>
      <c r="K850" s="20"/>
      <c r="L850" s="20"/>
    </row>
    <row r="851" spans="9:12">
      <c r="I851" s="20"/>
      <c r="J851" s="20"/>
      <c r="K851" s="20"/>
      <c r="L851" s="20"/>
    </row>
    <row r="852" spans="9:12">
      <c r="I852" s="20"/>
      <c r="J852" s="20"/>
      <c r="K852" s="20"/>
      <c r="L852" s="20"/>
    </row>
    <row r="853" spans="9:12">
      <c r="I853" s="20"/>
      <c r="J853" s="20"/>
      <c r="K853" s="20"/>
      <c r="L853" s="20"/>
    </row>
    <row r="854" spans="9:12">
      <c r="I854" s="20"/>
      <c r="J854" s="20"/>
      <c r="K854" s="20"/>
      <c r="L854" s="20"/>
    </row>
    <row r="855" spans="9:12">
      <c r="I855" s="20"/>
      <c r="J855" s="20"/>
      <c r="K855" s="20"/>
      <c r="L855" s="20"/>
    </row>
    <row r="856" spans="9:12">
      <c r="I856" s="20"/>
      <c r="J856" s="20"/>
      <c r="K856" s="20"/>
      <c r="L856" s="20"/>
    </row>
    <row r="857" spans="9:12">
      <c r="I857" s="20"/>
      <c r="J857" s="20"/>
      <c r="K857" s="20"/>
      <c r="L857" s="20"/>
    </row>
    <row r="858" spans="9:12">
      <c r="I858" s="20"/>
      <c r="J858" s="20"/>
      <c r="K858" s="20"/>
      <c r="L858" s="20"/>
    </row>
    <row r="859" spans="9:12">
      <c r="I859" s="20"/>
      <c r="J859" s="20"/>
      <c r="K859" s="20"/>
      <c r="L859" s="20"/>
    </row>
    <row r="860" spans="9:12">
      <c r="I860" s="20"/>
      <c r="J860" s="20"/>
      <c r="K860" s="20"/>
      <c r="L860" s="20"/>
    </row>
    <row r="861" spans="9:12">
      <c r="I861" s="20"/>
      <c r="J861" s="20"/>
      <c r="K861" s="20"/>
      <c r="L861" s="20"/>
    </row>
    <row r="862" spans="9:12">
      <c r="I862" s="20"/>
      <c r="J862" s="20"/>
      <c r="K862" s="20"/>
      <c r="L862" s="20"/>
    </row>
    <row r="863" spans="9:12">
      <c r="I863" s="20"/>
      <c r="J863" s="20"/>
      <c r="K863" s="20"/>
      <c r="L863" s="20"/>
    </row>
    <row r="864" spans="9:12">
      <c r="I864" s="20"/>
      <c r="J864" s="20"/>
      <c r="K864" s="20"/>
      <c r="L864" s="20"/>
    </row>
    <row r="865" spans="9:12">
      <c r="I865" s="20"/>
      <c r="J865" s="20"/>
      <c r="K865" s="20"/>
      <c r="L865" s="20"/>
    </row>
    <row r="866" spans="9:12">
      <c r="I866" s="20"/>
      <c r="J866" s="20"/>
      <c r="K866" s="20"/>
      <c r="L866" s="20"/>
    </row>
    <row r="867" spans="9:12">
      <c r="I867" s="20"/>
      <c r="J867" s="20"/>
      <c r="K867" s="20"/>
      <c r="L867" s="20"/>
    </row>
    <row r="868" spans="9:12">
      <c r="I868" s="20"/>
      <c r="J868" s="20"/>
      <c r="K868" s="20"/>
      <c r="L868" s="20"/>
    </row>
    <row r="869" spans="9:12">
      <c r="I869" s="20"/>
      <c r="J869" s="20"/>
      <c r="K869" s="20"/>
      <c r="L869" s="20"/>
    </row>
    <row r="870" spans="9:12">
      <c r="I870" s="20"/>
      <c r="J870" s="20"/>
      <c r="K870" s="20"/>
      <c r="L870" s="20"/>
    </row>
    <row r="871" spans="9:12">
      <c r="I871" s="20"/>
      <c r="J871" s="20"/>
      <c r="K871" s="20"/>
      <c r="L871" s="20"/>
    </row>
    <row r="872" spans="9:12">
      <c r="I872" s="20"/>
      <c r="J872" s="20"/>
      <c r="K872" s="20"/>
      <c r="L872" s="20"/>
    </row>
    <row r="873" spans="9:12">
      <c r="I873" s="20"/>
      <c r="J873" s="20"/>
      <c r="K873" s="20"/>
      <c r="L873" s="20"/>
    </row>
    <row r="874" spans="9:12">
      <c r="I874" s="20"/>
      <c r="J874" s="20"/>
      <c r="K874" s="20"/>
      <c r="L874" s="20"/>
    </row>
    <row r="875" spans="9:12">
      <c r="I875" s="20"/>
      <c r="J875" s="20"/>
      <c r="K875" s="20"/>
      <c r="L875" s="20"/>
    </row>
    <row r="876" spans="9:12">
      <c r="I876" s="20"/>
      <c r="J876" s="20"/>
      <c r="K876" s="20"/>
      <c r="L876" s="20"/>
    </row>
    <row r="877" spans="9:12">
      <c r="I877" s="20"/>
      <c r="J877" s="20"/>
      <c r="K877" s="20"/>
      <c r="L877" s="20"/>
    </row>
    <row r="878" spans="9:12">
      <c r="I878" s="20"/>
      <c r="J878" s="20"/>
      <c r="K878" s="20"/>
      <c r="L878" s="20"/>
    </row>
    <row r="879" spans="9:12">
      <c r="I879" s="20"/>
      <c r="J879" s="20"/>
      <c r="K879" s="20"/>
      <c r="L879" s="20"/>
    </row>
    <row r="880" spans="9:12">
      <c r="I880" s="20"/>
      <c r="J880" s="20"/>
      <c r="K880" s="20"/>
      <c r="L880" s="20"/>
    </row>
    <row r="881" spans="9:12">
      <c r="I881" s="20"/>
      <c r="J881" s="20"/>
      <c r="K881" s="20"/>
      <c r="L881" s="20"/>
    </row>
    <row r="882" spans="9:12">
      <c r="I882" s="20"/>
      <c r="J882" s="20"/>
      <c r="K882" s="20"/>
      <c r="L882" s="20"/>
    </row>
    <row r="883" spans="9:12">
      <c r="I883" s="20"/>
      <c r="J883" s="20"/>
      <c r="K883" s="20"/>
      <c r="L883" s="20"/>
    </row>
    <row r="884" spans="9:12">
      <c r="I884" s="20"/>
      <c r="J884" s="20"/>
      <c r="K884" s="20"/>
      <c r="L884" s="20"/>
    </row>
    <row r="885" spans="9:12">
      <c r="I885" s="20"/>
      <c r="J885" s="20"/>
      <c r="K885" s="20"/>
      <c r="L885" s="20"/>
    </row>
    <row r="886" spans="9:12">
      <c r="I886" s="20"/>
      <c r="J886" s="20"/>
      <c r="K886" s="20"/>
      <c r="L886" s="20"/>
    </row>
    <row r="887" spans="9:12">
      <c r="I887" s="20"/>
      <c r="J887" s="20"/>
      <c r="K887" s="20"/>
      <c r="L887" s="20"/>
    </row>
    <row r="888" spans="9:12">
      <c r="I888" s="20"/>
      <c r="J888" s="20"/>
      <c r="K888" s="20"/>
      <c r="L888" s="20"/>
    </row>
    <row r="889" spans="9:12">
      <c r="I889" s="20"/>
      <c r="J889" s="20"/>
      <c r="K889" s="20"/>
      <c r="L889" s="20"/>
    </row>
    <row r="890" spans="9:12">
      <c r="I890" s="20"/>
      <c r="J890" s="20"/>
      <c r="K890" s="20"/>
      <c r="L890" s="20"/>
    </row>
    <row r="891" spans="9:12">
      <c r="I891" s="20"/>
      <c r="J891" s="20"/>
      <c r="K891" s="20"/>
      <c r="L891" s="20"/>
    </row>
    <row r="892" spans="9:12">
      <c r="I892" s="20"/>
      <c r="J892" s="20"/>
      <c r="K892" s="20"/>
      <c r="L892" s="20"/>
    </row>
    <row r="893" spans="9:12">
      <c r="I893" s="20"/>
      <c r="J893" s="20"/>
      <c r="K893" s="20"/>
      <c r="L893" s="20"/>
    </row>
    <row r="894" spans="9:12">
      <c r="I894" s="20"/>
      <c r="J894" s="20"/>
      <c r="K894" s="20"/>
      <c r="L894" s="20"/>
    </row>
    <row r="895" spans="9:12">
      <c r="I895" s="20"/>
      <c r="J895" s="20"/>
      <c r="K895" s="20"/>
      <c r="L895" s="20"/>
    </row>
    <row r="896" spans="9:12">
      <c r="I896" s="20"/>
      <c r="J896" s="20"/>
      <c r="K896" s="20"/>
      <c r="L896" s="20"/>
    </row>
    <row r="897" spans="9:12">
      <c r="I897" s="20"/>
      <c r="J897" s="20"/>
      <c r="K897" s="20"/>
      <c r="L897" s="20"/>
    </row>
    <row r="898" spans="9:12">
      <c r="I898" s="20"/>
      <c r="J898" s="20"/>
      <c r="K898" s="20"/>
      <c r="L898" s="20"/>
    </row>
    <row r="899" spans="9:12">
      <c r="I899" s="20"/>
      <c r="J899" s="20"/>
      <c r="K899" s="20"/>
      <c r="L899" s="20"/>
    </row>
    <row r="900" spans="9:12">
      <c r="I900" s="20"/>
      <c r="J900" s="20"/>
      <c r="K900" s="20"/>
      <c r="L900" s="20"/>
    </row>
    <row r="901" spans="9:12">
      <c r="I901" s="20"/>
      <c r="J901" s="20"/>
      <c r="K901" s="20"/>
      <c r="L901" s="20"/>
    </row>
    <row r="902" spans="9:12">
      <c r="I902" s="20"/>
      <c r="J902" s="20"/>
      <c r="K902" s="20"/>
      <c r="L902" s="20"/>
    </row>
    <row r="903" spans="9:12">
      <c r="I903" s="20"/>
      <c r="J903" s="20"/>
      <c r="K903" s="20"/>
      <c r="L903" s="20"/>
    </row>
    <row r="904" spans="9:12">
      <c r="I904" s="20"/>
      <c r="J904" s="20"/>
      <c r="K904" s="20"/>
      <c r="L904" s="20"/>
    </row>
    <row r="905" spans="9:12">
      <c r="I905" s="20"/>
      <c r="J905" s="20"/>
      <c r="K905" s="20"/>
      <c r="L905" s="20"/>
    </row>
    <row r="906" spans="9:12">
      <c r="I906" s="20"/>
      <c r="J906" s="20"/>
      <c r="K906" s="20"/>
      <c r="L906" s="20"/>
    </row>
    <row r="907" spans="9:12">
      <c r="I907" s="20"/>
      <c r="J907" s="20"/>
      <c r="K907" s="20"/>
      <c r="L907" s="20"/>
    </row>
    <row r="908" spans="9:12">
      <c r="I908" s="20"/>
      <c r="J908" s="20"/>
      <c r="K908" s="20"/>
      <c r="L908" s="20"/>
    </row>
    <row r="909" spans="9:12">
      <c r="I909" s="20"/>
      <c r="J909" s="20"/>
      <c r="K909" s="20"/>
      <c r="L909" s="20"/>
    </row>
    <row r="910" spans="9:12">
      <c r="I910" s="20"/>
      <c r="J910" s="20"/>
      <c r="K910" s="20"/>
      <c r="L910" s="20"/>
    </row>
    <row r="911" spans="9:12">
      <c r="I911" s="20"/>
      <c r="J911" s="20"/>
      <c r="K911" s="20"/>
      <c r="L911" s="20"/>
    </row>
    <row r="912" spans="9:12">
      <c r="I912" s="20"/>
      <c r="J912" s="20"/>
      <c r="K912" s="20"/>
      <c r="L912" s="20"/>
    </row>
    <row r="913" spans="9:12">
      <c r="I913" s="20"/>
      <c r="J913" s="20"/>
      <c r="K913" s="20"/>
      <c r="L913" s="20"/>
    </row>
    <row r="914" spans="9:12">
      <c r="I914" s="20"/>
      <c r="J914" s="20"/>
      <c r="K914" s="20"/>
      <c r="L914" s="20"/>
    </row>
    <row r="915" spans="9:12">
      <c r="I915" s="20"/>
      <c r="J915" s="20"/>
      <c r="K915" s="20"/>
      <c r="L915" s="20"/>
    </row>
    <row r="916" spans="9:12">
      <c r="I916" s="20"/>
      <c r="J916" s="20"/>
      <c r="K916" s="20"/>
      <c r="L916" s="20"/>
    </row>
    <row r="917" spans="9:12">
      <c r="I917" s="20"/>
      <c r="J917" s="20"/>
      <c r="K917" s="20"/>
      <c r="L917" s="20"/>
    </row>
    <row r="918" spans="9:12">
      <c r="I918" s="20"/>
      <c r="J918" s="20"/>
      <c r="K918" s="20"/>
      <c r="L918" s="20"/>
    </row>
    <row r="919" spans="9:12">
      <c r="I919" s="20"/>
      <c r="J919" s="20"/>
      <c r="K919" s="20"/>
      <c r="L919" s="20"/>
    </row>
    <row r="920" spans="9:12">
      <c r="I920" s="20"/>
      <c r="J920" s="20"/>
      <c r="K920" s="20"/>
      <c r="L920" s="20"/>
    </row>
    <row r="921" spans="9:12">
      <c r="I921" s="20"/>
      <c r="J921" s="20"/>
      <c r="K921" s="20"/>
      <c r="L921" s="20"/>
    </row>
    <row r="922" spans="9:12">
      <c r="I922" s="20"/>
      <c r="J922" s="20"/>
      <c r="K922" s="20"/>
      <c r="L922" s="20"/>
    </row>
    <row r="923" spans="9:12">
      <c r="I923" s="20"/>
      <c r="J923" s="20"/>
      <c r="K923" s="20"/>
      <c r="L923" s="20"/>
    </row>
    <row r="924" spans="9:12">
      <c r="I924" s="20"/>
      <c r="J924" s="20"/>
      <c r="K924" s="20"/>
      <c r="L924" s="20"/>
    </row>
    <row r="925" spans="9:12">
      <c r="I925" s="20"/>
      <c r="J925" s="20"/>
      <c r="K925" s="20"/>
      <c r="L925" s="20"/>
    </row>
    <row r="926" spans="9:12">
      <c r="I926" s="20"/>
      <c r="J926" s="20"/>
      <c r="K926" s="20"/>
      <c r="L926" s="20"/>
    </row>
    <row r="927" spans="9:12">
      <c r="I927" s="20"/>
      <c r="J927" s="20"/>
      <c r="K927" s="20"/>
      <c r="L927" s="20"/>
    </row>
    <row r="928" spans="9:12">
      <c r="I928" s="20"/>
      <c r="J928" s="20"/>
      <c r="K928" s="20"/>
      <c r="L928" s="20"/>
    </row>
    <row r="929" spans="9:12">
      <c r="I929" s="20"/>
      <c r="J929" s="20"/>
      <c r="K929" s="20"/>
      <c r="L929" s="20"/>
    </row>
    <row r="930" spans="9:12">
      <c r="I930" s="20"/>
      <c r="J930" s="20"/>
      <c r="K930" s="20"/>
      <c r="L930" s="20"/>
    </row>
    <row r="931" spans="9:12">
      <c r="I931" s="20"/>
      <c r="J931" s="20"/>
      <c r="K931" s="20"/>
      <c r="L931" s="20"/>
    </row>
    <row r="932" spans="9:12">
      <c r="I932" s="20"/>
      <c r="J932" s="20"/>
      <c r="K932" s="20"/>
      <c r="L932" s="20"/>
    </row>
    <row r="933" spans="9:12">
      <c r="I933" s="20"/>
      <c r="J933" s="20"/>
      <c r="K933" s="20"/>
      <c r="L933" s="20"/>
    </row>
    <row r="934" spans="9:12">
      <c r="I934" s="20"/>
      <c r="J934" s="20"/>
      <c r="K934" s="20"/>
      <c r="L934" s="20"/>
    </row>
    <row r="935" spans="9:12">
      <c r="I935" s="20"/>
      <c r="J935" s="20"/>
      <c r="K935" s="20"/>
      <c r="L935" s="20"/>
    </row>
    <row r="936" spans="9:12">
      <c r="I936" s="20"/>
      <c r="J936" s="20"/>
      <c r="K936" s="20"/>
      <c r="L936" s="20"/>
    </row>
    <row r="937" spans="9:12">
      <c r="I937" s="20"/>
      <c r="J937" s="20"/>
      <c r="K937" s="20"/>
      <c r="L937" s="20"/>
    </row>
    <row r="938" spans="9:12">
      <c r="I938" s="20"/>
      <c r="J938" s="20"/>
      <c r="K938" s="20"/>
      <c r="L938" s="20"/>
    </row>
    <row r="939" spans="9:12">
      <c r="I939" s="20"/>
      <c r="J939" s="20"/>
      <c r="K939" s="20"/>
      <c r="L939" s="20"/>
    </row>
    <row r="940" spans="9:12">
      <c r="I940" s="20"/>
      <c r="J940" s="20"/>
      <c r="K940" s="20"/>
      <c r="L940" s="20"/>
    </row>
    <row r="941" spans="9:12">
      <c r="I941" s="20"/>
      <c r="J941" s="20"/>
      <c r="K941" s="20"/>
      <c r="L941" s="20"/>
    </row>
    <row r="942" spans="9:12">
      <c r="I942" s="20"/>
      <c r="J942" s="20"/>
      <c r="K942" s="20"/>
      <c r="L942" s="20"/>
    </row>
    <row r="943" spans="9:12">
      <c r="I943" s="20"/>
      <c r="J943" s="20"/>
      <c r="K943" s="20"/>
      <c r="L943" s="20"/>
    </row>
    <row r="944" spans="9:12">
      <c r="I944" s="20"/>
      <c r="J944" s="20"/>
      <c r="K944" s="20"/>
      <c r="L944" s="20"/>
    </row>
    <row r="945" spans="9:12">
      <c r="I945" s="20"/>
      <c r="J945" s="20"/>
      <c r="K945" s="20"/>
      <c r="L945" s="20"/>
    </row>
    <row r="946" spans="9:12">
      <c r="I946" s="20"/>
      <c r="J946" s="20"/>
      <c r="K946" s="20"/>
      <c r="L946" s="20"/>
    </row>
    <row r="947" spans="9:12">
      <c r="I947" s="20"/>
      <c r="J947" s="20"/>
      <c r="K947" s="20"/>
      <c r="L947" s="20"/>
    </row>
    <row r="948" spans="9:12">
      <c r="I948" s="20"/>
      <c r="J948" s="20"/>
      <c r="K948" s="20"/>
      <c r="L948" s="20"/>
    </row>
    <row r="949" spans="9:12">
      <c r="I949" s="20"/>
      <c r="J949" s="20"/>
      <c r="K949" s="20"/>
      <c r="L949" s="20"/>
    </row>
    <row r="950" spans="9:12">
      <c r="I950" s="20"/>
      <c r="J950" s="20"/>
      <c r="K950" s="20"/>
      <c r="L950" s="20"/>
    </row>
    <row r="951" spans="9:12">
      <c r="I951" s="20"/>
      <c r="J951" s="20"/>
      <c r="K951" s="20"/>
      <c r="L951" s="20"/>
    </row>
    <row r="952" spans="9:12">
      <c r="I952" s="20"/>
      <c r="J952" s="20"/>
      <c r="K952" s="20"/>
      <c r="L952" s="20"/>
    </row>
    <row r="953" spans="9:12">
      <c r="I953" s="20"/>
      <c r="J953" s="20"/>
      <c r="K953" s="20"/>
      <c r="L953" s="20"/>
    </row>
    <row r="954" spans="9:12">
      <c r="I954" s="20"/>
      <c r="J954" s="20"/>
      <c r="K954" s="20"/>
      <c r="L954" s="20"/>
    </row>
    <row r="955" spans="9:12">
      <c r="I955" s="20"/>
      <c r="J955" s="20"/>
      <c r="K955" s="20"/>
      <c r="L955" s="20"/>
    </row>
    <row r="956" spans="9:12">
      <c r="I956" s="20"/>
      <c r="J956" s="20"/>
      <c r="K956" s="20"/>
      <c r="L956" s="20"/>
    </row>
    <row r="957" spans="9:12">
      <c r="I957" s="20"/>
      <c r="J957" s="20"/>
      <c r="K957" s="20"/>
      <c r="L957" s="20"/>
    </row>
    <row r="958" spans="9:12">
      <c r="I958" s="20"/>
      <c r="J958" s="20"/>
      <c r="K958" s="20"/>
      <c r="L958" s="20"/>
    </row>
    <row r="959" spans="9:12">
      <c r="I959" s="20"/>
      <c r="J959" s="20"/>
      <c r="K959" s="20"/>
      <c r="L959" s="20"/>
    </row>
    <row r="960" spans="9:12">
      <c r="I960" s="20"/>
      <c r="J960" s="20"/>
      <c r="K960" s="20"/>
      <c r="L960" s="20"/>
    </row>
    <row r="961" spans="9:12">
      <c r="I961" s="20"/>
      <c r="J961" s="20"/>
      <c r="K961" s="20"/>
      <c r="L961" s="20"/>
    </row>
    <row r="962" spans="9:12">
      <c r="I962" s="20"/>
      <c r="J962" s="20"/>
      <c r="K962" s="20"/>
      <c r="L962" s="20"/>
    </row>
    <row r="963" spans="9:12">
      <c r="I963" s="20"/>
      <c r="J963" s="20"/>
      <c r="K963" s="20"/>
      <c r="L963" s="20"/>
    </row>
    <row r="964" spans="9:12">
      <c r="I964" s="20"/>
      <c r="J964" s="20"/>
      <c r="K964" s="20"/>
      <c r="L964" s="20"/>
    </row>
    <row r="965" spans="9:12">
      <c r="I965" s="20"/>
      <c r="J965" s="20"/>
      <c r="K965" s="20"/>
      <c r="L965" s="20"/>
    </row>
    <row r="966" spans="9:12">
      <c r="I966" s="20"/>
      <c r="J966" s="20"/>
      <c r="K966" s="20"/>
      <c r="L966" s="20"/>
    </row>
    <row r="967" spans="9:12">
      <c r="I967" s="20"/>
      <c r="J967" s="20"/>
      <c r="K967" s="20"/>
      <c r="L967" s="20"/>
    </row>
    <row r="968" spans="9:12">
      <c r="I968" s="20"/>
      <c r="J968" s="20"/>
      <c r="K968" s="20"/>
      <c r="L968" s="20"/>
    </row>
    <row r="969" spans="9:12">
      <c r="I969" s="20"/>
      <c r="J969" s="20"/>
      <c r="K969" s="20"/>
      <c r="L969" s="20"/>
    </row>
    <row r="970" spans="9:12">
      <c r="I970" s="20"/>
      <c r="J970" s="20"/>
      <c r="K970" s="20"/>
      <c r="L970" s="20"/>
    </row>
    <row r="971" spans="9:12">
      <c r="I971" s="20"/>
      <c r="J971" s="20"/>
      <c r="K971" s="20"/>
      <c r="L971" s="20"/>
    </row>
    <row r="972" spans="9:12">
      <c r="I972" s="20"/>
      <c r="J972" s="20"/>
      <c r="K972" s="20"/>
      <c r="L972" s="20"/>
    </row>
    <row r="973" spans="9:12">
      <c r="I973" s="20"/>
      <c r="J973" s="20"/>
      <c r="K973" s="20"/>
      <c r="L973" s="20"/>
    </row>
    <row r="974" spans="9:12">
      <c r="I974" s="20"/>
      <c r="J974" s="20"/>
      <c r="K974" s="20"/>
      <c r="L974" s="20"/>
    </row>
    <row r="975" spans="9:12">
      <c r="I975" s="20"/>
      <c r="J975" s="20"/>
      <c r="K975" s="20"/>
      <c r="L975" s="20"/>
    </row>
    <row r="976" spans="9:12">
      <c r="I976" s="20"/>
      <c r="J976" s="20"/>
      <c r="K976" s="20"/>
      <c r="L976" s="20"/>
    </row>
    <row r="977" spans="9:12">
      <c r="I977" s="20"/>
      <c r="J977" s="20"/>
      <c r="K977" s="20"/>
      <c r="L977" s="20"/>
    </row>
    <row r="978" spans="9:12">
      <c r="I978" s="20"/>
      <c r="J978" s="20"/>
      <c r="K978" s="20"/>
      <c r="L978" s="20"/>
    </row>
    <row r="979" spans="9:12">
      <c r="I979" s="20"/>
      <c r="J979" s="20"/>
      <c r="K979" s="20"/>
      <c r="L979" s="20"/>
    </row>
    <row r="980" spans="9:12">
      <c r="I980" s="20"/>
      <c r="J980" s="20"/>
      <c r="K980" s="20"/>
      <c r="L980" s="20"/>
    </row>
    <row r="981" spans="9:12">
      <c r="I981" s="20"/>
      <c r="J981" s="20"/>
      <c r="K981" s="20"/>
      <c r="L981" s="20"/>
    </row>
    <row r="982" spans="9:12">
      <c r="I982" s="20"/>
      <c r="J982" s="20"/>
      <c r="K982" s="20"/>
      <c r="L982" s="20"/>
    </row>
    <row r="983" spans="9:12">
      <c r="I983" s="20"/>
      <c r="J983" s="20"/>
      <c r="K983" s="20"/>
      <c r="L983" s="20"/>
    </row>
    <row r="984" spans="9:12">
      <c r="I984" s="20"/>
      <c r="J984" s="20"/>
      <c r="K984" s="20"/>
      <c r="L984" s="20"/>
    </row>
    <row r="985" spans="9:12">
      <c r="I985" s="20"/>
      <c r="J985" s="20"/>
      <c r="K985" s="20"/>
      <c r="L985" s="20"/>
    </row>
    <row r="986" spans="9:12">
      <c r="I986" s="20"/>
      <c r="J986" s="20"/>
      <c r="K986" s="20"/>
      <c r="L986" s="20"/>
    </row>
    <row r="987" spans="9:12">
      <c r="I987" s="20"/>
      <c r="J987" s="20"/>
      <c r="K987" s="20"/>
      <c r="L987" s="20"/>
    </row>
    <row r="988" spans="9:12">
      <c r="I988" s="20"/>
      <c r="J988" s="20"/>
      <c r="K988" s="20"/>
      <c r="L988" s="20"/>
    </row>
    <row r="989" spans="9:12">
      <c r="I989" s="20"/>
      <c r="J989" s="20"/>
      <c r="K989" s="20"/>
      <c r="L989" s="20"/>
    </row>
    <row r="990" spans="9:12">
      <c r="I990" s="20"/>
      <c r="J990" s="20"/>
      <c r="K990" s="20"/>
      <c r="L990" s="20"/>
    </row>
    <row r="991" spans="9:12">
      <c r="I991" s="20"/>
      <c r="J991" s="20"/>
      <c r="K991" s="20"/>
      <c r="L991" s="20"/>
    </row>
    <row r="992" spans="9:12">
      <c r="I992" s="20"/>
      <c r="J992" s="20"/>
      <c r="K992" s="20"/>
      <c r="L992" s="20"/>
    </row>
    <row r="993" spans="9:12">
      <c r="I993" s="20"/>
      <c r="J993" s="20"/>
      <c r="K993" s="20"/>
      <c r="L993" s="20"/>
    </row>
    <row r="994" spans="9:12">
      <c r="I994" s="20"/>
      <c r="J994" s="20"/>
      <c r="K994" s="20"/>
      <c r="L994" s="20"/>
    </row>
    <row r="995" spans="9:12">
      <c r="I995" s="20"/>
      <c r="J995" s="20"/>
      <c r="K995" s="20"/>
      <c r="L995" s="20"/>
    </row>
    <row r="996" spans="9:12">
      <c r="I996" s="20"/>
      <c r="J996" s="20"/>
      <c r="K996" s="20"/>
      <c r="L996" s="20"/>
    </row>
    <row r="997" spans="9:12">
      <c r="I997" s="20"/>
      <c r="J997" s="20"/>
      <c r="K997" s="20"/>
      <c r="L997" s="20"/>
    </row>
    <row r="998" spans="9:12">
      <c r="I998" s="20"/>
      <c r="J998" s="20"/>
      <c r="K998" s="20"/>
      <c r="L998" s="20"/>
    </row>
    <row r="999" spans="9:12">
      <c r="I999" s="20"/>
      <c r="J999" s="20"/>
      <c r="K999" s="20"/>
      <c r="L999" s="20"/>
    </row>
    <row r="1000" spans="9:12">
      <c r="I1000" s="20"/>
      <c r="J1000" s="20"/>
      <c r="K1000" s="20"/>
      <c r="L1000" s="20"/>
    </row>
    <row r="1001" spans="9:12">
      <c r="I1001" s="20"/>
      <c r="J1001" s="20"/>
      <c r="K1001" s="20"/>
      <c r="L1001" s="20"/>
    </row>
    <row r="1002" spans="9:12">
      <c r="I1002" s="20"/>
      <c r="J1002" s="20"/>
      <c r="K1002" s="20"/>
      <c r="L1002" s="20"/>
    </row>
    <row r="1003" spans="9:12">
      <c r="I1003" s="20"/>
      <c r="J1003" s="20"/>
      <c r="K1003" s="20"/>
      <c r="L1003" s="20"/>
    </row>
    <row r="1004" spans="9:12">
      <c r="I1004" s="20"/>
      <c r="J1004" s="20"/>
      <c r="K1004" s="20"/>
      <c r="L1004" s="20"/>
    </row>
  </sheetData>
  <mergeCells count="1">
    <mergeCell ref="A2:G3"/>
  </mergeCells>
  <hyperlinks>
    <hyperlink ref="E7" r:id="rId1" xr:uid="{F4F9AB09-7EE7-451A-8429-AF845E58C189}"/>
    <hyperlink ref="E136" r:id="rId2" xr:uid="{AE7F9A66-09DE-4393-84E3-5DA05B052C08}"/>
    <hyperlink ref="E169" r:id="rId3" xr:uid="{D4E965EB-CC7C-44E5-9245-D73D4E4AB40F}"/>
    <hyperlink ref="H169" r:id="rId4" xr:uid="{00030D73-F0DE-4D10-8B4A-1BAD701AAF7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82A02-FB29-4CA4-B0BF-D0C24CCD2643}">
  <dimension ref="A1"/>
  <sheetViews>
    <sheetView workbookViewId="0"/>
  </sheetViews>
  <sheetFormatPr defaultColWidth="8.875" defaultRowHeight="14.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60FF832E298C40B3CDF9445B4C50F3" ma:contentTypeVersion="16" ma:contentTypeDescription="Create a new document." ma:contentTypeScope="" ma:versionID="2736c35526183b792716e58cf203af82">
  <xsd:schema xmlns:xsd="http://www.w3.org/2001/XMLSchema" xmlns:xs="http://www.w3.org/2001/XMLSchema" xmlns:p="http://schemas.microsoft.com/office/2006/metadata/properties" xmlns:ns2="698296ed-7b68-4b57-bbaf-772cf4e96a3c" xmlns:ns3="3e80bc58-4cf8-4558-8fd4-80e82ce62ff8" targetNamespace="http://schemas.microsoft.com/office/2006/metadata/properties" ma:root="true" ma:fieldsID="388d87762df8dd5f49475b4362f9614a" ns2:_="" ns3:_="">
    <xsd:import namespace="698296ed-7b68-4b57-bbaf-772cf4e96a3c"/>
    <xsd:import namespace="3e80bc58-4cf8-4558-8fd4-80e82ce62ff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8296ed-7b68-4b57-bbaf-772cf4e96a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5d65905-64bf-4eeb-b5c5-5ae72388f6d8"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80bc58-4cf8-4558-8fd4-80e82ce62ff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9b7487d0-b811-4bb4-8ab7-4d0b7238c6a3}" ma:internalName="TaxCatchAll" ma:showField="CatchAllData" ma:web="3e80bc58-4cf8-4558-8fd4-80e82ce62ff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e80bc58-4cf8-4558-8fd4-80e82ce62ff8" xsi:nil="true"/>
    <lcf76f155ced4ddcb4097134ff3c332f xmlns="698296ed-7b68-4b57-bbaf-772cf4e96a3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F4EC6C2-82D1-4D03-954B-2D697D9EC3C6}"/>
</file>

<file path=customXml/itemProps2.xml><?xml version="1.0" encoding="utf-8"?>
<ds:datastoreItem xmlns:ds="http://schemas.openxmlformats.org/officeDocument/2006/customXml" ds:itemID="{3292F66E-E14F-4A45-84E4-2F5FA0797830}"/>
</file>

<file path=customXml/itemProps3.xml><?xml version="1.0" encoding="utf-8"?>
<ds:datastoreItem xmlns:ds="http://schemas.openxmlformats.org/officeDocument/2006/customXml" ds:itemID="{1637ECCC-987B-42D2-A43A-23CEFD0E6B8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2023-09-06T09:43:20Z</dcterms:created>
  <dcterms:modified xsi:type="dcterms:W3CDTF">2023-10-24T17:37:19Z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0x0101009B60FF832E298C40B3CDF9445B4C50F3</vt:lpwstr>
  </property>
  <property fmtid="{D5CDD505-2E9C-101B-9397-08002B2CF9AE}" pid="3" name="MediaServiceImageTags">
    <vt:lpwstr/>
  </property>
</Properties>
</file>